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2. ACTIVE PROJECTS\EGIS &amp; CFY - Allison Drive - Vacaville\1. CDLAC-CTCAC Folder\3. 2023 CDLAC-CTCAC Folder - Round 2\"/>
    </mc:Choice>
  </mc:AlternateContent>
  <xr:revisionPtr revIDLastSave="0" documentId="13_ncr:1_{C7EB1BB5-4C3A-476A-A2F7-A48D9D9A026E}" xr6:coauthVersionLast="47" xr6:coauthVersionMax="47" xr10:uidLastSave="{00000000-0000-0000-0000-000000000000}"/>
  <bookViews>
    <workbookView xWindow="28680" yWindow="-120" windowWidth="29040" windowHeight="15840" tabRatio="905" firstSheet="3"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2" i="7" l="1"/>
  <c r="G62" i="7"/>
  <c r="F79" i="13"/>
  <c r="C79" i="13"/>
  <c r="F93" i="13"/>
  <c r="F92" i="13"/>
  <c r="F86" i="13"/>
  <c r="F85" i="13"/>
  <c r="C93" i="13"/>
  <c r="C86" i="13"/>
  <c r="C85" i="13"/>
  <c r="C83" i="13"/>
  <c r="C75" i="13"/>
  <c r="C61" i="13"/>
  <c r="C56" i="13"/>
  <c r="F52" i="13"/>
  <c r="F50" i="13"/>
  <c r="F46" i="13"/>
  <c r="F45" i="13"/>
  <c r="C52" i="13"/>
  <c r="C50" i="13"/>
  <c r="C46" i="13"/>
  <c r="C45" i="13"/>
  <c r="F35" i="13"/>
  <c r="F33" i="13"/>
  <c r="F32" i="13"/>
  <c r="F31" i="13"/>
  <c r="C35" i="13"/>
  <c r="C33" i="13"/>
  <c r="C32" i="13"/>
  <c r="C31" i="13"/>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8" i="7"/>
  <c r="AC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G21" i="7" s="1"/>
  <c r="I21" i="7" s="1"/>
  <c r="K21" i="7" s="1"/>
  <c r="M21" i="7" s="1"/>
  <c r="O21" i="7" s="1"/>
  <c r="Q21" i="7" s="1"/>
  <c r="S21" i="7" s="1"/>
  <c r="U21" i="7" s="1"/>
  <c r="W21" i="7" s="1"/>
  <c r="Y21" i="7" s="1"/>
  <c r="AA21" i="7" s="1"/>
  <c r="AC21" i="7" s="1"/>
  <c r="AE21" i="7" s="1"/>
  <c r="AG21" i="7" s="1"/>
  <c r="Z801" i="3"/>
  <c r="E8" i="7" s="1"/>
  <c r="J4" i="8"/>
  <c r="J6" i="8"/>
  <c r="J7" i="8"/>
  <c r="J8"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DX607" i="3" s="1"/>
  <c r="BN608" i="3"/>
  <c r="DX608" i="3" s="1"/>
  <c r="BN609" i="3"/>
  <c r="DX609" i="3" s="1"/>
  <c r="BN610" i="3"/>
  <c r="DX610" i="3" s="1"/>
  <c r="BN611" i="3"/>
  <c r="BN612" i="3"/>
  <c r="BN613" i="3"/>
  <c r="BN614" i="3"/>
  <c r="DX614" i="3" s="1"/>
  <c r="BN615" i="3"/>
  <c r="DX615" i="3" s="1"/>
  <c r="BN616" i="3"/>
  <c r="DX616" i="3" s="1"/>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BX605" i="3"/>
  <c r="BX606" i="3"/>
  <c r="BX607" i="3"/>
  <c r="BX608" i="3"/>
  <c r="BX609" i="3"/>
  <c r="EH609" i="3" s="1"/>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EM618" i="3" s="1"/>
  <c r="CC619" i="3"/>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X636" i="3"/>
  <c r="CX638" i="3"/>
  <c r="DC639"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D94" i="11" s="1"/>
  <c r="C95" i="11"/>
  <c r="C96" i="11"/>
  <c r="B85" i="11"/>
  <c r="B86" i="11"/>
  <c r="B87" i="11"/>
  <c r="B88" i="11"/>
  <c r="B89" i="11"/>
  <c r="B90" i="11"/>
  <c r="D90" i="11" s="1"/>
  <c r="B91" i="11"/>
  <c r="B92" i="11"/>
  <c r="B93" i="11"/>
  <c r="B94" i="11"/>
  <c r="B95" i="11"/>
  <c r="B96" i="11"/>
  <c r="A70" i="11"/>
  <c r="C67" i="11"/>
  <c r="C68" i="11"/>
  <c r="C71" i="11" s="1"/>
  <c r="D71" i="11" s="1"/>
  <c r="C69" i="11"/>
  <c r="C70" i="11"/>
  <c r="B67" i="11"/>
  <c r="B68" i="11"/>
  <c r="B69" i="11"/>
  <c r="B70" i="11"/>
  <c r="A62" i="11"/>
  <c r="A54" i="11"/>
  <c r="A38" i="11"/>
  <c r="A26" i="11"/>
  <c r="C31" i="11"/>
  <c r="C32" i="11"/>
  <c r="C33" i="11"/>
  <c r="C34" i="11"/>
  <c r="C35" i="11"/>
  <c r="C36" i="11"/>
  <c r="C39" i="11" s="1"/>
  <c r="C37" i="11"/>
  <c r="C38" i="11"/>
  <c r="B31" i="11"/>
  <c r="B32" i="11"/>
  <c r="B33" i="11"/>
  <c r="B34" i="11"/>
  <c r="B35" i="11"/>
  <c r="B36" i="11"/>
  <c r="B39"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s="1"/>
  <c r="X722" i="3"/>
  <c r="BA665" i="3"/>
  <c r="X723" i="3"/>
  <c r="BA663" i="3"/>
  <c r="AH721" i="3" s="1"/>
  <c r="X721" i="3"/>
  <c r="BA666" i="3"/>
  <c r="X724" i="3"/>
  <c r="AH724" i="3"/>
  <c r="AB234" i="20"/>
  <c r="AB236" i="20" s="1"/>
  <c r="AB222" i="20"/>
  <c r="AB221" i="20"/>
  <c r="AB220" i="20"/>
  <c r="AB219" i="20"/>
  <c r="AB218" i="20"/>
  <c r="AB217" i="20"/>
  <c r="AB216" i="20"/>
  <c r="AB215" i="20"/>
  <c r="AB214" i="20"/>
  <c r="AB213" i="20"/>
  <c r="AB223"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D80" i="11" s="1"/>
  <c r="C81" i="11"/>
  <c r="D81" i="11" s="1"/>
  <c r="B80" i="11"/>
  <c r="B82" i="11" s="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96" i="4" s="1"/>
  <c r="R83" i="4"/>
  <c r="R76" i="4"/>
  <c r="R75" i="4"/>
  <c r="R72" i="4"/>
  <c r="R73" i="4"/>
  <c r="R74" i="4"/>
  <c r="R69" i="4"/>
  <c r="R65" i="4"/>
  <c r="R70" i="4" s="1"/>
  <c r="R61" i="4"/>
  <c r="R60" i="4"/>
  <c r="R59" i="4"/>
  <c r="R58" i="4"/>
  <c r="R57" i="4"/>
  <c r="R56" i="4"/>
  <c r="R53" i="4"/>
  <c r="R52" i="4"/>
  <c r="R54" i="4" s="1"/>
  <c r="R51" i="4"/>
  <c r="R50" i="4"/>
  <c r="R49" i="4"/>
  <c r="R48" i="4"/>
  <c r="R47" i="4"/>
  <c r="R46" i="4"/>
  <c r="R45" i="4"/>
  <c r="R43" i="4"/>
  <c r="R41" i="4"/>
  <c r="R40" i="4"/>
  <c r="R42" i="4" s="1"/>
  <c r="R37" i="4"/>
  <c r="R35" i="4"/>
  <c r="R34" i="4"/>
  <c r="R33" i="4"/>
  <c r="R32" i="4"/>
  <c r="R31" i="4"/>
  <c r="R38" i="4" s="1"/>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D46" i="11" s="1"/>
  <c r="C46" i="11"/>
  <c r="B47" i="11"/>
  <c r="C47" i="11"/>
  <c r="B48" i="11"/>
  <c r="B49" i="11"/>
  <c r="D49" i="11" s="1"/>
  <c r="B50" i="11"/>
  <c r="B51" i="11"/>
  <c r="B52" i="11"/>
  <c r="B53" i="11"/>
  <c r="C48" i="11"/>
  <c r="C49" i="11"/>
  <c r="C50" i="11"/>
  <c r="D50" i="11" s="1"/>
  <c r="C51" i="11"/>
  <c r="D51" i="11" s="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A5" i="8"/>
  <c r="D5" i="8"/>
  <c r="I5" i="8"/>
  <c r="J5" i="8" s="1"/>
  <c r="A6" i="8"/>
  <c r="D6" i="8"/>
  <c r="I6" i="8"/>
  <c r="A7" i="8"/>
  <c r="D7" i="8"/>
  <c r="I7" i="8"/>
  <c r="A8" i="8"/>
  <c r="D8" i="8"/>
  <c r="I8" i="8"/>
  <c r="A9" i="8"/>
  <c r="D9" i="8"/>
  <c r="I9" i="8"/>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11" i="3"/>
  <c r="DX612" i="3"/>
  <c r="DX613" i="3"/>
  <c r="DX617" i="3"/>
  <c r="DX618" i="3"/>
  <c r="DX619" i="3"/>
  <c r="DX620" i="3"/>
  <c r="EC596" i="3"/>
  <c r="EC597" i="3"/>
  <c r="EC598" i="3"/>
  <c r="EC602" i="3"/>
  <c r="EC603" i="3"/>
  <c r="EC604" i="3"/>
  <c r="EC605" i="3"/>
  <c r="EC611" i="3"/>
  <c r="EC613" i="3"/>
  <c r="EC614" i="3"/>
  <c r="EC615" i="3"/>
  <c r="EC620" i="3"/>
  <c r="EH596" i="3"/>
  <c r="EH597" i="3"/>
  <c r="EH598" i="3"/>
  <c r="EH599" i="3"/>
  <c r="EH603" i="3"/>
  <c r="EH604" i="3"/>
  <c r="EH605" i="3"/>
  <c r="EH606" i="3"/>
  <c r="EH607" i="3"/>
  <c r="EH608" i="3"/>
  <c r="EH611" i="3"/>
  <c r="EH612" i="3"/>
  <c r="EH613" i="3"/>
  <c r="EH614" i="3"/>
  <c r="EH619" i="3"/>
  <c r="EH620" i="3"/>
  <c r="EM597" i="3"/>
  <c r="EM598" i="3"/>
  <c r="EM599" i="3"/>
  <c r="EM600" i="3"/>
  <c r="EM605" i="3"/>
  <c r="EM607" i="3"/>
  <c r="EM608" i="3"/>
  <c r="EM614" i="3"/>
  <c r="EM615" i="3"/>
  <c r="EM616" i="3"/>
  <c r="EM619" i="3"/>
  <c r="EW599" i="3"/>
  <c r="EW600" i="3"/>
  <c r="EW602" i="3"/>
  <c r="EW603" i="3"/>
  <c r="EW609" i="3"/>
  <c r="EW610" i="3"/>
  <c r="EW611" i="3"/>
  <c r="EW615" i="3"/>
  <c r="EW616" i="3"/>
  <c r="EW617" i="3"/>
  <c r="ER598" i="3"/>
  <c r="ER599" i="3"/>
  <c r="ER600" i="3"/>
  <c r="ER602" i="3"/>
  <c r="ER608" i="3"/>
  <c r="ER609" i="3"/>
  <c r="ER610" i="3"/>
  <c r="ER614" i="3"/>
  <c r="ER615" i="3"/>
  <c r="ER616" i="3"/>
  <c r="ER617" i="3"/>
  <c r="ER620" i="3"/>
  <c r="C11" i="4"/>
  <c r="B26" i="13"/>
  <c r="C38" i="4"/>
  <c r="B38" i="13" s="1"/>
  <c r="C54" i="4"/>
  <c r="B54" i="13" s="1"/>
  <c r="C62" i="4"/>
  <c r="B62" i="13" s="1"/>
  <c r="C77" i="4"/>
  <c r="B77" i="13"/>
  <c r="C96" i="4"/>
  <c r="B96" i="13" s="1"/>
  <c r="B104" i="13"/>
  <c r="D8" i="4"/>
  <c r="D11" i="4"/>
  <c r="D26" i="4"/>
  <c r="D38" i="4"/>
  <c r="D42" i="4"/>
  <c r="D54" i="4"/>
  <c r="D62" i="4"/>
  <c r="D77" i="4"/>
  <c r="D96" i="4"/>
  <c r="D104" i="4"/>
  <c r="B104" i="4"/>
  <c r="AO637" i="3"/>
  <c r="E26" i="13"/>
  <c r="S38" i="4"/>
  <c r="E38" i="13" s="1"/>
  <c r="S42" i="4"/>
  <c r="E42" i="13" s="1"/>
  <c r="S54" i="4"/>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AH716" i="3" s="1"/>
  <c r="BA659" i="3"/>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AH720" i="3"/>
  <c r="I63" i="13"/>
  <c r="I97" i="13"/>
  <c r="I105" i="13"/>
  <c r="I107" i="13"/>
  <c r="B81" i="13"/>
  <c r="D54" i="11"/>
  <c r="J63" i="13"/>
  <c r="J97" i="13"/>
  <c r="J105" i="13"/>
  <c r="J107" i="13"/>
  <c r="L12" i="4"/>
  <c r="D48" i="11"/>
  <c r="D93" i="11"/>
  <c r="D5" i="11"/>
  <c r="D70" i="11"/>
  <c r="D52" i="11"/>
  <c r="I12" i="4"/>
  <c r="G12" i="4"/>
  <c r="D6" i="11"/>
  <c r="L63" i="4"/>
  <c r="L97" i="4"/>
  <c r="L105" i="4"/>
  <c r="Q12" i="4"/>
  <c r="B11" i="4"/>
  <c r="O63" i="4"/>
  <c r="O97" i="4"/>
  <c r="O105" i="4"/>
  <c r="D18" i="11"/>
  <c r="B8" i="4"/>
  <c r="N158" i="26" s="1"/>
  <c r="N164" i="26" s="1"/>
  <c r="D10" i="11"/>
  <c r="G63" i="13"/>
  <c r="G97" i="13"/>
  <c r="G105" i="13"/>
  <c r="G107" i="13"/>
  <c r="D61" i="11"/>
  <c r="D57" i="11"/>
  <c r="D20" i="11"/>
  <c r="D8" i="11"/>
  <c r="D85" i="11"/>
  <c r="B43" i="11"/>
  <c r="D43" i="11" s="1"/>
  <c r="D102" i="11"/>
  <c r="K12" i="4"/>
  <c r="C43" i="11"/>
  <c r="D63" i="4"/>
  <c r="D97" i="4"/>
  <c r="D105" i="4" s="1"/>
  <c r="B78" i="11"/>
  <c r="D7" i="11"/>
  <c r="J12" i="4"/>
  <c r="D22" i="11"/>
  <c r="O12" i="4"/>
  <c r="I63" i="4"/>
  <c r="I97" i="4"/>
  <c r="I105" i="4"/>
  <c r="D95" i="11"/>
  <c r="D25" i="11"/>
  <c r="B11" i="13"/>
  <c r="D12" i="4"/>
  <c r="R77" i="4"/>
  <c r="H12" i="4"/>
  <c r="B9" i="11"/>
  <c r="D23" i="11"/>
  <c r="D19" i="11"/>
  <c r="D89" i="11"/>
  <c r="D73" i="11"/>
  <c r="D44" i="11"/>
  <c r="D35" i="11"/>
  <c r="D76" i="11"/>
  <c r="D31" i="11"/>
  <c r="D32" i="11"/>
  <c r="D15" i="11"/>
  <c r="D63" i="13"/>
  <c r="D97" i="13"/>
  <c r="D105" i="13"/>
  <c r="D14" i="11"/>
  <c r="Q63" i="4"/>
  <c r="Q97" i="4"/>
  <c r="Q105" i="4"/>
  <c r="C105" i="11"/>
  <c r="D87" i="11"/>
  <c r="N63" i="4"/>
  <c r="N97" i="4"/>
  <c r="N105" i="4"/>
  <c r="N12" i="4"/>
  <c r="H63" i="4"/>
  <c r="H97" i="4" s="1"/>
  <c r="H105" i="4" s="1"/>
  <c r="F12" i="4"/>
  <c r="D60" i="11"/>
  <c r="M12" i="4"/>
  <c r="R8" i="4"/>
  <c r="D84" i="11"/>
  <c r="D74" i="11"/>
  <c r="D59" i="11"/>
  <c r="D38" i="11"/>
  <c r="P63" i="4"/>
  <c r="P97" i="4"/>
  <c r="P105" i="4"/>
  <c r="C63" i="11"/>
  <c r="D63" i="11" s="1"/>
  <c r="B63" i="11"/>
  <c r="C9" i="11"/>
  <c r="D9" i="11" s="1"/>
  <c r="D12" i="13"/>
  <c r="D58" i="11"/>
  <c r="D100" i="11"/>
  <c r="D62" i="11"/>
  <c r="D24" i="11"/>
  <c r="D101" i="11"/>
  <c r="R62" i="4"/>
  <c r="D66" i="11"/>
  <c r="D92" i="11"/>
  <c r="D75" i="11"/>
  <c r="B71" i="11"/>
  <c r="D28" i="11"/>
  <c r="D103" i="11"/>
  <c r="D88" i="11"/>
  <c r="C78" i="11"/>
  <c r="D78" i="11" s="1"/>
  <c r="D42" i="11"/>
  <c r="D21" i="11"/>
  <c r="D16" i="11"/>
  <c r="B12" i="11"/>
  <c r="R26" i="4"/>
  <c r="AH717" i="3"/>
  <c r="AD199" i="20"/>
  <c r="R12" i="4"/>
  <c r="B42" i="4"/>
  <c r="D77" i="11"/>
  <c r="D47" i="11"/>
  <c r="M63" i="4"/>
  <c r="M97" i="4"/>
  <c r="M105" i="4"/>
  <c r="R104" i="4"/>
  <c r="G63" i="4"/>
  <c r="D91" i="11"/>
  <c r="J63" i="4"/>
  <c r="J97" i="4"/>
  <c r="J105" i="4"/>
  <c r="D41" i="11"/>
  <c r="C12" i="11"/>
  <c r="K63" i="4"/>
  <c r="K97" i="4"/>
  <c r="K105" i="4"/>
  <c r="B62" i="4"/>
  <c r="B105" i="11"/>
  <c r="AD7" i="15"/>
  <c r="E63" i="4"/>
  <c r="E97" i="4" s="1"/>
  <c r="D104" i="11"/>
  <c r="E12" i="4"/>
  <c r="B96" i="4"/>
  <c r="T63" i="4"/>
  <c r="T97" i="4"/>
  <c r="D11" i="11"/>
  <c r="C12" i="4"/>
  <c r="B12" i="13"/>
  <c r="B12" i="4"/>
  <c r="B13" i="11"/>
  <c r="D12" i="11"/>
  <c r="C13" i="11"/>
  <c r="D13" i="11" s="1"/>
  <c r="D30" i="8"/>
  <c r="H63" i="13"/>
  <c r="T105" i="4"/>
  <c r="H97" i="13"/>
  <c r="D96" i="11"/>
  <c r="C97" i="11"/>
  <c r="T107" i="4"/>
  <c r="H105" i="13"/>
  <c r="H107" i="13"/>
  <c r="AD11" i="15"/>
  <c r="AZ835" i="3"/>
  <c r="G58" i="7" l="1"/>
  <c r="K53" i="7"/>
  <c r="I58" i="7"/>
  <c r="AB239" i="20"/>
  <c r="AB241" i="20" s="1"/>
  <c r="AB243" i="20" s="1"/>
  <c r="AB249" i="20" s="1"/>
  <c r="AD198" i="20" s="1"/>
  <c r="AD200" i="20" s="1"/>
  <c r="AK172" i="20"/>
  <c r="AO65" i="20"/>
  <c r="F63" i="13"/>
  <c r="F97" i="13" s="1"/>
  <c r="F105" i="13" s="1"/>
  <c r="F107" i="13" s="1"/>
  <c r="C63" i="13"/>
  <c r="C97" i="13" s="1"/>
  <c r="C105" i="13" s="1"/>
  <c r="C12" i="13"/>
  <c r="AH714" i="3"/>
  <c r="W28" i="7"/>
  <c r="AH723" i="3"/>
  <c r="Q28" i="7"/>
  <c r="Y28" i="7"/>
  <c r="U28" i="7"/>
  <c r="S28" i="7"/>
  <c r="AE28" i="7"/>
  <c r="AA28" i="7"/>
  <c r="O28" i="7"/>
  <c r="O30" i="21"/>
  <c r="I28" i="7"/>
  <c r="G28" i="7"/>
  <c r="M28" i="7"/>
  <c r="K28" i="7"/>
  <c r="AG28" i="7"/>
  <c r="S63" i="4"/>
  <c r="E63" i="13" s="1"/>
  <c r="E54" i="13"/>
  <c r="E105" i="4"/>
  <c r="D105" i="11"/>
  <c r="D97" i="11"/>
  <c r="G97" i="4"/>
  <c r="G105" i="4" s="1"/>
  <c r="B97" i="11"/>
  <c r="C82" i="11"/>
  <c r="D82" i="11" s="1"/>
  <c r="F63" i="4"/>
  <c r="F97" i="4" s="1"/>
  <c r="F105" i="4" s="1"/>
  <c r="B55" i="11"/>
  <c r="B64" i="11" s="1"/>
  <c r="B98" i="11" s="1"/>
  <c r="B106" i="11" s="1"/>
  <c r="B54" i="4"/>
  <c r="C55" i="11"/>
  <c r="R63" i="4"/>
  <c r="R97" i="4" s="1"/>
  <c r="R105" i="4" s="1"/>
  <c r="D39" i="11"/>
  <c r="C63" i="4"/>
  <c r="B63" i="13" s="1"/>
  <c r="D36" i="11"/>
  <c r="B38" i="4"/>
  <c r="B63" i="4" s="1"/>
  <c r="AG40" i="7"/>
  <c r="AG43" i="7" s="1"/>
  <c r="G40" i="7"/>
  <c r="G43" i="7"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M53" i="7" l="1"/>
  <c r="K58" i="7"/>
  <c r="AS349" i="20"/>
  <c r="EC628" i="3"/>
  <c r="AC869" i="3"/>
  <c r="S97" i="4"/>
  <c r="E97" i="13" s="1"/>
  <c r="D55" i="11"/>
  <c r="C97" i="4"/>
  <c r="C105" i="4" s="1"/>
  <c r="AC454" i="3" s="1"/>
  <c r="T800" i="20"/>
  <c r="AF800" i="20" s="1"/>
  <c r="Y27" i="15"/>
  <c r="AI27" i="15"/>
  <c r="T789" i="20"/>
  <c r="AF789" i="20" s="1"/>
  <c r="AK78" i="20"/>
  <c r="AI23" i="15"/>
  <c r="AI26" i="15" s="1"/>
  <c r="E35" i="7"/>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6" i="21" s="1"/>
  <c r="P26" i="21" s="1" a="1"/>
  <c r="P26" i="21" s="1"/>
  <c r="R2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O21" i="21"/>
  <c r="P21" i="21" s="1" a="1"/>
  <c r="P21" i="21" s="1"/>
  <c r="R21" i="21" s="1"/>
  <c r="O22" i="21"/>
  <c r="P22" i="21" s="1" a="1"/>
  <c r="P22" i="21" s="1"/>
  <c r="R22" i="21" s="1"/>
  <c r="AW116" i="20"/>
  <c r="O25" i="21"/>
  <c r="P25" i="21" s="1" a="1"/>
  <c r="P25" i="21" s="1"/>
  <c r="R25" i="21" s="1"/>
  <c r="O20" i="21"/>
  <c r="P20" i="21" s="1" a="1"/>
  <c r="P20" i="21" s="1"/>
  <c r="R20" i="21" s="1"/>
  <c r="O27" i="21"/>
  <c r="P27" i="21" s="1" a="1"/>
  <c r="P27" i="21" s="1"/>
  <c r="R27" i="21" s="1"/>
  <c r="O24" i="21"/>
  <c r="P24" i="21" s="1" a="1"/>
  <c r="P24" i="21" s="1"/>
  <c r="R24" i="21" s="1"/>
  <c r="O28" i="21"/>
  <c r="P28" i="21" s="1" a="1"/>
  <c r="P28" i="21" s="1"/>
  <c r="R28" i="21" s="1"/>
  <c r="O29" i="21"/>
  <c r="P29" i="21" s="1" a="1"/>
  <c r="P29" i="21" s="1"/>
  <c r="R29" i="21" s="1"/>
  <c r="S105" i="4"/>
  <c r="E105" i="13" s="1"/>
  <c r="B105" i="13"/>
  <c r="AG258" i="20"/>
  <c r="B105" i="4"/>
  <c r="AB255" i="20" s="1"/>
  <c r="AG257" i="20" s="1"/>
  <c r="B97" i="13"/>
  <c r="B97" i="4"/>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N154" i="26" l="1"/>
  <c r="N165" i="26" s="1"/>
  <c r="O58" i="7"/>
  <c r="Q53" i="7"/>
  <c r="G38" i="21"/>
  <c r="G40" i="21" s="1"/>
  <c r="E10" i="21" s="1"/>
  <c r="S107" i="4"/>
  <c r="AC455" i="3" s="1"/>
  <c r="AB47" i="15"/>
  <c r="AB49" i="15" s="1"/>
  <c r="AB54" i="15" s="1"/>
  <c r="AB55" i="15" s="1"/>
  <c r="AC453" i="3"/>
  <c r="F456" i="3" s="1"/>
  <c r="AG259" i="20"/>
  <c r="AK262" i="20" s="1"/>
  <c r="T797" i="20" s="1"/>
  <c r="AF797" i="20"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N155" i="26" l="1"/>
  <c r="Q58" i="7"/>
  <c r="S53" i="7"/>
  <c r="B1025" i="3"/>
  <c r="AJ1014" i="3"/>
  <c r="AP542" i="20" s="1"/>
  <c r="E107" i="13"/>
  <c r="AF540" i="20"/>
  <c r="K4" i="7"/>
  <c r="M4" i="7" s="1"/>
  <c r="E45" i="7"/>
  <c r="E48" i="7" s="1"/>
  <c r="AJ1018" i="3"/>
  <c r="AP539" i="20"/>
  <c r="G45" i="7"/>
  <c r="G49" i="7"/>
  <c r="K6" i="7"/>
  <c r="I7" i="7"/>
  <c r="I11" i="7" s="1"/>
  <c r="I37" i="7" s="1"/>
  <c r="G24" i="21"/>
  <c r="F27" i="21"/>
  <c r="G27" i="21"/>
  <c r="O22" i="7"/>
  <c r="O35" i="7" s="1"/>
  <c r="Q15" i="7"/>
  <c r="O9" i="7"/>
  <c r="Q8" i="7"/>
  <c r="T11" i="15" l="1"/>
  <c r="T23" i="15" s="1"/>
  <c r="T26" i="15" s="1"/>
  <c r="T28" i="15" s="1"/>
  <c r="Y11" i="15"/>
  <c r="Y23" i="15" s="1"/>
  <c r="Y26" i="15" s="1"/>
  <c r="Y28" i="15" s="1"/>
  <c r="U53" i="7"/>
  <c r="S58" i="7"/>
  <c r="AP543" i="20"/>
  <c r="K5" i="7"/>
  <c r="E47" i="7"/>
  <c r="E60" i="7"/>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9" i="15" l="1"/>
  <c r="Y64" i="15"/>
  <c r="Y68" i="15" s="1"/>
  <c r="W53" i="7"/>
  <c r="U58" i="7"/>
  <c r="Y38" i="15"/>
  <c r="Y40" i="15" s="1"/>
  <c r="K11" i="7"/>
  <c r="K37" i="7" s="1"/>
  <c r="K45" i="7" s="1"/>
  <c r="O5" i="7"/>
  <c r="Q4" i="7"/>
  <c r="AD38" i="15"/>
  <c r="AD40" i="15" s="1"/>
  <c r="M7" i="7"/>
  <c r="M11" i="7" s="1"/>
  <c r="M37" i="7" s="1"/>
  <c r="O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A61470B3-D28A-4EA4-80B4-26F17C0E08CE}">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<sst xmlns="http://schemas.openxmlformats.org/spreadsheetml/2006/main" count="5217" uniqueCount="2761">
  <si>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</si>
  <si>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</si>
  <si>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</si>
  <si>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</si>
  <si>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</si>
  <si>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</si>
  <si>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</si>
  <si>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</si>
  <si>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</si>
  <si>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</si>
  <si>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</si>
  <si>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</si>
  <si>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</si>
  <si>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</si>
  <si>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</si>
  <si>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</si>
  <si>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</si>
  <si>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</si>
  <si>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</si>
  <si>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</si>
  <si>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</si>
  <si>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</si>
  <si>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</si>
  <si>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</si>
  <si>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</si>
  <si>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</si>
  <si>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</si>
  <si>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</si>
  <si>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</si>
  <si>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</si>
  <si>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</si>
  <si>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</si>
  <si>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</si>
  <si>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</si>
  <si>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</si>
  <si>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</si>
  <si>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</si>
  <si>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</si>
  <si>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</si>
  <si>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</si>
  <si>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</si>
  <si>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</si>
  <si>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</si>
  <si>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</si>
  <si>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</si>
  <si>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</si>
  <si>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</si>
  <si>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</si>
  <si>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</si>
  <si>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</si>
  <si>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</si>
  <si>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</si>
  <si>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</si>
  <si>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</si>
  <si>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</si>
  <si>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</si>
  <si>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</si>
  <si>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</si>
  <si>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</si>
  <si>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</si>
  <si>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</si>
  <si>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</si>
  <si>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</si>
  <si>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</si>
  <si>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</si>
  <si>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</si>
  <si>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</si>
  <si>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</si>
  <si>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</si>
  <si>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</si>
  <si>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</si>
  <si>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</si>
  <si>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</si>
  <si>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</si>
  <si>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</si>
  <si>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</si>
  <si>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</si>
  <si>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</si>
  <si>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</si>
  <si>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</si>
  <si>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</si>
  <si>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</si>
  <si>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</si>
  <si>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</si>
  <si>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</si>
  <si>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</si>
  <si>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</si>
  <si>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</si>
  <si>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</si>
  <si>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</si>
  <si>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</si>
  <si>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</si>
  <si>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</si>
  <si>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</si>
  <si>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</si>
  <si>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</si>
  <si>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</si>
  <si>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</si>
  <si>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</si>
  <si>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</si>
  <si>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</si>
  <si>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</si>
  <si>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</si>
  <si>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</si>
  <si>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</si>
  <si>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</si>
  <si>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</si>
  <si>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</si>
  <si>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</si>
  <si>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</si>
  <si>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</si>
  <si>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</si>
  <si>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</si>
  <si>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</si>
  <si>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</si>
  <si>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</si>
  <si>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</si>
  <si>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</si>
  <si>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</si>
  <si>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</si>
  <si>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</si>
  <si>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</si>
  <si>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</si>
  <si>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</si>
  <si>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</si>
  <si>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</si>
  <si>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</si>
  <si>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</si>
  <si>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</si>
  <si>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</si>
  <si>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</si>
  <si>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</si>
  <si>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</si>
  <si>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</si>
  <si>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</si>
  <si>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</si>
  <si>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</si>
  <si>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</si>
  <si>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</si>
  <si>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</si>
  <si>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</si>
  <si>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</si>
  <si>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</si>
  <si>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</si>
  <si>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</si>
  <si>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</si>
  <si>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</si>
  <si>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</si>
  <si>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</si>
  <si>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</si>
  <si>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</si>
  <si>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</si>
  <si>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</si>
  <si>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</si>
  <si>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</si>
  <si>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</si>
  <si>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</si>
  <si>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</si>
  <si>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</si>
  <si>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</si>
  <si>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</si>
  <si>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</si>
  <si>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</si>
  <si>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</si>
  <si>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</si>
  <si>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</si>
  <si>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</si>
  <si>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</si>
  <si>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</si>
  <si>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</si>
  <si>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</si>
  <si>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</si>
  <si>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</si>
  <si>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</si>
  <si>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</si>
  <si>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</si>
  <si>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</si>
  <si>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</si>
  <si>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</si>
  <si>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</si>
  <si>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</si>
  <si>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</si>
  <si>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</si>
  <si>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</si>
  <si>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</si>
  <si>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</si>
  <si>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</si>
  <si>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</si>
  <si>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</si>
  <si>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</si>
  <si>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</si>
  <si>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</si>
  <si>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</si>
  <si>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</si>
  <si>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</si>
  <si>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</si>
  <si>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</si>
  <si>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</si>
  <si>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</si>
  <si>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</si>
  <si>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</si>
  <si>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</si>
  <si>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</si>
  <si>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</si>
  <si>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</si>
  <si>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</si>
  <si>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</si>
  <si>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</si>
  <si>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</si>
  <si>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</si>
  <si>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</si>
  <si>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</si>
  <si>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</si>
  <si>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</si>
  <si>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</si>
  <si>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</si>
  <si>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</si>
  <si>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</si>
  <si>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</si>
  <si>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</si>
  <si>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</si>
  <si>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</si>
  <si>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</si>
  <si>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</si>
  <si>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</si>
  <si>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</si>
  <si>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</si>
  <si>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</si>
  <si>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</si>
  <si>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</si>
  <si>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</si>
  <si>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</si>
  <si>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</si>
  <si>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</si>
  <si>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</si>
  <si>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</si>
  <si>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</si>
  <si>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</si>
  <si>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</si>
  <si>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</si>
  <si>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</si>
  <si>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</si>
  <si>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</si>
  <si>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</si>
  <si>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</si>
  <si>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</si>
  <si>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</si>
  <si>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</si>
  <si>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</si>
  <si>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</si>
  <si>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</si>
  <si>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</si>
  <si>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</si>
  <si>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</si>
  <si>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</si>
  <si>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</si>
  <si>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</si>
  <si>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</si>
  <si>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</si>
  <si>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</si>
  <si>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</si>
  <si>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</si>
  <si>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</si>
  <si>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</si>
  <si>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</si>
  <si>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</si>
  <si>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</si>
  <si>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</si>
  <si>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</si>
  <si>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</si>
  <si>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</si>
  <si>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</si>
  <si>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</si>
  <si>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</si>
  <si>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</si>
  <si>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</si>
  <si>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</si>
  <si>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</si>
  <si>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</si>
  <si>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</si>
  <si>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</si>
  <si>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</si>
  <si>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</si>
  <si>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</si>
  <si>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</si>
  <si>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</si>
  <si>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</si>
  <si>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</si>
  <si>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</si>
  <si>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</si>
  <si>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</si>
  <si>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</si>
  <si>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</si>
  <si>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</si>
  <si>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</si>
  <si>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</si>
  <si>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</si>
  <si>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</si>
  <si>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</si>
  <si>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</si>
  <si>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</si>
  <si>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</si>
  <si>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</si>
  <si>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</si>
  <si>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</si>
  <si>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</si>
  <si>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</si>
  <si>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</si>
  <si>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</si>
  <si>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</si>
  <si>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</si>
  <si>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</si>
  <si>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</si>
  <si>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</si>
  <si>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</si>
  <si>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</si>
  <si>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</si>
  <si>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</si>
  <si>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</si>
  <si>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</si>
  <si>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</si>
  <si>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</si>
  <si>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</si>
  <si>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</si>
  <si>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</si>
  <si>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</si>
  <si>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</si>
  <si>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</si>
  <si>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</si>
  <si>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</si>
  <si>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</si>
  <si>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</si>
  <si>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</si>
  <si>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</si>
  <si>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</si>
  <si>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</si>
  <si>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</si>
  <si>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</si>
  <si>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</si>
  <si>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</si>
  <si>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</si>
  <si>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</si>
  <si>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</si>
  <si>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</si>
  <si>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</si>
  <si>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</si>
  <si>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</si>
  <si>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</si>
  <si>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</si>
  <si>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</si>
  <si>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</si>
  <si>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</si>
  <si>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</si>
  <si>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</si>
  <si>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</si>
  <si>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</si>
  <si>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</si>
  <si>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</si>
  <si>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</si>
  <si>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</si>
  <si>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</si>
  <si>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</si>
  <si>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</si>
  <si>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</si>
  <si>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</si>
  <si>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</si>
  <si>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</si>
  <si>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</si>
  <si>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</si>
  <si>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</si>
  <si>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</si>
  <si>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</si>
  <si>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</si>
  <si>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</si>
  <si>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</si>
  <si>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</si>
  <si>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</si>
  <si>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</si>
  <si>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</si>
  <si>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</si>
  <si>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</si>
  <si>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</si>
  <si>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</si>
  <si>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</si>
  <si>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</si>
  <si>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</si>
  <si>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</si>
  <si>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</si>
  <si>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</si>
  <si>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</si>
  <si>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</si>
  <si>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</si>
  <si>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</si>
  <si>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</si>
  <si>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</si>
  <si>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</si>
  <si>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</si>
  <si>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</si>
  <si>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</si>
  <si>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</si>
  <si>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</si>
  <si>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</si>
  <si>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</si>
  <si>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</si>
  <si>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</si>
  <si>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</si>
  <si>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</si>
  <si>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</si>
  <si>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</si>
  <si>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</si>
  <si>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</si>
  <si>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</si>
  <si>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</si>
  <si>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</si>
  <si>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</si>
  <si>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</si>
  <si>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</si>
  <si>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</si>
  <si>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</si>
  <si>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</si>
  <si>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</si>
  <si>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</si>
  <si>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</si>
  <si>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</si>
  <si>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</si>
  <si>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</si>
  <si>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</si>
  <si>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</si>
  <si>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</si>
  <si>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</si>
  <si>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</si>
  <si>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</si>
  <si>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</si>
  <si>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</si>
  <si>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</si>
  <si>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</si>
  <si>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</si>
  <si>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</si>
  <si>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</si>
  <si>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</si>
  <si>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</si>
  <si>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</si>
  <si>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</si>
  <si>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</si>
  <si>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</si>
  <si>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</si>
  <si>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</si>
  <si>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</si>
  <si>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</si>
  <si>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</si>
  <si>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</si>
  <si>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</si>
  <si>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</si>
  <si>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</si>
  <si>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</si>
  <si>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</si>
  <si>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</si>
  <si>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</si>
  <si>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</si>
  <si>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</si>
  <si>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</si>
  <si>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</si>
  <si>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</si>
  <si>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</si>
  <si>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</si>
  <si>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</si>
  <si>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</si>
  <si>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</si>
  <si>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</si>
  <si>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</si>
  <si>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</si>
  <si>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</si>
  <si>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</si>
  <si>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</si>
  <si>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</si>
  <si>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</si>
  <si>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</si>
  <si>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</si>
  <si>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</si>
  <si>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</si>
  <si>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</si>
  <si>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</si>
  <si>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</si>
  <si>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</si>
  <si>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</si>
  <si>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</si>
  <si>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</si>
  <si>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</si>
  <si>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</si>
  <si>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</si>
  <si>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</si>
  <si>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</si>
  <si>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</si>
  <si>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</si>
  <si>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</si>
  <si>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</si>
  <si>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</si>
  <si>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</si>
  <si>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</si>
  <si>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</si>
  <si>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</si>
  <si>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</si>
  <si>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</si>
  <si>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</si>
  <si>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</si>
  <si>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</si>
  <si>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</si>
  <si>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</si>
  <si>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</si>
  <si>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</si>
  <si>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</si>
  <si>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</si>
  <si>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</si>
  <si>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</si>
  <si>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</si>
  <si>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</si>
  <si>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</si>
  <si>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</si>
  <si>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</si>
  <si>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</si>
  <si>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</si>
  <si>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</si>
  <si>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</si>
  <si>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</si>
  <si>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</si>
  <si>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</si>
  <si>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</si>
  <si>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</si>
  <si>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</si>
  <si>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</si>
  <si>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</si>
  <si>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</si>
  <si>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</si>
  <si>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</si>
  <si>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</si>
  <si>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</si>
  <si>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</si>
  <si>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</si>
  <si>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</si>
  <si>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</si>
  <si>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</si>
  <si>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</si>
  <si>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</si>
  <si>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</si>
  <si>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</si>
  <si>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</si>
  <si>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</si>
  <si>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</si>
  <si>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</si>
  <si>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</si>
  <si>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</si>
  <si>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</si>
  <si>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</si>
  <si>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</si>
  <si>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</si>
  <si>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</si>
  <si>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</si>
  <si>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</si>
  <si>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</si>
  <si>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</si>
  <si>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</si>
  <si>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</si>
  <si>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</si>
  <si>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</si>
  <si>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</si>
  <si>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</si>
  <si>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</si>
  <si>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</si>
  <si>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</si>
  <si>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</si>
  <si>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</si>
  <si>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</si>
  <si>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</si>
  <si>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</si>
  <si>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</si>
  <si>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</si>
  <si>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</si>
  <si>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</si>
  <si>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</si>
  <si>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</si>
  <si>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</si>
  <si>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</si>
  <si>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</si>
  <si>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</si>
  <si>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</si>
  <si>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</si>
  <si>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</si>
  <si>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</si>
  <si>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</si>
  <si>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</si>
  <si>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</si>
  <si>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</si>
  <si>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</si>
  <si>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</si>
  <si>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</si>
  <si>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</si>
  <si>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</si>
  <si>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</si>
  <si>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</si>
  <si>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</si>
  <si>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</si>
  <si>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</si>
  <si>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</si>
  <si>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</si>
  <si>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</si>
  <si>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</si>
  <si>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</si>
  <si>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</si>
  <si>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</si>
  <si>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</si>
  <si>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</si>
  <si>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</si>
  <si>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</si>
  <si>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</si>
  <si>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</si>
  <si>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</si>
  <si>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</si>
  <si>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</si>
  <si>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</si>
  <si>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</si>
  <si>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</si>
  <si>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</si>
  <si>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</si>
  <si>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</si>
  <si>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</si>
  <si>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</si>
  <si>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</si>
  <si>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</si>
  <si>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</si>
  <si>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</si>
  <si>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</si>
  <si>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</si>
  <si>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</si>
  <si>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</si>
  <si>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</si>
  <si>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</si>
  <si>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</si>
  <si>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</si>
  <si>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</si>
  <si>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</si>
  <si>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</si>
  <si>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</si>
  <si>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</si>
  <si>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</si>
  <si>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</si>
  <si>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</si>
  <si>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</si>
  <si>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</si>
  <si>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</si>
  <si>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</si>
  <si>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</si>
  <si>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</si>
  <si>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</si>
  <si>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</si>
  <si>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</si>
  <si>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</si>
  <si>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</si>
  <si>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</si>
  <si>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</si>
  <si>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</si>
  <si>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</si>
  <si>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</si>
  <si>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</si>
  <si>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</si>
  <si>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</si>
  <si>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</si>
  <si>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</si>
  <si>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</si>
  <si>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</si>
  <si>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</si>
  <si>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</si>
  <si>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</si>
  <si>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</si>
  <si>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</si>
  <si>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</si>
  <si>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</si>
  <si>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</si>
  <si>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</si>
  <si>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</si>
  <si>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</si>
  <si>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</si>
  <si>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</si>
  <si>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</si>
  <si>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</si>
  <si>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</si>
  <si>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</si>
  <si>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</si>
  <si>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</si>
  <si>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</si>
  <si>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</si>
  <si>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</si>
  <si>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</si>
  <si>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</si>
  <si>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</si>
  <si>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</si>
  <si>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</si>
  <si>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</si>
  <si>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</si>
  <si>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</si>
  <si>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</si>
  <si>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</si>
  <si>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</si>
  <si>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</si>
  <si>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</si>
  <si>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</si>
  <si>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</si>
  <si>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</si>
  <si>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</si>
  <si>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</si>
  <si>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</si>
  <si>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</si>
  <si>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</si>
  <si>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</si>
  <si>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</si>
  <si>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</si>
  <si>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</si>
  <si>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</si>
  <si>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</si>
  <si>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</si>
  <si>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</si>
  <si>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</si>
  <si>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</si>
  <si>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</si>
  <si>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</si>
  <si>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</si>
  <si>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</si>
  <si>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</si>
  <si>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</si>
  <si>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</si>
  <si>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</si>
  <si>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</si>
  <si>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</si>
  <si>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</si>
  <si>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</si>
  <si>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</si>
  <si>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</si>
  <si>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</si>
  <si>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</si>
  <si>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</si>
  <si>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</si>
  <si>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</si>
  <si>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</si>
  <si>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</si>
  <si>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</si>
  <si>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</si>
  <si>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</si>
  <si>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</si>
  <si>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</si>
  <si>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</si>
  <si>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</si>
  <si>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</si>
  <si>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</si>
  <si>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</si>
  <si>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</si>
  <si>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</si>
  <si>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</si>
  <si>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</si>
  <si>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</si>
  <si>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</si>
  <si>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</si>
  <si>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</si>
  <si>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</si>
  <si>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</si>
  <si>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</si>
  <si>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</si>
  <si>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</si>
  <si>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</si>
  <si>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</si>
  <si>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</si>
  <si>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</si>
  <si>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</si>
  <si>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</si>
  <si>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</si>
  <si>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</si>
  <si>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</si>
  <si>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</si>
  <si>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</si>
  <si>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</si>
  <si>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</si>
  <si>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</si>
  <si>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</si>
  <si>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</si>
  <si>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</si>
  <si>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</si>
  <si>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</si>
  <si>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</si>
  <si>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</si>
  <si>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</si>
  <si>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</si>
  <si>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</si>
  <si>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</si>
  <si>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</si>
  <si>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</si>
  <si>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</si>
  <si>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</si>
  <si>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</si>
  <si>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</si>
  <si>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</si>
  <si>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</si>
  <si>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</si>
  <si>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</si>
  <si>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</si>
  <si>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</si>
  <si>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</si>
  <si>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</si>
  <si>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</si>
  <si>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</si>
  <si>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</si>
  <si>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</si>
  <si>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</si>
  <si>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</si>
  <si>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</si>
  <si>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</si>
  <si>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</si>
  <si>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</si>
  <si>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</si>
  <si>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</si>
  <si>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</si>
  <si>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</si>
  <si>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</si>
  <si>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</si>
  <si>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</si>
  <si>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</si>
  <si>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</si>
  <si>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</si>
  <si>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</si>
  <si>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</si>
  <si>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</si>
  <si>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</si>
  <si>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</si>
  <si>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</si>
  <si>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</si>
  <si>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</si>
  <si>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</si>
  <si>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</si>
  <si>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</si>
  <si>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</si>
  <si>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</si>
  <si>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</si>
  <si>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</si>
  <si>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</si>
  <si>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</si>
  <si>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</si>
  <si>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</si>
  <si>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</si>
  <si>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</si>
  <si>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</si>
  <si>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</si>
  <si>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</si>
  <si>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</si>
  <si>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</si>
  <si>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</si>
  <si>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</si>
  <si>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</si>
  <si>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</si>
  <si>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</si>
  <si>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</si>
  <si>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</si>
  <si>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</si>
  <si>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</si>
  <si>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</si>
  <si>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</si>
  <si>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</si>
  <si>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</si>
  <si>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</si>
  <si>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</si>
  <si>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</si>
  <si>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</si>
  <si>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</si>
  <si>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</si>
  <si>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</si>
  <si>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</si>
  <si>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</si>
  <si>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</si>
  <si>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</si>
  <si>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</si>
  <si>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</si>
  <si>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</si>
  <si>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</si>
  <si>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</si>
  <si>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</si>
  <si>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</si>
  <si>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</si>
  <si>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</si>
  <si>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</si>
  <si>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</si>
  <si>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</si>
  <si>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</si>
  <si>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</si>
  <si>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</si>
  <si>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</si>
  <si>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</si>
  <si>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</si>
  <si>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</si>
  <si>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</si>
  <si>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</si>
  <si>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</si>
  <si>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</si>
  <si>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</si>
  <si>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</si>
  <si>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</si>
  <si>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</si>
  <si>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</si>
  <si>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</si>
  <si>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</si>
  <si>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</si>
  <si>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</si>
  <si>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</si>
  <si>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</si>
  <si>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</si>
  <si>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</si>
  <si>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</si>
  <si>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</si>
  <si>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</si>
  <si>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</si>
  <si>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</si>
  <si>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</si>
  <si>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</si>
  <si>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</si>
  <si>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</si>
  <si>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</si>
  <si>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</si>
  <si>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</si>
  <si>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</si>
  <si>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</si>
  <si>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</si>
  <si>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</si>
  <si>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</si>
  <si>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</si>
  <si>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</si>
  <si>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</si>
  <si>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</si>
  <si>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</si>
  <si>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</si>
  <si>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</si>
  <si>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</si>
  <si>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</si>
  <si>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</si>
  <si>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</si>
  <si>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</si>
  <si>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</si>
  <si>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</si>
  <si>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</si>
  <si>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</si>
  <si>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</si>
  <si>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</si>
  <si>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</si>
  <si>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</si>
  <si>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</si>
  <si>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</si>
  <si>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</si>
  <si>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</si>
  <si>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</si>
  <si>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</si>
  <si>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</si>
  <si>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</si>
  <si>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</si>
  <si>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</si>
  <si>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</si>
  <si>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</si>
  <si>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</si>
  <si>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</si>
  <si>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</si>
  <si>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</si>
  <si>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</si>
  <si>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</si>
  <si>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</si>
  <si>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</si>
  <si>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</si>
  <si>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</si>
  <si>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</si>
  <si>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</si>
  <si>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</si>
  <si>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</si>
  <si>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</si>
  <si>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</si>
  <si>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</si>
  <si>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</si>
  <si>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</si>
  <si>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</si>
  <si>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</si>
  <si>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</si>
  <si>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</si>
  <si>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</si>
  <si>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</si>
  <si>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</si>
  <si>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</si>
  <si>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</si>
  <si>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</si>
  <si>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</si>
  <si>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</si>
  <si>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</si>
  <si>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</si>
  <si>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</si>
  <si>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</si>
  <si>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</si>
  <si>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</si>
  <si>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</si>
  <si>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</si>
  <si>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</si>
  <si>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</si>
  <si>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</si>
  <si>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</si>
  <si>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</si>
  <si>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</si>
  <si>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</si>
  <si>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</si>
  <si>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</si>
  <si>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</si>
  <si>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</si>
  <si>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</si>
  <si>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</si>
  <si>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</si>
  <si>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</si>
  <si>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</si>
  <si>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</si>
  <si>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</si>
  <si>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</si>
  <si>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</si>
  <si>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</si>
  <si>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</si>
  <si>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</si>
  <si>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</si>
  <si>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</si>
  <si>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</si>
  <si>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</si>
  <si>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</si>
  <si>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</si>
  <si>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</si>
  <si>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</si>
  <si>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</si>
  <si>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</si>
  <si>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</si>
  <si>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</si>
  <si>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</si>
  <si>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</si>
  <si>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</si>
  <si>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</si>
  <si>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</si>
  <si>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</si>
  <si>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</si>
  <si>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</si>
  <si>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</si>
  <si>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</si>
  <si>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</si>
  <si>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</si>
  <si>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</si>
  <si>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</si>
  <si>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</si>
  <si>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</si>
  <si>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</si>
  <si>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</si>
  <si>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</si>
  <si>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</si>
  <si>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</si>
  <si>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</si>
  <si>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</si>
  <si>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</si>
  <si>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</si>
  <si>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</si>
  <si>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</si>
  <si>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</si>
  <si>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</si>
  <si>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</si>
  <si>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</si>
  <si>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</si>
  <si>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</si>
  <si>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</si>
  <si>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</si>
  <si>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</si>
  <si>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</si>
  <si>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</si>
  <si>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</si>
  <si>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</si>
  <si>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</si>
  <si>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</si>
  <si>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</si>
  <si>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</si>
  <si>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</si>
  <si>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</si>
  <si>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</si>
  <si>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</si>
  <si>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</si>
  <si>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</si>
  <si>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</si>
  <si>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</si>
  <si>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</si>
  <si>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</si>
  <si>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</si>
  <si>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</si>
  <si>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</si>
  <si>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</si>
  <si>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</si>
  <si>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</si>
  <si>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</si>
  <si>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</si>
  <si>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</si>
  <si>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</si>
  <si>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</si>
  <si>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</si>
  <si>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</si>
  <si>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</si>
  <si>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</si>
  <si>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</si>
  <si>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</si>
  <si>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</si>
  <si>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</si>
  <si>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</si>
  <si>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</si>
  <si>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</si>
  <si>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</si>
  <si>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</si>
  <si>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</si>
  <si>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</si>
  <si>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</si>
  <si>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</si>
  <si>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</si>
  <si>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</si>
  <si>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</si>
  <si>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</si>
  <si>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</si>
  <si>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</si>
  <si>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</si>
  <si>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</si>
  <si>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</si>
  <si>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</si>
  <si>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</si>
  <si>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</si>
  <si>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</si>
  <si>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</si>
  <si>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</si>
  <si>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</si>
  <si>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</si>
  <si>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</si>
  <si>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</si>
  <si>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</si>
  <si>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</si>
  <si>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</si>
  <si>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</si>
  <si>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</si>
  <si>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</si>
  <si>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</si>
  <si>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</si>
  <si>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</si>
  <si>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</si>
  <si>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</si>
  <si>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</si>
  <si>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</si>
  <si>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</si>
  <si>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</si>
  <si>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</si>
  <si>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</si>
  <si>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</si>
  <si>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</si>
  <si>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</si>
  <si>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</si>
  <si>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</si>
  <si>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</si>
  <si>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</si>
  <si>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</si>
  <si>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</si>
  <si>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</si>
  <si>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</si>
  <si>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</si>
  <si>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</si>
  <si>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</si>
  <si>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</si>
  <si>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</si>
  <si>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</si>
  <si>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</si>
  <si>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</si>
  <si>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</si>
  <si>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</si>
  <si>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</si>
  <si>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</si>
  <si>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</si>
  <si>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</si>
  <si>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</si>
  <si>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</si>
  <si>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</si>
  <si>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</si>
  <si>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</si>
  <si>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</si>
  <si>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</si>
  <si>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</si>
  <si>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</si>
  <si>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</si>
  <si>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</si>
  <si>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</si>
  <si>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</si>
  <si>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</si>
  <si>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</si>
  <si>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</si>
  <si>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</si>
  <si>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</si>
  <si>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</si>
  <si>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</si>
  <si>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</si>
  <si>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</si>
  <si>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</si>
  <si>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</si>
  <si>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</si>
  <si>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</si>
  <si>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</si>
  <si>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</si>
  <si>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</si>
  <si>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</si>
  <si>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</si>
  <si>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</si>
  <si>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</si>
  <si>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</si>
  <si>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</si>
  <si>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</si>
  <si>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</si>
  <si>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</si>
  <si>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</si>
  <si>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</si>
  <si>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</si>
  <si>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</si>
  <si>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</si>
  <si>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</si>
  <si>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</si>
  <si>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</si>
  <si>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</si>
  <si>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</si>
  <si>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</si>
  <si>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</si>
  <si>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</si>
  <si>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</si>
  <si>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</si>
  <si>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</si>
  <si>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</si>
  <si>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</si>
  <si>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</si>
  <si>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</si>
  <si>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</si>
  <si>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</si>
  <si>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</si>
  <si>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</si>
  <si>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</si>
  <si>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</si>
  <si>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</si>
  <si>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</si>
  <si>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</si>
  <si>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</si>
  <si>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</si>
  <si>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</si>
  <si>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</si>
  <si>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</si>
  <si>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</si>
  <si>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</si>
  <si>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</si>
  <si>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</si>
  <si>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</si>
  <si>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</si>
  <si>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</si>
  <si>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</si>
  <si>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</si>
  <si>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</si>
  <si>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</si>
  <si>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</si>
  <si>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</si>
  <si>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</si>
  <si>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</si>
  <si>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</si>
  <si>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</si>
  <si>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</si>
  <si>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</si>
  <si>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</si>
  <si>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</si>
  <si>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</si>
  <si>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</si>
  <si>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</si>
  <si>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</si>
  <si>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</si>
  <si>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</si>
  <si>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</si>
  <si>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</si>
  <si>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</si>
  <si>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</si>
  <si>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</si>
  <si>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</si>
  <si>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</si>
  <si>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</si>
  <si>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</si>
  <si>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</si>
  <si>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</si>
  <si>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</si>
  <si>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</si>
  <si>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</si>
  <si>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</si>
  <si>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</si>
  <si>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</si>
  <si>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</si>
  <si>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</si>
  <si>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</si>
  <si>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</si>
  <si>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</si>
  <si>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</si>
  <si>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</si>
  <si>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</si>
  <si>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</si>
  <si>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</si>
  <si>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</si>
  <si>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</si>
  <si>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</si>
  <si>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</si>
  <si>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</si>
  <si>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</si>
  <si>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</si>
  <si>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</si>
  <si>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</si>
  <si>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</si>
  <si>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</si>
  <si>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</si>
  <si>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</si>
  <si>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</si>
  <si>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</si>
  <si>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</si>
  <si>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</si>
  <si>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</si>
  <si>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</si>
  <si>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</si>
  <si>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</si>
  <si>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</si>
  <si>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</si>
  <si>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</si>
  <si>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</si>
  <si>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</si>
  <si>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</si>
  <si>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</si>
  <si>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</si>
  <si>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</si>
  <si>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</si>
  <si>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</si>
  <si>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</si>
  <si>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</si>
  <si>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</si>
  <si>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</si>
  <si>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</si>
  <si>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</si>
  <si>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</si>
  <si>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</si>
  <si>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</si>
  <si>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</si>
  <si>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</si>
  <si>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</si>
  <si>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</si>
  <si>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</si>
  <si>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</si>
  <si>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</si>
  <si>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</si>
  <si>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</si>
  <si>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</si>
  <si>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</si>
  <si>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</si>
  <si>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</si>
  <si>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</si>
  <si>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</si>
  <si>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</si>
  <si>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</si>
  <si>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</si>
  <si>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</si>
  <si>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</si>
  <si>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</si>
  <si>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</si>
  <si>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</si>
  <si>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</si>
  <si>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</si>
  <si>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</si>
  <si>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</si>
  <si>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</si>
  <si>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</si>
  <si>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</si>
  <si>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</si>
  <si>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</si>
  <si>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</si>
  <si>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</si>
  <si>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</si>
  <si>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</si>
  <si>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</si>
  <si>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</si>
  <si>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</si>
  <si>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</si>
  <si>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</si>
  <si>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</si>
  <si>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</si>
  <si>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</si>
  <si>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</si>
  <si>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</si>
  <si>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</si>
  <si>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</si>
  <si>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</si>
  <si>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</si>
  <si>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</si>
  <si>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</si>
  <si>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</si>
  <si>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</si>
  <si>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</si>
  <si>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</si>
  <si>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</si>
  <si>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</si>
  <si>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</si>
  <si>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</si>
  <si>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</si>
  <si>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</si>
  <si>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</si>
  <si>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</si>
  <si>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</si>
  <si>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</si>
  <si>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</si>
  <si>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</si>
  <si>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</si>
  <si>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</si>
  <si>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</si>
  <si>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</si>
  <si>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</si>
  <si>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</si>
  <si>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</si>
  <si>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</si>
  <si>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</si>
  <si>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</si>
  <si>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</si>
  <si>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</si>
  <si>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</si>
  <si>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</si>
  <si>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</si>
  <si>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</si>
  <si>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</si>
  <si>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</si>
  <si>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</si>
  <si>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</si>
  <si>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</si>
  <si>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</si>
  <si>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</si>
  <si>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</si>
  <si>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</si>
  <si>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</si>
  <si>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</si>
  <si>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</si>
  <si>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</si>
  <si>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</si>
  <si>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</si>
  <si>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</si>
  <si>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</si>
  <si>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</si>
  <si>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</si>
  <si>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</si>
  <si>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</si>
  <si>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</si>
  <si>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</si>
  <si>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</si>
  <si>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</si>
  <si>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</si>
  <si>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</si>
  <si>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</si>
  <si>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</si>
  <si>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</si>
  <si>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</si>
  <si>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</si>
  <si>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</si>
  <si>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</si>
  <si>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</si>
  <si>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</si>
  <si>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</si>
  <si>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</si>
  <si>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</si>
  <si>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</si>
  <si>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</si>
  <si>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</si>
  <si>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</si>
  <si>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</si>
  <si>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</si>
  <si>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</si>
  <si>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</si>
  <si>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</si>
  <si>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</si>
  <si>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</si>
  <si>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</si>
  <si>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</si>
  <si>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</si>
  <si>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</si>
  <si>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</si>
  <si>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</si>
  <si>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</si>
  <si>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</si>
  <si>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</si>
  <si>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</si>
  <si>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</si>
  <si>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</si>
  <si>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</si>
  <si>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</si>
  <si>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</si>
  <si>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</si>
  <si>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</si>
  <si>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</si>
  <si>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</si>
  <si>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</si>
  <si>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</si>
  <si>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</si>
  <si>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</si>
  <si>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</si>
  <si>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</si>
  <si>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</si>
  <si>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</si>
  <si>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</si>
  <si>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</si>
  <si>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</si>
  <si>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</si>
  <si>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</si>
  <si>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</si>
  <si>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</si>
  <si>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</si>
  <si>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</si>
  <si>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</si>
  <si>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</si>
  <si>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</si>
  <si>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</si>
  <si>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</si>
  <si>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</si>
  <si>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</si>
  <si>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</si>
  <si>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</si>
  <si>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</si>
  <si>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</si>
  <si>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</si>
  <si>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</si>
  <si>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</si>
  <si>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</si>
  <si>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</si>
  <si>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</si>
  <si>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</si>
  <si>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</si>
  <si>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</si>
  <si>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</si>
  <si>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</si>
  <si>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</si>
  <si>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</si>
  <si>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</si>
  <si>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</si>
  <si>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</si>
  <si>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</si>
  <si>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</si>
  <si>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</si>
  <si>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</si>
  <si>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</si>
  <si>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</si>
  <si>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</si>
  <si>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</si>
  <si>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</si>
  <si>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</si>
  <si>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</si>
  <si>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</si>
  <si>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</si>
  <si>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</si>
  <si>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</si>
  <si>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</si>
  <si>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</si>
  <si>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</si>
  <si>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</si>
  <si>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</si>
  <si>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</si>
  <si>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</si>
  <si>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</si>
  <si>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</si>
  <si>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</si>
  <si>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</si>
  <si>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</si>
  <si>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</si>
  <si>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</si>
  <si>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</si>
  <si>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</si>
  <si>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</si>
  <si>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</si>
  <si>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</si>
  <si>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</si>
  <si>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</si>
  <si>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</si>
  <si>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</si>
  <si>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</si>
  <si>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</si>
  <si>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</si>
  <si>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</si>
  <si>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</si>
  <si>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</si>
  <si>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</si>
  <si>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</si>
  <si>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</si>
  <si>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</si>
  <si>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</si>
  <si>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</si>
  <si>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</si>
  <si>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</si>
  <si>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</si>
  <si>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</si>
  <si>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</si>
  <si>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</si>
  <si>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</si>
  <si>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</si>
  <si>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</si>
  <si>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</si>
  <si>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</si>
  <si>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</si>
  <si>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</si>
  <si>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</si>
  <si>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</si>
  <si>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</si>
  <si>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</si>
  <si>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</si>
  <si>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</si>
  <si>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</si>
  <si>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</si>
  <si>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</si>
  <si>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</si>
  <si>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</si>
  <si>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</si>
  <si>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</si>
  <si>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</si>
  <si>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</si>
  <si>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</si>
  <si>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</si>
  <si>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</si>
  <si>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</si>
  <si>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</si>
  <si>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</si>
  <si>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</si>
  <si>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</si>
  <si>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</si>
  <si>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</si>
  <si>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</si>
  <si>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</si>
  <si>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</si>
  <si>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</si>
  <si>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</si>
  <si>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</si>
  <si>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</si>
  <si>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</si>
  <si>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</si>
  <si>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</si>
  <si>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</si>
  <si>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</si>
  <si>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</si>
  <si>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</si>
  <si>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</si>
  <si>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</si>
  <si>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</si>
  <si>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</si>
  <si>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</si>
  <si>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</si>
  <si>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</si>
  <si>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</si>
  <si>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</si>
  <si>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</si>
  <si>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</si>
  <si>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</si>
  <si>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</si>
  <si>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</si>
  <si>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</si>
  <si>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</si>
  <si>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</si>
  <si>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</si>
  <si>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</si>
  <si>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</si>
  <si>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</si>
  <si>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</si>
  <si>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</si>
  <si>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</si>
  <si>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</si>
  <si>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</si>
  <si>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</si>
  <si>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</si>
  <si>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</si>
  <si>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</si>
  <si>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</si>
  <si>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</si>
  <si>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</si>
  <si>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</si>
  <si>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</si>
  <si>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</si>
  <si>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</si>
  <si>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</si>
  <si>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</si>
  <si>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</si>
  <si>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</si>
  <si>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</si>
  <si>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</si>
  <si>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</si>
  <si>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</si>
  <si>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</si>
  <si>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</si>
  <si>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</si>
  <si>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</si>
  <si>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</si>
  <si>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</si>
  <si>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</si>
  <si>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</si>
  <si>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</si>
  <si>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</si>
  <si>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</si>
  <si>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</si>
  <si>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</si>
  <si>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</si>
  <si>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</si>
  <si>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</si>
  <si>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</si>
  <si>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</si>
  <si>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</si>
  <si>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</si>
  <si>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</si>
  <si>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</si>
  <si>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</si>
  <si>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</si>
  <si>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</si>
  <si>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</si>
  <si>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</si>
  <si>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</si>
  <si>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</si>
  <si>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</si>
  <si>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</si>
  <si>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</si>
  <si>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</si>
  <si>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</si>
  <si>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</si>
  <si>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</si>
  <si>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</si>
  <si>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</si>
  <si>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</si>
  <si>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</si>
  <si>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</si>
  <si>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</si>
  <si>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</si>
  <si>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</si>
  <si>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</si>
  <si>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</si>
  <si>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</si>
  <si>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</si>
  <si>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</si>
  <si>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</si>
  <si>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</si>
  <si>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</si>
  <si>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</si>
  <si>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</si>
  <si>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</si>
  <si>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</si>
  <si>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</si>
  <si>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</si>
  <si>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</si>
  <si>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</si>
  <si>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</si>
  <si>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</si>
  <si>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</si>
  <si>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</si>
  <si>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</si>
  <si>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</si>
  <si>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</si>
  <si>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</si>
  <si>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</si>
  <si>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</si>
  <si>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</si>
  <si>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</si>
  <si>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</si>
  <si>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</si>
  <si>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</si>
  <si>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</si>
  <si>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</si>
  <si>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</si>
  <si>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</si>
  <si>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</si>
  <si>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</si>
  <si>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</si>
  <si>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</si>
  <si>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</si>
  <si>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</si>
  <si>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</si>
  <si>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</si>
  <si>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</si>
  <si>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</si>
  <si>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</si>
  <si>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</si>
  <si>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</si>
  <si>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</si>
  <si>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</si>
  <si>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</si>
  <si>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</si>
  <si>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</si>
  <si>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</si>
  <si>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</si>
  <si>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</si>
  <si>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</si>
  <si>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</si>
  <si>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</si>
  <si>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</si>
  <si>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</si>
  <si>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</si>
  <si>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</si>
  <si>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</si>
  <si>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</si>
  <si>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</si>
  <si>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</si>
  <si>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</si>
  <si>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</si>
  <si>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</si>
  <si>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</si>
  <si>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</si>
  <si>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</si>
  <si>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</si>
  <si>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</si>
  <si>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</si>
  <si>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</si>
  <si>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</si>
  <si>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</si>
  <si>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</si>
  <si>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</si>
  <si>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</si>
  <si>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</si>
  <si>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</si>
  <si>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</si>
  <si>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</si>
  <si>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</si>
  <si>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</si>
  <si>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</si>
  <si>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</si>
  <si>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</si>
  <si>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</si>
  <si>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</si>
  <si>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</si>
  <si>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</si>
  <si>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</si>
  <si>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</si>
  <si>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</si>
  <si>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</si>
  <si>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</si>
  <si>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</si>
  <si>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</si>
  <si>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</si>
  <si>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</si>
  <si>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</si>
  <si>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</si>
  <si>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</si>
  <si>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</si>
  <si>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</si>
  <si>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</si>
  <si>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</si>
  <si>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</si>
  <si>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</si>
  <si>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</si>
  <si>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</si>
  <si>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</si>
  <si>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</si>
  <si>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</si>
  <si>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</si>
  <si>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</si>
  <si>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</si>
  <si>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</si>
  <si>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</si>
  <si>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</si>
  <si>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</si>
  <si>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</si>
  <si>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</si>
  <si>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</si>
  <si>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</si>
  <si>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</si>
  <si>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</si>
  <si>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</si>
  <si>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</si>
  <si>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</si>
  <si>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</si>
  <si>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</si>
  <si>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</si>
  <si>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</si>
  <si>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</si>
  <si>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</si>
  <si>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</si>
  <si>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</si>
  <si>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</si>
  <si>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</si>
  <si>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</si>
  <si>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</si>
  <si>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</si>
  <si>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</si>
  <si>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</si>
  <si>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</si>
  <si>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</si>
  <si>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</si>
  <si>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</si>
  <si>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</si>
  <si>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</si>
  <si>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</si>
  <si>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</si>
  <si>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</si>
  <si>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</si>
  <si>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</si>
  <si>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</si>
  <si>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</si>
  <si>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</si>
  <si>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</si>
  <si>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</si>
  <si>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</si>
  <si>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</si>
  <si>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</si>
  <si>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</si>
  <si>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</si>
  <si>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</si>
  <si>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</si>
  <si>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</si>
  <si>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</si>
  <si>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</si>
  <si>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</si>
  <si>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</si>
  <si>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</si>
  <si>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</si>
  <si>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</si>
  <si>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</si>
  <si>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</si>
  <si>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</si>
  <si>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</si>
  <si>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</si>
  <si>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</si>
  <si>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</si>
  <si>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</si>
  <si>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</si>
  <si>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</si>
  <si>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</si>
  <si>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</si>
  <si>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</si>
  <si>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</si>
  <si>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</si>
  <si>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</si>
  <si>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</si>
  <si>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</si>
  <si>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</si>
  <si>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</si>
  <si>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</si>
  <si>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</si>
  <si>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</si>
  <si>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</si>
  <si>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</si>
  <si>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</si>
  <si>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</si>
  <si>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</si>
  <si>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</si>
  <si>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</si>
  <si>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</si>
  <si>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</si>
  <si>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</si>
  <si>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</si>
  <si>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</si>
  <si>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</si>
  <si>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</si>
  <si>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</si>
  <si>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</si>
  <si>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</si>
  <si>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</si>
  <si>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</si>
  <si>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</si>
  <si>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</si>
  <si>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</si>
  <si>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</si>
  <si>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</si>
  <si>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</si>
  <si>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</si>
  <si>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</si>
  <si>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</si>
  <si>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</si>
  <si>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</si>
  <si>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</si>
  <si>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</si>
  <si>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</si>
  <si>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</si>
  <si>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</si>
  <si>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</si>
  <si>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</si>
  <si>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</si>
  <si>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</si>
  <si>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</si>
  <si>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</si>
  <si>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</si>
  <si>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</si>
  <si>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</si>
  <si>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</si>
  <si>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</si>
  <si>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</si>
  <si>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</si>
  <si>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</si>
  <si>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</si>
  <si>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</si>
  <si>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</si>
  <si>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</si>
  <si>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</si>
  <si>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</si>
  <si>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</si>
  <si>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</si>
  <si>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</si>
  <si>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</si>
  <si>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</si>
  <si>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</si>
  <si>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</si>
  <si>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</si>
  <si>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</si>
  <si>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</si>
  <si>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</si>
  <si>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</si>
  <si>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</si>
  <si>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</si>
  <si>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</si>
  <si>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</si>
  <si>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</si>
  <si>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</si>
  <si>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</si>
  <si>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</si>
  <si>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</si>
  <si>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</si>
  <si>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</si>
  <si>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</si>
  <si>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</si>
  <si>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</si>
  <si>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</si>
  <si>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</si>
  <si>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</si>
  <si>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</si>
  <si>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</si>
  <si>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</si>
  <si>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</si>
  <si>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</si>
  <si>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</si>
  <si>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</si>
  <si>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</si>
  <si>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</si>
  <si>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</si>
  <si>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</si>
  <si>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</si>
  <si>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</si>
  <si>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</si>
  <si>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</si>
  <si>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</si>
  <si>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</si>
  <si>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</si>
  <si>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</si>
  <si>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</si>
  <si>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</si>
  <si>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</si>
  <si>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</si>
  <si>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</si>
  <si>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</si>
  <si>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</si>
  <si>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</si>
  <si>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</si>
  <si>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</si>
  <si>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</si>
  <si>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</si>
  <si>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</si>
  <si>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</si>
  <si>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</si>
  <si>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</si>
  <si>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</si>
  <si>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</si>
  <si>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</si>
  <si>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</si>
  <si>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</si>
  <si>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</si>
  <si>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</si>
  <si>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</si>
  <si>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</si>
  <si>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</si>
  <si>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</si>
  <si>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</si>
  <si>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</si>
  <si>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</si>
  <si>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</si>
  <si>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</si>
  <si>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</si>
  <si>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</si>
  <si>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</si>
  <si>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</si>
  <si>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</si>
  <si>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</si>
  <si>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</si>
  <si>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</si>
  <si>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</si>
  <si>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</si>
  <si>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</si>
  <si>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</si>
  <si>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</si>
  <si>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</si>
  <si>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</si>
  <si>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</si>
  <si>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</si>
  <si>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</si>
  <si>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</si>
  <si>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</si>
  <si>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</si>
  <si>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</si>
  <si>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</si>
  <si>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</si>
  <si>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</si>
  <si>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</si>
  <si>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</si>
  <si>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</si>
  <si>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</si>
  <si>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</si>
  <si>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</si>
  <si>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</si>
  <si>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</si>
  <si>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</si>
  <si>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</si>
  <si>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</si>
  <si>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</si>
  <si>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</si>
  <si>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</si>
  <si>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</si>
  <si>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</si>
  <si>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</si>
  <si>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</si>
  <si>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</si>
  <si>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</si>
  <si>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</si>
  <si>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</si>
  <si>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</si>
  <si>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</si>
  <si>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</si>
  <si>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</si>
  <si>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</si>
  <si>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</si>
  <si>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</si>
  <si>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</si>
  <si>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</si>
  <si>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</si>
  <si>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</si>
  <si>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</si>
  <si>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</si>
  <si>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</si>
  <si>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</si>
  <si>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</si>
  <si>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</si>
  <si>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</si>
  <si>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</si>
  <si>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</si>
  <si>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</si>
  <si>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</si>
  <si>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</si>
  <si>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</si>
  <si>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</si>
  <si>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</si>
  <si>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</si>
  <si>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</si>
  <si>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</si>
  <si>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</si>
  <si>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</si>
  <si>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</si>
  <si>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</si>
  <si>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</si>
  <si>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</si>
  <si>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</si>
  <si>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</si>
  <si>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</si>
  <si>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</si>
  <si>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</si>
  <si>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</si>
  <si>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</si>
  <si>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</si>
  <si>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</si>
  <si>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</si>
  <si>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</si>
  <si>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</si>
  <si>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</si>
  <si>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</si>
  <si>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</si>
  <si>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</si>
  <si>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</si>
  <si>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</si>
  <si>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</si>
  <si>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</si>
  <si>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</si>
  <si>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</si>
  <si>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</si>
  <si>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</si>
  <si>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</si>
  <si>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</si>
  <si>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</si>
  <si>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</si>
  <si>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</si>
  <si>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</si>
  <si>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</si>
  <si>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</si>
  <si>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</si>
  <si>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</si>
  <si>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</si>
  <si>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</si>
  <si>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</si>
  <si>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</si>
  <si>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</si>
  <si>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</si>
  <si>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</si>
  <si>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</si>
  <si>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</si>
  <si>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</si>
  <si>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</si>
  <si>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</si>
  <si>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</si>
  <si>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</si>
  <si>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</si>
  <si>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</si>
  <si>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</si>
  <si>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</si>
  <si>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</si>
  <si>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</si>
  <si>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</si>
  <si>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</si>
  <si>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</si>
  <si>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</si>
  <si>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</si>
  <si>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</si>
  <si>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</si>
  <si>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</si>
  <si>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</si>
  <si>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</si>
  <si>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</si>
  <si>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</si>
  <si>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</si>
  <si>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</si>
  <si>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</si>
  <si>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</si>
  <si>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</si>
  <si>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</si>
  <si>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</si>
  <si>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</si>
  <si>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</si>
  <si>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</si>
  <si>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</si>
  <si>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</si>
  <si>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</si>
  <si>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</si>
  <si>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</si>
  <si>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</si>
  <si>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</si>
  <si>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</si>
  <si>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</si>
  <si>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</si>
  <si>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</si>
  <si>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</si>
  <si>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</si>
  <si>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</si>
  <si>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</si>
  <si>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</si>
  <si>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</si>
  <si>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</si>
  <si>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</si>
  <si>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</si>
  <si>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</si>
  <si>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</si>
  <si>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</si>
  <si>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</si>
  <si>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</si>
  <si>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</si>
  <si>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</si>
  <si>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</si>
  <si>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</si>
  <si>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</si>
  <si>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</si>
  <si>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</si>
  <si>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</si>
  <si>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</si>
  <si>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</si>
  <si>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</si>
  <si>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</si>
  <si>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</si>
  <si>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</si>
  <si>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</si>
  <si>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</si>
  <si>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</si>
  <si>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</si>
  <si>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</si>
  <si>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</si>
  <si>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</si>
  <si>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</si>
  <si>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</si>
  <si>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</si>
  <si>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</si>
  <si>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</si>
  <si>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</si>
  <si>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</si>
  <si>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</si>
  <si>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</si>
  <si>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</si>
  <si>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</si>
  <si>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</si>
  <si>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</si>
  <si>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</si>
  <si>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</si>
  <si>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</si>
  <si>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</si>
  <si>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</si>
  <si>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</si>
  <si>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</si>
  <si>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</si>
  <si>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</si>
  <si>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</si>
  <si>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</si>
  <si>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</si>
  <si>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</si>
  <si>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</si>
  <si>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</si>
  <si>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</si>
  <si>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</si>
  <si>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</si>
  <si>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</si>
  <si>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</si>
  <si>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</si>
  <si>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</si>
  <si>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</si>
  <si>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</si>
  <si>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</si>
  <si>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</si>
  <si>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</si>
  <si>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</si>
  <si>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</si>
  <si>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</si>
  <si>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</si>
  <si>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</si>
  <si>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</si>
  <si>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</si>
  <si>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</si>
  <si>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</si>
  <si>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</si>
  <si>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</si>
  <si>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</si>
  <si>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</si>
  <si>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</si>
  <si>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</si>
  <si>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</si>
  <si>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</si>
  <si>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</si>
  <si>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</si>
  <si>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</si>
  <si>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</si>
  <si>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</si>
  <si>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</si>
  <si>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</si>
  <si>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</si>
  <si>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</si>
  <si>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</si>
  <si>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</si>
  <si>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</si>
  <si>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</si>
  <si>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</si>
  <si>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</si>
  <si>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</si>
  <si>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</si>
  <si>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</si>
  <si>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</si>
  <si>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</si>
  <si>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</si>
  <si>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</si>
  <si>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</si>
  <si>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</si>
  <si>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</si>
  <si>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</si>
  <si>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</si>
  <si>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</si>
  <si>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</si>
  <si>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</si>
  <si>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</si>
  <si>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</si>
  <si>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</si>
  <si>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</si>
  <si>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</si>
  <si>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</si>
  <si>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</si>
  <si>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</si>
  <si>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</si>
  <si>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</si>
  <si>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</si>
  <si>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</si>
  <si>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</si>
  <si>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</si>
  <si>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</si>
  <si>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</si>
  <si>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</si>
  <si>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</si>
  <si>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</si>
  <si>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</si>
  <si>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</si>
  <si>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</si>
  <si>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</si>
  <si>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</si>
  <si>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</si>
  <si>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</si>
  <si>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</si>
  <si>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</si>
  <si>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</si>
  <si>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</si>
  <si>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</si>
  <si>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</si>
  <si>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</si>
  <si>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</si>
  <si>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</si>
  <si>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</si>
  <si>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</si>
  <si>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</si>
  <si>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</si>
  <si>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</si>
  <si>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</si>
  <si>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</si>
  <si>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</si>
  <si>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</si>
  <si>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</si>
  <si>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</si>
  <si>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</si>
  <si>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</si>
  <si>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</si>
  <si>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</si>
  <si>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</si>
  <si>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</si>
  <si>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</si>
  <si>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</si>
  <si>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</si>
  <si>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</si>
  <si>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</si>
  <si>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</si>
  <si>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</si>
  <si>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</si>
  <si>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</si>
  <si>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</si>
  <si>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</si>
  <si>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</si>
  <si>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</si>
  <si>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</si>
  <si>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</si>
  <si>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</si>
  <si>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</si>
  <si>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</si>
  <si>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</si>
  <si>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</si>
  <si>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</si>
  <si>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</si>
  <si>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</si>
  <si>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</si>
  <si>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</si>
  <si>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</si>
  <si>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</si>
  <si>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</si>
  <si>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</si>
  <si>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</si>
  <si>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</si>
  <si>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</si>
  <si>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</si>
  <si>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</si>
  <si>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</si>
  <si>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</si>
  <si>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</si>
  <si>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</si>
  <si>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</si>
  <si>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</si>
  <si>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</si>
  <si>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</si>
  <si>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</si>
  <si>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</si>
  <si>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</si>
  <si>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</si>
  <si>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</si>
  <si>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</si>
  <si>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</si>
  <si>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</si>
  <si>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</si>
  <si>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</si>
  <si>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</si>
  <si>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</si>
  <si>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</si>
  <si>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</si>
  <si>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</si>
  <si>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</si>
  <si>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</si>
  <si>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</si>
  <si>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</si>
  <si>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</si>
  <si>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</si>
  <si>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</si>
  <si>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</si>
  <si>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</si>
  <si>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</si>
  <si>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</si>
  <si>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</si>
  <si>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</si>
  <si>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</si>
  <si>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</si>
  <si>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</si>
  <si>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</si>
  <si>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</si>
  <si>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</si>
  <si>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</si>
  <si>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</si>
  <si>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</si>
  <si>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</si>
  <si>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</si>
  <si>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</si>
  <si>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</si>
  <si>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</si>
  <si>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</si>
  <si>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</si>
  <si>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</si>
  <si>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</si>
  <si>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</si>
  <si>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</si>
  <si>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</si>
  <si>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</si>
  <si>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</si>
  <si>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</si>
  <si>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</si>
  <si>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</si>
  <si>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</si>
  <si>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</si>
  <si>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</si>
  <si>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</si>
  <si>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</si>
  <si>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</si>
  <si>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</si>
  <si>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</si>
  <si>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</si>
  <si>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</si>
  <si>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</si>
  <si>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</si>
  <si>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</si>
  <si>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</si>
  <si>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</si>
  <si>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</si>
  <si>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</si>
  <si>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</si>
  <si>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</si>
  <si>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</si>
  <si>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</si>
  <si>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</si>
  <si>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</si>
  <si>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</si>
  <si>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</si>
  <si>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</si>
  <si>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</si>
  <si>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</si>
  <si>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</si>
  <si>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</si>
  <si>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</si>
  <si>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</si>
  <si>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</si>
  <si>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</si>
  <si>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</si>
  <si>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</si>
  <si>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</si>
  <si>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</si>
  <si>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</si>
  <si>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</si>
  <si>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</si>
  <si>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</si>
  <si>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</si>
  <si>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</si>
  <si>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</si>
  <si>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</si>
  <si>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</si>
  <si>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</si>
  <si>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</si>
  <si>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</si>
  <si>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</si>
  <si>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</si>
  <si>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</si>
  <si>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</si>
  <si>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</si>
  <si>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</si>
  <si>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</si>
  <si>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</si>
  <si>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</si>
  <si>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</si>
  <si>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</si>
  <si>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</si>
  <si>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</si>
  <si>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</si>
  <si>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</si>
  <si>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</si>
  <si>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</si>
  <si>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</si>
  <si>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</si>
  <si>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</si>
  <si>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</si>
  <si>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</si>
  <si>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</si>
  <si>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</si>
  <si>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</si>
  <si>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</si>
  <si>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</si>
  <si>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</si>
  <si>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</si>
  <si>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</si>
  <si>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</si>
  <si>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</si>
  <si>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</si>
  <si>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</si>
  <si>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</si>
  <si>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</si>
  <si>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</si>
  <si>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</si>
  <si>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</si>
  <si>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</si>
  <si>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</si>
  <si>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</si>
  <si>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</si>
  <si>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</si>
  <si>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</si>
  <si>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</si>
  <si>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</si>
  <si>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</si>
  <si>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</si>
  <si>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</si>
  <si>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</si>
  <si>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</si>
  <si>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</si>
  <si>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</si>
  <si>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</si>
  <si>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</si>
  <si>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</si>
  <si>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</si>
  <si>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</si>
  <si>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</si>
  <si>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</si>
  <si>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</si>
  <si>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</si>
  <si>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</si>
  <si>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</si>
  <si>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</si>
  <si>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</si>
  <si>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</si>
  <si>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Citibank, N.A.</t>
  </si>
  <si>
    <t>CitiBank, N.A.</t>
  </si>
  <si>
    <t>Investor's Equity</t>
  </si>
  <si>
    <t>Deferred Reserves</t>
  </si>
  <si>
    <t>City of Vacaville Land Loan</t>
  </si>
  <si>
    <t>City of Vacaville Cash Loan</t>
  </si>
  <si>
    <t>Fixed</t>
  </si>
  <si>
    <t>Perm Loan</t>
  </si>
  <si>
    <t>City of Vacaille Land Loan</t>
  </si>
  <si>
    <t>City of Vacavile Cash Loan</t>
  </si>
  <si>
    <t>325 E Hillcrest Drive, Suite 160</t>
  </si>
  <si>
    <t>Thousand Oaks, CA 91360</t>
  </si>
  <si>
    <t>Mike Hemmens</t>
  </si>
  <si>
    <t>(805) 557-0933</t>
  </si>
  <si>
    <t>Tax Exempt Construction Loan</t>
  </si>
  <si>
    <t xml:space="preserve">Bond Issuer Issuance Fees, Bond Counsel, CDLAC Fees </t>
  </si>
  <si>
    <t>Other: Borrower Attny</t>
  </si>
  <si>
    <t>Other: Cons Audit</t>
  </si>
  <si>
    <t>Other: Reports and Cons. Insp.</t>
  </si>
  <si>
    <t>City of Vacaville</t>
  </si>
  <si>
    <t>Aaron Busch</t>
  </si>
  <si>
    <t>650 Merchant Street</t>
  </si>
  <si>
    <t>Vacaville</t>
  </si>
  <si>
    <t>707-449-5100</t>
  </si>
  <si>
    <t xml:space="preserve">	aaron.busch@cityofvacaville.com</t>
  </si>
  <si>
    <t>To-be-formed Limited Partnership</t>
  </si>
  <si>
    <t>Allison Apartments</t>
  </si>
  <si>
    <t>Allison Drive and Travis Way</t>
  </si>
  <si>
    <t>0131-020-950</t>
  </si>
  <si>
    <t>Low Resource</t>
  </si>
  <si>
    <t>$500M</t>
  </si>
  <si>
    <t>40%/60% Average Income</t>
  </si>
  <si>
    <t>1724 10th Street, Ste. 120</t>
  </si>
  <si>
    <t>CA</t>
  </si>
  <si>
    <t>John Cicerone</t>
  </si>
  <si>
    <t>jrcvest@aol.com</t>
  </si>
  <si>
    <t>Cyrus Youssefi - Individually</t>
  </si>
  <si>
    <t>Administrative GP</t>
  </si>
  <si>
    <t>Cyrus Youssefi</t>
  </si>
  <si>
    <t>cfyinc@yahoo.com</t>
  </si>
  <si>
    <t>Egis Group, Inc.</t>
  </si>
  <si>
    <t>P.O. Box 799</t>
  </si>
  <si>
    <t>Woodacre</t>
  </si>
  <si>
    <t>Community Revitalization and Development Corporation</t>
  </si>
  <si>
    <t>635 Parkview Avenue</t>
  </si>
  <si>
    <t>Redding</t>
  </si>
  <si>
    <t>Managing GP</t>
  </si>
  <si>
    <t>David Rutledge</t>
  </si>
  <si>
    <t>(530) 241-6960</t>
  </si>
  <si>
    <t>david@crdc-housing.org</t>
  </si>
  <si>
    <t xml:space="preserve">Sabelhaus and Strain, LLP </t>
  </si>
  <si>
    <t>1724 10th Street, Ste. 110</t>
  </si>
  <si>
    <t>Patrick R. Sabelhaus</t>
  </si>
  <si>
    <t>pat@sabelhauslaw.com</t>
  </si>
  <si>
    <t>Attorney</t>
  </si>
  <si>
    <t>C.F.Y. Development, Inc./Egis Group, Inc.</t>
  </si>
  <si>
    <t>Sacramento, CA 95811</t>
  </si>
  <si>
    <t>Cyrus Youssefi / John Cicerone</t>
  </si>
  <si>
    <t>cfyinc@yahoo.com or jrcvest@aol.com</t>
  </si>
  <si>
    <t xml:space="preserve">BSB Design										</t>
  </si>
  <si>
    <t xml:space="preserve">11211 Gold Country Boulevard										</t>
  </si>
  <si>
    <t xml:space="preserve">Gold River, CA 95670										</t>
  </si>
  <si>
    <t xml:space="preserve">Burke Bair										</t>
  </si>
  <si>
    <t xml:space="preserve">(916) 550-9720					</t>
  </si>
  <si>
    <t>Bernie Rea, CPA</t>
  </si>
  <si>
    <t>P.O. Box 492</t>
  </si>
  <si>
    <t>Aubrey, TX 76227</t>
  </si>
  <si>
    <t xml:space="preserve">Bernie Rea										</t>
  </si>
  <si>
    <t>breacpa@aol.com</t>
  </si>
  <si>
    <t>Bowman &amp; Company</t>
  </si>
  <si>
    <t>10100 Trinity Parkway, Ste. 310</t>
  </si>
  <si>
    <t>Stockton, CA 95219</t>
  </si>
  <si>
    <t>Darryl Petrick</t>
  </si>
  <si>
    <t xml:space="preserve">Patrick R. Sabelhaus										</t>
  </si>
  <si>
    <t xml:space="preserve">Sacramento, CA 95811										</t>
  </si>
  <si>
    <t xml:space="preserve">(916) 444-0286					</t>
  </si>
  <si>
    <t xml:space="preserve">(916) 444-3408					</t>
  </si>
  <si>
    <t xml:space="preserve">pat@sabelhauslaw.com										</t>
  </si>
  <si>
    <t>Califonia Municipal Finance Authority</t>
  </si>
  <si>
    <t>2111 Palomar Airport Rd, Ste. 320</t>
  </si>
  <si>
    <t>Carlsbad, CA 92011</t>
  </si>
  <si>
    <t>John Stoecker</t>
  </si>
  <si>
    <t>(760) 930-1221</t>
  </si>
  <si>
    <t>(760) 683-3390</t>
  </si>
  <si>
    <t xml:space="preserve">C.F.Y. Development, Inc.										</t>
  </si>
  <si>
    <t xml:space="preserve">1724 10th Street, Ste. 120										</t>
  </si>
  <si>
    <t xml:space="preserve">(916) 446-4040					</t>
  </si>
  <si>
    <t xml:space="preserve">(916) 446-4044					</t>
  </si>
  <si>
    <t xml:space="preserve">Raney Planning &amp; Management Inc										</t>
  </si>
  <si>
    <t xml:space="preserve">1501 Sports Dr										</t>
  </si>
  <si>
    <t xml:space="preserve">Sacramento, CA 95834										</t>
  </si>
  <si>
    <t xml:space="preserve">Stefanie Williams										</t>
  </si>
  <si>
    <t xml:space="preserve">(916) 419-6108					</t>
  </si>
  <si>
    <t>swilliams@laurinassociates.com</t>
  </si>
  <si>
    <t xml:space="preserve">Cyrus Youssefi										</t>
  </si>
  <si>
    <t xml:space="preserve">cfyinc@yahoo.com										</t>
  </si>
  <si>
    <t>50 Merchant Street</t>
  </si>
  <si>
    <t>Vacaville, CA 95688</t>
  </si>
  <si>
    <t>(707) 449-5664</t>
  </si>
  <si>
    <t>Secured by Fee Interest</t>
  </si>
  <si>
    <t>Ground Level Parking Podium with 4 stories of Residential Above</t>
  </si>
  <si>
    <t>Individuals &amp; Families</t>
  </si>
  <si>
    <t xml:space="preserve">CO Commercial																				</t>
  </si>
  <si>
    <t xml:space="preserve">CO-RO Commercial with Residential Overlay: 10-40units/acre	</t>
  </si>
  <si>
    <t xml:space="preserve">CO-RO Commercial with Residential Overlay: 50.4 units/acre max Density Bonus																				</t>
  </si>
  <si>
    <t xml:space="preserve">60 feet pursuant to bonus density concession																				</t>
  </si>
  <si>
    <t xml:space="preserve">0.5 per unit pursuant to bonus density concession																				</t>
  </si>
  <si>
    <t>Taxable Construction Loan</t>
  </si>
  <si>
    <t xml:space="preserve">1724 10th Street, Ste. 120											</t>
  </si>
  <si>
    <t xml:space="preserve">Sacramento, CA 95811											</t>
  </si>
  <si>
    <t xml:space="preserve">Cyrus Youssefi											</t>
  </si>
  <si>
    <t xml:space="preserve">Deferred Developer Fee										</t>
  </si>
  <si>
    <t xml:space="preserve">Deferred Reserves										</t>
  </si>
  <si>
    <t xml:space="preserve">650 Merchant Street										</t>
  </si>
  <si>
    <t xml:space="preserve">Vacaville											</t>
  </si>
  <si>
    <t xml:space="preserve">Emily Cantu											</t>
  </si>
  <si>
    <t xml:space="preserve">(707) 449-5688																</t>
  </si>
  <si>
    <t>City Land Loan</t>
  </si>
  <si>
    <t>City Cash Loan</t>
  </si>
  <si>
    <t xml:space="preserve">650 Merchant Street											</t>
  </si>
  <si>
    <t xml:space="preserve">(707) 449-5688					</t>
  </si>
  <si>
    <t xml:space="preserve">Sacramento											</t>
  </si>
  <si>
    <t>City of Vacaville, Housing Authority</t>
  </si>
  <si>
    <t>Office</t>
  </si>
  <si>
    <t>Taxes/ Benefits</t>
  </si>
  <si>
    <t>Bond monitoring fee</t>
  </si>
  <si>
    <t>Vacaville Housing Authority</t>
  </si>
  <si>
    <t>Project-based vouchers (PBVs)</t>
  </si>
  <si>
    <t>Provided</t>
  </si>
  <si>
    <t>Not Applicable</t>
  </si>
  <si>
    <t xml:space="preserve">C.F.Y. Development, Inc. </t>
  </si>
  <si>
    <t>1 bedroom</t>
  </si>
  <si>
    <t>2 bedroom</t>
  </si>
  <si>
    <t>MIP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</si>
</sst>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34033">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0" fillId="5" borderId="6" xfId="0"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6" xfId="0" applyFont="1" applyFill="1" applyBorder="1" applyAlignment="1" applyProtection="1">
      <alignment horizontal="left"/>
      <protection locked="0"/>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5" borderId="6" xfId="569"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569" applyNumberForma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4" xfId="569"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6" xfId="0" applyNumberFormat="1" applyFont="1" applyFill="1" applyBorder="1" applyAlignment="1" applyProtection="1">
      <alignment horizontal="left"/>
      <protection locked="0"/>
    </xf>
    <xf numFmtId="166" fontId="13" fillId="5" borderId="6" xfId="569"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4" fillId="5" borderId="4" xfId="244"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22" fillId="5" borderId="4" xfId="271" applyNumberFormat="1" applyFill="1" applyBorder="1" applyAlignment="1" applyProtection="1">
      <alignment horizontal="left"/>
      <protection locked="0"/>
    </xf>
    <xf numFmtId="172" fontId="20" fillId="0" borderId="11" xfId="0" applyNumberFormat="1" applyFont="1" applyBorder="1" applyAlignment="1">
      <alignment horizontal="center" vertical="center" wrapText="1"/>
    </xf>
    <xf numFmtId="0" fontId="0" fillId="0" borderId="6" xfId="0" applyBorder="1" applyAlignment="1" applyProtection="1">
      <alignment horizontal="center"/>
      <protection locked="0"/>
    </xf>
    <xf numFmtId="0" fontId="22" fillId="5" borderId="6" xfId="271" applyFill="1" applyBorder="1" applyProtection="1">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0" borderId="9" xfId="0" applyBorder="1" applyAlignment="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0" fontId="0" fillId="5" borderId="3" xfId="0" quotePrefix="1" applyFill="1" applyBorder="1" applyAlignment="1" applyProtection="1">
      <alignment horizontal="right"/>
      <protection locked="0"/>
    </xf>
    <xf numFmtId="168" fontId="0" fillId="0" borderId="11" xfId="0" applyNumberFormat="1" applyBorder="1"/>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20" fillId="0" borderId="17" xfId="0" applyFont="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13" fillId="5" borderId="4"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9" fillId="3" borderId="0" xfId="0" applyFont="1" applyFill="1" applyAlignment="1">
      <alignment horizontal="center" vertical="center"/>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9" fontId="13" fillId="5" borderId="3" xfId="0" applyNumberFormat="1" applyFon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2" fillId="0" borderId="3" xfId="0" applyFont="1" applyBorder="1" applyAlignment="1">
      <alignment horizontal="left"/>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34033">
    <cellStyle name="20% - Accent1" xfId="1" builtinId="30" customBuiltin="1"/>
    <cellStyle name="20% - Accent1 10" xfId="4505" xr:uid="{00000000-0005-0000-0000-000001000000}"/>
    <cellStyle name="20% - Accent1 10 2" xfId="21382" xr:uid="{FFAC27FC-AB8F-45AC-B4FB-8863829ADE82}"/>
    <cellStyle name="20% - Accent1 10 3" xfId="29816" xr:uid="{3E8742F3-5D7C-4349-A3DD-768C0DD2C375}"/>
    <cellStyle name="20% - Accent1 10 4" xfId="12944" xr:uid="{7A4A312A-B982-49F5-922C-27532E33ACD2}"/>
    <cellStyle name="20% - Accent1 11" xfId="17164" xr:uid="{4F2286B3-9EBB-434B-86ED-3D6414AF2E42}"/>
    <cellStyle name="20% - Accent1 12" xfId="25599" xr:uid="{52D961CF-5936-4B67-9DB6-B1AE4DAAC127}"/>
    <cellStyle name="20% - Accent1 13" xfId="8726" xr:uid="{D3F5BDA0-D2E1-4798-95F3-E584290F4B0D}"/>
    <cellStyle name="20% - Accent1 2" xfId="2" xr:uid="{00000000-0005-0000-0000-000002000000}"/>
    <cellStyle name="20% - Accent1 2 10" xfId="17165" xr:uid="{FE4280D0-341E-4855-AA31-D10A2B2EE907}"/>
    <cellStyle name="20% - Accent1 2 11" xfId="25600" xr:uid="{A78B4759-96C7-4B73-BDA6-5D75129BC6C7}"/>
    <cellStyle name="20% - Accent1 2 12" xfId="8727" xr:uid="{57C87510-97FE-4656-8AA7-A8935B27CC91}"/>
    <cellStyle name="20% - Accent1 2 2" xfId="3" xr:uid="{00000000-0005-0000-0000-000003000000}"/>
    <cellStyle name="20% - Accent1 2 2 10" xfId="25601" xr:uid="{E9311D34-CF30-4C53-AB0A-B48EAD8C2978}"/>
    <cellStyle name="20% - Accent1 2 2 11" xfId="8728" xr:uid="{516E7582-C48B-4D3C-A4EB-B2FA1EFA3843}"/>
    <cellStyle name="20% - Accent1 2 2 2" xfId="4" xr:uid="{00000000-0005-0000-0000-000004000000}"/>
    <cellStyle name="20% - Accent1 2 2 2 10" xfId="8729" xr:uid="{6E60FEE4-7E5B-4071-9A7E-34125E74009C}"/>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23944" xr:uid="{3F9DB0C9-2A48-40B9-B293-A1D517985ABA}"/>
    <cellStyle name="20% - Accent1 2 2 2 2 2 2 3" xfId="32378" xr:uid="{85970D27-8F63-4064-B9C9-4CB8147B3F04}"/>
    <cellStyle name="20% - Accent1 2 2 2 2 2 2 4" xfId="15506" xr:uid="{23C31394-5F23-49D8-9446-4DE6A0A63A36}"/>
    <cellStyle name="20% - Accent1 2 2 2 2 2 3" xfId="19726" xr:uid="{D11E43EA-BAFA-4BC2-AC37-97DFE82C055F}"/>
    <cellStyle name="20% - Accent1 2 2 2 2 2 4" xfId="28161" xr:uid="{C81ED763-6ECC-4BDB-AF0E-11030BAC449F}"/>
    <cellStyle name="20% - Accent1 2 2 2 2 2 5" xfId="11288" xr:uid="{1D85702D-F364-40B1-9ABD-F74EEF21EB01}"/>
    <cellStyle name="20% - Accent1 2 2 2 2 3" xfId="4922" xr:uid="{00000000-0005-0000-0000-000008000000}"/>
    <cellStyle name="20% - Accent1 2 2 2 2 3 2" xfId="21799" xr:uid="{71C11836-2653-46D6-92AB-A7931227FFB2}"/>
    <cellStyle name="20% - Accent1 2 2 2 2 3 3" xfId="30233" xr:uid="{F68EF924-4790-4FCB-B201-9561590B94D8}"/>
    <cellStyle name="20% - Accent1 2 2 2 2 3 4" xfId="13361" xr:uid="{5FC2F7A6-FB1C-4B67-BBC2-A0F6988783F2}"/>
    <cellStyle name="20% - Accent1 2 2 2 2 4" xfId="17581" xr:uid="{C6DFADDD-666E-4665-843A-749E2D7711F0}"/>
    <cellStyle name="20% - Accent1 2 2 2 2 5" xfId="26016" xr:uid="{6E00840B-DDED-4555-AA13-A59D5C4C3087}"/>
    <cellStyle name="20% - Accent1 2 2 2 2 6" xfId="9143" xr:uid="{B4CF5D81-9A3B-4BE4-9CBB-320E44980F4D}"/>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24357" xr:uid="{85208888-8AD1-4033-B563-4745C2ECA4BA}"/>
    <cellStyle name="20% - Accent1 2 2 2 3 2 2 3" xfId="32791" xr:uid="{4C580A8F-173C-4988-BA8B-9EB199633353}"/>
    <cellStyle name="20% - Accent1 2 2 2 3 2 2 4" xfId="15919" xr:uid="{2D63CF6B-787C-4472-A04C-5BDCC1350722}"/>
    <cellStyle name="20% - Accent1 2 2 2 3 2 3" xfId="20139" xr:uid="{DF1D5D60-D5D3-4765-856F-27F68B49CD43}"/>
    <cellStyle name="20% - Accent1 2 2 2 3 2 4" xfId="28574" xr:uid="{F8C33AF4-985F-46E4-81D9-47714971389C}"/>
    <cellStyle name="20% - Accent1 2 2 2 3 2 5" xfId="11701" xr:uid="{0AF7DF52-885D-4BC2-A678-068221B1EE5B}"/>
    <cellStyle name="20% - Accent1 2 2 2 3 3" xfId="5335" xr:uid="{00000000-0005-0000-0000-00000C000000}"/>
    <cellStyle name="20% - Accent1 2 2 2 3 3 2" xfId="22212" xr:uid="{E55A60C6-BA4E-4B3C-9559-4A28C29A7C77}"/>
    <cellStyle name="20% - Accent1 2 2 2 3 3 3" xfId="30646" xr:uid="{2DECDFBE-51D9-4819-B275-19628638205B}"/>
    <cellStyle name="20% - Accent1 2 2 2 3 3 4" xfId="13774" xr:uid="{D6A026D9-13DB-458D-9A6E-9195DB559795}"/>
    <cellStyle name="20% - Accent1 2 2 2 3 4" xfId="17994" xr:uid="{78B0C863-8133-4A0C-AB3B-4B572DAF33E4}"/>
    <cellStyle name="20% - Accent1 2 2 2 3 5" xfId="26429" xr:uid="{CF124570-9EA2-421D-9C2D-534A22ABC0E8}"/>
    <cellStyle name="20% - Accent1 2 2 2 3 6" xfId="9556" xr:uid="{7BAB25AD-FE00-4604-A89E-73BFC61EF30D}"/>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24770" xr:uid="{AC065BB7-F329-4956-ACD3-B5DA41AEEC74}"/>
    <cellStyle name="20% - Accent1 2 2 2 4 2 2 3" xfId="33204" xr:uid="{238E8A54-27BD-4B2C-A01F-F43973BEA004}"/>
    <cellStyle name="20% - Accent1 2 2 2 4 2 2 4" xfId="16332" xr:uid="{E4DD4A95-8C05-4F63-AB3F-4E7C8F7629D6}"/>
    <cellStyle name="20% - Accent1 2 2 2 4 2 3" xfId="20552" xr:uid="{11CB53BB-0850-41D2-B205-CA716B78996B}"/>
    <cellStyle name="20% - Accent1 2 2 2 4 2 4" xfId="28987" xr:uid="{A3341219-65BB-420F-A0F7-2C22A5556FC4}"/>
    <cellStyle name="20% - Accent1 2 2 2 4 2 5" xfId="12114" xr:uid="{6C968BCC-6406-468E-B586-92FB8AE458B5}"/>
    <cellStyle name="20% - Accent1 2 2 2 4 3" xfId="5748" xr:uid="{00000000-0005-0000-0000-000010000000}"/>
    <cellStyle name="20% - Accent1 2 2 2 4 3 2" xfId="22625" xr:uid="{65AD6988-25CC-4B4D-A569-00685A63D8B3}"/>
    <cellStyle name="20% - Accent1 2 2 2 4 3 3" xfId="31059" xr:uid="{701CBD3E-1B16-4799-A286-5C142375B0E3}"/>
    <cellStyle name="20% - Accent1 2 2 2 4 3 4" xfId="14187" xr:uid="{C72DA63D-4033-47F3-9313-EFD767E7D1A1}"/>
    <cellStyle name="20% - Accent1 2 2 2 4 4" xfId="18407" xr:uid="{FCA43A3F-A01A-47F6-89E8-7ED08BDB9650}"/>
    <cellStyle name="20% - Accent1 2 2 2 4 5" xfId="26842" xr:uid="{EB0743C1-2082-4297-BC20-ABC6EC4AD0E3}"/>
    <cellStyle name="20% - Accent1 2 2 2 4 6" xfId="9969" xr:uid="{834AAEB7-2FDD-49CB-89A2-2433208AFD11}"/>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25183" xr:uid="{9DB17717-B808-4BDD-9589-E21AE876137C}"/>
    <cellStyle name="20% - Accent1 2 2 2 5 2 2 3" xfId="33617" xr:uid="{0DDA4276-8585-464C-BFC3-2474F322471D}"/>
    <cellStyle name="20% - Accent1 2 2 2 5 2 2 4" xfId="16745" xr:uid="{32064DA1-4D7D-4935-A1A5-74BDA637C9D5}"/>
    <cellStyle name="20% - Accent1 2 2 2 5 2 3" xfId="20965" xr:uid="{727DDE32-A713-4A35-816A-3DB506B0F949}"/>
    <cellStyle name="20% - Accent1 2 2 2 5 2 4" xfId="29400" xr:uid="{5F05C92A-2886-497E-A3E6-7838C8ADCB87}"/>
    <cellStyle name="20% - Accent1 2 2 2 5 2 5" xfId="12527" xr:uid="{0892FF79-AAB2-4F52-AB39-CD611AF7D42C}"/>
    <cellStyle name="20% - Accent1 2 2 2 5 3" xfId="6161" xr:uid="{00000000-0005-0000-0000-000014000000}"/>
    <cellStyle name="20% - Accent1 2 2 2 5 3 2" xfId="23038" xr:uid="{F9A34E58-B3E6-4EEE-9FE9-380B06C511A5}"/>
    <cellStyle name="20% - Accent1 2 2 2 5 3 3" xfId="31472" xr:uid="{79079289-622C-4AF0-A5EF-57F404714B61}"/>
    <cellStyle name="20% - Accent1 2 2 2 5 3 4" xfId="14600" xr:uid="{B789FBCA-2627-4470-A2B0-50CA0451F25C}"/>
    <cellStyle name="20% - Accent1 2 2 2 5 4" xfId="18820" xr:uid="{B668B01A-B8AB-4BD4-AEDC-1F61EE6FEC8B}"/>
    <cellStyle name="20% - Accent1 2 2 2 5 5" xfId="27255" xr:uid="{185F20C7-D88D-492E-97E1-B5BEF4FAF9CD}"/>
    <cellStyle name="20% - Accent1 2 2 2 5 6" xfId="10382" xr:uid="{A7C90648-C4D9-4272-8846-437628876E06}"/>
    <cellStyle name="20% - Accent1 2 2 2 6" xfId="2267" xr:uid="{00000000-0005-0000-0000-000015000000}"/>
    <cellStyle name="20% - Accent1 2 2 2 6 2" xfId="6574" xr:uid="{00000000-0005-0000-0000-000016000000}"/>
    <cellStyle name="20% - Accent1 2 2 2 6 2 2" xfId="23451" xr:uid="{0AEF166C-585B-4416-BBEB-F2C9F7B40B87}"/>
    <cellStyle name="20% - Accent1 2 2 2 6 2 3" xfId="31885" xr:uid="{05ECADBA-8B46-4D6C-A994-1E65553C8741}"/>
    <cellStyle name="20% - Accent1 2 2 2 6 2 4" xfId="15013" xr:uid="{561F699C-91CF-4AE4-880C-8E597ACA361E}"/>
    <cellStyle name="20% - Accent1 2 2 2 6 3" xfId="19233" xr:uid="{74862EC5-E611-4486-B9CE-3FB8C7B7EA4B}"/>
    <cellStyle name="20% - Accent1 2 2 2 6 4" xfId="27668" xr:uid="{BFD333F6-DC18-4B87-9163-5853D0F1D011}"/>
    <cellStyle name="20% - Accent1 2 2 2 6 5" xfId="10795" xr:uid="{90E32681-2987-46B4-878A-5E5DBD568634}"/>
    <cellStyle name="20% - Accent1 2 2 2 7" xfId="4508" xr:uid="{00000000-0005-0000-0000-000017000000}"/>
    <cellStyle name="20% - Accent1 2 2 2 7 2" xfId="21385" xr:uid="{41974969-9C09-4AAA-897E-45834DD0D24A}"/>
    <cellStyle name="20% - Accent1 2 2 2 7 3" xfId="29819" xr:uid="{57440580-25BE-4952-BE71-FF4E5FB7BB34}"/>
    <cellStyle name="20% - Accent1 2 2 2 7 4" xfId="12947" xr:uid="{3A429F52-E0FF-4CD6-AD6D-3D65FA08959B}"/>
    <cellStyle name="20% - Accent1 2 2 2 8" xfId="17167" xr:uid="{4B16E24E-F892-4313-89FE-1430BCC53772}"/>
    <cellStyle name="20% - Accent1 2 2 2 9" xfId="25602" xr:uid="{E5ADA656-BBA2-4D51-B916-E4B3A3A33B6A}"/>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23943" xr:uid="{80F3FEB6-00B5-438D-A322-02B96F089239}"/>
    <cellStyle name="20% - Accent1 2 2 3 2 2 3" xfId="32377" xr:uid="{99374541-9886-4E08-98DE-4A6B66673614}"/>
    <cellStyle name="20% - Accent1 2 2 3 2 2 4" xfId="15505" xr:uid="{106B2FBD-F693-4BBF-96E1-3D802BB95472}"/>
    <cellStyle name="20% - Accent1 2 2 3 2 3" xfId="19725" xr:uid="{1BF81AE2-A109-4B76-921D-8C859168C212}"/>
    <cellStyle name="20% - Accent1 2 2 3 2 4" xfId="28160" xr:uid="{0FB7671F-4BF1-495D-98BD-ACC57FFF1E69}"/>
    <cellStyle name="20% - Accent1 2 2 3 2 5" xfId="11287" xr:uid="{53135992-04BE-4D58-8F6A-309347631966}"/>
    <cellStyle name="20% - Accent1 2 2 3 3" xfId="4921" xr:uid="{00000000-0005-0000-0000-00001B000000}"/>
    <cellStyle name="20% - Accent1 2 2 3 3 2" xfId="21798" xr:uid="{11149875-887C-4444-9553-21C481925203}"/>
    <cellStyle name="20% - Accent1 2 2 3 3 3" xfId="30232" xr:uid="{A4BC75FD-AF91-4562-9BC6-BD28E3A67397}"/>
    <cellStyle name="20% - Accent1 2 2 3 3 4" xfId="13360" xr:uid="{F8D1D027-1AF2-40FA-BBA8-1B7EAD235AFD}"/>
    <cellStyle name="20% - Accent1 2 2 3 4" xfId="17580" xr:uid="{C01F5780-016A-4931-97A7-A8C9204F36C7}"/>
    <cellStyle name="20% - Accent1 2 2 3 5" xfId="26015" xr:uid="{E6C5E759-CA72-431D-BFCB-903809A05F4E}"/>
    <cellStyle name="20% - Accent1 2 2 3 6" xfId="9142" xr:uid="{F97D984B-FDA7-4554-B438-F7F125EC6C0F}"/>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24356" xr:uid="{CC3EDD99-A55F-46FB-A890-E1867F63BBFB}"/>
    <cellStyle name="20% - Accent1 2 2 4 2 2 3" xfId="32790" xr:uid="{E111E218-A0AA-45FB-B198-3DA6A53DAF98}"/>
    <cellStyle name="20% - Accent1 2 2 4 2 2 4" xfId="15918" xr:uid="{964F34CD-C755-4DB7-8D9B-7AE3FC89CF4B}"/>
    <cellStyle name="20% - Accent1 2 2 4 2 3" xfId="20138" xr:uid="{6A5B448C-579D-4D02-B772-B78E34EF876B}"/>
    <cellStyle name="20% - Accent1 2 2 4 2 4" xfId="28573" xr:uid="{2990347C-CDCF-4518-B207-B9FF63473178}"/>
    <cellStyle name="20% - Accent1 2 2 4 2 5" xfId="11700" xr:uid="{46828F01-8CB1-43BC-A656-3C576F76AC6F}"/>
    <cellStyle name="20% - Accent1 2 2 4 3" xfId="5334" xr:uid="{00000000-0005-0000-0000-00001F000000}"/>
    <cellStyle name="20% - Accent1 2 2 4 3 2" xfId="22211" xr:uid="{6A045D33-47F3-45D0-BA62-C5A1136E40F1}"/>
    <cellStyle name="20% - Accent1 2 2 4 3 3" xfId="30645" xr:uid="{9C090BCE-ADFC-4AC1-8CAE-D9A0E42FF844}"/>
    <cellStyle name="20% - Accent1 2 2 4 3 4" xfId="13773" xr:uid="{1ADD07E2-CBFE-4713-99DD-F775ED9A5993}"/>
    <cellStyle name="20% - Accent1 2 2 4 4" xfId="17993" xr:uid="{9EBA01E4-328E-473C-B88C-7A33E2E1C28A}"/>
    <cellStyle name="20% - Accent1 2 2 4 5" xfId="26428" xr:uid="{1A1C8E7C-3874-4196-ADD3-2E76CEDA4728}"/>
    <cellStyle name="20% - Accent1 2 2 4 6" xfId="9555" xr:uid="{490C16BC-8A90-44A1-ABFF-593346124F53}"/>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24769" xr:uid="{1E001220-796E-43D3-82B9-D14EA29068E6}"/>
    <cellStyle name="20% - Accent1 2 2 5 2 2 3" xfId="33203" xr:uid="{36EF84E2-8A5F-415A-985C-5A14C7F07873}"/>
    <cellStyle name="20% - Accent1 2 2 5 2 2 4" xfId="16331" xr:uid="{8F5B2BF9-4CCE-4623-8F48-4336D096BF01}"/>
    <cellStyle name="20% - Accent1 2 2 5 2 3" xfId="20551" xr:uid="{DD368C66-EF1F-46CA-BE93-457D6E076D0F}"/>
    <cellStyle name="20% - Accent1 2 2 5 2 4" xfId="28986" xr:uid="{63117F14-795C-4241-B4EA-BB77E1E70461}"/>
    <cellStyle name="20% - Accent1 2 2 5 2 5" xfId="12113" xr:uid="{BAB4380D-A602-4E7C-99EA-A244FD88ECDE}"/>
    <cellStyle name="20% - Accent1 2 2 5 3" xfId="5747" xr:uid="{00000000-0005-0000-0000-000023000000}"/>
    <cellStyle name="20% - Accent1 2 2 5 3 2" xfId="22624" xr:uid="{FCC2C120-5007-4675-94FB-6B5214929986}"/>
    <cellStyle name="20% - Accent1 2 2 5 3 3" xfId="31058" xr:uid="{3C155A0F-623C-4BD9-A41A-7F1872BC9776}"/>
    <cellStyle name="20% - Accent1 2 2 5 3 4" xfId="14186" xr:uid="{D76DEFFE-E723-491E-A012-DD7A6239F4D6}"/>
    <cellStyle name="20% - Accent1 2 2 5 4" xfId="18406" xr:uid="{166422D8-D6B1-4E74-9C2C-2B547C8DA1E6}"/>
    <cellStyle name="20% - Accent1 2 2 5 5" xfId="26841" xr:uid="{92572E22-4C61-4CB8-BF5B-D9B13D65E2EB}"/>
    <cellStyle name="20% - Accent1 2 2 5 6" xfId="9968" xr:uid="{685D755A-E5CA-420A-9797-3FE8BC1E8FF3}"/>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25182" xr:uid="{05613CEB-A621-4EE0-8078-505A2F35BCCF}"/>
    <cellStyle name="20% - Accent1 2 2 6 2 2 3" xfId="33616" xr:uid="{6D8E7B98-C97F-4E90-9490-8C909E80337C}"/>
    <cellStyle name="20% - Accent1 2 2 6 2 2 4" xfId="16744" xr:uid="{A66062FE-A406-48E7-9BB1-C2BB900FFC28}"/>
    <cellStyle name="20% - Accent1 2 2 6 2 3" xfId="20964" xr:uid="{A26EC498-A8D1-41AE-83C3-773213A4C59B}"/>
    <cellStyle name="20% - Accent1 2 2 6 2 4" xfId="29399" xr:uid="{1E49679C-7096-49BD-9464-7B99B4AF7B06}"/>
    <cellStyle name="20% - Accent1 2 2 6 2 5" xfId="12526" xr:uid="{7F346BFF-F654-4C07-8B17-74B001E86B43}"/>
    <cellStyle name="20% - Accent1 2 2 6 3" xfId="6160" xr:uid="{00000000-0005-0000-0000-000027000000}"/>
    <cellStyle name="20% - Accent1 2 2 6 3 2" xfId="23037" xr:uid="{93B9DD0C-DE95-427E-92CA-088F98F13119}"/>
    <cellStyle name="20% - Accent1 2 2 6 3 3" xfId="31471" xr:uid="{88BB80E2-2603-4AE2-942C-7BF705E6E10D}"/>
    <cellStyle name="20% - Accent1 2 2 6 3 4" xfId="14599" xr:uid="{555579E8-EA29-40D9-9031-7718352341D0}"/>
    <cellStyle name="20% - Accent1 2 2 6 4" xfId="18819" xr:uid="{77E75B48-6ED3-41C1-B47A-E4D724FA0989}"/>
    <cellStyle name="20% - Accent1 2 2 6 5" xfId="27254" xr:uid="{9E913B3A-94B4-4226-B132-9BBA5AFA9916}"/>
    <cellStyle name="20% - Accent1 2 2 6 6" xfId="10381" xr:uid="{ADAA4051-3E9F-4DD8-9B87-6A69CC373D81}"/>
    <cellStyle name="20% - Accent1 2 2 7" xfId="2266" xr:uid="{00000000-0005-0000-0000-000028000000}"/>
    <cellStyle name="20% - Accent1 2 2 7 2" xfId="6573" xr:uid="{00000000-0005-0000-0000-000029000000}"/>
    <cellStyle name="20% - Accent1 2 2 7 2 2" xfId="23450" xr:uid="{8EE9B158-9E12-461F-9123-2AF7E9ABCA2E}"/>
    <cellStyle name="20% - Accent1 2 2 7 2 3" xfId="31884" xr:uid="{A557F492-7EEB-43EB-975B-5F79DFF79BF6}"/>
    <cellStyle name="20% - Accent1 2 2 7 2 4" xfId="15012" xr:uid="{F3F896ED-ED22-4B24-884C-B01ADF05C230}"/>
    <cellStyle name="20% - Accent1 2 2 7 3" xfId="19232" xr:uid="{37C9ADB9-506F-4E31-90A4-4671638A0447}"/>
    <cellStyle name="20% - Accent1 2 2 7 4" xfId="27667" xr:uid="{29F2E8CC-D610-4FB8-AD28-C30A6C53A1CF}"/>
    <cellStyle name="20% - Accent1 2 2 7 5" xfId="10794" xr:uid="{57BA4838-F690-4A04-89A1-774381F00920}"/>
    <cellStyle name="20% - Accent1 2 2 8" xfId="4507" xr:uid="{00000000-0005-0000-0000-00002A000000}"/>
    <cellStyle name="20% - Accent1 2 2 8 2" xfId="21384" xr:uid="{FFDF87CD-5D74-4203-8EE2-C66A89E68926}"/>
    <cellStyle name="20% - Accent1 2 2 8 3" xfId="29818" xr:uid="{AAF74142-61C2-4C6E-9DE6-59F260DF7E43}"/>
    <cellStyle name="20% - Accent1 2 2 8 4" xfId="12946" xr:uid="{9DD5D9F2-06C5-439A-A334-9BC84589E7FF}"/>
    <cellStyle name="20% - Accent1 2 2 9" xfId="17166" xr:uid="{533B0CDC-19BB-4189-8EBB-45CAB3CE59AF}"/>
    <cellStyle name="20% - Accent1 2 3" xfId="5" xr:uid="{00000000-0005-0000-0000-00002B000000}"/>
    <cellStyle name="20% - Accent1 2 3 10" xfId="8730" xr:uid="{415AA4EE-5E38-4D81-8CE0-04871A634B64}"/>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23945" xr:uid="{6C7E3E7B-5077-42E0-9933-705F5C247905}"/>
    <cellStyle name="20% - Accent1 2 3 2 2 2 3" xfId="32379" xr:uid="{DBD99310-817F-4A59-98A8-96465F66BBA7}"/>
    <cellStyle name="20% - Accent1 2 3 2 2 2 4" xfId="15507" xr:uid="{DBECB320-1E2C-4B59-BEF1-6554DB6A2585}"/>
    <cellStyle name="20% - Accent1 2 3 2 2 3" xfId="19727" xr:uid="{82FC3894-9189-460D-B122-80CB732DEAA3}"/>
    <cellStyle name="20% - Accent1 2 3 2 2 4" xfId="28162" xr:uid="{B9F9279C-C22F-4C17-B311-E66B71228CA6}"/>
    <cellStyle name="20% - Accent1 2 3 2 2 5" xfId="11289" xr:uid="{5156EFFD-BE7C-4B6A-80E6-D51D718923A0}"/>
    <cellStyle name="20% - Accent1 2 3 2 3" xfId="4923" xr:uid="{00000000-0005-0000-0000-00002F000000}"/>
    <cellStyle name="20% - Accent1 2 3 2 3 2" xfId="21800" xr:uid="{AC6912A0-A436-4C7D-8805-6011B95DDA7A}"/>
    <cellStyle name="20% - Accent1 2 3 2 3 3" xfId="30234" xr:uid="{CED51E61-BCA9-4208-9547-FDE98C7931F4}"/>
    <cellStyle name="20% - Accent1 2 3 2 3 4" xfId="13362" xr:uid="{1FAAC077-FD66-4C88-ACD0-14E1FF32503F}"/>
    <cellStyle name="20% - Accent1 2 3 2 4" xfId="17582" xr:uid="{58404A76-8CEF-486D-8DCD-BC99793E3601}"/>
    <cellStyle name="20% - Accent1 2 3 2 5" xfId="26017" xr:uid="{07CAAF11-B44B-4D1E-B5B6-D6E545F28DF4}"/>
    <cellStyle name="20% - Accent1 2 3 2 6" xfId="9144" xr:uid="{26480883-F4B9-4DA2-AE92-5071D49F93A2}"/>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24358" xr:uid="{DEA29968-54FD-4F5C-84AE-005B143A09C2}"/>
    <cellStyle name="20% - Accent1 2 3 3 2 2 3" xfId="32792" xr:uid="{33ED7030-967D-4FFB-AF2D-0711F901F331}"/>
    <cellStyle name="20% - Accent1 2 3 3 2 2 4" xfId="15920" xr:uid="{D9CD0140-69D9-4894-8FD3-91EF9A3C5BE7}"/>
    <cellStyle name="20% - Accent1 2 3 3 2 3" xfId="20140" xr:uid="{0B8F557C-CC1C-4B46-8CA5-B7AEB137DFF5}"/>
    <cellStyle name="20% - Accent1 2 3 3 2 4" xfId="28575" xr:uid="{1661FB37-FF45-4A39-88AF-CE52F0C5FE60}"/>
    <cellStyle name="20% - Accent1 2 3 3 2 5" xfId="11702" xr:uid="{1577C38B-FF79-4DDB-B006-5C77B41B50EE}"/>
    <cellStyle name="20% - Accent1 2 3 3 3" xfId="5336" xr:uid="{00000000-0005-0000-0000-000033000000}"/>
    <cellStyle name="20% - Accent1 2 3 3 3 2" xfId="22213" xr:uid="{B688E43D-0DEF-4667-93E6-C439CBB5032F}"/>
    <cellStyle name="20% - Accent1 2 3 3 3 3" xfId="30647" xr:uid="{A9FF8DEB-68DE-4BE2-8F30-99533856425B}"/>
    <cellStyle name="20% - Accent1 2 3 3 3 4" xfId="13775" xr:uid="{0A5BAB64-FDAB-4707-9A9E-6E675A347601}"/>
    <cellStyle name="20% - Accent1 2 3 3 4" xfId="17995" xr:uid="{9888B9D6-BF05-44D3-B316-24C4487F3E5E}"/>
    <cellStyle name="20% - Accent1 2 3 3 5" xfId="26430" xr:uid="{42580272-EF9E-4F49-A0F1-FF719AB2791D}"/>
    <cellStyle name="20% - Accent1 2 3 3 6" xfId="9557" xr:uid="{AF066BD7-75A3-4538-931D-96332B04C453}"/>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24771" xr:uid="{BA2469B0-2D2F-4B69-B2BD-18ABBD309F2E}"/>
    <cellStyle name="20% - Accent1 2 3 4 2 2 3" xfId="33205" xr:uid="{6C3395EF-0725-40EB-97C6-5FCB22DB712D}"/>
    <cellStyle name="20% - Accent1 2 3 4 2 2 4" xfId="16333" xr:uid="{2216D7A9-8171-4BE1-AD39-500BEE05D91A}"/>
    <cellStyle name="20% - Accent1 2 3 4 2 3" xfId="20553" xr:uid="{765DD398-2103-4B86-B4B6-4BBF9E6AB1AE}"/>
    <cellStyle name="20% - Accent1 2 3 4 2 4" xfId="28988" xr:uid="{76B7D928-E895-40E7-A493-428692335177}"/>
    <cellStyle name="20% - Accent1 2 3 4 2 5" xfId="12115" xr:uid="{31FF8E50-8E0C-4D5C-8FC1-1D7C96F8DAEB}"/>
    <cellStyle name="20% - Accent1 2 3 4 3" xfId="5749" xr:uid="{00000000-0005-0000-0000-000037000000}"/>
    <cellStyle name="20% - Accent1 2 3 4 3 2" xfId="22626" xr:uid="{959A03DA-1112-41FE-A311-138933AE7E4B}"/>
    <cellStyle name="20% - Accent1 2 3 4 3 3" xfId="31060" xr:uid="{99DDF7D6-05EC-4248-A8F1-310891B87B38}"/>
    <cellStyle name="20% - Accent1 2 3 4 3 4" xfId="14188" xr:uid="{C7C2F191-772F-4CEA-9257-860E3E4448CF}"/>
    <cellStyle name="20% - Accent1 2 3 4 4" xfId="18408" xr:uid="{47FC032E-8462-484E-A9E6-00252BBCED46}"/>
    <cellStyle name="20% - Accent1 2 3 4 5" xfId="26843" xr:uid="{6D51942C-BB89-4BA8-9010-3CA2A24B60ED}"/>
    <cellStyle name="20% - Accent1 2 3 4 6" xfId="9970" xr:uid="{43A5EF97-98E7-4955-9621-A905E2D39D5F}"/>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25184" xr:uid="{98A1B9D4-6423-458C-824A-44EB5CD4CF15}"/>
    <cellStyle name="20% - Accent1 2 3 5 2 2 3" xfId="33618" xr:uid="{1B5F02FC-BFF7-4706-8C13-0AE05BF52795}"/>
    <cellStyle name="20% - Accent1 2 3 5 2 2 4" xfId="16746" xr:uid="{1B9FBFD9-344A-48BB-A4B5-DB21B6D2F83F}"/>
    <cellStyle name="20% - Accent1 2 3 5 2 3" xfId="20966" xr:uid="{5A55CDA5-3B4C-49B1-9D99-409EBF9629B2}"/>
    <cellStyle name="20% - Accent1 2 3 5 2 4" xfId="29401" xr:uid="{8AC3A24D-1227-422C-A261-3C8A524C7E71}"/>
    <cellStyle name="20% - Accent1 2 3 5 2 5" xfId="12528" xr:uid="{895E5887-3546-419B-A103-36CA50EB2F84}"/>
    <cellStyle name="20% - Accent1 2 3 5 3" xfId="6162" xr:uid="{00000000-0005-0000-0000-00003B000000}"/>
    <cellStyle name="20% - Accent1 2 3 5 3 2" xfId="23039" xr:uid="{47A970F1-0B1D-431A-AD6B-776BD7C99691}"/>
    <cellStyle name="20% - Accent1 2 3 5 3 3" xfId="31473" xr:uid="{8A4FA867-AD10-4384-9B2B-94C160C9E902}"/>
    <cellStyle name="20% - Accent1 2 3 5 3 4" xfId="14601" xr:uid="{DFEC2D47-7A27-4E62-8B2D-C3591BA17A44}"/>
    <cellStyle name="20% - Accent1 2 3 5 4" xfId="18821" xr:uid="{2980F562-464C-4F6C-913E-E4AC06FDDBEB}"/>
    <cellStyle name="20% - Accent1 2 3 5 5" xfId="27256" xr:uid="{F78094A7-755B-4066-AB12-0DE57950BEAF}"/>
    <cellStyle name="20% - Accent1 2 3 5 6" xfId="10383" xr:uid="{A629B5EB-E811-40F5-842F-776DC5406819}"/>
    <cellStyle name="20% - Accent1 2 3 6" xfId="2268" xr:uid="{00000000-0005-0000-0000-00003C000000}"/>
    <cellStyle name="20% - Accent1 2 3 6 2" xfId="6575" xr:uid="{00000000-0005-0000-0000-00003D000000}"/>
    <cellStyle name="20% - Accent1 2 3 6 2 2" xfId="23452" xr:uid="{1E853F6C-F373-4F4C-A953-39EF3887A386}"/>
    <cellStyle name="20% - Accent1 2 3 6 2 3" xfId="31886" xr:uid="{BC72447D-4F46-49DA-8584-3FFE6E783A6D}"/>
    <cellStyle name="20% - Accent1 2 3 6 2 4" xfId="15014" xr:uid="{86FED796-971B-47A1-B16D-FF1B7C7A1B28}"/>
    <cellStyle name="20% - Accent1 2 3 6 3" xfId="19234" xr:uid="{3C710EB3-F775-4357-AB7E-B197FF0DF04D}"/>
    <cellStyle name="20% - Accent1 2 3 6 4" xfId="27669" xr:uid="{48A682B3-C2B1-4CFE-A3F8-B17FF58CB624}"/>
    <cellStyle name="20% - Accent1 2 3 6 5" xfId="10796" xr:uid="{C18B1A14-E281-4998-ADB0-427451C2AACD}"/>
    <cellStyle name="20% - Accent1 2 3 7" xfId="4509" xr:uid="{00000000-0005-0000-0000-00003E000000}"/>
    <cellStyle name="20% - Accent1 2 3 7 2" xfId="21386" xr:uid="{6AE58093-BF40-4C26-A9D2-3606D8EC4FA6}"/>
    <cellStyle name="20% - Accent1 2 3 7 3" xfId="29820" xr:uid="{E8A5ADD9-D5D0-4842-AF8F-405B2FA5E6D6}"/>
    <cellStyle name="20% - Accent1 2 3 7 4" xfId="12948" xr:uid="{E3F267D3-2318-4D9D-B1B9-3DDA8665C95F}"/>
    <cellStyle name="20% - Accent1 2 3 8" xfId="17168" xr:uid="{40A2B171-3F33-4F40-8867-8F15570EBEBA}"/>
    <cellStyle name="20% - Accent1 2 3 9" xfId="25603" xr:uid="{024561AD-137E-4E15-AB29-215D74AD6338}"/>
    <cellStyle name="20% - Accent1 2 4" xfId="571" xr:uid="{00000000-0005-0000-0000-00003F000000}"/>
    <cellStyle name="20% - Accent1 2 4 2" xfId="2842" xr:uid="{00000000-0005-0000-0000-000040000000}"/>
    <cellStyle name="20% - Accent1 2 4 2 2" xfId="7065" xr:uid="{00000000-0005-0000-0000-000041000000}"/>
    <cellStyle name="20% - Accent1 2 4 2 2 2" xfId="23942" xr:uid="{E21621FF-E095-47A3-B50B-9D4097CDFF5F}"/>
    <cellStyle name="20% - Accent1 2 4 2 2 3" xfId="32376" xr:uid="{06BCD12A-2A07-4034-A15D-A368958AD83D}"/>
    <cellStyle name="20% - Accent1 2 4 2 2 4" xfId="15504" xr:uid="{8435EA69-E455-44D4-9244-AC931B76B151}"/>
    <cellStyle name="20% - Accent1 2 4 2 3" xfId="19724" xr:uid="{9E8A9DF6-3B22-4B8A-9A74-A4F174C6F3B9}"/>
    <cellStyle name="20% - Accent1 2 4 2 4" xfId="28159" xr:uid="{C44EB28A-9213-4B96-B44B-20E27098E8E4}"/>
    <cellStyle name="20% - Accent1 2 4 2 5" xfId="11286" xr:uid="{749136F3-7256-4D60-8EEA-DDA177140116}"/>
    <cellStyle name="20% - Accent1 2 4 3" xfId="4920" xr:uid="{00000000-0005-0000-0000-000042000000}"/>
    <cellStyle name="20% - Accent1 2 4 3 2" xfId="21797" xr:uid="{40F162BC-0FF3-4375-B34F-77DEB6230120}"/>
    <cellStyle name="20% - Accent1 2 4 3 3" xfId="30231" xr:uid="{8E8CEC96-6025-4F9D-8C1F-976FCC709DA5}"/>
    <cellStyle name="20% - Accent1 2 4 3 4" xfId="13359" xr:uid="{1CF7AF1C-56EA-4D99-848E-9D627854C280}"/>
    <cellStyle name="20% - Accent1 2 4 4" xfId="17579" xr:uid="{27EB1D30-1187-4B95-8F15-7518934EEC86}"/>
    <cellStyle name="20% - Accent1 2 4 5" xfId="26014" xr:uid="{369B0EC1-6C46-49AE-AC0A-E3C33848AF94}"/>
    <cellStyle name="20% - Accent1 2 4 6" xfId="9141" xr:uid="{5A8B78EF-3BE3-42D9-BEAF-782E9B486245}"/>
    <cellStyle name="20% - Accent1 2 5" xfId="1024" xr:uid="{00000000-0005-0000-0000-000043000000}"/>
    <cellStyle name="20% - Accent1 2 5 2" xfId="3255" xr:uid="{00000000-0005-0000-0000-000044000000}"/>
    <cellStyle name="20% - Accent1 2 5 2 2" xfId="7478" xr:uid="{00000000-0005-0000-0000-000045000000}"/>
    <cellStyle name="20% - Accent1 2 5 2 2 2" xfId="24355" xr:uid="{2AC1F5BE-7E83-4839-875A-6E549E42F514}"/>
    <cellStyle name="20% - Accent1 2 5 2 2 3" xfId="32789" xr:uid="{E82529D5-AF55-4905-9CD7-5CF5391E49FE}"/>
    <cellStyle name="20% - Accent1 2 5 2 2 4" xfId="15917" xr:uid="{8AA28D9E-915D-4C36-B64A-BE567607B0A9}"/>
    <cellStyle name="20% - Accent1 2 5 2 3" xfId="20137" xr:uid="{9C4822E9-EF4C-4285-BFC4-560862E2583E}"/>
    <cellStyle name="20% - Accent1 2 5 2 4" xfId="28572" xr:uid="{DE6CF341-C7F8-419A-B5C4-A6F42CF877F7}"/>
    <cellStyle name="20% - Accent1 2 5 2 5" xfId="11699" xr:uid="{00AD43B1-9D00-4F44-B640-3BC54453ACA8}"/>
    <cellStyle name="20% - Accent1 2 5 3" xfId="5333" xr:uid="{00000000-0005-0000-0000-000046000000}"/>
    <cellStyle name="20% - Accent1 2 5 3 2" xfId="22210" xr:uid="{5CC38008-6C05-4E79-AC32-FF5206ADD3B5}"/>
    <cellStyle name="20% - Accent1 2 5 3 3" xfId="30644" xr:uid="{2BA75DA3-7383-499C-9117-AAC3E2B403F9}"/>
    <cellStyle name="20% - Accent1 2 5 3 4" xfId="13772" xr:uid="{B1B12723-608A-463A-B164-40BF5BD5108F}"/>
    <cellStyle name="20% - Accent1 2 5 4" xfId="17992" xr:uid="{A60D3110-21D0-4B77-8CAE-A6CA282D316F}"/>
    <cellStyle name="20% - Accent1 2 5 5" xfId="26427" xr:uid="{E7E4EAD6-B32F-4D47-ABFF-C1DCCB647631}"/>
    <cellStyle name="20% - Accent1 2 5 6" xfId="9554" xr:uid="{4C39F0B6-06ED-4D80-86DB-CD231211ACC4}"/>
    <cellStyle name="20% - Accent1 2 6" xfId="1438" xr:uid="{00000000-0005-0000-0000-000047000000}"/>
    <cellStyle name="20% - Accent1 2 6 2" xfId="3668" xr:uid="{00000000-0005-0000-0000-000048000000}"/>
    <cellStyle name="20% - Accent1 2 6 2 2" xfId="7891" xr:uid="{00000000-0005-0000-0000-000049000000}"/>
    <cellStyle name="20% - Accent1 2 6 2 2 2" xfId="24768" xr:uid="{D6D232C6-06C0-4352-9781-E1E0F854629E}"/>
    <cellStyle name="20% - Accent1 2 6 2 2 3" xfId="33202" xr:uid="{544577DB-CAAF-4C08-9EF5-E33E1DD677CD}"/>
    <cellStyle name="20% - Accent1 2 6 2 2 4" xfId="16330" xr:uid="{39C176A9-E327-49EB-80A7-028C0250CF39}"/>
    <cellStyle name="20% - Accent1 2 6 2 3" xfId="20550" xr:uid="{483DF78D-6107-44CC-9545-3916869715AF}"/>
    <cellStyle name="20% - Accent1 2 6 2 4" xfId="28985" xr:uid="{D9ACAAAC-ABA2-4F72-9066-D92B51CFA849}"/>
    <cellStyle name="20% - Accent1 2 6 2 5" xfId="12112" xr:uid="{F711A603-0548-4DBB-824B-3016E550B6A6}"/>
    <cellStyle name="20% - Accent1 2 6 3" xfId="5746" xr:uid="{00000000-0005-0000-0000-00004A000000}"/>
    <cellStyle name="20% - Accent1 2 6 3 2" xfId="22623" xr:uid="{3152203E-DE96-4D96-9A06-290F33A059D2}"/>
    <cellStyle name="20% - Accent1 2 6 3 3" xfId="31057" xr:uid="{A4239152-5ADE-439B-A9A7-62159A983A44}"/>
    <cellStyle name="20% - Accent1 2 6 3 4" xfId="14185" xr:uid="{DB895574-CABD-4BB4-A709-E05251B9B304}"/>
    <cellStyle name="20% - Accent1 2 6 4" xfId="18405" xr:uid="{27CEA844-1B22-4920-89A4-DB6E25B50930}"/>
    <cellStyle name="20% - Accent1 2 6 5" xfId="26840" xr:uid="{7BCA38E0-8BC6-4416-AE40-9C38BBCD5C97}"/>
    <cellStyle name="20% - Accent1 2 6 6" xfId="9967" xr:uid="{491A4147-9B62-4E2E-8AE6-8131D3870961}"/>
    <cellStyle name="20% - Accent1 2 7" xfId="1852" xr:uid="{00000000-0005-0000-0000-00004B000000}"/>
    <cellStyle name="20% - Accent1 2 7 2" xfId="4081" xr:uid="{00000000-0005-0000-0000-00004C000000}"/>
    <cellStyle name="20% - Accent1 2 7 2 2" xfId="8304" xr:uid="{00000000-0005-0000-0000-00004D000000}"/>
    <cellStyle name="20% - Accent1 2 7 2 2 2" xfId="25181" xr:uid="{4C131DCC-1CE7-4AA6-97BC-5096A6BCC40C}"/>
    <cellStyle name="20% - Accent1 2 7 2 2 3" xfId="33615" xr:uid="{2895776A-1538-4F52-A388-E8D06A83C356}"/>
    <cellStyle name="20% - Accent1 2 7 2 2 4" xfId="16743" xr:uid="{B6B7B9CA-1285-425E-B890-0BFC24E019A4}"/>
    <cellStyle name="20% - Accent1 2 7 2 3" xfId="20963" xr:uid="{A1D78650-268F-41EA-AD4C-06E1E7C530D5}"/>
    <cellStyle name="20% - Accent1 2 7 2 4" xfId="29398" xr:uid="{23256DBE-0755-420B-A024-9269D1F5E60B}"/>
    <cellStyle name="20% - Accent1 2 7 2 5" xfId="12525" xr:uid="{9DFF3120-BDE4-4F7F-A926-9E446ACEE7D0}"/>
    <cellStyle name="20% - Accent1 2 7 3" xfId="6159" xr:uid="{00000000-0005-0000-0000-00004E000000}"/>
    <cellStyle name="20% - Accent1 2 7 3 2" xfId="23036" xr:uid="{E76C2131-84AD-4B87-A9CC-E2F947645A5D}"/>
    <cellStyle name="20% - Accent1 2 7 3 3" xfId="31470" xr:uid="{DBBFE986-A876-4426-A0CE-DBA6DD54C65E}"/>
    <cellStyle name="20% - Accent1 2 7 3 4" xfId="14598" xr:uid="{2D50A7E9-7566-49A1-A6F6-4B630B12F4A0}"/>
    <cellStyle name="20% - Accent1 2 7 4" xfId="18818" xr:uid="{4CD8F4AB-06B8-47D8-B027-A2652320499A}"/>
    <cellStyle name="20% - Accent1 2 7 5" xfId="27253" xr:uid="{0F12FF8F-7B27-468D-AA20-CCBEF0E1E9AB}"/>
    <cellStyle name="20% - Accent1 2 7 6" xfId="10380" xr:uid="{ACDF8FDE-D650-44D8-8E17-AD5854B75DF9}"/>
    <cellStyle name="20% - Accent1 2 8" xfId="2265" xr:uid="{00000000-0005-0000-0000-00004F000000}"/>
    <cellStyle name="20% - Accent1 2 8 2" xfId="6572" xr:uid="{00000000-0005-0000-0000-000050000000}"/>
    <cellStyle name="20% - Accent1 2 8 2 2" xfId="23449" xr:uid="{C9B95D9C-69A4-4363-8522-0293E6951CA4}"/>
    <cellStyle name="20% - Accent1 2 8 2 3" xfId="31883" xr:uid="{660894A2-FEA6-428D-BA4D-843ADB9DBFA9}"/>
    <cellStyle name="20% - Accent1 2 8 2 4" xfId="15011" xr:uid="{29681D35-08B1-49B3-8F18-9E4A88A8A4A7}"/>
    <cellStyle name="20% - Accent1 2 8 3" xfId="19231" xr:uid="{28EEDDF0-F524-4064-ABCC-12BAF5947D2A}"/>
    <cellStyle name="20% - Accent1 2 8 4" xfId="27666" xr:uid="{6FAC78C8-FCE9-46F0-8599-DAB8683FC59C}"/>
    <cellStyle name="20% - Accent1 2 8 5" xfId="10793" xr:uid="{4C1EEFBE-9DC0-4B67-A2E4-11C2C65CFC31}"/>
    <cellStyle name="20% - Accent1 2 9" xfId="4506" xr:uid="{00000000-0005-0000-0000-000051000000}"/>
    <cellStyle name="20% - Accent1 2 9 2" xfId="21383" xr:uid="{E57746EC-F50E-41ED-9DB2-300903D765D8}"/>
    <cellStyle name="20% - Accent1 2 9 3" xfId="29817" xr:uid="{D6B7895D-307B-40D6-95A1-00DCA61050D2}"/>
    <cellStyle name="20% - Accent1 2 9 4" xfId="12945" xr:uid="{8C5CAED5-8B40-4867-9AD1-1BAB3E97305D}"/>
    <cellStyle name="20% - Accent1 3" xfId="6" xr:uid="{00000000-0005-0000-0000-000052000000}"/>
    <cellStyle name="20% - Accent1 3 10" xfId="25604" xr:uid="{C207AA8C-2563-4CD6-BEAA-9F9374AA6A3F}"/>
    <cellStyle name="20% - Accent1 3 11" xfId="8731" xr:uid="{BF1EC9D2-20C9-454D-8D73-3073A2D6B997}"/>
    <cellStyle name="20% - Accent1 3 2" xfId="7" xr:uid="{00000000-0005-0000-0000-000053000000}"/>
    <cellStyle name="20% - Accent1 3 2 10" xfId="8732" xr:uid="{2B640E84-F699-4128-8D3C-C31EEEF8C363}"/>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23947" xr:uid="{7EBCF5C8-BF88-435A-83E9-B36D54353AA5}"/>
    <cellStyle name="20% - Accent1 3 2 2 2 2 3" xfId="32381" xr:uid="{C2122A34-9BDA-4E37-8E02-1718002884EA}"/>
    <cellStyle name="20% - Accent1 3 2 2 2 2 4" xfId="15509" xr:uid="{40054EE4-7EE4-414C-9212-CF6B87427275}"/>
    <cellStyle name="20% - Accent1 3 2 2 2 3" xfId="19729" xr:uid="{D0EE2216-7605-4907-8999-7C8003FF29C2}"/>
    <cellStyle name="20% - Accent1 3 2 2 2 4" xfId="28164" xr:uid="{1CD0F2D8-CD33-42AF-BE8A-798CE14E8A22}"/>
    <cellStyle name="20% - Accent1 3 2 2 2 5" xfId="11291" xr:uid="{6FDE03CF-C91D-4631-9E4F-58AB8F67C395}"/>
    <cellStyle name="20% - Accent1 3 2 2 3" xfId="4925" xr:uid="{00000000-0005-0000-0000-000057000000}"/>
    <cellStyle name="20% - Accent1 3 2 2 3 2" xfId="21802" xr:uid="{566FCD11-BE01-42C3-B679-668382CEE729}"/>
    <cellStyle name="20% - Accent1 3 2 2 3 3" xfId="30236" xr:uid="{00C824C1-ACE6-4B3F-917B-517B89D3E2A2}"/>
    <cellStyle name="20% - Accent1 3 2 2 3 4" xfId="13364" xr:uid="{F3906D8C-2F09-40A6-8565-0EBB8DEBBE41}"/>
    <cellStyle name="20% - Accent1 3 2 2 4" xfId="17584" xr:uid="{D3589431-3F82-4F0B-A0C3-5A9EC912F5F5}"/>
    <cellStyle name="20% - Accent1 3 2 2 5" xfId="26019" xr:uid="{A8BD1AA2-8436-40D1-AABD-454AE1025109}"/>
    <cellStyle name="20% - Accent1 3 2 2 6" xfId="9146" xr:uid="{B0F6A926-A86F-46B9-9EBD-BF6F25B9B77E}"/>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24360" xr:uid="{DC66D5D3-9768-4EEA-936E-9AF365F11ECD}"/>
    <cellStyle name="20% - Accent1 3 2 3 2 2 3" xfId="32794" xr:uid="{FAAC32A3-20AC-4F3D-B555-794DC4E1A62D}"/>
    <cellStyle name="20% - Accent1 3 2 3 2 2 4" xfId="15922" xr:uid="{3F5C405C-3A36-4C0F-A5C5-D42757801036}"/>
    <cellStyle name="20% - Accent1 3 2 3 2 3" xfId="20142" xr:uid="{A746F367-217D-4EB5-BCB0-01276FA426D5}"/>
    <cellStyle name="20% - Accent1 3 2 3 2 4" xfId="28577" xr:uid="{EA533F1B-A51A-40F6-B127-588A1D1A7C7F}"/>
    <cellStyle name="20% - Accent1 3 2 3 2 5" xfId="11704" xr:uid="{C57E73E2-0B61-448D-9E87-B4B27B56EE42}"/>
    <cellStyle name="20% - Accent1 3 2 3 3" xfId="5338" xr:uid="{00000000-0005-0000-0000-00005B000000}"/>
    <cellStyle name="20% - Accent1 3 2 3 3 2" xfId="22215" xr:uid="{E3062B05-FA6C-4C99-878C-4D10CD52A037}"/>
    <cellStyle name="20% - Accent1 3 2 3 3 3" xfId="30649" xr:uid="{A53E8D74-08C3-423C-8299-D650C8033C06}"/>
    <cellStyle name="20% - Accent1 3 2 3 3 4" xfId="13777" xr:uid="{CAE9E139-10C6-4A0D-A724-3E55FEB9F84C}"/>
    <cellStyle name="20% - Accent1 3 2 3 4" xfId="17997" xr:uid="{4CA2A367-FD1D-4E3E-9939-13E2F1E0F966}"/>
    <cellStyle name="20% - Accent1 3 2 3 5" xfId="26432" xr:uid="{AEE796D1-BBBE-455B-AFD2-5185FE85A630}"/>
    <cellStyle name="20% - Accent1 3 2 3 6" xfId="9559" xr:uid="{6B32CE78-E0BD-40C9-9322-978FF77E3272}"/>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24773" xr:uid="{9BB501B8-B5E5-4BC9-869E-E9299AA3FCB5}"/>
    <cellStyle name="20% - Accent1 3 2 4 2 2 3" xfId="33207" xr:uid="{0C50E186-7004-4998-A61A-75A082F3DEB2}"/>
    <cellStyle name="20% - Accent1 3 2 4 2 2 4" xfId="16335" xr:uid="{A7D195D7-4900-41A2-AEF5-CF1226B5B6C4}"/>
    <cellStyle name="20% - Accent1 3 2 4 2 3" xfId="20555" xr:uid="{2E726C90-591A-4B77-B193-6EB06489EF2F}"/>
    <cellStyle name="20% - Accent1 3 2 4 2 4" xfId="28990" xr:uid="{ACD372BF-83F5-4A0A-BE12-189C8B764E13}"/>
    <cellStyle name="20% - Accent1 3 2 4 2 5" xfId="12117" xr:uid="{9A2FD3E5-5BD0-4086-9154-AF05C96F3F87}"/>
    <cellStyle name="20% - Accent1 3 2 4 3" xfId="5751" xr:uid="{00000000-0005-0000-0000-00005F000000}"/>
    <cellStyle name="20% - Accent1 3 2 4 3 2" xfId="22628" xr:uid="{63A67F3C-6F0D-4FFA-9D31-86C20F1A317A}"/>
    <cellStyle name="20% - Accent1 3 2 4 3 3" xfId="31062" xr:uid="{C7BCA50B-DDD9-4E6D-B8AB-F1C614507E66}"/>
    <cellStyle name="20% - Accent1 3 2 4 3 4" xfId="14190" xr:uid="{880B4ECE-9BE8-42FD-B778-BAB08904F9B0}"/>
    <cellStyle name="20% - Accent1 3 2 4 4" xfId="18410" xr:uid="{92119D8F-18DC-4E01-B5E1-BB699B1651A9}"/>
    <cellStyle name="20% - Accent1 3 2 4 5" xfId="26845" xr:uid="{BCFCA414-5F5A-4829-BFF8-0683BFA1BB64}"/>
    <cellStyle name="20% - Accent1 3 2 4 6" xfId="9972" xr:uid="{CF8CCD3C-0647-460C-8442-C75DCAE9B0D4}"/>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25186" xr:uid="{733034D7-C3BC-4CC8-B9EA-73F7DD3C3D99}"/>
    <cellStyle name="20% - Accent1 3 2 5 2 2 3" xfId="33620" xr:uid="{DE3B1EE8-A18B-4632-AB95-65F53C106F65}"/>
    <cellStyle name="20% - Accent1 3 2 5 2 2 4" xfId="16748" xr:uid="{E534D312-14F7-4ADC-998E-0F536B67867C}"/>
    <cellStyle name="20% - Accent1 3 2 5 2 3" xfId="20968" xr:uid="{E336CE01-7E59-47D4-99C3-6B341942E4F8}"/>
    <cellStyle name="20% - Accent1 3 2 5 2 4" xfId="29403" xr:uid="{B73C1EF9-7758-4695-B6C2-177241026D42}"/>
    <cellStyle name="20% - Accent1 3 2 5 2 5" xfId="12530" xr:uid="{39EB67CE-47BA-4452-8E80-6ED68981DADF}"/>
    <cellStyle name="20% - Accent1 3 2 5 3" xfId="6164" xr:uid="{00000000-0005-0000-0000-000063000000}"/>
    <cellStyle name="20% - Accent1 3 2 5 3 2" xfId="23041" xr:uid="{A780E7B1-E15B-4D3B-9BD3-967DCAB200B3}"/>
    <cellStyle name="20% - Accent1 3 2 5 3 3" xfId="31475" xr:uid="{7B495F53-9792-4621-9BE4-96DD4A7E94A4}"/>
    <cellStyle name="20% - Accent1 3 2 5 3 4" xfId="14603" xr:uid="{5887F7B2-43FA-463E-93C0-18FD80585BC6}"/>
    <cellStyle name="20% - Accent1 3 2 5 4" xfId="18823" xr:uid="{5B765F5C-22CF-43D4-A039-93E85DD3C89E}"/>
    <cellStyle name="20% - Accent1 3 2 5 5" xfId="27258" xr:uid="{96167CCD-71D3-460F-B220-962C946D291E}"/>
    <cellStyle name="20% - Accent1 3 2 5 6" xfId="10385" xr:uid="{8C0D24AC-DA6B-44CA-8DDA-6C31752B32FE}"/>
    <cellStyle name="20% - Accent1 3 2 6" xfId="2270" xr:uid="{00000000-0005-0000-0000-000064000000}"/>
    <cellStyle name="20% - Accent1 3 2 6 2" xfId="6577" xr:uid="{00000000-0005-0000-0000-000065000000}"/>
    <cellStyle name="20% - Accent1 3 2 6 2 2" xfId="23454" xr:uid="{1DDD44EB-FE68-4FD3-8E77-32B85BAC749C}"/>
    <cellStyle name="20% - Accent1 3 2 6 2 3" xfId="31888" xr:uid="{6A07AE44-39EF-4069-AD52-57D19136B8B2}"/>
    <cellStyle name="20% - Accent1 3 2 6 2 4" xfId="15016" xr:uid="{41633A20-7416-473B-9090-F7EB3980DFED}"/>
    <cellStyle name="20% - Accent1 3 2 6 3" xfId="19236" xr:uid="{B7398489-187C-46E5-A574-6D81B715386B}"/>
    <cellStyle name="20% - Accent1 3 2 6 4" xfId="27671" xr:uid="{C7A59E5F-37AA-41C3-9DDC-A02B76ADEA68}"/>
    <cellStyle name="20% - Accent1 3 2 6 5" xfId="10798" xr:uid="{FC7BF508-87A5-4488-9B0D-66D7B41C9090}"/>
    <cellStyle name="20% - Accent1 3 2 7" xfId="4511" xr:uid="{00000000-0005-0000-0000-000066000000}"/>
    <cellStyle name="20% - Accent1 3 2 7 2" xfId="21388" xr:uid="{98C13F87-CDD6-48C7-8D39-B10C3DD034F2}"/>
    <cellStyle name="20% - Accent1 3 2 7 3" xfId="29822" xr:uid="{1CEBCF71-D410-4B44-B94A-4D5348318A84}"/>
    <cellStyle name="20% - Accent1 3 2 7 4" xfId="12950" xr:uid="{47C18CE0-7BFE-4247-AD68-FCF689D13889}"/>
    <cellStyle name="20% - Accent1 3 2 8" xfId="17170" xr:uid="{45A97CD2-D12D-43CD-9901-19DB05EF8BDC}"/>
    <cellStyle name="20% - Accent1 3 2 9" xfId="25605" xr:uid="{37B94BEE-E283-4D82-A0C1-44D55FCE8A86}"/>
    <cellStyle name="20% - Accent1 3 3" xfId="575" xr:uid="{00000000-0005-0000-0000-000067000000}"/>
    <cellStyle name="20% - Accent1 3 3 2" xfId="2846" xr:uid="{00000000-0005-0000-0000-000068000000}"/>
    <cellStyle name="20% - Accent1 3 3 2 2" xfId="7069" xr:uid="{00000000-0005-0000-0000-000069000000}"/>
    <cellStyle name="20% - Accent1 3 3 2 2 2" xfId="23946" xr:uid="{CC41313A-57A5-41B6-8BDF-A372C40A0BFC}"/>
    <cellStyle name="20% - Accent1 3 3 2 2 3" xfId="32380" xr:uid="{BABA3C5C-C13E-4C89-A9B2-FF16635397D7}"/>
    <cellStyle name="20% - Accent1 3 3 2 2 4" xfId="15508" xr:uid="{BF6891D8-41E7-4B4D-AFA7-4889BCFBBD60}"/>
    <cellStyle name="20% - Accent1 3 3 2 3" xfId="19728" xr:uid="{E2FD4C88-EF02-4B03-AF01-65685EBF0F29}"/>
    <cellStyle name="20% - Accent1 3 3 2 4" xfId="28163" xr:uid="{09B19642-3199-4099-80D0-086211D06CF3}"/>
    <cellStyle name="20% - Accent1 3 3 2 5" xfId="11290" xr:uid="{8AF1E0CC-AAD2-4203-B45B-829F8EB64A3C}"/>
    <cellStyle name="20% - Accent1 3 3 3" xfId="4924" xr:uid="{00000000-0005-0000-0000-00006A000000}"/>
    <cellStyle name="20% - Accent1 3 3 3 2" xfId="21801" xr:uid="{9E4FDAC5-7E45-47E4-BA95-6768FD4029FA}"/>
    <cellStyle name="20% - Accent1 3 3 3 3" xfId="30235" xr:uid="{ECAEABB7-F00A-473E-8038-D5A6E9FBDDB4}"/>
    <cellStyle name="20% - Accent1 3 3 3 4" xfId="13363" xr:uid="{CBE0B662-D6C9-4F5B-9F04-2EBC0C678E11}"/>
    <cellStyle name="20% - Accent1 3 3 4" xfId="17583" xr:uid="{C36260B1-55ED-4FA7-8F9D-DA167F97FEF9}"/>
    <cellStyle name="20% - Accent1 3 3 5" xfId="26018" xr:uid="{9048E64E-D798-452A-86B4-27FD9B5661C9}"/>
    <cellStyle name="20% - Accent1 3 3 6" xfId="9145" xr:uid="{609B90D6-34B8-47EA-A525-0C8533EA5BF9}"/>
    <cellStyle name="20% - Accent1 3 4" xfId="1028" xr:uid="{00000000-0005-0000-0000-00006B000000}"/>
    <cellStyle name="20% - Accent1 3 4 2" xfId="3259" xr:uid="{00000000-0005-0000-0000-00006C000000}"/>
    <cellStyle name="20% - Accent1 3 4 2 2" xfId="7482" xr:uid="{00000000-0005-0000-0000-00006D000000}"/>
    <cellStyle name="20% - Accent1 3 4 2 2 2" xfId="24359" xr:uid="{D3E348CC-4083-43CE-AED2-996DA5D4C677}"/>
    <cellStyle name="20% - Accent1 3 4 2 2 3" xfId="32793" xr:uid="{48233978-E0AC-41D5-A2C6-F6367856E24A}"/>
    <cellStyle name="20% - Accent1 3 4 2 2 4" xfId="15921" xr:uid="{A7C3BB88-BDCD-4B5E-A7BC-9BCB23A0BE76}"/>
    <cellStyle name="20% - Accent1 3 4 2 3" xfId="20141" xr:uid="{C428A5B7-E8F3-40D3-9ED0-23AA79F75855}"/>
    <cellStyle name="20% - Accent1 3 4 2 4" xfId="28576" xr:uid="{E9120E35-68AE-4D5B-B9AE-9FF90F9684AA}"/>
    <cellStyle name="20% - Accent1 3 4 2 5" xfId="11703" xr:uid="{CEE0B5A8-748E-499A-98B7-FF4A3A3CEB1C}"/>
    <cellStyle name="20% - Accent1 3 4 3" xfId="5337" xr:uid="{00000000-0005-0000-0000-00006E000000}"/>
    <cellStyle name="20% - Accent1 3 4 3 2" xfId="22214" xr:uid="{D1A5277C-836A-4924-A955-AE8896D8F784}"/>
    <cellStyle name="20% - Accent1 3 4 3 3" xfId="30648" xr:uid="{867C9A9A-AE5B-42E3-B620-AFCBD8A1E968}"/>
    <cellStyle name="20% - Accent1 3 4 3 4" xfId="13776" xr:uid="{90BE1141-2D32-46E0-B005-7B7ECD328F34}"/>
    <cellStyle name="20% - Accent1 3 4 4" xfId="17996" xr:uid="{B63175D3-85CB-45B0-B91B-03B966B55EF1}"/>
    <cellStyle name="20% - Accent1 3 4 5" xfId="26431" xr:uid="{E9CEA345-2ADC-4ECE-8320-0BF36B79F568}"/>
    <cellStyle name="20% - Accent1 3 4 6" xfId="9558" xr:uid="{23CE0925-F70C-419B-9C94-67D1404EB6B8}"/>
    <cellStyle name="20% - Accent1 3 5" xfId="1442" xr:uid="{00000000-0005-0000-0000-00006F000000}"/>
    <cellStyle name="20% - Accent1 3 5 2" xfId="3672" xr:uid="{00000000-0005-0000-0000-000070000000}"/>
    <cellStyle name="20% - Accent1 3 5 2 2" xfId="7895" xr:uid="{00000000-0005-0000-0000-000071000000}"/>
    <cellStyle name="20% - Accent1 3 5 2 2 2" xfId="24772" xr:uid="{6B12B5D8-EDAB-46B1-BAFE-9E01F4938B5B}"/>
    <cellStyle name="20% - Accent1 3 5 2 2 3" xfId="33206" xr:uid="{A4D27E65-6200-4B5A-BD80-277E4CBD6AEA}"/>
    <cellStyle name="20% - Accent1 3 5 2 2 4" xfId="16334" xr:uid="{6476958F-A5EB-4114-833E-7572014B8653}"/>
    <cellStyle name="20% - Accent1 3 5 2 3" xfId="20554" xr:uid="{A7827FE5-7849-4B9A-9828-668BEF7E30BD}"/>
    <cellStyle name="20% - Accent1 3 5 2 4" xfId="28989" xr:uid="{8D61F7E9-D49F-4F6B-95DA-BA2A9D465D20}"/>
    <cellStyle name="20% - Accent1 3 5 2 5" xfId="12116" xr:uid="{DC1FEDFA-3A36-463F-BFD4-9CAF026DDDB9}"/>
    <cellStyle name="20% - Accent1 3 5 3" xfId="5750" xr:uid="{00000000-0005-0000-0000-000072000000}"/>
    <cellStyle name="20% - Accent1 3 5 3 2" xfId="22627" xr:uid="{F991BFB1-C7F2-4ACF-874A-D2B914867D3D}"/>
    <cellStyle name="20% - Accent1 3 5 3 3" xfId="31061" xr:uid="{DB01F745-A839-4D94-B40C-1A5D6FE95563}"/>
    <cellStyle name="20% - Accent1 3 5 3 4" xfId="14189" xr:uid="{765A1127-78EB-4ADD-84F6-8CDD7D796FC8}"/>
    <cellStyle name="20% - Accent1 3 5 4" xfId="18409" xr:uid="{9120570D-5F1C-4BD2-98F0-0B97DA8FE727}"/>
    <cellStyle name="20% - Accent1 3 5 5" xfId="26844" xr:uid="{9C506442-6454-4A5A-BC0A-96B1E7323017}"/>
    <cellStyle name="20% - Accent1 3 5 6" xfId="9971" xr:uid="{D6C31890-EA40-45DA-88DE-AEF45B2537BC}"/>
    <cellStyle name="20% - Accent1 3 6" xfId="1856" xr:uid="{00000000-0005-0000-0000-000073000000}"/>
    <cellStyle name="20% - Accent1 3 6 2" xfId="4085" xr:uid="{00000000-0005-0000-0000-000074000000}"/>
    <cellStyle name="20% - Accent1 3 6 2 2" xfId="8308" xr:uid="{00000000-0005-0000-0000-000075000000}"/>
    <cellStyle name="20% - Accent1 3 6 2 2 2" xfId="25185" xr:uid="{F2551E1A-102A-47C0-AC7F-F855796DD6F9}"/>
    <cellStyle name="20% - Accent1 3 6 2 2 3" xfId="33619" xr:uid="{129EC57B-A0A0-4D60-BEC9-DBC8A9326F91}"/>
    <cellStyle name="20% - Accent1 3 6 2 2 4" xfId="16747" xr:uid="{C3ACDADA-0B5D-41F6-B013-A16D0A218FDF}"/>
    <cellStyle name="20% - Accent1 3 6 2 3" xfId="20967" xr:uid="{3AF89CC8-2661-4271-86BD-F483ED47378B}"/>
    <cellStyle name="20% - Accent1 3 6 2 4" xfId="29402" xr:uid="{3136F7F2-1950-490A-B369-BC743981D929}"/>
    <cellStyle name="20% - Accent1 3 6 2 5" xfId="12529" xr:uid="{64D3DA76-03C1-4517-B24C-25B7BBC97557}"/>
    <cellStyle name="20% - Accent1 3 6 3" xfId="6163" xr:uid="{00000000-0005-0000-0000-000076000000}"/>
    <cellStyle name="20% - Accent1 3 6 3 2" xfId="23040" xr:uid="{A82AF76F-7D86-4656-BBD1-1B19252DA26B}"/>
    <cellStyle name="20% - Accent1 3 6 3 3" xfId="31474" xr:uid="{50781078-C370-4AE1-A561-F4E6F6ADCDFD}"/>
    <cellStyle name="20% - Accent1 3 6 3 4" xfId="14602" xr:uid="{8D52D521-244E-4B24-8D8F-6AE2278ECCD0}"/>
    <cellStyle name="20% - Accent1 3 6 4" xfId="18822" xr:uid="{693FB394-3BC4-411A-A1D5-B078DF3C05CC}"/>
    <cellStyle name="20% - Accent1 3 6 5" xfId="27257" xr:uid="{263384D0-86A8-4F7C-A9BF-543937EDFF45}"/>
    <cellStyle name="20% - Accent1 3 6 6" xfId="10384" xr:uid="{8FD5B3B0-633F-4AE2-AB27-78439AFC5AFC}"/>
    <cellStyle name="20% - Accent1 3 7" xfId="2269" xr:uid="{00000000-0005-0000-0000-000077000000}"/>
    <cellStyle name="20% - Accent1 3 7 2" xfId="6576" xr:uid="{00000000-0005-0000-0000-000078000000}"/>
    <cellStyle name="20% - Accent1 3 7 2 2" xfId="23453" xr:uid="{DD4F2C5E-E59A-4715-9BFD-CC02F2E9A812}"/>
    <cellStyle name="20% - Accent1 3 7 2 3" xfId="31887" xr:uid="{35396D2E-6B42-4E30-8D34-33ACE13B39B2}"/>
    <cellStyle name="20% - Accent1 3 7 2 4" xfId="15015" xr:uid="{6352C88B-63B3-4D05-B46B-6F116DAADCBB}"/>
    <cellStyle name="20% - Accent1 3 7 3" xfId="19235" xr:uid="{988C9EF7-21A2-4502-AB7C-94A160A8C81D}"/>
    <cellStyle name="20% - Accent1 3 7 4" xfId="27670" xr:uid="{40EF6AA4-B8F9-4D21-8FB9-2C1760178309}"/>
    <cellStyle name="20% - Accent1 3 7 5" xfId="10797" xr:uid="{286ABEAF-FEE2-45FB-96C0-62B9BB0965D9}"/>
    <cellStyle name="20% - Accent1 3 8" xfId="4510" xr:uid="{00000000-0005-0000-0000-000079000000}"/>
    <cellStyle name="20% - Accent1 3 8 2" xfId="21387" xr:uid="{C980772B-B197-47F9-9EF8-24378B31E74D}"/>
    <cellStyle name="20% - Accent1 3 8 3" xfId="29821" xr:uid="{3ADD60B3-0EF9-4921-9E17-4A06009FCCB5}"/>
    <cellStyle name="20% - Accent1 3 8 4" xfId="12949" xr:uid="{3D28D1D6-5028-4A16-B88E-434138BA9E9D}"/>
    <cellStyle name="20% - Accent1 3 9" xfId="17169" xr:uid="{EA41C720-5B65-424F-B948-FBAD96AAC643}"/>
    <cellStyle name="20% - Accent1 4" xfId="8" xr:uid="{00000000-0005-0000-0000-00007A000000}"/>
    <cellStyle name="20% - Accent1 4 10" xfId="8733" xr:uid="{CCF5D1C9-48BF-4018-A2B1-5DE22A7C7FA7}"/>
    <cellStyle name="20% - Accent1 4 2" xfId="577" xr:uid="{00000000-0005-0000-0000-00007B000000}"/>
    <cellStyle name="20% - Accent1 4 2 2" xfId="2848" xr:uid="{00000000-0005-0000-0000-00007C000000}"/>
    <cellStyle name="20% - Accent1 4 2 2 2" xfId="7071" xr:uid="{00000000-0005-0000-0000-00007D000000}"/>
    <cellStyle name="20% - Accent1 4 2 2 2 2" xfId="23948" xr:uid="{8558CECB-95C2-4066-9DD7-549D52AB6C35}"/>
    <cellStyle name="20% - Accent1 4 2 2 2 3" xfId="32382" xr:uid="{EC977B06-8D83-48E6-B41D-666B25D7F264}"/>
    <cellStyle name="20% - Accent1 4 2 2 2 4" xfId="15510" xr:uid="{52186C1E-7B40-4907-A8A2-5016A8D2AE54}"/>
    <cellStyle name="20% - Accent1 4 2 2 3" xfId="19730" xr:uid="{0C47FC23-A7F0-42A7-85C8-01ECA7414E0C}"/>
    <cellStyle name="20% - Accent1 4 2 2 4" xfId="28165" xr:uid="{C40FE9D7-3145-41EC-A630-DB05B69A6A45}"/>
    <cellStyle name="20% - Accent1 4 2 2 5" xfId="11292" xr:uid="{7B96687E-5C37-4431-B294-DC390F919A28}"/>
    <cellStyle name="20% - Accent1 4 2 3" xfId="4926" xr:uid="{00000000-0005-0000-0000-00007E000000}"/>
    <cellStyle name="20% - Accent1 4 2 3 2" xfId="21803" xr:uid="{0F4DF041-9869-4B5A-B7BA-1CCB67D0836B}"/>
    <cellStyle name="20% - Accent1 4 2 3 3" xfId="30237" xr:uid="{3663B1D0-ED66-4011-B44C-AE49569D69E6}"/>
    <cellStyle name="20% - Accent1 4 2 3 4" xfId="13365" xr:uid="{A164B54B-2B21-49A9-A042-38E2F4FA2955}"/>
    <cellStyle name="20% - Accent1 4 2 4" xfId="17585" xr:uid="{36404FDE-9701-4412-BEC1-477CC7A522D3}"/>
    <cellStyle name="20% - Accent1 4 2 5" xfId="26020" xr:uid="{5AFDA402-DF5F-42C7-9E2C-9274F0FFE7D2}"/>
    <cellStyle name="20% - Accent1 4 2 6" xfId="9147" xr:uid="{5F124907-58E5-417C-98A0-C48576FBA6DC}"/>
    <cellStyle name="20% - Accent1 4 3" xfId="1030" xr:uid="{00000000-0005-0000-0000-00007F000000}"/>
    <cellStyle name="20% - Accent1 4 3 2" xfId="3261" xr:uid="{00000000-0005-0000-0000-000080000000}"/>
    <cellStyle name="20% - Accent1 4 3 2 2" xfId="7484" xr:uid="{00000000-0005-0000-0000-000081000000}"/>
    <cellStyle name="20% - Accent1 4 3 2 2 2" xfId="24361" xr:uid="{632AD3A1-F9BA-40C6-BC88-FC2120F36595}"/>
    <cellStyle name="20% - Accent1 4 3 2 2 3" xfId="32795" xr:uid="{1EB249D0-ABCB-4A8E-9A62-19382F77C16D}"/>
    <cellStyle name="20% - Accent1 4 3 2 2 4" xfId="15923" xr:uid="{A806296E-852A-4E9D-8E5D-537757A5D7B7}"/>
    <cellStyle name="20% - Accent1 4 3 2 3" xfId="20143" xr:uid="{ED99C03F-2552-4FF8-A043-B36A4CDAF8CD}"/>
    <cellStyle name="20% - Accent1 4 3 2 4" xfId="28578" xr:uid="{CF94EE8A-7FA1-40BB-B4F5-7F08626F55AE}"/>
    <cellStyle name="20% - Accent1 4 3 2 5" xfId="11705" xr:uid="{56A8AF43-C1E6-488E-9F0C-0B111C23487A}"/>
    <cellStyle name="20% - Accent1 4 3 3" xfId="5339" xr:uid="{00000000-0005-0000-0000-000082000000}"/>
    <cellStyle name="20% - Accent1 4 3 3 2" xfId="22216" xr:uid="{6F40F052-0059-4C25-8C67-C7CD741D0509}"/>
    <cellStyle name="20% - Accent1 4 3 3 3" xfId="30650" xr:uid="{C61E6D33-ED39-483D-B49D-30D2D1622450}"/>
    <cellStyle name="20% - Accent1 4 3 3 4" xfId="13778" xr:uid="{904AD12D-A52F-4B0E-8E60-5084BF4BB98A}"/>
    <cellStyle name="20% - Accent1 4 3 4" xfId="17998" xr:uid="{FB6CAFAF-9FED-4BF5-9B6D-A307BE4D71BE}"/>
    <cellStyle name="20% - Accent1 4 3 5" xfId="26433" xr:uid="{EA94B5BC-AC86-4D6C-B462-68DD3FA44054}"/>
    <cellStyle name="20% - Accent1 4 3 6" xfId="9560" xr:uid="{4BD7404B-EFAA-4027-BBE5-4BB8B5C1AA71}"/>
    <cellStyle name="20% - Accent1 4 4" xfId="1444" xr:uid="{00000000-0005-0000-0000-000083000000}"/>
    <cellStyle name="20% - Accent1 4 4 2" xfId="3674" xr:uid="{00000000-0005-0000-0000-000084000000}"/>
    <cellStyle name="20% - Accent1 4 4 2 2" xfId="7897" xr:uid="{00000000-0005-0000-0000-000085000000}"/>
    <cellStyle name="20% - Accent1 4 4 2 2 2" xfId="24774" xr:uid="{2E75FC15-6FB6-4793-ABD4-1FD524CD3AEC}"/>
    <cellStyle name="20% - Accent1 4 4 2 2 3" xfId="33208" xr:uid="{A00084DF-8263-4084-A8E6-46BB69629D1D}"/>
    <cellStyle name="20% - Accent1 4 4 2 2 4" xfId="16336" xr:uid="{349DDBD4-85A5-4901-91F9-78BC690C8F60}"/>
    <cellStyle name="20% - Accent1 4 4 2 3" xfId="20556" xr:uid="{D33E8154-B795-45D3-93C0-5ECCD19FA4AF}"/>
    <cellStyle name="20% - Accent1 4 4 2 4" xfId="28991" xr:uid="{EC248C96-D473-4244-A44C-C52899BCF16F}"/>
    <cellStyle name="20% - Accent1 4 4 2 5" xfId="12118" xr:uid="{AE62D1DD-AB51-49DE-994B-851359CDD411}"/>
    <cellStyle name="20% - Accent1 4 4 3" xfId="5752" xr:uid="{00000000-0005-0000-0000-000086000000}"/>
    <cellStyle name="20% - Accent1 4 4 3 2" xfId="22629" xr:uid="{17C076A8-BC82-4917-914A-A2BBE1C5D269}"/>
    <cellStyle name="20% - Accent1 4 4 3 3" xfId="31063" xr:uid="{E816C5C5-0D46-4CE7-ADB7-1BF4120231DC}"/>
    <cellStyle name="20% - Accent1 4 4 3 4" xfId="14191" xr:uid="{EC1A94E1-AA24-4FEF-84FF-6B86A56493F8}"/>
    <cellStyle name="20% - Accent1 4 4 4" xfId="18411" xr:uid="{4AF4340F-8A73-464D-94C3-2CFB92909B25}"/>
    <cellStyle name="20% - Accent1 4 4 5" xfId="26846" xr:uid="{9E929956-A506-427E-86CD-D1A56ABF7568}"/>
    <cellStyle name="20% - Accent1 4 4 6" xfId="9973" xr:uid="{0B06123E-A3FA-4912-B061-599025ECEE33}"/>
    <cellStyle name="20% - Accent1 4 5" xfId="1858" xr:uid="{00000000-0005-0000-0000-000087000000}"/>
    <cellStyle name="20% - Accent1 4 5 2" xfId="4087" xr:uid="{00000000-0005-0000-0000-000088000000}"/>
    <cellStyle name="20% - Accent1 4 5 2 2" xfId="8310" xr:uid="{00000000-0005-0000-0000-000089000000}"/>
    <cellStyle name="20% - Accent1 4 5 2 2 2" xfId="25187" xr:uid="{748D11E2-7C62-4B8B-89F6-959FB2149E8A}"/>
    <cellStyle name="20% - Accent1 4 5 2 2 3" xfId="33621" xr:uid="{A42BA23B-0FD5-490B-9114-B593405901E1}"/>
    <cellStyle name="20% - Accent1 4 5 2 2 4" xfId="16749" xr:uid="{6A5F222B-3014-4742-B3A5-CA7CD20CA81E}"/>
    <cellStyle name="20% - Accent1 4 5 2 3" xfId="20969" xr:uid="{71476DD7-2D7F-40C0-A478-701757E1F39F}"/>
    <cellStyle name="20% - Accent1 4 5 2 4" xfId="29404" xr:uid="{9BE3908A-204E-471E-802B-834CBD3A8AAD}"/>
    <cellStyle name="20% - Accent1 4 5 2 5" xfId="12531" xr:uid="{522CE49C-01ED-4E45-A529-01867E686C9F}"/>
    <cellStyle name="20% - Accent1 4 5 3" xfId="6165" xr:uid="{00000000-0005-0000-0000-00008A000000}"/>
    <cellStyle name="20% - Accent1 4 5 3 2" xfId="23042" xr:uid="{F587D540-4861-4ABA-AAC1-41B53027ABAE}"/>
    <cellStyle name="20% - Accent1 4 5 3 3" xfId="31476" xr:uid="{789792FF-F23D-4E86-8E63-A64BA73B2172}"/>
    <cellStyle name="20% - Accent1 4 5 3 4" xfId="14604" xr:uid="{A73010DB-0271-4602-B3CA-004851CB31EE}"/>
    <cellStyle name="20% - Accent1 4 5 4" xfId="18824" xr:uid="{2626EAA0-5C37-4ECB-B67A-35CE73D446E4}"/>
    <cellStyle name="20% - Accent1 4 5 5" xfId="27259" xr:uid="{6A8FAE54-A79D-4AB1-AA77-C343013F1CFB}"/>
    <cellStyle name="20% - Accent1 4 5 6" xfId="10386" xr:uid="{87548578-9CCB-4EB5-B763-3ABC90510FE1}"/>
    <cellStyle name="20% - Accent1 4 6" xfId="2271" xr:uid="{00000000-0005-0000-0000-00008B000000}"/>
    <cellStyle name="20% - Accent1 4 6 2" xfId="6578" xr:uid="{00000000-0005-0000-0000-00008C000000}"/>
    <cellStyle name="20% - Accent1 4 6 2 2" xfId="23455" xr:uid="{991A8FFA-8AB7-41ED-929C-BE72806E6B0D}"/>
    <cellStyle name="20% - Accent1 4 6 2 3" xfId="31889" xr:uid="{A966A87C-7732-4BE0-8FED-3CED2F2B5906}"/>
    <cellStyle name="20% - Accent1 4 6 2 4" xfId="15017" xr:uid="{84C55A57-D6C1-4E46-8D4A-59E0F4EF3C2D}"/>
    <cellStyle name="20% - Accent1 4 6 3" xfId="19237" xr:uid="{A5D572E8-FF8C-40DA-AE5F-D16053FB1495}"/>
    <cellStyle name="20% - Accent1 4 6 4" xfId="27672" xr:uid="{4459FF08-0D5F-4AC1-9004-E584830B36EA}"/>
    <cellStyle name="20% - Accent1 4 6 5" xfId="10799" xr:uid="{FCBF8221-A77C-4309-B9F4-81A6AB9BFF38}"/>
    <cellStyle name="20% - Accent1 4 7" xfId="4512" xr:uid="{00000000-0005-0000-0000-00008D000000}"/>
    <cellStyle name="20% - Accent1 4 7 2" xfId="21389" xr:uid="{153704C1-756F-454B-B0FE-2E9778A34961}"/>
    <cellStyle name="20% - Accent1 4 7 3" xfId="29823" xr:uid="{C76F97CC-8149-4A6E-AC13-C5044186C79A}"/>
    <cellStyle name="20% - Accent1 4 7 4" xfId="12951" xr:uid="{B0C61BF7-F8A2-4EE9-AADB-93439E1B5CAF}"/>
    <cellStyle name="20% - Accent1 4 8" xfId="17171" xr:uid="{BA3D349E-BB3D-4D7A-B028-839E8AE3A1CA}"/>
    <cellStyle name="20% - Accent1 4 9" xfId="25606" xr:uid="{F0A82C2B-AEB1-4717-B262-6961431ED139}"/>
    <cellStyle name="20% - Accent1 5" xfId="570" xr:uid="{00000000-0005-0000-0000-00008E000000}"/>
    <cellStyle name="20% - Accent1 5 2" xfId="2841" xr:uid="{00000000-0005-0000-0000-00008F000000}"/>
    <cellStyle name="20% - Accent1 5 2 2" xfId="7064" xr:uid="{00000000-0005-0000-0000-000090000000}"/>
    <cellStyle name="20% - Accent1 5 2 2 2" xfId="23941" xr:uid="{492125DB-4CA7-4E8D-9D54-6C04B615BE9A}"/>
    <cellStyle name="20% - Accent1 5 2 2 3" xfId="32375" xr:uid="{DC298A2C-7A5A-425B-A8B2-549B500D0310}"/>
    <cellStyle name="20% - Accent1 5 2 2 4" xfId="15503" xr:uid="{A83E1EEC-E7CF-4FA2-8239-AFFB95B6DABA}"/>
    <cellStyle name="20% - Accent1 5 2 3" xfId="19723" xr:uid="{E369C09A-0068-49F7-B4B2-61C8C8A11705}"/>
    <cellStyle name="20% - Accent1 5 2 4" xfId="28158" xr:uid="{4A00BB63-5604-4090-A567-B277596AA012}"/>
    <cellStyle name="20% - Accent1 5 2 5" xfId="11285" xr:uid="{00140E01-0BE3-499E-862F-4106A4915774}"/>
    <cellStyle name="20% - Accent1 5 3" xfId="4919" xr:uid="{00000000-0005-0000-0000-000091000000}"/>
    <cellStyle name="20% - Accent1 5 3 2" xfId="21796" xr:uid="{C9AD5E28-1ECE-4891-94F2-6576CF937087}"/>
    <cellStyle name="20% - Accent1 5 3 3" xfId="30230" xr:uid="{A66CD527-1AC7-4586-B3E1-49F63145A5E2}"/>
    <cellStyle name="20% - Accent1 5 3 4" xfId="13358" xr:uid="{BB04B03D-AC09-4411-9483-271E6BE23CFE}"/>
    <cellStyle name="20% - Accent1 5 4" xfId="17578" xr:uid="{B4A54E3B-73B7-4F82-AFDD-27A64FAD0F8B}"/>
    <cellStyle name="20% - Accent1 5 5" xfId="26013" xr:uid="{8DB40C98-53AC-4E85-A77F-2C8598DB0310}"/>
    <cellStyle name="20% - Accent1 5 6" xfId="9140" xr:uid="{D93FF79B-45EB-470A-8DEB-B6227745D07D}"/>
    <cellStyle name="20% - Accent1 6" xfId="1023" xr:uid="{00000000-0005-0000-0000-000092000000}"/>
    <cellStyle name="20% - Accent1 6 2" xfId="3254" xr:uid="{00000000-0005-0000-0000-000093000000}"/>
    <cellStyle name="20% - Accent1 6 2 2" xfId="7477" xr:uid="{00000000-0005-0000-0000-000094000000}"/>
    <cellStyle name="20% - Accent1 6 2 2 2" xfId="24354" xr:uid="{6D891F19-06A1-4B2E-9CB5-C9E55730D9D4}"/>
    <cellStyle name="20% - Accent1 6 2 2 3" xfId="32788" xr:uid="{08211DA1-9A5D-4ED4-9E58-0D11A65C6662}"/>
    <cellStyle name="20% - Accent1 6 2 2 4" xfId="15916" xr:uid="{1D43F8D6-D6C2-4618-B93D-E628500D6CCB}"/>
    <cellStyle name="20% - Accent1 6 2 3" xfId="20136" xr:uid="{27C2C409-9EB5-4228-BF90-74997A7E27A0}"/>
    <cellStyle name="20% - Accent1 6 2 4" xfId="28571" xr:uid="{8A5504C3-BC91-40B8-9EF2-1492C11BFDC3}"/>
    <cellStyle name="20% - Accent1 6 2 5" xfId="11698" xr:uid="{1ADEE36B-A206-4453-838A-139702E9E7D1}"/>
    <cellStyle name="20% - Accent1 6 3" xfId="5332" xr:uid="{00000000-0005-0000-0000-000095000000}"/>
    <cellStyle name="20% - Accent1 6 3 2" xfId="22209" xr:uid="{92E52FFA-8352-4A1B-BD8D-357C77C0A570}"/>
    <cellStyle name="20% - Accent1 6 3 3" xfId="30643" xr:uid="{731502F3-D33A-4569-8F13-9F2C5CE9E765}"/>
    <cellStyle name="20% - Accent1 6 3 4" xfId="13771" xr:uid="{C56E74A3-DF28-4A25-A72C-2DC8EBBE3A0E}"/>
    <cellStyle name="20% - Accent1 6 4" xfId="17991" xr:uid="{92D2355A-052C-4634-909B-8F258FE16992}"/>
    <cellStyle name="20% - Accent1 6 5" xfId="26426" xr:uid="{8816240E-70E0-4BEB-BBEE-50989F3BA24A}"/>
    <cellStyle name="20% - Accent1 6 6" xfId="9553" xr:uid="{AB5E7FE7-B40C-429E-8167-6BB130B5F726}"/>
    <cellStyle name="20% - Accent1 7" xfId="1437" xr:uid="{00000000-0005-0000-0000-000096000000}"/>
    <cellStyle name="20% - Accent1 7 2" xfId="3667" xr:uid="{00000000-0005-0000-0000-000097000000}"/>
    <cellStyle name="20% - Accent1 7 2 2" xfId="7890" xr:uid="{00000000-0005-0000-0000-000098000000}"/>
    <cellStyle name="20% - Accent1 7 2 2 2" xfId="24767" xr:uid="{57CC723A-4CC3-4C0C-8960-526232858511}"/>
    <cellStyle name="20% - Accent1 7 2 2 3" xfId="33201" xr:uid="{0A4CB2F4-1C38-4031-B1C0-C288426D2558}"/>
    <cellStyle name="20% - Accent1 7 2 2 4" xfId="16329" xr:uid="{C0B37BD6-F0A3-4F2A-917C-CDEC5A75CC7E}"/>
    <cellStyle name="20% - Accent1 7 2 3" xfId="20549" xr:uid="{E63B3BBD-95DB-452B-832A-DB99187EC753}"/>
    <cellStyle name="20% - Accent1 7 2 4" xfId="28984" xr:uid="{597B9ED7-B826-43C9-B81F-D617021C9E6E}"/>
    <cellStyle name="20% - Accent1 7 2 5" xfId="12111" xr:uid="{F51BA768-40D6-469B-8288-FDEE23355E39}"/>
    <cellStyle name="20% - Accent1 7 3" xfId="5745" xr:uid="{00000000-0005-0000-0000-000099000000}"/>
    <cellStyle name="20% - Accent1 7 3 2" xfId="22622" xr:uid="{F226DF1D-54AA-4E3F-B4E6-8D6081C8D7BE}"/>
    <cellStyle name="20% - Accent1 7 3 3" xfId="31056" xr:uid="{F18E8E77-2D5A-4D7D-84BE-BB2C3FA96FCE}"/>
    <cellStyle name="20% - Accent1 7 3 4" xfId="14184" xr:uid="{9211F788-D463-4CA0-A420-0CDF8D4963D2}"/>
    <cellStyle name="20% - Accent1 7 4" xfId="18404" xr:uid="{BB5D67C2-DF40-4027-BB4E-7DC5DAE52C3F}"/>
    <cellStyle name="20% - Accent1 7 5" xfId="26839" xr:uid="{51A46BB6-3B8A-43EC-A5BF-6EEDF899784A}"/>
    <cellStyle name="20% - Accent1 7 6" xfId="9966" xr:uid="{824DB990-4650-4EAF-AB44-E8C4EC56A7F2}"/>
    <cellStyle name="20% - Accent1 8" xfId="1851" xr:uid="{00000000-0005-0000-0000-00009A000000}"/>
    <cellStyle name="20% - Accent1 8 2" xfId="4080" xr:uid="{00000000-0005-0000-0000-00009B000000}"/>
    <cellStyle name="20% - Accent1 8 2 2" xfId="8303" xr:uid="{00000000-0005-0000-0000-00009C000000}"/>
    <cellStyle name="20% - Accent1 8 2 2 2" xfId="25180" xr:uid="{5181DAC5-4A6B-42C4-AF0C-B0DB581D3F81}"/>
    <cellStyle name="20% - Accent1 8 2 2 3" xfId="33614" xr:uid="{36E4F1B6-ACD0-4B62-8CC5-7F6E1E60EBF4}"/>
    <cellStyle name="20% - Accent1 8 2 2 4" xfId="16742" xr:uid="{F82CBC27-8882-45BE-ACFB-CAC5C64C3AB6}"/>
    <cellStyle name="20% - Accent1 8 2 3" xfId="20962" xr:uid="{FB6318F6-6D2B-402F-8D4E-1C7B4B2FC638}"/>
    <cellStyle name="20% - Accent1 8 2 4" xfId="29397" xr:uid="{80D7A21D-D8E6-4AE7-83BE-363D3516C9F3}"/>
    <cellStyle name="20% - Accent1 8 2 5" xfId="12524" xr:uid="{F25201FA-42D4-406A-91C6-1F87C14E8FC1}"/>
    <cellStyle name="20% - Accent1 8 3" xfId="6158" xr:uid="{00000000-0005-0000-0000-00009D000000}"/>
    <cellStyle name="20% - Accent1 8 3 2" xfId="23035" xr:uid="{82F7F40E-F707-4520-9360-3F8AEF05B8DA}"/>
    <cellStyle name="20% - Accent1 8 3 3" xfId="31469" xr:uid="{3509444D-3415-4D9C-9E80-11623D884BE6}"/>
    <cellStyle name="20% - Accent1 8 3 4" xfId="14597" xr:uid="{4E867FB3-A268-4ADD-AB60-410A2325C7C8}"/>
    <cellStyle name="20% - Accent1 8 4" xfId="18817" xr:uid="{082FA570-89B1-4FFF-8405-C8B8D769A87E}"/>
    <cellStyle name="20% - Accent1 8 5" xfId="27252" xr:uid="{31EEADAC-3C09-4C9A-80EF-0D3AA4700C01}"/>
    <cellStyle name="20% - Accent1 8 6" xfId="10379" xr:uid="{516384AA-A7EA-4926-AE50-CDE790B41A87}"/>
    <cellStyle name="20% - Accent1 9" xfId="2264" xr:uid="{00000000-0005-0000-0000-00009E000000}"/>
    <cellStyle name="20% - Accent1 9 2" xfId="6571" xr:uid="{00000000-0005-0000-0000-00009F000000}"/>
    <cellStyle name="20% - Accent1 9 2 2" xfId="23448" xr:uid="{2573C279-7871-4B5F-BBF6-7E7CCE34604B}"/>
    <cellStyle name="20% - Accent1 9 2 3" xfId="31882" xr:uid="{DD121064-1FA9-4703-A7AE-05F5FD456FF0}"/>
    <cellStyle name="20% - Accent1 9 2 4" xfId="15010" xr:uid="{FB9A39F8-EAAD-4E26-AFF3-475988B8E2B8}"/>
    <cellStyle name="20% - Accent1 9 3" xfId="19230" xr:uid="{24CE7C46-1F8A-4764-935D-F10B822321C3}"/>
    <cellStyle name="20% - Accent1 9 4" xfId="27665" xr:uid="{18F8135C-456F-4017-AB48-027819C720CC}"/>
    <cellStyle name="20% - Accent1 9 5" xfId="10792" xr:uid="{36176DDB-2765-423B-AEC4-B50383A76129}"/>
    <cellStyle name="20% - Accent2" xfId="9" builtinId="34" customBuiltin="1"/>
    <cellStyle name="20% - Accent2 10" xfId="4513" xr:uid="{00000000-0005-0000-0000-0000A1000000}"/>
    <cellStyle name="20% - Accent2 10 2" xfId="21390" xr:uid="{B860C516-26DC-4018-A3A3-A8E9B5915BBC}"/>
    <cellStyle name="20% - Accent2 10 3" xfId="29824" xr:uid="{79B09A1D-C424-4142-B0BC-A849F4641D77}"/>
    <cellStyle name="20% - Accent2 10 4" xfId="12952" xr:uid="{35AC2D9F-4538-43D6-8A65-780888E69FE1}"/>
    <cellStyle name="20% - Accent2 11" xfId="17172" xr:uid="{3144530E-29F9-4908-934E-2A2F8B2253C5}"/>
    <cellStyle name="20% - Accent2 12" xfId="25607" xr:uid="{A2F3814F-6818-4A93-AF79-B2BA65D2240F}"/>
    <cellStyle name="20% - Accent2 13" xfId="8734" xr:uid="{0447D264-61E7-49D7-9D9C-01F9CB93D762}"/>
    <cellStyle name="20% - Accent2 2" xfId="10" xr:uid="{00000000-0005-0000-0000-0000A2000000}"/>
    <cellStyle name="20% - Accent2 2 10" xfId="17173" xr:uid="{28988214-9221-4804-A19F-7FE7B190CFCC}"/>
    <cellStyle name="20% - Accent2 2 11" xfId="25608" xr:uid="{6C84F68E-5914-486B-9B03-0355147EA5D8}"/>
    <cellStyle name="20% - Accent2 2 12" xfId="8735" xr:uid="{10C1E0E4-090E-452C-BDF4-211F9AA33E4A}"/>
    <cellStyle name="20% - Accent2 2 2" xfId="11" xr:uid="{00000000-0005-0000-0000-0000A3000000}"/>
    <cellStyle name="20% - Accent2 2 2 10" xfId="25609" xr:uid="{799C95ED-C3D4-41B7-ABAB-46D794CE58DA}"/>
    <cellStyle name="20% - Accent2 2 2 11" xfId="8736" xr:uid="{1B6574B5-E9E5-4B15-A34A-F4A29CC5D614}"/>
    <cellStyle name="20% - Accent2 2 2 2" xfId="12" xr:uid="{00000000-0005-0000-0000-0000A4000000}"/>
    <cellStyle name="20% - Accent2 2 2 2 10" xfId="8737" xr:uid="{984C2ADB-5669-4EE0-B561-C2000EE43EC1}"/>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23952" xr:uid="{A461DA0A-3EAE-4079-AA40-EAD19E53F7E0}"/>
    <cellStyle name="20% - Accent2 2 2 2 2 2 2 3" xfId="32386" xr:uid="{EFEBB954-75D6-4BA6-8EF0-E793C277C93E}"/>
    <cellStyle name="20% - Accent2 2 2 2 2 2 2 4" xfId="15514" xr:uid="{7ECE66B5-D7FE-4D4E-A9ED-F279BDF26A2B}"/>
    <cellStyle name="20% - Accent2 2 2 2 2 2 3" xfId="19734" xr:uid="{E7F192A4-D33B-4FBB-B587-4193B452CB18}"/>
    <cellStyle name="20% - Accent2 2 2 2 2 2 4" xfId="28169" xr:uid="{E3768F77-94FF-4BB6-AE69-31749C375686}"/>
    <cellStyle name="20% - Accent2 2 2 2 2 2 5" xfId="11296" xr:uid="{B431D731-0FFF-4863-9E6D-4410F0DB1CC7}"/>
    <cellStyle name="20% - Accent2 2 2 2 2 3" xfId="4930" xr:uid="{00000000-0005-0000-0000-0000A8000000}"/>
    <cellStyle name="20% - Accent2 2 2 2 2 3 2" xfId="21807" xr:uid="{A1CB9EBF-78DA-4F36-928A-AE19A41B64A4}"/>
    <cellStyle name="20% - Accent2 2 2 2 2 3 3" xfId="30241" xr:uid="{030BCD41-6D7C-453B-BB0D-A68C0C6508B4}"/>
    <cellStyle name="20% - Accent2 2 2 2 2 3 4" xfId="13369" xr:uid="{F578E571-4B92-45B9-A181-ABEFE9290ACD}"/>
    <cellStyle name="20% - Accent2 2 2 2 2 4" xfId="17589" xr:uid="{84927D42-ABE7-4329-94D9-75DAA47EA88E}"/>
    <cellStyle name="20% - Accent2 2 2 2 2 5" xfId="26024" xr:uid="{4A9C8053-77CF-4772-BD85-481623A9F78A}"/>
    <cellStyle name="20% - Accent2 2 2 2 2 6" xfId="9151" xr:uid="{74539913-62E5-45FB-A5C5-ACA30BA373F8}"/>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24365" xr:uid="{EF024E60-EC45-431E-B58E-013E632FFEDA}"/>
    <cellStyle name="20% - Accent2 2 2 2 3 2 2 3" xfId="32799" xr:uid="{85F084EF-0705-4BE8-A092-C74B52D9D7DB}"/>
    <cellStyle name="20% - Accent2 2 2 2 3 2 2 4" xfId="15927" xr:uid="{F1C18F49-41AB-4B81-AE16-0AAD73743513}"/>
    <cellStyle name="20% - Accent2 2 2 2 3 2 3" xfId="20147" xr:uid="{AE0952CF-7953-4B7F-B789-787E15B0DC01}"/>
    <cellStyle name="20% - Accent2 2 2 2 3 2 4" xfId="28582" xr:uid="{ACA505F0-4C5F-4304-9525-D823948F4EDC}"/>
    <cellStyle name="20% - Accent2 2 2 2 3 2 5" xfId="11709" xr:uid="{A98E2A61-EF98-472F-B2DC-FEC8D8793AE7}"/>
    <cellStyle name="20% - Accent2 2 2 2 3 3" xfId="5343" xr:uid="{00000000-0005-0000-0000-0000AC000000}"/>
    <cellStyle name="20% - Accent2 2 2 2 3 3 2" xfId="22220" xr:uid="{9174D8B6-427B-4AC7-9756-DA2381F5692C}"/>
    <cellStyle name="20% - Accent2 2 2 2 3 3 3" xfId="30654" xr:uid="{48F996CC-832F-44AA-B077-96E125A2F675}"/>
    <cellStyle name="20% - Accent2 2 2 2 3 3 4" xfId="13782" xr:uid="{0123FDAE-2F34-455E-951A-09E37EC668B2}"/>
    <cellStyle name="20% - Accent2 2 2 2 3 4" xfId="18002" xr:uid="{21CFC87E-9FA7-40DF-9C65-45D8FC0D9686}"/>
    <cellStyle name="20% - Accent2 2 2 2 3 5" xfId="26437" xr:uid="{658637BD-B561-4489-A6CC-7856E4E30F3D}"/>
    <cellStyle name="20% - Accent2 2 2 2 3 6" xfId="9564" xr:uid="{A19D8FAE-9612-4F60-83A8-DBEC2070D456}"/>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24778" xr:uid="{04C52F64-DC3B-4B16-A1A2-F88BACDFB992}"/>
    <cellStyle name="20% - Accent2 2 2 2 4 2 2 3" xfId="33212" xr:uid="{C8F199F7-306E-42CA-8AF6-E64605C9BE90}"/>
    <cellStyle name="20% - Accent2 2 2 2 4 2 2 4" xfId="16340" xr:uid="{2B14E0C4-B0BD-4333-87AD-2E2114F9FE49}"/>
    <cellStyle name="20% - Accent2 2 2 2 4 2 3" xfId="20560" xr:uid="{A00CE93D-5F42-4189-B38B-3D7523F69D20}"/>
    <cellStyle name="20% - Accent2 2 2 2 4 2 4" xfId="28995" xr:uid="{B6E95666-8C89-4FDD-8910-0BAFB0327D4A}"/>
    <cellStyle name="20% - Accent2 2 2 2 4 2 5" xfId="12122" xr:uid="{7A6431FA-0F45-4C08-B935-AB805EE97A43}"/>
    <cellStyle name="20% - Accent2 2 2 2 4 3" xfId="5756" xr:uid="{00000000-0005-0000-0000-0000B0000000}"/>
    <cellStyle name="20% - Accent2 2 2 2 4 3 2" xfId="22633" xr:uid="{DBCC1FF7-7C35-40B7-A2F0-07AB119B5B08}"/>
    <cellStyle name="20% - Accent2 2 2 2 4 3 3" xfId="31067" xr:uid="{A1688B9D-7ED8-4B9C-AF89-0CD1F6FAB911}"/>
    <cellStyle name="20% - Accent2 2 2 2 4 3 4" xfId="14195" xr:uid="{3EDAF2E4-B227-42BB-A783-4C628F23D39E}"/>
    <cellStyle name="20% - Accent2 2 2 2 4 4" xfId="18415" xr:uid="{C6E42A93-18CB-4911-B946-F2C57EC1760D}"/>
    <cellStyle name="20% - Accent2 2 2 2 4 5" xfId="26850" xr:uid="{8D97A7B9-454D-49CC-9FEF-EA9E0CBC6C89}"/>
    <cellStyle name="20% - Accent2 2 2 2 4 6" xfId="9977" xr:uid="{0D92E52B-E74B-41FC-AFD8-822AEB6FE05E}"/>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25191" xr:uid="{9C8B6647-0345-4EBC-9CEC-50E3EF1781A6}"/>
    <cellStyle name="20% - Accent2 2 2 2 5 2 2 3" xfId="33625" xr:uid="{46516AD0-013C-4E4B-932A-771DEC938392}"/>
    <cellStyle name="20% - Accent2 2 2 2 5 2 2 4" xfId="16753" xr:uid="{91AD8C9A-9123-470F-9447-395E0B1B06B2}"/>
    <cellStyle name="20% - Accent2 2 2 2 5 2 3" xfId="20973" xr:uid="{85B75038-0EB5-43F2-9B4B-65E990423823}"/>
    <cellStyle name="20% - Accent2 2 2 2 5 2 4" xfId="29408" xr:uid="{4D67248C-4F74-4D94-BAE9-82417929F6A8}"/>
    <cellStyle name="20% - Accent2 2 2 2 5 2 5" xfId="12535" xr:uid="{75EB1284-5B51-4C1E-82F7-D445C3233AB3}"/>
    <cellStyle name="20% - Accent2 2 2 2 5 3" xfId="6169" xr:uid="{00000000-0005-0000-0000-0000B4000000}"/>
    <cellStyle name="20% - Accent2 2 2 2 5 3 2" xfId="23046" xr:uid="{7460E6AE-EC92-43DC-8CF0-831D0CA6B116}"/>
    <cellStyle name="20% - Accent2 2 2 2 5 3 3" xfId="31480" xr:uid="{6B9D9398-0F14-4786-BF9E-1006BD578458}"/>
    <cellStyle name="20% - Accent2 2 2 2 5 3 4" xfId="14608" xr:uid="{50976676-F856-48AC-9E45-CD2BEF26E42C}"/>
    <cellStyle name="20% - Accent2 2 2 2 5 4" xfId="18828" xr:uid="{109B51C6-6BD6-4AA7-A2BE-713CF1745DD8}"/>
    <cellStyle name="20% - Accent2 2 2 2 5 5" xfId="27263" xr:uid="{0A31A4D7-2DDE-4B7E-9B9D-402FCD2938C5}"/>
    <cellStyle name="20% - Accent2 2 2 2 5 6" xfId="10390" xr:uid="{A7D42F0F-53C1-42D4-9417-824F7A4F4063}"/>
    <cellStyle name="20% - Accent2 2 2 2 6" xfId="2275" xr:uid="{00000000-0005-0000-0000-0000B5000000}"/>
    <cellStyle name="20% - Accent2 2 2 2 6 2" xfId="6582" xr:uid="{00000000-0005-0000-0000-0000B6000000}"/>
    <cellStyle name="20% - Accent2 2 2 2 6 2 2" xfId="23459" xr:uid="{D3692DCD-F7AE-4B1B-8D9B-92789530BADF}"/>
    <cellStyle name="20% - Accent2 2 2 2 6 2 3" xfId="31893" xr:uid="{4675AF4E-3432-43EC-AEB3-C2F8DC5A69A3}"/>
    <cellStyle name="20% - Accent2 2 2 2 6 2 4" xfId="15021" xr:uid="{5ED12343-F1C4-4664-86D4-51E69702F75C}"/>
    <cellStyle name="20% - Accent2 2 2 2 6 3" xfId="19241" xr:uid="{63407578-FD25-47ED-858B-7F0ADF1FCCEC}"/>
    <cellStyle name="20% - Accent2 2 2 2 6 4" xfId="27676" xr:uid="{CF427BA9-B01F-4FE9-903B-75C092E1B847}"/>
    <cellStyle name="20% - Accent2 2 2 2 6 5" xfId="10803" xr:uid="{B1C85FDE-ADAA-4ED6-A4FC-A6DACB1950EB}"/>
    <cellStyle name="20% - Accent2 2 2 2 7" xfId="4516" xr:uid="{00000000-0005-0000-0000-0000B7000000}"/>
    <cellStyle name="20% - Accent2 2 2 2 7 2" xfId="21393" xr:uid="{B7226E44-0F97-44C7-9358-CA86EE6AC0F0}"/>
    <cellStyle name="20% - Accent2 2 2 2 7 3" xfId="29827" xr:uid="{F33A33C1-7D9E-4B6E-8161-F3261C577644}"/>
    <cellStyle name="20% - Accent2 2 2 2 7 4" xfId="12955" xr:uid="{18FC55FA-51B1-4412-AA22-2BD90EDDCC04}"/>
    <cellStyle name="20% - Accent2 2 2 2 8" xfId="17175" xr:uid="{D8490DC1-F415-46B3-90A6-84FF64692E6F}"/>
    <cellStyle name="20% - Accent2 2 2 2 9" xfId="25610" xr:uid="{B76F5C63-7A0D-4C45-A817-3B2F4A67F4F9}"/>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23951" xr:uid="{764C81D1-149F-431C-B3E6-5BF13D4F8CD8}"/>
    <cellStyle name="20% - Accent2 2 2 3 2 2 3" xfId="32385" xr:uid="{1AED83C1-D4F2-487D-82AF-C02F263CA506}"/>
    <cellStyle name="20% - Accent2 2 2 3 2 2 4" xfId="15513" xr:uid="{21FB1A93-5BEC-433A-B5DA-876DF99568C3}"/>
    <cellStyle name="20% - Accent2 2 2 3 2 3" xfId="19733" xr:uid="{D299329C-0D76-4531-90BE-01FF32B64A2F}"/>
    <cellStyle name="20% - Accent2 2 2 3 2 4" xfId="28168" xr:uid="{C7547BBC-6EA7-413B-B3E5-A7C4FAB1AA92}"/>
    <cellStyle name="20% - Accent2 2 2 3 2 5" xfId="11295" xr:uid="{26256E9D-F012-41D5-A9CE-44A8C24C6E3D}"/>
    <cellStyle name="20% - Accent2 2 2 3 3" xfId="4929" xr:uid="{00000000-0005-0000-0000-0000BB000000}"/>
    <cellStyle name="20% - Accent2 2 2 3 3 2" xfId="21806" xr:uid="{340A0561-B049-42F1-8312-8CE025E751EA}"/>
    <cellStyle name="20% - Accent2 2 2 3 3 3" xfId="30240" xr:uid="{7242FCE5-7A3D-452D-964F-D67AEF9E23A3}"/>
    <cellStyle name="20% - Accent2 2 2 3 3 4" xfId="13368" xr:uid="{25A65A98-71AD-4C8F-BAF3-83E1DB468B5E}"/>
    <cellStyle name="20% - Accent2 2 2 3 4" xfId="17588" xr:uid="{CE66E055-7DC7-42AA-91BF-777A5E0C3DF7}"/>
    <cellStyle name="20% - Accent2 2 2 3 5" xfId="26023" xr:uid="{8D3A693C-F217-4AD1-B3C5-8886C7EBB5AD}"/>
    <cellStyle name="20% - Accent2 2 2 3 6" xfId="9150" xr:uid="{B950EB92-933C-47EC-A8A3-003ABB30001B}"/>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24364" xr:uid="{E0A0C4D7-15DF-492C-9146-771FA064174B}"/>
    <cellStyle name="20% - Accent2 2 2 4 2 2 3" xfId="32798" xr:uid="{F8C374F0-9A48-4794-9BA9-51779F392E84}"/>
    <cellStyle name="20% - Accent2 2 2 4 2 2 4" xfId="15926" xr:uid="{82B41B77-FAA9-45F9-8D4F-8B2ED17DF365}"/>
    <cellStyle name="20% - Accent2 2 2 4 2 3" xfId="20146" xr:uid="{FD0CB837-2C47-4DD9-8D28-1F21371BB0C1}"/>
    <cellStyle name="20% - Accent2 2 2 4 2 4" xfId="28581" xr:uid="{1645486D-74F4-4CDB-9E80-89DDE196F8E8}"/>
    <cellStyle name="20% - Accent2 2 2 4 2 5" xfId="11708" xr:uid="{17056042-B275-43C4-9655-07E6F063F394}"/>
    <cellStyle name="20% - Accent2 2 2 4 3" xfId="5342" xr:uid="{00000000-0005-0000-0000-0000BF000000}"/>
    <cellStyle name="20% - Accent2 2 2 4 3 2" xfId="22219" xr:uid="{227B9D26-7857-4F62-A118-6E8E657D8729}"/>
    <cellStyle name="20% - Accent2 2 2 4 3 3" xfId="30653" xr:uid="{C23F9288-DB5C-4BE2-9519-D74531214BFE}"/>
    <cellStyle name="20% - Accent2 2 2 4 3 4" xfId="13781" xr:uid="{64C80B91-16ED-4F71-9EB6-943FBDE3896E}"/>
    <cellStyle name="20% - Accent2 2 2 4 4" xfId="18001" xr:uid="{E533E2FF-E1D3-4641-93A3-483C9F52F8A7}"/>
    <cellStyle name="20% - Accent2 2 2 4 5" xfId="26436" xr:uid="{C10454AD-30E6-4505-864A-A80DC7EE86F9}"/>
    <cellStyle name="20% - Accent2 2 2 4 6" xfId="9563" xr:uid="{FF949DA7-BD34-433B-9C9F-BCFA303243F0}"/>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24777" xr:uid="{F28484B1-1345-4056-B188-5E4CA7471209}"/>
    <cellStyle name="20% - Accent2 2 2 5 2 2 3" xfId="33211" xr:uid="{53B87BE4-3229-4B6C-9CC1-0360E46DC086}"/>
    <cellStyle name="20% - Accent2 2 2 5 2 2 4" xfId="16339" xr:uid="{67A07AD0-4695-4A30-95DD-51C51A042D1B}"/>
    <cellStyle name="20% - Accent2 2 2 5 2 3" xfId="20559" xr:uid="{43476124-8885-49AF-BBEB-A368B04D9DEE}"/>
    <cellStyle name="20% - Accent2 2 2 5 2 4" xfId="28994" xr:uid="{40BFA629-039A-49A5-95A6-16428105D31A}"/>
    <cellStyle name="20% - Accent2 2 2 5 2 5" xfId="12121" xr:uid="{07D95F2B-E173-471E-8770-F5E2A16F729A}"/>
    <cellStyle name="20% - Accent2 2 2 5 3" xfId="5755" xr:uid="{00000000-0005-0000-0000-0000C3000000}"/>
    <cellStyle name="20% - Accent2 2 2 5 3 2" xfId="22632" xr:uid="{AA7E10B2-1875-47CA-A67A-3D495CD63E8B}"/>
    <cellStyle name="20% - Accent2 2 2 5 3 3" xfId="31066" xr:uid="{88195FF2-2D14-48E3-9011-AC982EC0F4C4}"/>
    <cellStyle name="20% - Accent2 2 2 5 3 4" xfId="14194" xr:uid="{3B7CF5B7-0456-4541-BF0D-0037901E0D77}"/>
    <cellStyle name="20% - Accent2 2 2 5 4" xfId="18414" xr:uid="{22394831-836D-44B6-894F-0C24EB681BE8}"/>
    <cellStyle name="20% - Accent2 2 2 5 5" xfId="26849" xr:uid="{1FA63A1D-15C9-4E83-8A70-ADFA916F190C}"/>
    <cellStyle name="20% - Accent2 2 2 5 6" xfId="9976" xr:uid="{6BABFE18-77A1-46BC-9598-EF4438A5A554}"/>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25190" xr:uid="{1EE4EBC5-8351-4F07-AF3D-E8924E441840}"/>
    <cellStyle name="20% - Accent2 2 2 6 2 2 3" xfId="33624" xr:uid="{52A01729-9857-455F-8C3E-650F86489291}"/>
    <cellStyle name="20% - Accent2 2 2 6 2 2 4" xfId="16752" xr:uid="{532EB7E3-FDD3-4329-8D22-5DCDE9352A72}"/>
    <cellStyle name="20% - Accent2 2 2 6 2 3" xfId="20972" xr:uid="{D1568851-5323-436A-BA5B-4CDEB1EE4878}"/>
    <cellStyle name="20% - Accent2 2 2 6 2 4" xfId="29407" xr:uid="{58B42BFE-D24D-4E07-994E-5C5A49E55925}"/>
    <cellStyle name="20% - Accent2 2 2 6 2 5" xfId="12534" xr:uid="{384DB73C-4741-4BD0-A9AD-4F5CDEE74755}"/>
    <cellStyle name="20% - Accent2 2 2 6 3" xfId="6168" xr:uid="{00000000-0005-0000-0000-0000C7000000}"/>
    <cellStyle name="20% - Accent2 2 2 6 3 2" xfId="23045" xr:uid="{73A0409A-3691-475D-B115-E55A0BAC38D2}"/>
    <cellStyle name="20% - Accent2 2 2 6 3 3" xfId="31479" xr:uid="{20628E36-8215-4AC9-AD11-5EA5D92EB53B}"/>
    <cellStyle name="20% - Accent2 2 2 6 3 4" xfId="14607" xr:uid="{3143CF30-4A61-4B1C-89DA-766BC6DB9879}"/>
    <cellStyle name="20% - Accent2 2 2 6 4" xfId="18827" xr:uid="{4A8C4CC4-3E9E-4E1D-8CE0-216181A1177E}"/>
    <cellStyle name="20% - Accent2 2 2 6 5" xfId="27262" xr:uid="{7DD68401-6056-4105-B264-BA5368ABFCBC}"/>
    <cellStyle name="20% - Accent2 2 2 6 6" xfId="10389" xr:uid="{0CDF12F1-1CE5-44D4-A723-7C16B7345324}"/>
    <cellStyle name="20% - Accent2 2 2 7" xfId="2274" xr:uid="{00000000-0005-0000-0000-0000C8000000}"/>
    <cellStyle name="20% - Accent2 2 2 7 2" xfId="6581" xr:uid="{00000000-0005-0000-0000-0000C9000000}"/>
    <cellStyle name="20% - Accent2 2 2 7 2 2" xfId="23458" xr:uid="{78E3201C-2DA9-41E0-B32B-7B21C866DD3C}"/>
    <cellStyle name="20% - Accent2 2 2 7 2 3" xfId="31892" xr:uid="{C7837596-E47A-47E7-B54F-3E226162E8D8}"/>
    <cellStyle name="20% - Accent2 2 2 7 2 4" xfId="15020" xr:uid="{8E0454C0-8146-4BF0-8EA9-5DC89ED312E7}"/>
    <cellStyle name="20% - Accent2 2 2 7 3" xfId="19240" xr:uid="{431342EB-A537-4330-A30B-DAAB0EC61922}"/>
    <cellStyle name="20% - Accent2 2 2 7 4" xfId="27675" xr:uid="{A90B68F3-ECF6-4AFF-BA73-A1BEA0652A98}"/>
    <cellStyle name="20% - Accent2 2 2 7 5" xfId="10802" xr:uid="{0932248C-D2AC-4CD2-BD61-04AF0B2C8ACF}"/>
    <cellStyle name="20% - Accent2 2 2 8" xfId="4515" xr:uid="{00000000-0005-0000-0000-0000CA000000}"/>
    <cellStyle name="20% - Accent2 2 2 8 2" xfId="21392" xr:uid="{949658CE-FD1B-440B-AA73-E2BA8628E3C4}"/>
    <cellStyle name="20% - Accent2 2 2 8 3" xfId="29826" xr:uid="{DB5713E2-0BC7-4C0A-BDEE-12E6EBFF3093}"/>
    <cellStyle name="20% - Accent2 2 2 8 4" xfId="12954" xr:uid="{63312F4C-AC3C-4DD3-BAA5-B5E4FFD51D0D}"/>
    <cellStyle name="20% - Accent2 2 2 9" xfId="17174" xr:uid="{AFEF043F-BABB-4960-BDEE-F3CA3037E2C9}"/>
    <cellStyle name="20% - Accent2 2 3" xfId="13" xr:uid="{00000000-0005-0000-0000-0000CB000000}"/>
    <cellStyle name="20% - Accent2 2 3 10" xfId="8738" xr:uid="{8C951DCD-2F6B-4E13-988F-425E97BB05B2}"/>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23953" xr:uid="{5E61C6AD-7A6F-40EF-AD4F-715BB788D778}"/>
    <cellStyle name="20% - Accent2 2 3 2 2 2 3" xfId="32387" xr:uid="{D46115AD-3247-4ED4-92D7-372E04AEDBEC}"/>
    <cellStyle name="20% - Accent2 2 3 2 2 2 4" xfId="15515" xr:uid="{5E7A2006-F837-4BB3-93F7-4F3FC9A06657}"/>
    <cellStyle name="20% - Accent2 2 3 2 2 3" xfId="19735" xr:uid="{1884B583-8ABC-486E-A628-853D28E20C76}"/>
    <cellStyle name="20% - Accent2 2 3 2 2 4" xfId="28170" xr:uid="{6F511899-B468-460E-83CE-DF52A64949EE}"/>
    <cellStyle name="20% - Accent2 2 3 2 2 5" xfId="11297" xr:uid="{F896592A-01C3-4314-BD4A-6E3539715624}"/>
    <cellStyle name="20% - Accent2 2 3 2 3" xfId="4931" xr:uid="{00000000-0005-0000-0000-0000CF000000}"/>
    <cellStyle name="20% - Accent2 2 3 2 3 2" xfId="21808" xr:uid="{EB6B9C7C-9E84-4A77-8209-AC408AB17508}"/>
    <cellStyle name="20% - Accent2 2 3 2 3 3" xfId="30242" xr:uid="{37665130-E7AA-475C-A16A-D6B5A8F51CCF}"/>
    <cellStyle name="20% - Accent2 2 3 2 3 4" xfId="13370" xr:uid="{1DFE780E-1BC1-4DBD-9C0D-145704752EA4}"/>
    <cellStyle name="20% - Accent2 2 3 2 4" xfId="17590" xr:uid="{0085BAD9-9FF4-4A6C-9634-9484BBF5144C}"/>
    <cellStyle name="20% - Accent2 2 3 2 5" xfId="26025" xr:uid="{5A6AF9BB-BBB7-4FF4-B27D-A964D6CF5DEA}"/>
    <cellStyle name="20% - Accent2 2 3 2 6" xfId="9152" xr:uid="{7C4BE294-D666-449C-9A8D-86531102392F}"/>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24366" xr:uid="{E340AAF3-AF82-4776-BA67-F0EC349B052F}"/>
    <cellStyle name="20% - Accent2 2 3 3 2 2 3" xfId="32800" xr:uid="{76395260-C1A6-4EF9-9085-B2A6C2C34001}"/>
    <cellStyle name="20% - Accent2 2 3 3 2 2 4" xfId="15928" xr:uid="{AAEDB1A3-5536-4812-9C80-28D60D1334F5}"/>
    <cellStyle name="20% - Accent2 2 3 3 2 3" xfId="20148" xr:uid="{376AE68A-6076-49F3-AFA1-355B7DBF9050}"/>
    <cellStyle name="20% - Accent2 2 3 3 2 4" xfId="28583" xr:uid="{D40F13C1-2C20-4530-A2E8-1D339B7298B7}"/>
    <cellStyle name="20% - Accent2 2 3 3 2 5" xfId="11710" xr:uid="{F8ADEC7D-9400-414E-8CE0-DB07CB4F4C64}"/>
    <cellStyle name="20% - Accent2 2 3 3 3" xfId="5344" xr:uid="{00000000-0005-0000-0000-0000D3000000}"/>
    <cellStyle name="20% - Accent2 2 3 3 3 2" xfId="22221" xr:uid="{5C876D71-BAE1-4990-A2F3-F79E9FE06047}"/>
    <cellStyle name="20% - Accent2 2 3 3 3 3" xfId="30655" xr:uid="{AD32DE55-103A-4552-99AB-54ADF119F6C4}"/>
    <cellStyle name="20% - Accent2 2 3 3 3 4" xfId="13783" xr:uid="{985EE2C7-CD26-431F-9FD6-84424DD71BC5}"/>
    <cellStyle name="20% - Accent2 2 3 3 4" xfId="18003" xr:uid="{16FFE626-E1D8-4CFE-96F6-2E01CC8B3FF3}"/>
    <cellStyle name="20% - Accent2 2 3 3 5" xfId="26438" xr:uid="{C9708A8B-9224-442F-A32C-BCEEC3B12496}"/>
    <cellStyle name="20% - Accent2 2 3 3 6" xfId="9565" xr:uid="{170115FE-6E63-43F6-A220-541E466C47B0}"/>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24779" xr:uid="{D03B4342-21A7-440D-AADD-79DA53E00749}"/>
    <cellStyle name="20% - Accent2 2 3 4 2 2 3" xfId="33213" xr:uid="{9CFC27B8-E102-4628-AD2C-BD20A580EEFE}"/>
    <cellStyle name="20% - Accent2 2 3 4 2 2 4" xfId="16341" xr:uid="{FC71AC54-9239-495E-A949-59127E5410BC}"/>
    <cellStyle name="20% - Accent2 2 3 4 2 3" xfId="20561" xr:uid="{94224562-191A-4DF5-8997-4B4957BF2F65}"/>
    <cellStyle name="20% - Accent2 2 3 4 2 4" xfId="28996" xr:uid="{A2171BD1-E75B-49BC-B036-4A5DAF58B59E}"/>
    <cellStyle name="20% - Accent2 2 3 4 2 5" xfId="12123" xr:uid="{2B20F409-E1CC-4438-B734-B422AAF515F3}"/>
    <cellStyle name="20% - Accent2 2 3 4 3" xfId="5757" xr:uid="{00000000-0005-0000-0000-0000D7000000}"/>
    <cellStyle name="20% - Accent2 2 3 4 3 2" xfId="22634" xr:uid="{93E20C57-2C59-458C-8FAA-A46ACDBC5D3A}"/>
    <cellStyle name="20% - Accent2 2 3 4 3 3" xfId="31068" xr:uid="{A61FDD0A-B9DD-4082-A0F0-9BB95CE87484}"/>
    <cellStyle name="20% - Accent2 2 3 4 3 4" xfId="14196" xr:uid="{95C12266-D7A0-4116-81CF-86CBD2295FB6}"/>
    <cellStyle name="20% - Accent2 2 3 4 4" xfId="18416" xr:uid="{82FFE980-E199-42BA-AC01-78E0B498C99B}"/>
    <cellStyle name="20% - Accent2 2 3 4 5" xfId="26851" xr:uid="{6743CAA8-869B-4E18-AF76-AC5B1E3FE4B1}"/>
    <cellStyle name="20% - Accent2 2 3 4 6" xfId="9978" xr:uid="{08DFA588-B94F-4F97-A2E0-BE0D0D187FD7}"/>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25192" xr:uid="{F38CF198-F4A4-4B9C-AFFE-D79D8AAF8090}"/>
    <cellStyle name="20% - Accent2 2 3 5 2 2 3" xfId="33626" xr:uid="{3BDBC5A4-23C0-4523-800E-B0EA207F7B4D}"/>
    <cellStyle name="20% - Accent2 2 3 5 2 2 4" xfId="16754" xr:uid="{6DE73779-2DAD-457A-828F-5B5BF4537D5C}"/>
    <cellStyle name="20% - Accent2 2 3 5 2 3" xfId="20974" xr:uid="{9073BC7F-8D6E-4C22-A178-2F6B3101BC7D}"/>
    <cellStyle name="20% - Accent2 2 3 5 2 4" xfId="29409" xr:uid="{97B13BFA-0A42-455E-BE31-19A98EF6F624}"/>
    <cellStyle name="20% - Accent2 2 3 5 2 5" xfId="12536" xr:uid="{5635E1A0-ABF0-4170-AA02-6F89F67C67F0}"/>
    <cellStyle name="20% - Accent2 2 3 5 3" xfId="6170" xr:uid="{00000000-0005-0000-0000-0000DB000000}"/>
    <cellStyle name="20% - Accent2 2 3 5 3 2" xfId="23047" xr:uid="{32ECE5EF-7588-4530-A45F-69E81A426DBB}"/>
    <cellStyle name="20% - Accent2 2 3 5 3 3" xfId="31481" xr:uid="{C88E4A79-C221-4E98-9853-FC5B09DA7B08}"/>
    <cellStyle name="20% - Accent2 2 3 5 3 4" xfId="14609" xr:uid="{4EB6C4FB-ABFB-45A4-9EEC-66AFF2CCA416}"/>
    <cellStyle name="20% - Accent2 2 3 5 4" xfId="18829" xr:uid="{B5EA28FE-F05E-49DE-AB0C-B361BB540DC5}"/>
    <cellStyle name="20% - Accent2 2 3 5 5" xfId="27264" xr:uid="{FA27F6B9-E019-4B01-B1C7-A28921EF6C3B}"/>
    <cellStyle name="20% - Accent2 2 3 5 6" xfId="10391" xr:uid="{B91632FB-1C11-40C9-BB13-F64A286B9A1C}"/>
    <cellStyle name="20% - Accent2 2 3 6" xfId="2276" xr:uid="{00000000-0005-0000-0000-0000DC000000}"/>
    <cellStyle name="20% - Accent2 2 3 6 2" xfId="6583" xr:uid="{00000000-0005-0000-0000-0000DD000000}"/>
    <cellStyle name="20% - Accent2 2 3 6 2 2" xfId="23460" xr:uid="{08ED91E1-9BED-4BC6-BFF0-1DCC18EAA1B8}"/>
    <cellStyle name="20% - Accent2 2 3 6 2 3" xfId="31894" xr:uid="{072D1E55-FB67-47BA-9312-D6DEC9203F67}"/>
    <cellStyle name="20% - Accent2 2 3 6 2 4" xfId="15022" xr:uid="{18135DF1-45EA-4CA2-A15F-B1C834CA2CAD}"/>
    <cellStyle name="20% - Accent2 2 3 6 3" xfId="19242" xr:uid="{74B75F58-CCCA-427C-B238-25D5CB03B488}"/>
    <cellStyle name="20% - Accent2 2 3 6 4" xfId="27677" xr:uid="{A5081E0F-7FA9-4581-A252-D468C9E16C37}"/>
    <cellStyle name="20% - Accent2 2 3 6 5" xfId="10804" xr:uid="{1A5E13A4-A230-425A-9DED-C5F7D4E1043C}"/>
    <cellStyle name="20% - Accent2 2 3 7" xfId="4517" xr:uid="{00000000-0005-0000-0000-0000DE000000}"/>
    <cellStyle name="20% - Accent2 2 3 7 2" xfId="21394" xr:uid="{C31BB04D-F64D-4896-BD8B-2BF1F3A10240}"/>
    <cellStyle name="20% - Accent2 2 3 7 3" xfId="29828" xr:uid="{ABA56F55-8490-45C2-9254-A5416B5E60A3}"/>
    <cellStyle name="20% - Accent2 2 3 7 4" xfId="12956" xr:uid="{110547AC-45CC-4E86-BDB2-97440BA161C2}"/>
    <cellStyle name="20% - Accent2 2 3 8" xfId="17176" xr:uid="{9962CE96-D743-452E-9689-A5B24DA1379C}"/>
    <cellStyle name="20% - Accent2 2 3 9" xfId="25611" xr:uid="{F00BF6AD-11EC-453F-B6A0-BAC2232113D1}"/>
    <cellStyle name="20% - Accent2 2 4" xfId="579" xr:uid="{00000000-0005-0000-0000-0000DF000000}"/>
    <cellStyle name="20% - Accent2 2 4 2" xfId="2850" xr:uid="{00000000-0005-0000-0000-0000E0000000}"/>
    <cellStyle name="20% - Accent2 2 4 2 2" xfId="7073" xr:uid="{00000000-0005-0000-0000-0000E1000000}"/>
    <cellStyle name="20% - Accent2 2 4 2 2 2" xfId="23950" xr:uid="{B088065B-D464-4299-A791-24AAF1C9147E}"/>
    <cellStyle name="20% - Accent2 2 4 2 2 3" xfId="32384" xr:uid="{A509A4A9-08BC-4803-B2C1-7A44AF748662}"/>
    <cellStyle name="20% - Accent2 2 4 2 2 4" xfId="15512" xr:uid="{E1F52649-6380-49BB-ABF0-0D8F06ED1E3E}"/>
    <cellStyle name="20% - Accent2 2 4 2 3" xfId="19732" xr:uid="{48B72730-7677-4FAD-82E8-5AAA3BD8FC8B}"/>
    <cellStyle name="20% - Accent2 2 4 2 4" xfId="28167" xr:uid="{D50BD4E6-6A0A-45F4-BABA-768A339E502C}"/>
    <cellStyle name="20% - Accent2 2 4 2 5" xfId="11294" xr:uid="{C303E87F-9AE0-4EF1-BB94-5EECC7280D92}"/>
    <cellStyle name="20% - Accent2 2 4 3" xfId="4928" xr:uid="{00000000-0005-0000-0000-0000E2000000}"/>
    <cellStyle name="20% - Accent2 2 4 3 2" xfId="21805" xr:uid="{15209636-EC2E-4769-BC13-CEFC48980933}"/>
    <cellStyle name="20% - Accent2 2 4 3 3" xfId="30239" xr:uid="{6EA2068D-4B08-4C31-9FD7-E8B6FBF671A5}"/>
    <cellStyle name="20% - Accent2 2 4 3 4" xfId="13367" xr:uid="{CCCED94A-E31C-4710-85F1-153C1582E31B}"/>
    <cellStyle name="20% - Accent2 2 4 4" xfId="17587" xr:uid="{0654C56D-AB64-4916-806F-EE0E6023AB8E}"/>
    <cellStyle name="20% - Accent2 2 4 5" xfId="26022" xr:uid="{0B01A541-F169-422D-9E4A-07B686273A5B}"/>
    <cellStyle name="20% - Accent2 2 4 6" xfId="9149" xr:uid="{3ADD5674-C8B3-4A60-97E3-58E8EFF381C9}"/>
    <cellStyle name="20% - Accent2 2 5" xfId="1032" xr:uid="{00000000-0005-0000-0000-0000E3000000}"/>
    <cellStyle name="20% - Accent2 2 5 2" xfId="3263" xr:uid="{00000000-0005-0000-0000-0000E4000000}"/>
    <cellStyle name="20% - Accent2 2 5 2 2" xfId="7486" xr:uid="{00000000-0005-0000-0000-0000E5000000}"/>
    <cellStyle name="20% - Accent2 2 5 2 2 2" xfId="24363" xr:uid="{CE139FE7-D0D6-4418-BFE7-48D4E5F3F5FF}"/>
    <cellStyle name="20% - Accent2 2 5 2 2 3" xfId="32797" xr:uid="{0D5C93E8-29BF-43CF-9B8B-8F702A3444A8}"/>
    <cellStyle name="20% - Accent2 2 5 2 2 4" xfId="15925" xr:uid="{BC3CDF6C-E117-467F-999A-5F1146CE0750}"/>
    <cellStyle name="20% - Accent2 2 5 2 3" xfId="20145" xr:uid="{9D7436BB-865F-4BDF-BB53-9F299002F236}"/>
    <cellStyle name="20% - Accent2 2 5 2 4" xfId="28580" xr:uid="{B63C55C2-4DCA-4157-917E-E6A48EF237DA}"/>
    <cellStyle name="20% - Accent2 2 5 2 5" xfId="11707" xr:uid="{104B2AF7-2955-4189-9F9F-76AFF5474403}"/>
    <cellStyle name="20% - Accent2 2 5 3" xfId="5341" xr:uid="{00000000-0005-0000-0000-0000E6000000}"/>
    <cellStyle name="20% - Accent2 2 5 3 2" xfId="22218" xr:uid="{41C34F5F-4D86-4197-901A-A9077E6685E4}"/>
    <cellStyle name="20% - Accent2 2 5 3 3" xfId="30652" xr:uid="{D12D8A50-17EC-42BE-AFCC-9E3BA88B995A}"/>
    <cellStyle name="20% - Accent2 2 5 3 4" xfId="13780" xr:uid="{F74AE94B-56C6-4932-932F-EE8758219BD4}"/>
    <cellStyle name="20% - Accent2 2 5 4" xfId="18000" xr:uid="{6E306C4A-3907-49AF-AB3A-688B9CD38487}"/>
    <cellStyle name="20% - Accent2 2 5 5" xfId="26435" xr:uid="{3637076E-084B-4EB7-85D3-753C2CEA2FBF}"/>
    <cellStyle name="20% - Accent2 2 5 6" xfId="9562" xr:uid="{C15D7C87-BA7C-435F-B575-46226508483F}"/>
    <cellStyle name="20% - Accent2 2 6" xfId="1446" xr:uid="{00000000-0005-0000-0000-0000E7000000}"/>
    <cellStyle name="20% - Accent2 2 6 2" xfId="3676" xr:uid="{00000000-0005-0000-0000-0000E8000000}"/>
    <cellStyle name="20% - Accent2 2 6 2 2" xfId="7899" xr:uid="{00000000-0005-0000-0000-0000E9000000}"/>
    <cellStyle name="20% - Accent2 2 6 2 2 2" xfId="24776" xr:uid="{7AC92981-72F9-4454-91CF-CA731B1FB6D2}"/>
    <cellStyle name="20% - Accent2 2 6 2 2 3" xfId="33210" xr:uid="{6049B414-0331-4AA8-99D7-2683C4C711D2}"/>
    <cellStyle name="20% - Accent2 2 6 2 2 4" xfId="16338" xr:uid="{DC8488D1-38F5-4236-BEC3-8C1A3609ABDC}"/>
    <cellStyle name="20% - Accent2 2 6 2 3" xfId="20558" xr:uid="{6FFACA48-37C9-4C2D-A626-6051BABBA44F}"/>
    <cellStyle name="20% - Accent2 2 6 2 4" xfId="28993" xr:uid="{C56F639A-F4A6-4026-9A7F-79B7A114DCD2}"/>
    <cellStyle name="20% - Accent2 2 6 2 5" xfId="12120" xr:uid="{351A76DA-FA8A-4B8D-9F59-DFDEE181D875}"/>
    <cellStyle name="20% - Accent2 2 6 3" xfId="5754" xr:uid="{00000000-0005-0000-0000-0000EA000000}"/>
    <cellStyle name="20% - Accent2 2 6 3 2" xfId="22631" xr:uid="{CA43ED28-B40D-442E-9160-C3A666D31DBA}"/>
    <cellStyle name="20% - Accent2 2 6 3 3" xfId="31065" xr:uid="{536F2671-6121-4E31-A0E6-066163779765}"/>
    <cellStyle name="20% - Accent2 2 6 3 4" xfId="14193" xr:uid="{2B202314-72A3-42F9-9A50-46501AFE4BFC}"/>
    <cellStyle name="20% - Accent2 2 6 4" xfId="18413" xr:uid="{55FA2C4F-7EEB-4C08-922F-B5C7B5F9F1A5}"/>
    <cellStyle name="20% - Accent2 2 6 5" xfId="26848" xr:uid="{508C9C29-3D1B-406C-BDDE-AADC1CE9BFC9}"/>
    <cellStyle name="20% - Accent2 2 6 6" xfId="9975" xr:uid="{22BB9055-7306-403B-85BE-B919888878BF}"/>
    <cellStyle name="20% - Accent2 2 7" xfId="1860" xr:uid="{00000000-0005-0000-0000-0000EB000000}"/>
    <cellStyle name="20% - Accent2 2 7 2" xfId="4089" xr:uid="{00000000-0005-0000-0000-0000EC000000}"/>
    <cellStyle name="20% - Accent2 2 7 2 2" xfId="8312" xr:uid="{00000000-0005-0000-0000-0000ED000000}"/>
    <cellStyle name="20% - Accent2 2 7 2 2 2" xfId="25189" xr:uid="{4D4414EA-D985-441C-AFBC-31861A190724}"/>
    <cellStyle name="20% - Accent2 2 7 2 2 3" xfId="33623" xr:uid="{53C7858E-83C9-4B61-9FE8-1EF09D370D80}"/>
    <cellStyle name="20% - Accent2 2 7 2 2 4" xfId="16751" xr:uid="{A87D6369-899E-46E9-B705-7B8AFC09E6CA}"/>
    <cellStyle name="20% - Accent2 2 7 2 3" xfId="20971" xr:uid="{4470BB48-5100-439F-9E82-9F47568AAFDA}"/>
    <cellStyle name="20% - Accent2 2 7 2 4" xfId="29406" xr:uid="{89AE1FD2-943F-4DED-B1B5-EA8BEAD56982}"/>
    <cellStyle name="20% - Accent2 2 7 2 5" xfId="12533" xr:uid="{66F0B181-034C-4DA3-A9F3-32938D5ACCF1}"/>
    <cellStyle name="20% - Accent2 2 7 3" xfId="6167" xr:uid="{00000000-0005-0000-0000-0000EE000000}"/>
    <cellStyle name="20% - Accent2 2 7 3 2" xfId="23044" xr:uid="{FC9FAD28-A31A-4C09-99F6-B161ED2E33EA}"/>
    <cellStyle name="20% - Accent2 2 7 3 3" xfId="31478" xr:uid="{E54267F5-A78F-4398-B5BE-C540BDBA8D27}"/>
    <cellStyle name="20% - Accent2 2 7 3 4" xfId="14606" xr:uid="{617631FE-95FF-410E-909C-BDC5017C66CF}"/>
    <cellStyle name="20% - Accent2 2 7 4" xfId="18826" xr:uid="{9C672D8C-7495-4AC9-B2B5-AB3BEF280569}"/>
    <cellStyle name="20% - Accent2 2 7 5" xfId="27261" xr:uid="{E514DB89-6191-4A9B-92B8-3B2C0D3CE280}"/>
    <cellStyle name="20% - Accent2 2 7 6" xfId="10388" xr:uid="{BA802925-78EF-403F-A3A7-C8B3BFB875B4}"/>
    <cellStyle name="20% - Accent2 2 8" xfId="2273" xr:uid="{00000000-0005-0000-0000-0000EF000000}"/>
    <cellStyle name="20% - Accent2 2 8 2" xfId="6580" xr:uid="{00000000-0005-0000-0000-0000F0000000}"/>
    <cellStyle name="20% - Accent2 2 8 2 2" xfId="23457" xr:uid="{9CF0AC36-F7EC-4210-9A87-04C3B16462DD}"/>
    <cellStyle name="20% - Accent2 2 8 2 3" xfId="31891" xr:uid="{AF63990C-671F-4A35-A85B-FF5E2A4C8228}"/>
    <cellStyle name="20% - Accent2 2 8 2 4" xfId="15019" xr:uid="{B64E8FFF-4B0E-454B-8602-74D545AA169C}"/>
    <cellStyle name="20% - Accent2 2 8 3" xfId="19239" xr:uid="{0F7C9F01-0279-4782-AED8-802E2A5A29E2}"/>
    <cellStyle name="20% - Accent2 2 8 4" xfId="27674" xr:uid="{096CE1F2-B543-4E4F-818D-DACE58EFE237}"/>
    <cellStyle name="20% - Accent2 2 8 5" xfId="10801" xr:uid="{CF614333-57FB-4015-AD8A-909B3DEFDB8B}"/>
    <cellStyle name="20% - Accent2 2 9" xfId="4514" xr:uid="{00000000-0005-0000-0000-0000F1000000}"/>
    <cellStyle name="20% - Accent2 2 9 2" xfId="21391" xr:uid="{D8A611B2-A700-49A8-8BD7-DC85890368DE}"/>
    <cellStyle name="20% - Accent2 2 9 3" xfId="29825" xr:uid="{E3C97E40-655F-4F85-B3A0-81422B719ADE}"/>
    <cellStyle name="20% - Accent2 2 9 4" xfId="12953" xr:uid="{BA281622-FF82-4E17-8967-8AE48BCB4AD3}"/>
    <cellStyle name="20% - Accent2 3" xfId="14" xr:uid="{00000000-0005-0000-0000-0000F2000000}"/>
    <cellStyle name="20% - Accent2 3 10" xfId="25612" xr:uid="{6C5865F1-FD2D-4EDF-BB04-6B200CB93D5D}"/>
    <cellStyle name="20% - Accent2 3 11" xfId="8739" xr:uid="{9B863589-66EF-45E1-901D-48456DA8A650}"/>
    <cellStyle name="20% - Accent2 3 2" xfId="15" xr:uid="{00000000-0005-0000-0000-0000F3000000}"/>
    <cellStyle name="20% - Accent2 3 2 10" xfId="8740" xr:uid="{214C37B6-608C-4585-8010-A05FC88A181B}"/>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23955" xr:uid="{5081501A-91DB-472A-8BA8-77D02ABEEFDA}"/>
    <cellStyle name="20% - Accent2 3 2 2 2 2 3" xfId="32389" xr:uid="{756FC8C1-1F89-4F79-BCBF-C601A49FE7E0}"/>
    <cellStyle name="20% - Accent2 3 2 2 2 2 4" xfId="15517" xr:uid="{B64FEB24-343F-4F57-A7D8-AB9271E2B017}"/>
    <cellStyle name="20% - Accent2 3 2 2 2 3" xfId="19737" xr:uid="{1348744A-6105-496E-8A03-7D22C126360A}"/>
    <cellStyle name="20% - Accent2 3 2 2 2 4" xfId="28172" xr:uid="{007F323E-47CF-4ADC-BF14-464FD515A537}"/>
    <cellStyle name="20% - Accent2 3 2 2 2 5" xfId="11299" xr:uid="{745023C4-C2F8-4075-81A4-ADF7CB631051}"/>
    <cellStyle name="20% - Accent2 3 2 2 3" xfId="4933" xr:uid="{00000000-0005-0000-0000-0000F7000000}"/>
    <cellStyle name="20% - Accent2 3 2 2 3 2" xfId="21810" xr:uid="{2E0C964A-5D7D-4874-8EC2-B23CBC9E1A5F}"/>
    <cellStyle name="20% - Accent2 3 2 2 3 3" xfId="30244" xr:uid="{9938618C-D6F7-4AE5-A7D5-D90313D306A0}"/>
    <cellStyle name="20% - Accent2 3 2 2 3 4" xfId="13372" xr:uid="{3C21F6C3-C2F5-423B-BFB7-2ACF9F7CF3C0}"/>
    <cellStyle name="20% - Accent2 3 2 2 4" xfId="17592" xr:uid="{4C439AB5-7F65-475B-9768-29A475269347}"/>
    <cellStyle name="20% - Accent2 3 2 2 5" xfId="26027" xr:uid="{FB814E1B-230A-49A4-8224-B4FA4E1A6D75}"/>
    <cellStyle name="20% - Accent2 3 2 2 6" xfId="9154" xr:uid="{841BA2E2-DCF3-4E19-B68E-4EB0BC1B3190}"/>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24368" xr:uid="{DEE4D9E6-9D47-467A-B281-966916FBCD68}"/>
    <cellStyle name="20% - Accent2 3 2 3 2 2 3" xfId="32802" xr:uid="{A0805114-024A-466F-AE30-7121118BC87C}"/>
    <cellStyle name="20% - Accent2 3 2 3 2 2 4" xfId="15930" xr:uid="{F8958705-BAE4-49C0-A4EE-027639A192A3}"/>
    <cellStyle name="20% - Accent2 3 2 3 2 3" xfId="20150" xr:uid="{783D8890-8DCD-49CB-8FE1-7EED252F4033}"/>
    <cellStyle name="20% - Accent2 3 2 3 2 4" xfId="28585" xr:uid="{88E0C62F-A0CE-483A-80C7-440B2C0E4D7A}"/>
    <cellStyle name="20% - Accent2 3 2 3 2 5" xfId="11712" xr:uid="{3F4E756E-C353-4AA4-890E-BA52051B85E0}"/>
    <cellStyle name="20% - Accent2 3 2 3 3" xfId="5346" xr:uid="{00000000-0005-0000-0000-0000FB000000}"/>
    <cellStyle name="20% - Accent2 3 2 3 3 2" xfId="22223" xr:uid="{8FADB6A9-1711-41AD-964A-AA570246EA02}"/>
    <cellStyle name="20% - Accent2 3 2 3 3 3" xfId="30657" xr:uid="{30B1AE05-ACE4-410F-8CAB-94CC5239AD0A}"/>
    <cellStyle name="20% - Accent2 3 2 3 3 4" xfId="13785" xr:uid="{3F4FED9B-B47E-4FB7-AAB5-3D6A8984D50E}"/>
    <cellStyle name="20% - Accent2 3 2 3 4" xfId="18005" xr:uid="{F05270C2-A8F2-46B1-96AB-12CC7110CC19}"/>
    <cellStyle name="20% - Accent2 3 2 3 5" xfId="26440" xr:uid="{30595B01-B003-456D-B741-C47874A37FDE}"/>
    <cellStyle name="20% - Accent2 3 2 3 6" xfId="9567" xr:uid="{D5E57CFE-25EC-41C0-8845-103CB7E81322}"/>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24781" xr:uid="{007AD811-83D0-44A0-AB34-87F2A7C556C4}"/>
    <cellStyle name="20% - Accent2 3 2 4 2 2 3" xfId="33215" xr:uid="{62239CD1-4C5D-4996-A0C1-8B3FCCE9B660}"/>
    <cellStyle name="20% - Accent2 3 2 4 2 2 4" xfId="16343" xr:uid="{18F99FB5-8E9A-4C35-8023-CE724DC723A9}"/>
    <cellStyle name="20% - Accent2 3 2 4 2 3" xfId="20563" xr:uid="{D41D9E19-80CD-4E36-A02C-F79D71A841A3}"/>
    <cellStyle name="20% - Accent2 3 2 4 2 4" xfId="28998" xr:uid="{D3A23985-5CD7-4681-8288-0B52C383CBB5}"/>
    <cellStyle name="20% - Accent2 3 2 4 2 5" xfId="12125" xr:uid="{2A74F32F-9B03-48B8-9B31-B768DF113A54}"/>
    <cellStyle name="20% - Accent2 3 2 4 3" xfId="5759" xr:uid="{00000000-0005-0000-0000-0000FF000000}"/>
    <cellStyle name="20% - Accent2 3 2 4 3 2" xfId="22636" xr:uid="{D858E1FB-BFC4-4B7C-95FB-41E17EB0D1AD}"/>
    <cellStyle name="20% - Accent2 3 2 4 3 3" xfId="31070" xr:uid="{614851C4-59B1-44E7-9114-C7111F8A7D91}"/>
    <cellStyle name="20% - Accent2 3 2 4 3 4" xfId="14198" xr:uid="{2152FC9C-FFBC-443D-A31D-783DBDB05364}"/>
    <cellStyle name="20% - Accent2 3 2 4 4" xfId="18418" xr:uid="{5B4C5009-1026-43E5-ACA5-CB98496C7692}"/>
    <cellStyle name="20% - Accent2 3 2 4 5" xfId="26853" xr:uid="{878265AD-479A-498E-83DB-76734AFE8579}"/>
    <cellStyle name="20% - Accent2 3 2 4 6" xfId="9980" xr:uid="{2E310232-10BA-4420-B567-41D66760DCF7}"/>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25194" xr:uid="{2CD5FB51-A8DB-4D3E-9A84-137754647965}"/>
    <cellStyle name="20% - Accent2 3 2 5 2 2 3" xfId="33628" xr:uid="{191DB38C-7922-41E8-ACB7-4BF529D52D84}"/>
    <cellStyle name="20% - Accent2 3 2 5 2 2 4" xfId="16756" xr:uid="{CA66EEBC-6DB6-4509-B2EC-525C09220C6C}"/>
    <cellStyle name="20% - Accent2 3 2 5 2 3" xfId="20976" xr:uid="{4AE9FC2B-1E0E-4AC3-A862-876A79E8B664}"/>
    <cellStyle name="20% - Accent2 3 2 5 2 4" xfId="29411" xr:uid="{BC7E361D-C18E-4C51-B0A8-AAB4DC613489}"/>
    <cellStyle name="20% - Accent2 3 2 5 2 5" xfId="12538" xr:uid="{99F7D9EE-833B-439B-928B-7D1A5FFDBD7F}"/>
    <cellStyle name="20% - Accent2 3 2 5 3" xfId="6172" xr:uid="{00000000-0005-0000-0000-000003010000}"/>
    <cellStyle name="20% - Accent2 3 2 5 3 2" xfId="23049" xr:uid="{779FD9C1-A0BA-45E9-92CE-4535C5ED5AA7}"/>
    <cellStyle name="20% - Accent2 3 2 5 3 3" xfId="31483" xr:uid="{05E4F8B3-0736-4146-9E88-23F26322034E}"/>
    <cellStyle name="20% - Accent2 3 2 5 3 4" xfId="14611" xr:uid="{74257722-5679-4C32-8A75-6E2172C5A884}"/>
    <cellStyle name="20% - Accent2 3 2 5 4" xfId="18831" xr:uid="{6954984F-C90F-43A1-82DE-799B2AFA54C9}"/>
    <cellStyle name="20% - Accent2 3 2 5 5" xfId="27266" xr:uid="{C5BE9C6D-E22F-46EE-951C-62227FD0DB17}"/>
    <cellStyle name="20% - Accent2 3 2 5 6" xfId="10393" xr:uid="{877C530D-82D9-414F-80A3-F82E42810741}"/>
    <cellStyle name="20% - Accent2 3 2 6" xfId="2278" xr:uid="{00000000-0005-0000-0000-000004010000}"/>
    <cellStyle name="20% - Accent2 3 2 6 2" xfId="6585" xr:uid="{00000000-0005-0000-0000-000005010000}"/>
    <cellStyle name="20% - Accent2 3 2 6 2 2" xfId="23462" xr:uid="{DB6BB05A-1264-4AE2-8E02-9B8066233F98}"/>
    <cellStyle name="20% - Accent2 3 2 6 2 3" xfId="31896" xr:uid="{4708E0E1-9022-4CBA-B475-A042FFFB8450}"/>
    <cellStyle name="20% - Accent2 3 2 6 2 4" xfId="15024" xr:uid="{FD89E12A-2E05-442B-BCC2-D547265FFCFA}"/>
    <cellStyle name="20% - Accent2 3 2 6 3" xfId="19244" xr:uid="{28C981BB-2531-4CAB-85FB-8E9224B9F03F}"/>
    <cellStyle name="20% - Accent2 3 2 6 4" xfId="27679" xr:uid="{D6471E9C-5EFE-4A7B-A9D1-B1AA5076A993}"/>
    <cellStyle name="20% - Accent2 3 2 6 5" xfId="10806" xr:uid="{DC1BB229-4CD7-4B53-BB8B-BCA1F4611164}"/>
    <cellStyle name="20% - Accent2 3 2 7" xfId="4519" xr:uid="{00000000-0005-0000-0000-000006010000}"/>
    <cellStyle name="20% - Accent2 3 2 7 2" xfId="21396" xr:uid="{2BDC3379-5C4C-43E4-9C32-B003BEC2B425}"/>
    <cellStyle name="20% - Accent2 3 2 7 3" xfId="29830" xr:uid="{BB0C06B7-758C-4CBD-8121-C3B6A0D1FEF2}"/>
    <cellStyle name="20% - Accent2 3 2 7 4" xfId="12958" xr:uid="{A2C348B7-AB11-45DC-9425-7E6368231040}"/>
    <cellStyle name="20% - Accent2 3 2 8" xfId="17178" xr:uid="{C932E5A6-E38D-4706-A645-23CBF2FDB3B5}"/>
    <cellStyle name="20% - Accent2 3 2 9" xfId="25613" xr:uid="{A4316D09-7893-484F-BCB2-69184B22DFCA}"/>
    <cellStyle name="20% - Accent2 3 3" xfId="583" xr:uid="{00000000-0005-0000-0000-000007010000}"/>
    <cellStyle name="20% - Accent2 3 3 2" xfId="2854" xr:uid="{00000000-0005-0000-0000-000008010000}"/>
    <cellStyle name="20% - Accent2 3 3 2 2" xfId="7077" xr:uid="{00000000-0005-0000-0000-000009010000}"/>
    <cellStyle name="20% - Accent2 3 3 2 2 2" xfId="23954" xr:uid="{EBBA0474-911F-44BB-815B-E91EA347408A}"/>
    <cellStyle name="20% - Accent2 3 3 2 2 3" xfId="32388" xr:uid="{6C864CCE-CD19-41F1-80F1-48073EA1097C}"/>
    <cellStyle name="20% - Accent2 3 3 2 2 4" xfId="15516" xr:uid="{BC777C7A-9FE7-4B9E-96F8-A7312F93E21D}"/>
    <cellStyle name="20% - Accent2 3 3 2 3" xfId="19736" xr:uid="{C079E9C7-5B2A-4D1E-8050-DB59B14FFC02}"/>
    <cellStyle name="20% - Accent2 3 3 2 4" xfId="28171" xr:uid="{7D5027D3-E22D-4C4B-B09D-EDD269F68266}"/>
    <cellStyle name="20% - Accent2 3 3 2 5" xfId="11298" xr:uid="{CA96F5CF-76B9-4769-98F6-7EC235675A43}"/>
    <cellStyle name="20% - Accent2 3 3 3" xfId="4932" xr:uid="{00000000-0005-0000-0000-00000A010000}"/>
    <cellStyle name="20% - Accent2 3 3 3 2" xfId="21809" xr:uid="{67B37308-62A1-4B2A-B139-2E81717803BD}"/>
    <cellStyle name="20% - Accent2 3 3 3 3" xfId="30243" xr:uid="{E9064940-FC3D-4F92-B089-CB1449348EF8}"/>
    <cellStyle name="20% - Accent2 3 3 3 4" xfId="13371" xr:uid="{012381E5-8612-4848-8B5E-1EA4765D7100}"/>
    <cellStyle name="20% - Accent2 3 3 4" xfId="17591" xr:uid="{D04733D5-DB6C-4235-B4B3-DF0D866DC02B}"/>
    <cellStyle name="20% - Accent2 3 3 5" xfId="26026" xr:uid="{D8697B34-C48D-4981-B6BF-54280ED6EF83}"/>
    <cellStyle name="20% - Accent2 3 3 6" xfId="9153" xr:uid="{B280652D-CDE8-43EA-A74E-D2DDCE46D068}"/>
    <cellStyle name="20% - Accent2 3 4" xfId="1036" xr:uid="{00000000-0005-0000-0000-00000B010000}"/>
    <cellStyle name="20% - Accent2 3 4 2" xfId="3267" xr:uid="{00000000-0005-0000-0000-00000C010000}"/>
    <cellStyle name="20% - Accent2 3 4 2 2" xfId="7490" xr:uid="{00000000-0005-0000-0000-00000D010000}"/>
    <cellStyle name="20% - Accent2 3 4 2 2 2" xfId="24367" xr:uid="{F4793FE4-656D-47E0-A887-9E3173A5DAE7}"/>
    <cellStyle name="20% - Accent2 3 4 2 2 3" xfId="32801" xr:uid="{11B242AC-ED7E-474B-825D-66F4D6E6D647}"/>
    <cellStyle name="20% - Accent2 3 4 2 2 4" xfId="15929" xr:uid="{CCDC222F-FEA9-476D-9E73-DCB469D6C20A}"/>
    <cellStyle name="20% - Accent2 3 4 2 3" xfId="20149" xr:uid="{8CBDB452-8C37-45C1-BE1B-A46E25AB5E5E}"/>
    <cellStyle name="20% - Accent2 3 4 2 4" xfId="28584" xr:uid="{9CDDBD1B-8CCC-4169-8B0A-50AB7C9ADAE9}"/>
    <cellStyle name="20% - Accent2 3 4 2 5" xfId="11711" xr:uid="{5A0FF1A0-BD1C-441A-A368-A6AEBBE324F6}"/>
    <cellStyle name="20% - Accent2 3 4 3" xfId="5345" xr:uid="{00000000-0005-0000-0000-00000E010000}"/>
    <cellStyle name="20% - Accent2 3 4 3 2" xfId="22222" xr:uid="{08519847-4437-43F1-AF09-B89A4B70063E}"/>
    <cellStyle name="20% - Accent2 3 4 3 3" xfId="30656" xr:uid="{4AFF95EB-02B4-494D-8FBE-0BE6186B6F01}"/>
    <cellStyle name="20% - Accent2 3 4 3 4" xfId="13784" xr:uid="{69CDB78D-C9F5-4706-9C0E-5FA5CE9116A4}"/>
    <cellStyle name="20% - Accent2 3 4 4" xfId="18004" xr:uid="{3E313990-2115-4D0E-A360-C6CF502B0F53}"/>
    <cellStyle name="20% - Accent2 3 4 5" xfId="26439" xr:uid="{2453CB8E-092B-4E4D-A722-BCE4F0A96540}"/>
    <cellStyle name="20% - Accent2 3 4 6" xfId="9566" xr:uid="{6F5F02B4-03C2-46FC-A15E-DD4C812B7AB3}"/>
    <cellStyle name="20% - Accent2 3 5" xfId="1450" xr:uid="{00000000-0005-0000-0000-00000F010000}"/>
    <cellStyle name="20% - Accent2 3 5 2" xfId="3680" xr:uid="{00000000-0005-0000-0000-000010010000}"/>
    <cellStyle name="20% - Accent2 3 5 2 2" xfId="7903" xr:uid="{00000000-0005-0000-0000-000011010000}"/>
    <cellStyle name="20% - Accent2 3 5 2 2 2" xfId="24780" xr:uid="{20B05493-3A24-4898-99ED-1C0BA5481F20}"/>
    <cellStyle name="20% - Accent2 3 5 2 2 3" xfId="33214" xr:uid="{4875E9A1-C8BA-4CAC-B840-C0B54C64D11B}"/>
    <cellStyle name="20% - Accent2 3 5 2 2 4" xfId="16342" xr:uid="{9C0803B0-418A-4246-9CCB-8AC678B4C511}"/>
    <cellStyle name="20% - Accent2 3 5 2 3" xfId="20562" xr:uid="{5CE959D8-2D66-401D-AA31-77ACD960F18D}"/>
    <cellStyle name="20% - Accent2 3 5 2 4" xfId="28997" xr:uid="{F7CD6A1F-6D6F-4AF1-8EA3-0DC7DBB94581}"/>
    <cellStyle name="20% - Accent2 3 5 2 5" xfId="12124" xr:uid="{A2E85F78-08C5-424A-A19F-01C9FA23158D}"/>
    <cellStyle name="20% - Accent2 3 5 3" xfId="5758" xr:uid="{00000000-0005-0000-0000-000012010000}"/>
    <cellStyle name="20% - Accent2 3 5 3 2" xfId="22635" xr:uid="{3CFEFA6F-F485-4DE2-94F3-AEB28D2F12FE}"/>
    <cellStyle name="20% - Accent2 3 5 3 3" xfId="31069" xr:uid="{6D2AAEF6-F4C0-412F-97CF-B68AC75437D2}"/>
    <cellStyle name="20% - Accent2 3 5 3 4" xfId="14197" xr:uid="{FB59F539-FC83-4427-9220-5D12BED52FAC}"/>
    <cellStyle name="20% - Accent2 3 5 4" xfId="18417" xr:uid="{306DF4D5-A282-4981-8A8B-4295E27B65A7}"/>
    <cellStyle name="20% - Accent2 3 5 5" xfId="26852" xr:uid="{CCF674A8-A870-47DC-9D63-B9E26E331610}"/>
    <cellStyle name="20% - Accent2 3 5 6" xfId="9979" xr:uid="{BA96EF21-2E1B-433B-ABE5-9050D38FC9D4}"/>
    <cellStyle name="20% - Accent2 3 6" xfId="1864" xr:uid="{00000000-0005-0000-0000-000013010000}"/>
    <cellStyle name="20% - Accent2 3 6 2" xfId="4093" xr:uid="{00000000-0005-0000-0000-000014010000}"/>
    <cellStyle name="20% - Accent2 3 6 2 2" xfId="8316" xr:uid="{00000000-0005-0000-0000-000015010000}"/>
    <cellStyle name="20% - Accent2 3 6 2 2 2" xfId="25193" xr:uid="{8119CA0D-CD98-4661-9AEB-28A976DAD4D7}"/>
    <cellStyle name="20% - Accent2 3 6 2 2 3" xfId="33627" xr:uid="{FDA96181-BE86-4ABA-A351-B436F092CD2A}"/>
    <cellStyle name="20% - Accent2 3 6 2 2 4" xfId="16755" xr:uid="{AFB7D094-41F2-4C2A-8AD5-72D5987CDF6F}"/>
    <cellStyle name="20% - Accent2 3 6 2 3" xfId="20975" xr:uid="{BCCA0A58-24C7-46E0-8651-49522009E744}"/>
    <cellStyle name="20% - Accent2 3 6 2 4" xfId="29410" xr:uid="{B53C576C-9C2D-4A87-8CE7-309AAE7FA002}"/>
    <cellStyle name="20% - Accent2 3 6 2 5" xfId="12537" xr:uid="{A24FAECC-08A4-4B83-A0AE-35D32915E48C}"/>
    <cellStyle name="20% - Accent2 3 6 3" xfId="6171" xr:uid="{00000000-0005-0000-0000-000016010000}"/>
    <cellStyle name="20% - Accent2 3 6 3 2" xfId="23048" xr:uid="{A7D1AEE1-7740-4076-9448-85013DEEAF3D}"/>
    <cellStyle name="20% - Accent2 3 6 3 3" xfId="31482" xr:uid="{D464D4FE-F729-4C92-A123-CE309BF50B58}"/>
    <cellStyle name="20% - Accent2 3 6 3 4" xfId="14610" xr:uid="{9E0B51EB-6493-48A7-AAAD-06D1EF7E79F6}"/>
    <cellStyle name="20% - Accent2 3 6 4" xfId="18830" xr:uid="{ECBFCD49-CDD4-414B-82E3-E400F899E53A}"/>
    <cellStyle name="20% - Accent2 3 6 5" xfId="27265" xr:uid="{5C539F82-AC4A-435C-85D0-0434C073EC1E}"/>
    <cellStyle name="20% - Accent2 3 6 6" xfId="10392" xr:uid="{CEE5EC0A-C6C4-449B-B89B-44647D6FC27F}"/>
    <cellStyle name="20% - Accent2 3 7" xfId="2277" xr:uid="{00000000-0005-0000-0000-000017010000}"/>
    <cellStyle name="20% - Accent2 3 7 2" xfId="6584" xr:uid="{00000000-0005-0000-0000-000018010000}"/>
    <cellStyle name="20% - Accent2 3 7 2 2" xfId="23461" xr:uid="{E06D819D-511E-407F-B13D-FB70CD77EF40}"/>
    <cellStyle name="20% - Accent2 3 7 2 3" xfId="31895" xr:uid="{6F5A4FA9-2364-4474-B189-9C9FBB5847AC}"/>
    <cellStyle name="20% - Accent2 3 7 2 4" xfId="15023" xr:uid="{821C95A3-A28B-411D-A457-7900F1F525A6}"/>
    <cellStyle name="20% - Accent2 3 7 3" xfId="19243" xr:uid="{D32DD18D-55EC-4FA6-8D0D-41B2CEBA4BB3}"/>
    <cellStyle name="20% - Accent2 3 7 4" xfId="27678" xr:uid="{397B0F23-7278-4998-AD80-1624B660CB14}"/>
    <cellStyle name="20% - Accent2 3 7 5" xfId="10805" xr:uid="{EAD1D704-B427-4816-91E4-BBAB8088768D}"/>
    <cellStyle name="20% - Accent2 3 8" xfId="4518" xr:uid="{00000000-0005-0000-0000-000019010000}"/>
    <cellStyle name="20% - Accent2 3 8 2" xfId="21395" xr:uid="{9970AF6B-A599-40B1-B45A-7ABBD0407228}"/>
    <cellStyle name="20% - Accent2 3 8 3" xfId="29829" xr:uid="{B803BF5F-F85A-492E-A45F-B4C19EF1F922}"/>
    <cellStyle name="20% - Accent2 3 8 4" xfId="12957" xr:uid="{0CD4F15C-3A81-4925-86AC-093FD2A47517}"/>
    <cellStyle name="20% - Accent2 3 9" xfId="17177" xr:uid="{7D437F0B-F6F6-4E16-93AB-214EF0C1E008}"/>
    <cellStyle name="20% - Accent2 4" xfId="16" xr:uid="{00000000-0005-0000-0000-00001A010000}"/>
    <cellStyle name="20% - Accent2 4 10" xfId="8741" xr:uid="{0A053A4D-9938-4A2F-B9CD-566EFA5C942E}"/>
    <cellStyle name="20% - Accent2 4 2" xfId="585" xr:uid="{00000000-0005-0000-0000-00001B010000}"/>
    <cellStyle name="20% - Accent2 4 2 2" xfId="2856" xr:uid="{00000000-0005-0000-0000-00001C010000}"/>
    <cellStyle name="20% - Accent2 4 2 2 2" xfId="7079" xr:uid="{00000000-0005-0000-0000-00001D010000}"/>
    <cellStyle name="20% - Accent2 4 2 2 2 2" xfId="23956" xr:uid="{5294CDB6-CC4A-4A24-8F6D-A5DE8EDA20D2}"/>
    <cellStyle name="20% - Accent2 4 2 2 2 3" xfId="32390" xr:uid="{8FE4D036-7114-44E5-960A-955916E7334E}"/>
    <cellStyle name="20% - Accent2 4 2 2 2 4" xfId="15518" xr:uid="{446079E1-E6E0-4585-BFDD-8F89AF3E3F63}"/>
    <cellStyle name="20% - Accent2 4 2 2 3" xfId="19738" xr:uid="{8B4DAEB6-BFDA-491E-A5D8-B484AEC2D660}"/>
    <cellStyle name="20% - Accent2 4 2 2 4" xfId="28173" xr:uid="{0B0B877E-DD7C-4700-AD6B-E3F63F20A44E}"/>
    <cellStyle name="20% - Accent2 4 2 2 5" xfId="11300" xr:uid="{A4CE1779-5455-44F2-94BB-6E36B719BD31}"/>
    <cellStyle name="20% - Accent2 4 2 3" xfId="4934" xr:uid="{00000000-0005-0000-0000-00001E010000}"/>
    <cellStyle name="20% - Accent2 4 2 3 2" xfId="21811" xr:uid="{8392E13C-B562-4C47-8F00-09B4527A78D0}"/>
    <cellStyle name="20% - Accent2 4 2 3 3" xfId="30245" xr:uid="{E3DBE11C-7277-4BCB-8EA0-91484697534D}"/>
    <cellStyle name="20% - Accent2 4 2 3 4" xfId="13373" xr:uid="{2E09A22A-5AA2-40C3-A120-2B25570D765E}"/>
    <cellStyle name="20% - Accent2 4 2 4" xfId="17593" xr:uid="{F2F4DBE3-0A68-42F5-8D0F-911A323D0560}"/>
    <cellStyle name="20% - Accent2 4 2 5" xfId="26028" xr:uid="{E9720653-389C-42EE-A0BB-BD92AA86BBA2}"/>
    <cellStyle name="20% - Accent2 4 2 6" xfId="9155" xr:uid="{385000E0-27DE-4B61-A652-3D178056DA83}"/>
    <cellStyle name="20% - Accent2 4 3" xfId="1038" xr:uid="{00000000-0005-0000-0000-00001F010000}"/>
    <cellStyle name="20% - Accent2 4 3 2" xfId="3269" xr:uid="{00000000-0005-0000-0000-000020010000}"/>
    <cellStyle name="20% - Accent2 4 3 2 2" xfId="7492" xr:uid="{00000000-0005-0000-0000-000021010000}"/>
    <cellStyle name="20% - Accent2 4 3 2 2 2" xfId="24369" xr:uid="{11E35C34-5261-4A91-AD0D-E7E8E5EC858E}"/>
    <cellStyle name="20% - Accent2 4 3 2 2 3" xfId="32803" xr:uid="{A0E95BF9-0605-455E-B461-21E9BEC17A04}"/>
    <cellStyle name="20% - Accent2 4 3 2 2 4" xfId="15931" xr:uid="{0B33C7BC-4889-4D43-8941-861C49D32E45}"/>
    <cellStyle name="20% - Accent2 4 3 2 3" xfId="20151" xr:uid="{3B8E9BB0-85A5-4503-82D0-124F48322FAB}"/>
    <cellStyle name="20% - Accent2 4 3 2 4" xfId="28586" xr:uid="{E2941154-18E0-478B-B27F-47D5615C3870}"/>
    <cellStyle name="20% - Accent2 4 3 2 5" xfId="11713" xr:uid="{026E8426-1732-43E2-9A36-EC7C7E939822}"/>
    <cellStyle name="20% - Accent2 4 3 3" xfId="5347" xr:uid="{00000000-0005-0000-0000-000022010000}"/>
    <cellStyle name="20% - Accent2 4 3 3 2" xfId="22224" xr:uid="{0B9C8C11-DD5C-43EA-8C45-37A1AF026ACD}"/>
    <cellStyle name="20% - Accent2 4 3 3 3" xfId="30658" xr:uid="{BDBAFB5F-7B6F-4DD0-BD09-650AA89E9DEA}"/>
    <cellStyle name="20% - Accent2 4 3 3 4" xfId="13786" xr:uid="{2C47E980-7B3D-4653-864E-7BF93B0F6555}"/>
    <cellStyle name="20% - Accent2 4 3 4" xfId="18006" xr:uid="{8FCC4BAD-04F2-4BAE-B703-96A362C76F33}"/>
    <cellStyle name="20% - Accent2 4 3 5" xfId="26441" xr:uid="{8A1F0C36-2F30-4AC3-A75A-2F695BACDB04}"/>
    <cellStyle name="20% - Accent2 4 3 6" xfId="9568" xr:uid="{A550322A-7937-44E0-8558-FC1F37B36665}"/>
    <cellStyle name="20% - Accent2 4 4" xfId="1452" xr:uid="{00000000-0005-0000-0000-000023010000}"/>
    <cellStyle name="20% - Accent2 4 4 2" xfId="3682" xr:uid="{00000000-0005-0000-0000-000024010000}"/>
    <cellStyle name="20% - Accent2 4 4 2 2" xfId="7905" xr:uid="{00000000-0005-0000-0000-000025010000}"/>
    <cellStyle name="20% - Accent2 4 4 2 2 2" xfId="24782" xr:uid="{860B6077-4073-4906-8125-A8599A72C860}"/>
    <cellStyle name="20% - Accent2 4 4 2 2 3" xfId="33216" xr:uid="{B25EB13B-8D0B-4CA5-87FC-9A4D772A6223}"/>
    <cellStyle name="20% - Accent2 4 4 2 2 4" xfId="16344" xr:uid="{FA0BF094-8440-48C3-92CB-7CEDB53D440F}"/>
    <cellStyle name="20% - Accent2 4 4 2 3" xfId="20564" xr:uid="{99218855-14F6-4B0F-B6C5-6625CE1DDC69}"/>
    <cellStyle name="20% - Accent2 4 4 2 4" xfId="28999" xr:uid="{DA54DD2C-426B-45E7-A62E-53BDD0151D50}"/>
    <cellStyle name="20% - Accent2 4 4 2 5" xfId="12126" xr:uid="{50A7D95F-94A5-4300-A0EA-735309430C5B}"/>
    <cellStyle name="20% - Accent2 4 4 3" xfId="5760" xr:uid="{00000000-0005-0000-0000-000026010000}"/>
    <cellStyle name="20% - Accent2 4 4 3 2" xfId="22637" xr:uid="{6C7CBCFD-047B-40BD-B892-2BB5108CD058}"/>
    <cellStyle name="20% - Accent2 4 4 3 3" xfId="31071" xr:uid="{0B964AED-C96C-4FEE-8F90-4E9F871089CC}"/>
    <cellStyle name="20% - Accent2 4 4 3 4" xfId="14199" xr:uid="{061B98E3-00DE-4964-BB17-1A6803554855}"/>
    <cellStyle name="20% - Accent2 4 4 4" xfId="18419" xr:uid="{5CA6264A-65C0-4049-9009-B9237C42DEBE}"/>
    <cellStyle name="20% - Accent2 4 4 5" xfId="26854" xr:uid="{18881111-0F72-4592-94E1-2D3F61F32A74}"/>
    <cellStyle name="20% - Accent2 4 4 6" xfId="9981" xr:uid="{026753B3-4622-42E6-A7E6-B8EAEE84366F}"/>
    <cellStyle name="20% - Accent2 4 5" xfId="1866" xr:uid="{00000000-0005-0000-0000-000027010000}"/>
    <cellStyle name="20% - Accent2 4 5 2" xfId="4095" xr:uid="{00000000-0005-0000-0000-000028010000}"/>
    <cellStyle name="20% - Accent2 4 5 2 2" xfId="8318" xr:uid="{00000000-0005-0000-0000-000029010000}"/>
    <cellStyle name="20% - Accent2 4 5 2 2 2" xfId="25195" xr:uid="{24262375-09D1-47AC-B1A9-E46B4460551B}"/>
    <cellStyle name="20% - Accent2 4 5 2 2 3" xfId="33629" xr:uid="{93BCE4CC-5848-4771-B851-48425B570A08}"/>
    <cellStyle name="20% - Accent2 4 5 2 2 4" xfId="16757" xr:uid="{E2C83BC9-6394-44B9-88C1-38EC11D9F22F}"/>
    <cellStyle name="20% - Accent2 4 5 2 3" xfId="20977" xr:uid="{AB42A9A3-0DB8-42DE-AD21-5EA539DF89CA}"/>
    <cellStyle name="20% - Accent2 4 5 2 4" xfId="29412" xr:uid="{69B1CBFD-6E3F-48E9-BBC1-34BA18D6EC86}"/>
    <cellStyle name="20% - Accent2 4 5 2 5" xfId="12539" xr:uid="{5570BD25-C239-4F83-9A95-403350A16054}"/>
    <cellStyle name="20% - Accent2 4 5 3" xfId="6173" xr:uid="{00000000-0005-0000-0000-00002A010000}"/>
    <cellStyle name="20% - Accent2 4 5 3 2" xfId="23050" xr:uid="{1A4CC07F-ED60-4BF1-A1FA-9DEF01469D44}"/>
    <cellStyle name="20% - Accent2 4 5 3 3" xfId="31484" xr:uid="{2A0BF0D3-DC67-4245-91DE-3D11B8E2B3C8}"/>
    <cellStyle name="20% - Accent2 4 5 3 4" xfId="14612" xr:uid="{AB8F71F9-2D57-4517-98DE-6A7C3B45C804}"/>
    <cellStyle name="20% - Accent2 4 5 4" xfId="18832" xr:uid="{3CDC28A1-C503-4A7D-87BC-504F6979ED0B}"/>
    <cellStyle name="20% - Accent2 4 5 5" xfId="27267" xr:uid="{A794DB5A-4023-45F8-A8A4-C534CBE6B9C8}"/>
    <cellStyle name="20% - Accent2 4 5 6" xfId="10394" xr:uid="{5D660D7D-BD01-4682-B4F4-9CFF7B9F90E9}"/>
    <cellStyle name="20% - Accent2 4 6" xfId="2279" xr:uid="{00000000-0005-0000-0000-00002B010000}"/>
    <cellStyle name="20% - Accent2 4 6 2" xfId="6586" xr:uid="{00000000-0005-0000-0000-00002C010000}"/>
    <cellStyle name="20% - Accent2 4 6 2 2" xfId="23463" xr:uid="{B82E8A40-8257-4F00-98E1-2075631D62FD}"/>
    <cellStyle name="20% - Accent2 4 6 2 3" xfId="31897" xr:uid="{2C983DC8-A72C-4F19-89D8-C2875316AD2C}"/>
    <cellStyle name="20% - Accent2 4 6 2 4" xfId="15025" xr:uid="{F2658EAD-0163-4C39-9C81-419ED8ABB677}"/>
    <cellStyle name="20% - Accent2 4 6 3" xfId="19245" xr:uid="{A43B3BF1-7934-4598-ACB6-A8D16A5BDA2A}"/>
    <cellStyle name="20% - Accent2 4 6 4" xfId="27680" xr:uid="{26066918-D0AE-4AF1-8C7D-AA9C71EF42C0}"/>
    <cellStyle name="20% - Accent2 4 6 5" xfId="10807" xr:uid="{AB7F5E83-72F2-4F7C-8EDC-F633C7223BFA}"/>
    <cellStyle name="20% - Accent2 4 7" xfId="4520" xr:uid="{00000000-0005-0000-0000-00002D010000}"/>
    <cellStyle name="20% - Accent2 4 7 2" xfId="21397" xr:uid="{DA4CAAE7-3DAE-41AF-A88C-D991BA1E11FF}"/>
    <cellStyle name="20% - Accent2 4 7 3" xfId="29831" xr:uid="{E1FBB42D-75F0-4B1E-94BA-8D2435021FD9}"/>
    <cellStyle name="20% - Accent2 4 7 4" xfId="12959" xr:uid="{351C7C9E-430F-4D5D-A6E0-40C3B0768189}"/>
    <cellStyle name="20% - Accent2 4 8" xfId="17179" xr:uid="{6C6C2360-77B1-4C26-84FA-E1E467406486}"/>
    <cellStyle name="20% - Accent2 4 9" xfId="25614" xr:uid="{53D63A2B-7D39-4583-BD85-54CBE8F1A2D1}"/>
    <cellStyle name="20% - Accent2 5" xfId="578" xr:uid="{00000000-0005-0000-0000-00002E010000}"/>
    <cellStyle name="20% - Accent2 5 2" xfId="2849" xr:uid="{00000000-0005-0000-0000-00002F010000}"/>
    <cellStyle name="20% - Accent2 5 2 2" xfId="7072" xr:uid="{00000000-0005-0000-0000-000030010000}"/>
    <cellStyle name="20% - Accent2 5 2 2 2" xfId="23949" xr:uid="{B93F8A0B-B988-4023-9142-DACADFF2B6DB}"/>
    <cellStyle name="20% - Accent2 5 2 2 3" xfId="32383" xr:uid="{E107D510-71B0-4D8B-9A38-CF75AD792955}"/>
    <cellStyle name="20% - Accent2 5 2 2 4" xfId="15511" xr:uid="{1A2B437E-0984-4806-BE23-D710C716CE2B}"/>
    <cellStyle name="20% - Accent2 5 2 3" xfId="19731" xr:uid="{CAAD04BF-2EC9-458B-BF7A-10827921BD7A}"/>
    <cellStyle name="20% - Accent2 5 2 4" xfId="28166" xr:uid="{A4CF04DD-14A6-40F8-B7ED-453B5D230289}"/>
    <cellStyle name="20% - Accent2 5 2 5" xfId="11293" xr:uid="{395806AC-761C-4FB0-90D0-44DEA956CF69}"/>
    <cellStyle name="20% - Accent2 5 3" xfId="4927" xr:uid="{00000000-0005-0000-0000-000031010000}"/>
    <cellStyle name="20% - Accent2 5 3 2" xfId="21804" xr:uid="{AB510506-96E8-4A40-B3B8-2331B611D5EC}"/>
    <cellStyle name="20% - Accent2 5 3 3" xfId="30238" xr:uid="{E3F241CB-494F-4293-8796-51EC2BD600E6}"/>
    <cellStyle name="20% - Accent2 5 3 4" xfId="13366" xr:uid="{38962FF2-AF96-4B3A-BFC0-20B200E846AB}"/>
    <cellStyle name="20% - Accent2 5 4" xfId="17586" xr:uid="{9E956563-1474-4935-9BF2-B4F1AC28635E}"/>
    <cellStyle name="20% - Accent2 5 5" xfId="26021" xr:uid="{20FE804D-36B1-4D12-85D9-C2B9AA34C5B9}"/>
    <cellStyle name="20% - Accent2 5 6" xfId="9148" xr:uid="{5CD15539-81F1-431E-8846-C3BF73F1F5B3}"/>
    <cellStyle name="20% - Accent2 6" xfId="1031" xr:uid="{00000000-0005-0000-0000-000032010000}"/>
    <cellStyle name="20% - Accent2 6 2" xfId="3262" xr:uid="{00000000-0005-0000-0000-000033010000}"/>
    <cellStyle name="20% - Accent2 6 2 2" xfId="7485" xr:uid="{00000000-0005-0000-0000-000034010000}"/>
    <cellStyle name="20% - Accent2 6 2 2 2" xfId="24362" xr:uid="{C9652C65-9009-494B-8505-54791BA8EA52}"/>
    <cellStyle name="20% - Accent2 6 2 2 3" xfId="32796" xr:uid="{063DB2D6-E40F-43C8-801A-0F06F88BE5AC}"/>
    <cellStyle name="20% - Accent2 6 2 2 4" xfId="15924" xr:uid="{CB8607AC-8B51-47F0-A194-2509AEFA0442}"/>
    <cellStyle name="20% - Accent2 6 2 3" xfId="20144" xr:uid="{450E305D-0426-4906-9A59-B377EDF70613}"/>
    <cellStyle name="20% - Accent2 6 2 4" xfId="28579" xr:uid="{1C2C8379-9F99-4CC3-AC29-8B047C8AAB14}"/>
    <cellStyle name="20% - Accent2 6 2 5" xfId="11706" xr:uid="{9BD203D3-1C92-4A30-AD51-6E38E98344F7}"/>
    <cellStyle name="20% - Accent2 6 3" xfId="5340" xr:uid="{00000000-0005-0000-0000-000035010000}"/>
    <cellStyle name="20% - Accent2 6 3 2" xfId="22217" xr:uid="{BC6EFF95-63A6-40DE-95CB-DA4D74653E35}"/>
    <cellStyle name="20% - Accent2 6 3 3" xfId="30651" xr:uid="{25633AC7-AEF0-4878-BE68-1D898B2BEAC6}"/>
    <cellStyle name="20% - Accent2 6 3 4" xfId="13779" xr:uid="{C40B5951-CCC5-463F-B0CF-2A7D6A465D3B}"/>
    <cellStyle name="20% - Accent2 6 4" xfId="17999" xr:uid="{0D2A7533-5660-451C-B91D-0D18A7A034C2}"/>
    <cellStyle name="20% - Accent2 6 5" xfId="26434" xr:uid="{0FC91443-6D17-4534-B9D7-15D64DD8A320}"/>
    <cellStyle name="20% - Accent2 6 6" xfId="9561" xr:uid="{2F09322B-13B2-4145-96D0-055C787C0D40}"/>
    <cellStyle name="20% - Accent2 7" xfId="1445" xr:uid="{00000000-0005-0000-0000-000036010000}"/>
    <cellStyle name="20% - Accent2 7 2" xfId="3675" xr:uid="{00000000-0005-0000-0000-000037010000}"/>
    <cellStyle name="20% - Accent2 7 2 2" xfId="7898" xr:uid="{00000000-0005-0000-0000-000038010000}"/>
    <cellStyle name="20% - Accent2 7 2 2 2" xfId="24775" xr:uid="{025BD259-F60B-4FFA-B19B-8A06ADCB5EF6}"/>
    <cellStyle name="20% - Accent2 7 2 2 3" xfId="33209" xr:uid="{28E23186-4CD3-4F01-A7DD-F63EDF7D22AA}"/>
    <cellStyle name="20% - Accent2 7 2 2 4" xfId="16337" xr:uid="{7E7B84B2-7EFC-45F3-9A50-F51026A9300B}"/>
    <cellStyle name="20% - Accent2 7 2 3" xfId="20557" xr:uid="{E6516B64-5DFC-44F9-B62D-D70B28D7CAC9}"/>
    <cellStyle name="20% - Accent2 7 2 4" xfId="28992" xr:uid="{648C7868-BA93-4F16-B03D-B7133730D871}"/>
    <cellStyle name="20% - Accent2 7 2 5" xfId="12119" xr:uid="{126C2805-1D98-4A33-8254-2AB271721214}"/>
    <cellStyle name="20% - Accent2 7 3" xfId="5753" xr:uid="{00000000-0005-0000-0000-000039010000}"/>
    <cellStyle name="20% - Accent2 7 3 2" xfId="22630" xr:uid="{3BD2B69A-3703-4E88-9C6E-142AE6EE86ED}"/>
    <cellStyle name="20% - Accent2 7 3 3" xfId="31064" xr:uid="{5F9FE47D-9DC0-471E-87F2-D63A9868512C}"/>
    <cellStyle name="20% - Accent2 7 3 4" xfId="14192" xr:uid="{9FBEB054-9830-402D-BD5D-1BF5344DBAEB}"/>
    <cellStyle name="20% - Accent2 7 4" xfId="18412" xr:uid="{F50E5F7D-BFF2-44C1-BC19-021543633D34}"/>
    <cellStyle name="20% - Accent2 7 5" xfId="26847" xr:uid="{F1D5D340-E53D-4F63-9607-1E06CA22348F}"/>
    <cellStyle name="20% - Accent2 7 6" xfId="9974" xr:uid="{3BDFF25C-A12C-41EA-B1EE-6FD4F70D97CE}"/>
    <cellStyle name="20% - Accent2 8" xfId="1859" xr:uid="{00000000-0005-0000-0000-00003A010000}"/>
    <cellStyle name="20% - Accent2 8 2" xfId="4088" xr:uid="{00000000-0005-0000-0000-00003B010000}"/>
    <cellStyle name="20% - Accent2 8 2 2" xfId="8311" xr:uid="{00000000-0005-0000-0000-00003C010000}"/>
    <cellStyle name="20% - Accent2 8 2 2 2" xfId="25188" xr:uid="{B87B8136-1DF8-4DE2-A370-1B77CD6828FE}"/>
    <cellStyle name="20% - Accent2 8 2 2 3" xfId="33622" xr:uid="{0FA018D0-0747-460F-A8AC-9BA8ED6CBDE4}"/>
    <cellStyle name="20% - Accent2 8 2 2 4" xfId="16750" xr:uid="{0B6CEB4C-3BFB-4336-AA01-69DC316B751E}"/>
    <cellStyle name="20% - Accent2 8 2 3" xfId="20970" xr:uid="{FC209260-4641-4F5F-837C-59F1F0D4DC5D}"/>
    <cellStyle name="20% - Accent2 8 2 4" xfId="29405" xr:uid="{95F58EAE-3270-45B2-A69C-86BD3C326828}"/>
    <cellStyle name="20% - Accent2 8 2 5" xfId="12532" xr:uid="{A67E12F8-7527-42DF-BC9C-6C2B8EB1386E}"/>
    <cellStyle name="20% - Accent2 8 3" xfId="6166" xr:uid="{00000000-0005-0000-0000-00003D010000}"/>
    <cellStyle name="20% - Accent2 8 3 2" xfId="23043" xr:uid="{41A81B7D-D4DA-461B-A475-AE2BC703D83E}"/>
    <cellStyle name="20% - Accent2 8 3 3" xfId="31477" xr:uid="{C1E5AEB7-3B25-4416-B86D-A5288D5D5F99}"/>
    <cellStyle name="20% - Accent2 8 3 4" xfId="14605" xr:uid="{ADA47C80-6CD3-48AA-B2EE-D5BE5E6C1027}"/>
    <cellStyle name="20% - Accent2 8 4" xfId="18825" xr:uid="{6163C7DF-8B0B-4ABA-B6A6-9655321B78B2}"/>
    <cellStyle name="20% - Accent2 8 5" xfId="27260" xr:uid="{CF0EDDC8-6843-4257-88A0-54135AB2BED0}"/>
    <cellStyle name="20% - Accent2 8 6" xfId="10387" xr:uid="{5519BF2B-5378-4687-98FF-817C7FD910AD}"/>
    <cellStyle name="20% - Accent2 9" xfId="2272" xr:uid="{00000000-0005-0000-0000-00003E010000}"/>
    <cellStyle name="20% - Accent2 9 2" xfId="6579" xr:uid="{00000000-0005-0000-0000-00003F010000}"/>
    <cellStyle name="20% - Accent2 9 2 2" xfId="23456" xr:uid="{1ADB3483-F68E-455B-8E36-C5E05429F6C5}"/>
    <cellStyle name="20% - Accent2 9 2 3" xfId="31890" xr:uid="{0C4E4DB0-2DEC-4E0A-AB65-4D203E261D67}"/>
    <cellStyle name="20% - Accent2 9 2 4" xfId="15018" xr:uid="{A39C5601-A81A-4595-8386-66B59D500343}"/>
    <cellStyle name="20% - Accent2 9 3" xfId="19238" xr:uid="{2410EEE7-940C-42EC-965D-D25368B573D5}"/>
    <cellStyle name="20% - Accent2 9 4" xfId="27673" xr:uid="{8E9848CF-416A-40DC-9554-A7B889D057C6}"/>
    <cellStyle name="20% - Accent2 9 5" xfId="10800" xr:uid="{87EE19E9-DBA0-4573-9809-62F473DD0F30}"/>
    <cellStyle name="20% - Accent3" xfId="17" builtinId="38" customBuiltin="1"/>
    <cellStyle name="20% - Accent3 10" xfId="4521" xr:uid="{00000000-0005-0000-0000-000041010000}"/>
    <cellStyle name="20% - Accent3 10 2" xfId="21398" xr:uid="{643CC4F3-1E03-4F6E-8642-F4A2D152143E}"/>
    <cellStyle name="20% - Accent3 10 3" xfId="29832" xr:uid="{B4C93416-7CFD-4D72-BD0E-45C32FB4A567}"/>
    <cellStyle name="20% - Accent3 10 4" xfId="12960" xr:uid="{18CE7E81-5878-4471-8F97-2A88656ACC7D}"/>
    <cellStyle name="20% - Accent3 11" xfId="17180" xr:uid="{4C0943C1-3D2C-463B-A102-6613F85DBBE6}"/>
    <cellStyle name="20% - Accent3 12" xfId="25615" xr:uid="{1C552E5A-91B7-4ED2-925A-4A97D96B14DF}"/>
    <cellStyle name="20% - Accent3 13" xfId="8742" xr:uid="{3793F4E7-09B7-40DD-B08F-A8B7CE37E412}"/>
    <cellStyle name="20% - Accent3 2" xfId="18" xr:uid="{00000000-0005-0000-0000-000042010000}"/>
    <cellStyle name="20% - Accent3 2 10" xfId="17181" xr:uid="{1E94DCDA-E685-4895-8870-0D4229ACB635}"/>
    <cellStyle name="20% - Accent3 2 11" xfId="25616" xr:uid="{7AAE4A81-CFF5-4293-80D8-AA551ED57C2C}"/>
    <cellStyle name="20% - Accent3 2 12" xfId="8743" xr:uid="{1E455117-1204-4437-B9D8-115E7EC37CEF}"/>
    <cellStyle name="20% - Accent3 2 2" xfId="19" xr:uid="{00000000-0005-0000-0000-000043010000}"/>
    <cellStyle name="20% - Accent3 2 2 10" xfId="25617" xr:uid="{2F85B1CB-2A90-4CF5-B435-3DDA20623A9A}"/>
    <cellStyle name="20% - Accent3 2 2 11" xfId="8744" xr:uid="{12E431E7-E924-4E8F-B141-6DA38919DB46}"/>
    <cellStyle name="20% - Accent3 2 2 2" xfId="20" xr:uid="{00000000-0005-0000-0000-000044010000}"/>
    <cellStyle name="20% - Accent3 2 2 2 10" xfId="8745" xr:uid="{D0E16789-AF4F-44F9-AD1A-B36E12D0B77C}"/>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23960" xr:uid="{6889A72E-4250-46F7-AA19-19AF9B3DE0C6}"/>
    <cellStyle name="20% - Accent3 2 2 2 2 2 2 3" xfId="32394" xr:uid="{72F7F470-BBC3-4726-9FCF-D236E7F7194F}"/>
    <cellStyle name="20% - Accent3 2 2 2 2 2 2 4" xfId="15522" xr:uid="{3C8FA359-B6E3-4CAD-A472-A41AB1CA2DA4}"/>
    <cellStyle name="20% - Accent3 2 2 2 2 2 3" xfId="19742" xr:uid="{B244683C-75DD-433D-BE7E-C52481383093}"/>
    <cellStyle name="20% - Accent3 2 2 2 2 2 4" xfId="28177" xr:uid="{D676B2EF-9689-440C-AFDC-A33255A1ADC7}"/>
    <cellStyle name="20% - Accent3 2 2 2 2 2 5" xfId="11304" xr:uid="{F9DBB4E1-923E-4262-80A2-DF4C5160A2B7}"/>
    <cellStyle name="20% - Accent3 2 2 2 2 3" xfId="4938" xr:uid="{00000000-0005-0000-0000-000048010000}"/>
    <cellStyle name="20% - Accent3 2 2 2 2 3 2" xfId="21815" xr:uid="{5F4DD296-82F9-4DCD-9E93-C4429A7274DE}"/>
    <cellStyle name="20% - Accent3 2 2 2 2 3 3" xfId="30249" xr:uid="{EB20BCDE-5371-451C-B6F3-EC14DE5C251F}"/>
    <cellStyle name="20% - Accent3 2 2 2 2 3 4" xfId="13377" xr:uid="{A6C12F52-77BE-44E7-863A-DADE94608CDE}"/>
    <cellStyle name="20% - Accent3 2 2 2 2 4" xfId="17597" xr:uid="{D2D22760-0751-4BB9-95D0-C6D597A489BC}"/>
    <cellStyle name="20% - Accent3 2 2 2 2 5" xfId="26032" xr:uid="{F41EAA04-E393-413C-8CE2-6EFD4305684D}"/>
    <cellStyle name="20% - Accent3 2 2 2 2 6" xfId="9159" xr:uid="{A211EBFD-F581-4BD3-8CC2-EB7DA2C4E66E}"/>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24373" xr:uid="{5C443285-FF28-4B6F-90A8-2189AC5C9CE0}"/>
    <cellStyle name="20% - Accent3 2 2 2 3 2 2 3" xfId="32807" xr:uid="{940B16FB-9288-464C-9824-901A03D1C9E9}"/>
    <cellStyle name="20% - Accent3 2 2 2 3 2 2 4" xfId="15935" xr:uid="{F210E7CC-640A-468C-B731-A6E38AAAE77F}"/>
    <cellStyle name="20% - Accent3 2 2 2 3 2 3" xfId="20155" xr:uid="{9A956E8A-BDB3-450B-B7EE-10304F77787D}"/>
    <cellStyle name="20% - Accent3 2 2 2 3 2 4" xfId="28590" xr:uid="{51EDE348-8C09-45CA-B0EF-DC7B92D47171}"/>
    <cellStyle name="20% - Accent3 2 2 2 3 2 5" xfId="11717" xr:uid="{486C141C-119C-4DD6-84BB-ED1E144D9851}"/>
    <cellStyle name="20% - Accent3 2 2 2 3 3" xfId="5351" xr:uid="{00000000-0005-0000-0000-00004C010000}"/>
    <cellStyle name="20% - Accent3 2 2 2 3 3 2" xfId="22228" xr:uid="{694E6282-B55C-49D8-A9CC-D68AC1C7ED2D}"/>
    <cellStyle name="20% - Accent3 2 2 2 3 3 3" xfId="30662" xr:uid="{DE6E2B86-878C-41BD-9714-CE9A3A951E78}"/>
    <cellStyle name="20% - Accent3 2 2 2 3 3 4" xfId="13790" xr:uid="{779B4962-8A4C-4A2D-B6F4-52463BD4A9BC}"/>
    <cellStyle name="20% - Accent3 2 2 2 3 4" xfId="18010" xr:uid="{D77D2532-DC0B-45EF-86E3-69F93DBC9D1C}"/>
    <cellStyle name="20% - Accent3 2 2 2 3 5" xfId="26445" xr:uid="{AB598C0D-1C4B-4B98-AAAE-D0739A90B758}"/>
    <cellStyle name="20% - Accent3 2 2 2 3 6" xfId="9572" xr:uid="{54892814-A76B-489F-BDEE-072FCE91CDF8}"/>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24786" xr:uid="{14BCD366-AD2D-480A-9DE3-77E763F001E3}"/>
    <cellStyle name="20% - Accent3 2 2 2 4 2 2 3" xfId="33220" xr:uid="{E95DE27D-7266-4AEA-8D19-2B5F2CB100D9}"/>
    <cellStyle name="20% - Accent3 2 2 2 4 2 2 4" xfId="16348" xr:uid="{BB938DB9-2E8B-493C-8F58-42560E079433}"/>
    <cellStyle name="20% - Accent3 2 2 2 4 2 3" xfId="20568" xr:uid="{6F1BFF31-A710-488E-90A2-EE7A0B06EC94}"/>
    <cellStyle name="20% - Accent3 2 2 2 4 2 4" xfId="29003" xr:uid="{368D80B5-ED6B-47F1-92B1-623D53995515}"/>
    <cellStyle name="20% - Accent3 2 2 2 4 2 5" xfId="12130" xr:uid="{9E08390E-818D-43E4-AB5A-3B11D25B4B51}"/>
    <cellStyle name="20% - Accent3 2 2 2 4 3" xfId="5764" xr:uid="{00000000-0005-0000-0000-000050010000}"/>
    <cellStyle name="20% - Accent3 2 2 2 4 3 2" xfId="22641" xr:uid="{F4A04B3D-B224-4038-A46D-57C90B6E5713}"/>
    <cellStyle name="20% - Accent3 2 2 2 4 3 3" xfId="31075" xr:uid="{96400F3B-9383-4DD3-8711-53CF709DA2F2}"/>
    <cellStyle name="20% - Accent3 2 2 2 4 3 4" xfId="14203" xr:uid="{4EB6B125-7452-428F-9EF0-47859DB02260}"/>
    <cellStyle name="20% - Accent3 2 2 2 4 4" xfId="18423" xr:uid="{0FD122BE-FF6C-42F1-8CD3-D5D3C6076D6D}"/>
    <cellStyle name="20% - Accent3 2 2 2 4 5" xfId="26858" xr:uid="{F17D7A02-B408-4231-938E-0E49BDC6EFF2}"/>
    <cellStyle name="20% - Accent3 2 2 2 4 6" xfId="9985" xr:uid="{A910E977-6AEE-4C4B-A060-83E8C90DBA5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25199" xr:uid="{9110441F-E26A-42E8-9999-AD258CA37561}"/>
    <cellStyle name="20% - Accent3 2 2 2 5 2 2 3" xfId="33633" xr:uid="{5FE5D97D-4265-49FF-9C90-1834117CD7C8}"/>
    <cellStyle name="20% - Accent3 2 2 2 5 2 2 4" xfId="16761" xr:uid="{6E521A5A-47DC-42DE-873C-29C158E7CD40}"/>
    <cellStyle name="20% - Accent3 2 2 2 5 2 3" xfId="20981" xr:uid="{13C529AE-4C62-481F-BE02-A0ACED6D81F5}"/>
    <cellStyle name="20% - Accent3 2 2 2 5 2 4" xfId="29416" xr:uid="{9856467B-2519-4899-A107-5391C1C915BB}"/>
    <cellStyle name="20% - Accent3 2 2 2 5 2 5" xfId="12543" xr:uid="{774B7B3E-8A95-4A7B-A780-B0DDD5E1E642}"/>
    <cellStyle name="20% - Accent3 2 2 2 5 3" xfId="6177" xr:uid="{00000000-0005-0000-0000-000054010000}"/>
    <cellStyle name="20% - Accent3 2 2 2 5 3 2" xfId="23054" xr:uid="{39E7B926-AC35-43A9-BD4C-BEDF35FEE862}"/>
    <cellStyle name="20% - Accent3 2 2 2 5 3 3" xfId="31488" xr:uid="{8E79FDA5-0F71-4BDB-9E97-0E6FC2DA8C7D}"/>
    <cellStyle name="20% - Accent3 2 2 2 5 3 4" xfId="14616" xr:uid="{DEA01714-D612-4853-B9D5-940748ECECC2}"/>
    <cellStyle name="20% - Accent3 2 2 2 5 4" xfId="18836" xr:uid="{A4746C4E-88A1-47ED-8FF8-C2E054E50C2C}"/>
    <cellStyle name="20% - Accent3 2 2 2 5 5" xfId="27271" xr:uid="{A198C306-E53B-4D4E-B5D8-D84A684C026B}"/>
    <cellStyle name="20% - Accent3 2 2 2 5 6" xfId="10398" xr:uid="{C42F38CA-1A96-4D1F-8A43-4DA7F1D9981F}"/>
    <cellStyle name="20% - Accent3 2 2 2 6" xfId="2283" xr:uid="{00000000-0005-0000-0000-000055010000}"/>
    <cellStyle name="20% - Accent3 2 2 2 6 2" xfId="6590" xr:uid="{00000000-0005-0000-0000-000056010000}"/>
    <cellStyle name="20% - Accent3 2 2 2 6 2 2" xfId="23467" xr:uid="{3A226421-EE7C-4C61-BC72-978C76A095EB}"/>
    <cellStyle name="20% - Accent3 2 2 2 6 2 3" xfId="31901" xr:uid="{BA0EEDD6-4FA8-449B-8874-6C81ED6E1843}"/>
    <cellStyle name="20% - Accent3 2 2 2 6 2 4" xfId="15029" xr:uid="{5887DCDB-BE7C-471E-96A5-4ED2E585082F}"/>
    <cellStyle name="20% - Accent3 2 2 2 6 3" xfId="19249" xr:uid="{B4131225-4BEF-4BB7-9D86-E4339248ACBF}"/>
    <cellStyle name="20% - Accent3 2 2 2 6 4" xfId="27684" xr:uid="{DEF42D86-6B52-4FB8-BDA3-A06428F5ED53}"/>
    <cellStyle name="20% - Accent3 2 2 2 6 5" xfId="10811" xr:uid="{DA5B0380-B8EF-4516-9BC9-4338725D5914}"/>
    <cellStyle name="20% - Accent3 2 2 2 7" xfId="4524" xr:uid="{00000000-0005-0000-0000-000057010000}"/>
    <cellStyle name="20% - Accent3 2 2 2 7 2" xfId="21401" xr:uid="{4DFC0F45-76E5-440E-B51C-54917A3A9D63}"/>
    <cellStyle name="20% - Accent3 2 2 2 7 3" xfId="29835" xr:uid="{C1B91F64-B1A2-4734-AB1B-F72FAE045BCE}"/>
    <cellStyle name="20% - Accent3 2 2 2 7 4" xfId="12963" xr:uid="{8E17CB60-7DEC-4F74-BD23-7EB918B5944D}"/>
    <cellStyle name="20% - Accent3 2 2 2 8" xfId="17183" xr:uid="{CE9F56F6-0164-4578-8CA4-30FF49AF22C7}"/>
    <cellStyle name="20% - Accent3 2 2 2 9" xfId="25618" xr:uid="{1841A1B1-E267-453A-AAD6-CEF1F9E6AFB9}"/>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23959" xr:uid="{FEEA164C-4A08-47A0-BF2F-FA660A044A23}"/>
    <cellStyle name="20% - Accent3 2 2 3 2 2 3" xfId="32393" xr:uid="{5EFEDA02-5F3D-4499-A89E-4BDCF51EAB69}"/>
    <cellStyle name="20% - Accent3 2 2 3 2 2 4" xfId="15521" xr:uid="{CF155728-3AF0-4B96-BDC1-39B846F5AD6D}"/>
    <cellStyle name="20% - Accent3 2 2 3 2 3" xfId="19741" xr:uid="{9259F98C-DA46-4FE4-BB08-0D6259D1D228}"/>
    <cellStyle name="20% - Accent3 2 2 3 2 4" xfId="28176" xr:uid="{D6ACB3B3-F5C9-475A-B5AE-36478E44FD4D}"/>
    <cellStyle name="20% - Accent3 2 2 3 2 5" xfId="11303" xr:uid="{EC5CDF8B-8EF8-47B5-9762-AF13395CBF8F}"/>
    <cellStyle name="20% - Accent3 2 2 3 3" xfId="4937" xr:uid="{00000000-0005-0000-0000-00005B010000}"/>
    <cellStyle name="20% - Accent3 2 2 3 3 2" xfId="21814" xr:uid="{C679D8D0-DFC2-46D3-9106-A470B6680A31}"/>
    <cellStyle name="20% - Accent3 2 2 3 3 3" xfId="30248" xr:uid="{97F8C83C-62F9-410D-BA7E-A55B70AE99F5}"/>
    <cellStyle name="20% - Accent3 2 2 3 3 4" xfId="13376" xr:uid="{6958471B-46A9-41C3-89AD-CD2FBAAAA088}"/>
    <cellStyle name="20% - Accent3 2 2 3 4" xfId="17596" xr:uid="{EB7DF4E9-36AC-42C5-98E3-FFF2371DB449}"/>
    <cellStyle name="20% - Accent3 2 2 3 5" xfId="26031" xr:uid="{5A4B6971-41E4-49BD-8BC6-F3AB83E78206}"/>
    <cellStyle name="20% - Accent3 2 2 3 6" xfId="9158" xr:uid="{F7AA4DDB-60EE-4FA2-A3B9-8C84F3FED981}"/>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24372" xr:uid="{A6B79449-91F1-4EFF-A635-9FEEDBAE84ED}"/>
    <cellStyle name="20% - Accent3 2 2 4 2 2 3" xfId="32806" xr:uid="{46D4202D-DD80-4C8B-9302-F63E8FABF5D6}"/>
    <cellStyle name="20% - Accent3 2 2 4 2 2 4" xfId="15934" xr:uid="{22E65CC4-79AE-4726-BB77-D79BE71256A6}"/>
    <cellStyle name="20% - Accent3 2 2 4 2 3" xfId="20154" xr:uid="{44D56A0E-64C9-4F8C-BE6E-E8178603A871}"/>
    <cellStyle name="20% - Accent3 2 2 4 2 4" xfId="28589" xr:uid="{F9FAACD9-A8E5-4D5C-87B7-90F98FE88BE9}"/>
    <cellStyle name="20% - Accent3 2 2 4 2 5" xfId="11716" xr:uid="{95D8C3EB-2235-4DA0-ABC9-A120794A81BB}"/>
    <cellStyle name="20% - Accent3 2 2 4 3" xfId="5350" xr:uid="{00000000-0005-0000-0000-00005F010000}"/>
    <cellStyle name="20% - Accent3 2 2 4 3 2" xfId="22227" xr:uid="{4989CB10-C039-4726-A954-0072427D34F5}"/>
    <cellStyle name="20% - Accent3 2 2 4 3 3" xfId="30661" xr:uid="{E2A191BC-2A65-450C-AE81-EC359FF0749B}"/>
    <cellStyle name="20% - Accent3 2 2 4 3 4" xfId="13789" xr:uid="{866C08DF-58E8-4669-91B6-98AB0240DF95}"/>
    <cellStyle name="20% - Accent3 2 2 4 4" xfId="18009" xr:uid="{46942549-5C2A-4395-9A7D-0D5AED3A6CE1}"/>
    <cellStyle name="20% - Accent3 2 2 4 5" xfId="26444" xr:uid="{D9CCD7E7-9D58-4CDE-9168-37927AC4AFF6}"/>
    <cellStyle name="20% - Accent3 2 2 4 6" xfId="9571" xr:uid="{C65D1838-C098-4ECE-A054-7E0ACD26B30B}"/>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24785" xr:uid="{CBFA520C-CD30-4B1E-A0BC-5EB68B66CDD5}"/>
    <cellStyle name="20% - Accent3 2 2 5 2 2 3" xfId="33219" xr:uid="{00C092E6-E950-46D4-BD14-5978084275AD}"/>
    <cellStyle name="20% - Accent3 2 2 5 2 2 4" xfId="16347" xr:uid="{85FECDF1-0865-4394-AF13-F1D8BE777024}"/>
    <cellStyle name="20% - Accent3 2 2 5 2 3" xfId="20567" xr:uid="{117113ED-4237-48E5-8887-A40580C6348B}"/>
    <cellStyle name="20% - Accent3 2 2 5 2 4" xfId="29002" xr:uid="{B6D1EB7C-DA89-49D8-835B-A1D4BDBD9EA3}"/>
    <cellStyle name="20% - Accent3 2 2 5 2 5" xfId="12129" xr:uid="{E8FB5C37-DAE2-4CFC-85EC-D5BA6A457539}"/>
    <cellStyle name="20% - Accent3 2 2 5 3" xfId="5763" xr:uid="{00000000-0005-0000-0000-000063010000}"/>
    <cellStyle name="20% - Accent3 2 2 5 3 2" xfId="22640" xr:uid="{68A45C5F-6259-43F0-B0A3-F1E6B4C59820}"/>
    <cellStyle name="20% - Accent3 2 2 5 3 3" xfId="31074" xr:uid="{2E52C51B-7C60-44B0-8BE8-34A6CF55562F}"/>
    <cellStyle name="20% - Accent3 2 2 5 3 4" xfId="14202" xr:uid="{14432E62-505A-496A-AA01-90B24FEF308F}"/>
    <cellStyle name="20% - Accent3 2 2 5 4" xfId="18422" xr:uid="{6BBF4066-6725-406D-B1A9-86AEC8720DE7}"/>
    <cellStyle name="20% - Accent3 2 2 5 5" xfId="26857" xr:uid="{DD7F3629-8946-405B-9E02-C9ED63FF3B33}"/>
    <cellStyle name="20% - Accent3 2 2 5 6" xfId="9984" xr:uid="{C84C3006-176A-4E14-81B7-2DB673745648}"/>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25198" xr:uid="{7D5E97D1-62F1-4460-8D31-C814FEE74EF9}"/>
    <cellStyle name="20% - Accent3 2 2 6 2 2 3" xfId="33632" xr:uid="{71322D90-4FA2-42A0-9500-FAD6D0D15162}"/>
    <cellStyle name="20% - Accent3 2 2 6 2 2 4" xfId="16760" xr:uid="{074B64A7-7899-448F-9E39-59D7A5BAC08E}"/>
    <cellStyle name="20% - Accent3 2 2 6 2 3" xfId="20980" xr:uid="{4ED0563D-7C5E-4E6E-BCE2-8CECBEFBA917}"/>
    <cellStyle name="20% - Accent3 2 2 6 2 4" xfId="29415" xr:uid="{15698861-2C40-4455-AF91-D684E8C00B58}"/>
    <cellStyle name="20% - Accent3 2 2 6 2 5" xfId="12542" xr:uid="{A37372C4-B52C-429C-86CE-C6EE644F4F00}"/>
    <cellStyle name="20% - Accent3 2 2 6 3" xfId="6176" xr:uid="{00000000-0005-0000-0000-000067010000}"/>
    <cellStyle name="20% - Accent3 2 2 6 3 2" xfId="23053" xr:uid="{FBB885DF-507D-485A-B0C0-6B9367B268B1}"/>
    <cellStyle name="20% - Accent3 2 2 6 3 3" xfId="31487" xr:uid="{9D039CF8-393E-4290-A7F2-92ED097E371C}"/>
    <cellStyle name="20% - Accent3 2 2 6 3 4" xfId="14615" xr:uid="{EFEC95A5-7537-43F6-8218-3CFE50D2D96E}"/>
    <cellStyle name="20% - Accent3 2 2 6 4" xfId="18835" xr:uid="{BD109FA6-43D8-42F6-A7CD-6D96C245B241}"/>
    <cellStyle name="20% - Accent3 2 2 6 5" xfId="27270" xr:uid="{18F9A6C3-5E37-454F-90DD-791D4D7A0F03}"/>
    <cellStyle name="20% - Accent3 2 2 6 6" xfId="10397" xr:uid="{83016266-EDC1-4D7A-82A3-1E2D04520159}"/>
    <cellStyle name="20% - Accent3 2 2 7" xfId="2282" xr:uid="{00000000-0005-0000-0000-000068010000}"/>
    <cellStyle name="20% - Accent3 2 2 7 2" xfId="6589" xr:uid="{00000000-0005-0000-0000-000069010000}"/>
    <cellStyle name="20% - Accent3 2 2 7 2 2" xfId="23466" xr:uid="{9CF3AE11-5C7D-48A6-BFE9-267573FBBD40}"/>
    <cellStyle name="20% - Accent3 2 2 7 2 3" xfId="31900" xr:uid="{7D22821D-083D-4812-BB56-F82D24C58831}"/>
    <cellStyle name="20% - Accent3 2 2 7 2 4" xfId="15028" xr:uid="{E3932780-880F-434F-B69A-C4175E276234}"/>
    <cellStyle name="20% - Accent3 2 2 7 3" xfId="19248" xr:uid="{1C2EE844-5357-4D9D-8C73-FE865B038E58}"/>
    <cellStyle name="20% - Accent3 2 2 7 4" xfId="27683" xr:uid="{D811C393-9FA1-4DF8-8221-BBB3B6412619}"/>
    <cellStyle name="20% - Accent3 2 2 7 5" xfId="10810" xr:uid="{86A0F08C-936B-46BB-9148-07CFB453B93B}"/>
    <cellStyle name="20% - Accent3 2 2 8" xfId="4523" xr:uid="{00000000-0005-0000-0000-00006A010000}"/>
    <cellStyle name="20% - Accent3 2 2 8 2" xfId="21400" xr:uid="{59E99ED5-9C30-456F-B1AC-5A34D4EC0FBE}"/>
    <cellStyle name="20% - Accent3 2 2 8 3" xfId="29834" xr:uid="{6BAE2F6E-F384-46BA-BBEF-FA66D7336FC1}"/>
    <cellStyle name="20% - Accent3 2 2 8 4" xfId="12962" xr:uid="{13C2DC9A-43C0-43B0-874F-1E6328A222D5}"/>
    <cellStyle name="20% - Accent3 2 2 9" xfId="17182" xr:uid="{D1975DA7-FFD0-4465-AB25-1A4BAE8C38A4}"/>
    <cellStyle name="20% - Accent3 2 3" xfId="21" xr:uid="{00000000-0005-0000-0000-00006B010000}"/>
    <cellStyle name="20% - Accent3 2 3 10" xfId="8746" xr:uid="{A20553FB-AF27-4A21-BB10-B387EB090258}"/>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23961" xr:uid="{CF6FA86F-8FB4-4226-9269-47A36F132220}"/>
    <cellStyle name="20% - Accent3 2 3 2 2 2 3" xfId="32395" xr:uid="{CEA12E2C-8C97-4624-9EE6-EEEF7AE7CF96}"/>
    <cellStyle name="20% - Accent3 2 3 2 2 2 4" xfId="15523" xr:uid="{4CFB6544-8243-4872-9960-C7A6D40000C3}"/>
    <cellStyle name="20% - Accent3 2 3 2 2 3" xfId="19743" xr:uid="{A2054832-6A6F-44DC-B1B7-AD24CDB7BC53}"/>
    <cellStyle name="20% - Accent3 2 3 2 2 4" xfId="28178" xr:uid="{6E230D70-F19E-4BDC-AB2F-BFD2873CF614}"/>
    <cellStyle name="20% - Accent3 2 3 2 2 5" xfId="11305" xr:uid="{A7A09214-9654-4528-B907-A7BEC1C020CD}"/>
    <cellStyle name="20% - Accent3 2 3 2 3" xfId="4939" xr:uid="{00000000-0005-0000-0000-00006F010000}"/>
    <cellStyle name="20% - Accent3 2 3 2 3 2" xfId="21816" xr:uid="{B798A341-4BDB-4648-AFF5-1602E5DA6876}"/>
    <cellStyle name="20% - Accent3 2 3 2 3 3" xfId="30250" xr:uid="{0EF121C3-3BE8-4D4F-9F12-B70ABD29CFD2}"/>
    <cellStyle name="20% - Accent3 2 3 2 3 4" xfId="13378" xr:uid="{0A7CC5E7-B7EF-4181-953F-E7B1AA54EFD4}"/>
    <cellStyle name="20% - Accent3 2 3 2 4" xfId="17598" xr:uid="{4D2E9E17-1D80-4BC7-9B27-2BBD6D8A82D3}"/>
    <cellStyle name="20% - Accent3 2 3 2 5" xfId="26033" xr:uid="{2DB57FE5-A9D5-42BA-BC73-D75408BDD9AA}"/>
    <cellStyle name="20% - Accent3 2 3 2 6" xfId="9160" xr:uid="{DAD6D9DD-5997-4631-B984-BE8A2CA73617}"/>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24374" xr:uid="{0E3BA671-A10E-4BDF-A92F-D6BB4F316B2F}"/>
    <cellStyle name="20% - Accent3 2 3 3 2 2 3" xfId="32808" xr:uid="{F7D07EDB-EBDB-48C5-A6A5-B7D946914761}"/>
    <cellStyle name="20% - Accent3 2 3 3 2 2 4" xfId="15936" xr:uid="{3424597F-0F8D-498B-B733-50FCDF0D3CDF}"/>
    <cellStyle name="20% - Accent3 2 3 3 2 3" xfId="20156" xr:uid="{DF69BDB1-30B8-461D-981B-42B1FF9D2E98}"/>
    <cellStyle name="20% - Accent3 2 3 3 2 4" xfId="28591" xr:uid="{29BF88F9-193D-4909-B769-5A7AC11EE367}"/>
    <cellStyle name="20% - Accent3 2 3 3 2 5" xfId="11718" xr:uid="{CAE88419-BAEE-460F-9533-11A4EE1F97B2}"/>
    <cellStyle name="20% - Accent3 2 3 3 3" xfId="5352" xr:uid="{00000000-0005-0000-0000-000073010000}"/>
    <cellStyle name="20% - Accent3 2 3 3 3 2" xfId="22229" xr:uid="{3A7AB90C-A0E4-4E92-AF14-15BA3F99B718}"/>
    <cellStyle name="20% - Accent3 2 3 3 3 3" xfId="30663" xr:uid="{115DB853-62B6-48DF-8ED8-E5FF0C54F26B}"/>
    <cellStyle name="20% - Accent3 2 3 3 3 4" xfId="13791" xr:uid="{981B5187-3F8C-4737-A82B-861EDE636721}"/>
    <cellStyle name="20% - Accent3 2 3 3 4" xfId="18011" xr:uid="{90ABD825-45DE-469B-AA8D-1D1ADF6F7185}"/>
    <cellStyle name="20% - Accent3 2 3 3 5" xfId="26446" xr:uid="{93A01F7C-6546-4FEA-AE91-A418D55C0B8E}"/>
    <cellStyle name="20% - Accent3 2 3 3 6" xfId="9573" xr:uid="{AF4AFF1F-59D0-439D-9495-4A82251DF098}"/>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24787" xr:uid="{BDF78E94-1DD5-4D61-AA79-56DA0304365E}"/>
    <cellStyle name="20% - Accent3 2 3 4 2 2 3" xfId="33221" xr:uid="{A657C2BF-36E6-4F9F-B8DE-5D886F080997}"/>
    <cellStyle name="20% - Accent3 2 3 4 2 2 4" xfId="16349" xr:uid="{F05120F8-4312-4B7C-B4F7-03617853C9B7}"/>
    <cellStyle name="20% - Accent3 2 3 4 2 3" xfId="20569" xr:uid="{78D525A2-8066-46BE-B586-51BD2AEF59EB}"/>
    <cellStyle name="20% - Accent3 2 3 4 2 4" xfId="29004" xr:uid="{FC60F27B-D261-4567-9AE3-95F55F918225}"/>
    <cellStyle name="20% - Accent3 2 3 4 2 5" xfId="12131" xr:uid="{860431BA-384C-4B66-9662-9EF6332A2C3A}"/>
    <cellStyle name="20% - Accent3 2 3 4 3" xfId="5765" xr:uid="{00000000-0005-0000-0000-000077010000}"/>
    <cellStyle name="20% - Accent3 2 3 4 3 2" xfId="22642" xr:uid="{0AEDB2FE-2BA9-4659-8B20-33A1F9F25C1E}"/>
    <cellStyle name="20% - Accent3 2 3 4 3 3" xfId="31076" xr:uid="{184F5DC2-AFC2-4604-822A-CCAE4E3A19F9}"/>
    <cellStyle name="20% - Accent3 2 3 4 3 4" xfId="14204" xr:uid="{A2BF70E6-7856-4A61-921E-BB817400B2EB}"/>
    <cellStyle name="20% - Accent3 2 3 4 4" xfId="18424" xr:uid="{964B1D4F-ADEB-4C1A-819C-85999532ABFF}"/>
    <cellStyle name="20% - Accent3 2 3 4 5" xfId="26859" xr:uid="{A4A1B457-0D61-4F71-9B3C-18B78CFC689D}"/>
    <cellStyle name="20% - Accent3 2 3 4 6" xfId="9986" xr:uid="{B1D26776-4D54-4565-B263-7A7E58A58F38}"/>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25200" xr:uid="{106977CE-42A6-4550-874B-6729200AF3EE}"/>
    <cellStyle name="20% - Accent3 2 3 5 2 2 3" xfId="33634" xr:uid="{0B742205-E0AA-4FCE-8134-FD6CF6D3AD62}"/>
    <cellStyle name="20% - Accent3 2 3 5 2 2 4" xfId="16762" xr:uid="{F1F918E8-929C-4DC5-9F89-5C67C82469BA}"/>
    <cellStyle name="20% - Accent3 2 3 5 2 3" xfId="20982" xr:uid="{B9DC9B43-A601-422F-935B-5D08BD659E4E}"/>
    <cellStyle name="20% - Accent3 2 3 5 2 4" xfId="29417" xr:uid="{D595BA57-EBC4-4CC5-8B21-3D2E6E751BA7}"/>
    <cellStyle name="20% - Accent3 2 3 5 2 5" xfId="12544" xr:uid="{6C7B7BEC-648C-42D6-B86A-0334C02A545C}"/>
    <cellStyle name="20% - Accent3 2 3 5 3" xfId="6178" xr:uid="{00000000-0005-0000-0000-00007B010000}"/>
    <cellStyle name="20% - Accent3 2 3 5 3 2" xfId="23055" xr:uid="{753CD597-0DEC-4567-900D-025C12C78F37}"/>
    <cellStyle name="20% - Accent3 2 3 5 3 3" xfId="31489" xr:uid="{5CC137A5-85D5-47FD-ABC8-48838FF7DE1E}"/>
    <cellStyle name="20% - Accent3 2 3 5 3 4" xfId="14617" xr:uid="{8B7BFC25-25BE-48C6-B4C7-19CDC7492B6C}"/>
    <cellStyle name="20% - Accent3 2 3 5 4" xfId="18837" xr:uid="{499A59B6-1C84-43D8-B8A5-CDE5E34C6DAE}"/>
    <cellStyle name="20% - Accent3 2 3 5 5" xfId="27272" xr:uid="{D22DD2BD-A37E-4C96-98CE-BC9E2A1DF0D0}"/>
    <cellStyle name="20% - Accent3 2 3 5 6" xfId="10399" xr:uid="{BEF2EA7C-C54D-4C85-9C38-284D368071F3}"/>
    <cellStyle name="20% - Accent3 2 3 6" xfId="2284" xr:uid="{00000000-0005-0000-0000-00007C010000}"/>
    <cellStyle name="20% - Accent3 2 3 6 2" xfId="6591" xr:uid="{00000000-0005-0000-0000-00007D010000}"/>
    <cellStyle name="20% - Accent3 2 3 6 2 2" xfId="23468" xr:uid="{8F46BE1E-FD9D-486E-BB60-3FB4E6C8D45C}"/>
    <cellStyle name="20% - Accent3 2 3 6 2 3" xfId="31902" xr:uid="{59D1022F-D81D-4F65-9515-E3CF7E2EC6F3}"/>
    <cellStyle name="20% - Accent3 2 3 6 2 4" xfId="15030" xr:uid="{F4C1BB4C-FE0C-43FB-9C4C-4FBCED46259C}"/>
    <cellStyle name="20% - Accent3 2 3 6 3" xfId="19250" xr:uid="{FECABE23-2979-4DCB-9D73-0E0085FE0310}"/>
    <cellStyle name="20% - Accent3 2 3 6 4" xfId="27685" xr:uid="{1D7FD4DD-EFC4-49A8-A58D-B8E075F975E6}"/>
    <cellStyle name="20% - Accent3 2 3 6 5" xfId="10812" xr:uid="{B2EFCCC6-35E0-4600-8B11-A5E86ACF0821}"/>
    <cellStyle name="20% - Accent3 2 3 7" xfId="4525" xr:uid="{00000000-0005-0000-0000-00007E010000}"/>
    <cellStyle name="20% - Accent3 2 3 7 2" xfId="21402" xr:uid="{06A65062-577E-482C-9CEC-0B015702EC56}"/>
    <cellStyle name="20% - Accent3 2 3 7 3" xfId="29836" xr:uid="{2359828B-7E41-4B90-9628-44BB51B16098}"/>
    <cellStyle name="20% - Accent3 2 3 7 4" xfId="12964" xr:uid="{D1DCB93B-D6E7-4FA3-A858-23268596D77D}"/>
    <cellStyle name="20% - Accent3 2 3 8" xfId="17184" xr:uid="{C4AC30FD-82CA-41D6-A3C1-73F1D947632D}"/>
    <cellStyle name="20% - Accent3 2 3 9" xfId="25619" xr:uid="{ABAE45F3-36DB-43CC-BC99-D4DC7311984F}"/>
    <cellStyle name="20% - Accent3 2 4" xfId="587" xr:uid="{00000000-0005-0000-0000-00007F010000}"/>
    <cellStyle name="20% - Accent3 2 4 2" xfId="2858" xr:uid="{00000000-0005-0000-0000-000080010000}"/>
    <cellStyle name="20% - Accent3 2 4 2 2" xfId="7081" xr:uid="{00000000-0005-0000-0000-000081010000}"/>
    <cellStyle name="20% - Accent3 2 4 2 2 2" xfId="23958" xr:uid="{98815FB9-FF4C-49AD-A4E6-7C0C6322222F}"/>
    <cellStyle name="20% - Accent3 2 4 2 2 3" xfId="32392" xr:uid="{1EAC52BE-5520-47C6-85D5-87C724FB11ED}"/>
    <cellStyle name="20% - Accent3 2 4 2 2 4" xfId="15520" xr:uid="{4F8279DE-A0DD-4DFC-8EA5-14CE1451C169}"/>
    <cellStyle name="20% - Accent3 2 4 2 3" xfId="19740" xr:uid="{CB6A1615-D08B-4A09-945D-2F61DB6A62F9}"/>
    <cellStyle name="20% - Accent3 2 4 2 4" xfId="28175" xr:uid="{6084C49E-9208-41CD-B7DC-E29B2B2E1CC5}"/>
    <cellStyle name="20% - Accent3 2 4 2 5" xfId="11302" xr:uid="{34A344C0-6A40-4815-987E-BE4838033C69}"/>
    <cellStyle name="20% - Accent3 2 4 3" xfId="4936" xr:uid="{00000000-0005-0000-0000-000082010000}"/>
    <cellStyle name="20% - Accent3 2 4 3 2" xfId="21813" xr:uid="{54D7209A-D700-4537-AE89-5C777818CE68}"/>
    <cellStyle name="20% - Accent3 2 4 3 3" xfId="30247" xr:uid="{BFF79F5C-FB55-495A-B4E4-399A153D8623}"/>
    <cellStyle name="20% - Accent3 2 4 3 4" xfId="13375" xr:uid="{36F2B99E-65A7-4088-BBAC-A8ADBFFE5865}"/>
    <cellStyle name="20% - Accent3 2 4 4" xfId="17595" xr:uid="{6DCA5488-F4F5-4E53-B848-C0DDA80A8594}"/>
    <cellStyle name="20% - Accent3 2 4 5" xfId="26030" xr:uid="{B611CD22-B4EA-49FE-87D2-F1A817394205}"/>
    <cellStyle name="20% - Accent3 2 4 6" xfId="9157" xr:uid="{5A5F1EB2-D554-442A-B477-9115C64F8362}"/>
    <cellStyle name="20% - Accent3 2 5" xfId="1040" xr:uid="{00000000-0005-0000-0000-000083010000}"/>
    <cellStyle name="20% - Accent3 2 5 2" xfId="3271" xr:uid="{00000000-0005-0000-0000-000084010000}"/>
    <cellStyle name="20% - Accent3 2 5 2 2" xfId="7494" xr:uid="{00000000-0005-0000-0000-000085010000}"/>
    <cellStyle name="20% - Accent3 2 5 2 2 2" xfId="24371" xr:uid="{12DC3DF3-9D9F-4094-9269-D14A2E06DE1D}"/>
    <cellStyle name="20% - Accent3 2 5 2 2 3" xfId="32805" xr:uid="{CE0407F2-40DB-47D9-BF95-535B39B3F709}"/>
    <cellStyle name="20% - Accent3 2 5 2 2 4" xfId="15933" xr:uid="{8F3FF109-CEDE-41AB-ADCA-1ECCF3CB3F39}"/>
    <cellStyle name="20% - Accent3 2 5 2 3" xfId="20153" xr:uid="{FED4B226-5F48-4FDD-B291-EEFC838C1910}"/>
    <cellStyle name="20% - Accent3 2 5 2 4" xfId="28588" xr:uid="{D62D91EE-0B70-4D94-9E48-DA57F59642CC}"/>
    <cellStyle name="20% - Accent3 2 5 2 5" xfId="11715" xr:uid="{8C18AC7B-8659-46EC-A7A7-1F973556ED9C}"/>
    <cellStyle name="20% - Accent3 2 5 3" xfId="5349" xr:uid="{00000000-0005-0000-0000-000086010000}"/>
    <cellStyle name="20% - Accent3 2 5 3 2" xfId="22226" xr:uid="{48AF5E85-1F49-4BCB-8DED-A33DE35F9D82}"/>
    <cellStyle name="20% - Accent3 2 5 3 3" xfId="30660" xr:uid="{ECDF124D-B9F3-43A4-ACEE-43DC64C6A1A1}"/>
    <cellStyle name="20% - Accent3 2 5 3 4" xfId="13788" xr:uid="{90356911-38DC-4D46-AFA5-1A80AFAC103C}"/>
    <cellStyle name="20% - Accent3 2 5 4" xfId="18008" xr:uid="{7812A20D-61B1-4AF8-A73A-F94A6849D302}"/>
    <cellStyle name="20% - Accent3 2 5 5" xfId="26443" xr:uid="{DA79D0C1-F064-476E-B127-99E600E4824F}"/>
    <cellStyle name="20% - Accent3 2 5 6" xfId="9570" xr:uid="{E7FD8C2B-6CC4-4F01-8B86-3C117A46A405}"/>
    <cellStyle name="20% - Accent3 2 6" xfId="1454" xr:uid="{00000000-0005-0000-0000-000087010000}"/>
    <cellStyle name="20% - Accent3 2 6 2" xfId="3684" xr:uid="{00000000-0005-0000-0000-000088010000}"/>
    <cellStyle name="20% - Accent3 2 6 2 2" xfId="7907" xr:uid="{00000000-0005-0000-0000-000089010000}"/>
    <cellStyle name="20% - Accent3 2 6 2 2 2" xfId="24784" xr:uid="{5BF16B87-AFDC-4E58-A12F-7CCC762BE43E}"/>
    <cellStyle name="20% - Accent3 2 6 2 2 3" xfId="33218" xr:uid="{96017705-A961-49AE-9025-204D412D5538}"/>
    <cellStyle name="20% - Accent3 2 6 2 2 4" xfId="16346" xr:uid="{36EF24B2-5C2F-423B-AFB1-3D182F8B1243}"/>
    <cellStyle name="20% - Accent3 2 6 2 3" xfId="20566" xr:uid="{90ED1368-F3D3-4B40-8CD3-763D84A14536}"/>
    <cellStyle name="20% - Accent3 2 6 2 4" xfId="29001" xr:uid="{CA79A961-D35B-463E-B4C7-4C577B5123E5}"/>
    <cellStyle name="20% - Accent3 2 6 2 5" xfId="12128" xr:uid="{F93C36DB-FC7F-4503-8746-2BC0972234FC}"/>
    <cellStyle name="20% - Accent3 2 6 3" xfId="5762" xr:uid="{00000000-0005-0000-0000-00008A010000}"/>
    <cellStyle name="20% - Accent3 2 6 3 2" xfId="22639" xr:uid="{7AA53D21-5250-46DF-882F-F0470C68B3CF}"/>
    <cellStyle name="20% - Accent3 2 6 3 3" xfId="31073" xr:uid="{3F356048-5C1F-413F-989A-585944C8C0FF}"/>
    <cellStyle name="20% - Accent3 2 6 3 4" xfId="14201" xr:uid="{8C1E1A80-FA9D-4BAE-B393-F81DB119FEDF}"/>
    <cellStyle name="20% - Accent3 2 6 4" xfId="18421" xr:uid="{E8182B7A-6F6F-4C22-B690-2B7C6A65316D}"/>
    <cellStyle name="20% - Accent3 2 6 5" xfId="26856" xr:uid="{D890171C-D596-494C-93E8-A39B2F10DABB}"/>
    <cellStyle name="20% - Accent3 2 6 6" xfId="9983" xr:uid="{8231CE9B-25BE-4574-929C-1C3B45019CAF}"/>
    <cellStyle name="20% - Accent3 2 7" xfId="1868" xr:uid="{00000000-0005-0000-0000-00008B010000}"/>
    <cellStyle name="20% - Accent3 2 7 2" xfId="4097" xr:uid="{00000000-0005-0000-0000-00008C010000}"/>
    <cellStyle name="20% - Accent3 2 7 2 2" xfId="8320" xr:uid="{00000000-0005-0000-0000-00008D010000}"/>
    <cellStyle name="20% - Accent3 2 7 2 2 2" xfId="25197" xr:uid="{C3DC627A-9CA5-4ED7-A8CC-3461142A8E6A}"/>
    <cellStyle name="20% - Accent3 2 7 2 2 3" xfId="33631" xr:uid="{B0B4D6E6-E7B0-4E70-8626-31C03E801D8C}"/>
    <cellStyle name="20% - Accent3 2 7 2 2 4" xfId="16759" xr:uid="{F9E13D81-3BED-42D2-B2CA-E1225E36C3DE}"/>
    <cellStyle name="20% - Accent3 2 7 2 3" xfId="20979" xr:uid="{2D9BE7EA-3C80-4E71-BD26-02BD91415236}"/>
    <cellStyle name="20% - Accent3 2 7 2 4" xfId="29414" xr:uid="{D768BA88-F5BC-4BA4-8E0D-61321AE47BDC}"/>
    <cellStyle name="20% - Accent3 2 7 2 5" xfId="12541" xr:uid="{38B3FB99-2E14-4814-9CBC-FA0E86113DA6}"/>
    <cellStyle name="20% - Accent3 2 7 3" xfId="6175" xr:uid="{00000000-0005-0000-0000-00008E010000}"/>
    <cellStyle name="20% - Accent3 2 7 3 2" xfId="23052" xr:uid="{449D335A-BF50-4B92-8F04-CB5C597E4A28}"/>
    <cellStyle name="20% - Accent3 2 7 3 3" xfId="31486" xr:uid="{3267D8E0-E57A-4F1E-8AC7-14CA1FE9388A}"/>
    <cellStyle name="20% - Accent3 2 7 3 4" xfId="14614" xr:uid="{6FD19441-E792-4634-9DDD-F241BE536961}"/>
    <cellStyle name="20% - Accent3 2 7 4" xfId="18834" xr:uid="{872A7DE2-6373-4887-B85D-C8496DA21537}"/>
    <cellStyle name="20% - Accent3 2 7 5" xfId="27269" xr:uid="{7692AEB7-1345-489A-AD71-CC4940D080CD}"/>
    <cellStyle name="20% - Accent3 2 7 6" xfId="10396" xr:uid="{5D46A408-7636-48E3-985D-4F02343D43EA}"/>
    <cellStyle name="20% - Accent3 2 8" xfId="2281" xr:uid="{00000000-0005-0000-0000-00008F010000}"/>
    <cellStyle name="20% - Accent3 2 8 2" xfId="6588" xr:uid="{00000000-0005-0000-0000-000090010000}"/>
    <cellStyle name="20% - Accent3 2 8 2 2" xfId="23465" xr:uid="{F3C496AB-CC34-4681-BD77-2FEDBB6C81DA}"/>
    <cellStyle name="20% - Accent3 2 8 2 3" xfId="31899" xr:uid="{699A5B2C-8A98-4006-AD63-2E9F19E8BACB}"/>
    <cellStyle name="20% - Accent3 2 8 2 4" xfId="15027" xr:uid="{95D2B094-80C4-45F8-ABBF-BD2570178858}"/>
    <cellStyle name="20% - Accent3 2 8 3" xfId="19247" xr:uid="{ADE6392A-B9B7-481F-9440-A404E4EE1E7A}"/>
    <cellStyle name="20% - Accent3 2 8 4" xfId="27682" xr:uid="{EABDEBE6-12A2-41C7-B547-ABC4E1EA36F8}"/>
    <cellStyle name="20% - Accent3 2 8 5" xfId="10809" xr:uid="{4FCBF942-63E7-405D-9393-EB3013017C01}"/>
    <cellStyle name="20% - Accent3 2 9" xfId="4522" xr:uid="{00000000-0005-0000-0000-000091010000}"/>
    <cellStyle name="20% - Accent3 2 9 2" xfId="21399" xr:uid="{571C71DE-8817-4C9F-AC85-7C87A087E349}"/>
    <cellStyle name="20% - Accent3 2 9 3" xfId="29833" xr:uid="{2AEA2655-90A8-430D-BDAF-4C6014649445}"/>
    <cellStyle name="20% - Accent3 2 9 4" xfId="12961" xr:uid="{C20FD11F-6058-4391-BCCE-EE5E51B47023}"/>
    <cellStyle name="20% - Accent3 3" xfId="22" xr:uid="{00000000-0005-0000-0000-000092010000}"/>
    <cellStyle name="20% - Accent3 3 10" xfId="25620" xr:uid="{84186836-B44E-4F30-BE6B-42AE8943578D}"/>
    <cellStyle name="20% - Accent3 3 11" xfId="8747" xr:uid="{3FB84C1E-2126-49C4-AF81-77F36C1330C0}"/>
    <cellStyle name="20% - Accent3 3 2" xfId="23" xr:uid="{00000000-0005-0000-0000-000093010000}"/>
    <cellStyle name="20% - Accent3 3 2 10" xfId="8748" xr:uid="{BDA2B8EE-FC8B-4E21-92CA-60597B4B0F8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23963" xr:uid="{1787306A-7930-4877-BC72-F39EE013DE82}"/>
    <cellStyle name="20% - Accent3 3 2 2 2 2 3" xfId="32397" xr:uid="{B743CC4C-7DA4-426B-B409-EF5E07F44E02}"/>
    <cellStyle name="20% - Accent3 3 2 2 2 2 4" xfId="15525" xr:uid="{818A46D2-D082-46D6-B535-AFE452D47639}"/>
    <cellStyle name="20% - Accent3 3 2 2 2 3" xfId="19745" xr:uid="{45620D42-4EC0-4DF5-8AB4-7164127EA8FD}"/>
    <cellStyle name="20% - Accent3 3 2 2 2 4" xfId="28180" xr:uid="{49793376-FFCC-4D1D-81AA-0739B1285957}"/>
    <cellStyle name="20% - Accent3 3 2 2 2 5" xfId="11307" xr:uid="{AC6DDDDA-A4C5-425E-A75F-D4AC28F2EA66}"/>
    <cellStyle name="20% - Accent3 3 2 2 3" xfId="4941" xr:uid="{00000000-0005-0000-0000-000097010000}"/>
    <cellStyle name="20% - Accent3 3 2 2 3 2" xfId="21818" xr:uid="{F0A82410-79FC-4D18-9EFA-394830D22635}"/>
    <cellStyle name="20% - Accent3 3 2 2 3 3" xfId="30252" xr:uid="{01B9F59A-E0BF-4F85-8407-1BA3AE0B3D14}"/>
    <cellStyle name="20% - Accent3 3 2 2 3 4" xfId="13380" xr:uid="{68970EC1-421B-4CC5-BEB7-5982F4474DC4}"/>
    <cellStyle name="20% - Accent3 3 2 2 4" xfId="17600" xr:uid="{772D5446-4C61-4190-8AF3-B882CCBB5D7B}"/>
    <cellStyle name="20% - Accent3 3 2 2 5" xfId="26035" xr:uid="{3F931F61-35BC-4A34-AB8A-31608B39F995}"/>
    <cellStyle name="20% - Accent3 3 2 2 6" xfId="9162" xr:uid="{314CBC76-FE17-41CD-993B-BBEFB05F2625}"/>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24376" xr:uid="{96709BC5-59C5-49E5-BB16-7FC45AA19B69}"/>
    <cellStyle name="20% - Accent3 3 2 3 2 2 3" xfId="32810" xr:uid="{1480347A-9F56-4D9F-A2C5-F99233F0D54A}"/>
    <cellStyle name="20% - Accent3 3 2 3 2 2 4" xfId="15938" xr:uid="{35A1055A-35E4-4B34-A990-A0E2831BC706}"/>
    <cellStyle name="20% - Accent3 3 2 3 2 3" xfId="20158" xr:uid="{A153A8F2-5C2F-4FD1-95ED-831CEE062252}"/>
    <cellStyle name="20% - Accent3 3 2 3 2 4" xfId="28593" xr:uid="{5E15F522-3CD3-44F7-99A5-610418E7902B}"/>
    <cellStyle name="20% - Accent3 3 2 3 2 5" xfId="11720" xr:uid="{14145990-A9CC-4AAD-A110-27D4FEBE2291}"/>
    <cellStyle name="20% - Accent3 3 2 3 3" xfId="5354" xr:uid="{00000000-0005-0000-0000-00009B010000}"/>
    <cellStyle name="20% - Accent3 3 2 3 3 2" xfId="22231" xr:uid="{A39CE465-D1C2-4BF5-B565-126B0EAF2D5A}"/>
    <cellStyle name="20% - Accent3 3 2 3 3 3" xfId="30665" xr:uid="{3AC2B44F-3BAC-4BB6-8634-038709F272C5}"/>
    <cellStyle name="20% - Accent3 3 2 3 3 4" xfId="13793" xr:uid="{2128F3FD-4F73-43B4-985F-3B189A595AF4}"/>
    <cellStyle name="20% - Accent3 3 2 3 4" xfId="18013" xr:uid="{417E3A63-5332-42A3-BA87-120157A9F37F}"/>
    <cellStyle name="20% - Accent3 3 2 3 5" xfId="26448" xr:uid="{D7E79659-937B-4CF1-B95E-56D45E9BEF83}"/>
    <cellStyle name="20% - Accent3 3 2 3 6" xfId="9575" xr:uid="{333E094A-9404-4782-98D1-7EC59909F114}"/>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24789" xr:uid="{225E98A5-DAC1-4166-8276-BE4FE324BCA6}"/>
    <cellStyle name="20% - Accent3 3 2 4 2 2 3" xfId="33223" xr:uid="{943AB556-EB43-427A-AFE3-5C085506148D}"/>
    <cellStyle name="20% - Accent3 3 2 4 2 2 4" xfId="16351" xr:uid="{70C5C040-DAF4-4987-981D-4DF1421F6CBB}"/>
    <cellStyle name="20% - Accent3 3 2 4 2 3" xfId="20571" xr:uid="{3861697A-3007-478C-91B3-4676437E5CCC}"/>
    <cellStyle name="20% - Accent3 3 2 4 2 4" xfId="29006" xr:uid="{3FC77BF3-EEAE-4719-9EAB-D92BDD884B6F}"/>
    <cellStyle name="20% - Accent3 3 2 4 2 5" xfId="12133" xr:uid="{71ACB22A-EFEE-4330-869C-78E7C95D2EBD}"/>
    <cellStyle name="20% - Accent3 3 2 4 3" xfId="5767" xr:uid="{00000000-0005-0000-0000-00009F010000}"/>
    <cellStyle name="20% - Accent3 3 2 4 3 2" xfId="22644" xr:uid="{4512445D-EA99-4864-B902-101408C86D60}"/>
    <cellStyle name="20% - Accent3 3 2 4 3 3" xfId="31078" xr:uid="{ED3FEF3F-A6F3-4113-A177-59CCB8E42DAE}"/>
    <cellStyle name="20% - Accent3 3 2 4 3 4" xfId="14206" xr:uid="{47322A9B-D84A-4C89-B672-5E95EB3A79FB}"/>
    <cellStyle name="20% - Accent3 3 2 4 4" xfId="18426" xr:uid="{45B4B488-5484-4287-B801-6C3CEBF17CA1}"/>
    <cellStyle name="20% - Accent3 3 2 4 5" xfId="26861" xr:uid="{5D4351D9-9B37-4970-A418-98B223B397A0}"/>
    <cellStyle name="20% - Accent3 3 2 4 6" xfId="9988" xr:uid="{34B8760E-1109-4D8C-A54C-0DCCBD6821DB}"/>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25202" xr:uid="{399DA737-6317-458B-A190-6BA25BE3D47A}"/>
    <cellStyle name="20% - Accent3 3 2 5 2 2 3" xfId="33636" xr:uid="{74B165D9-F19A-48FB-A9D5-58CE5DA5985E}"/>
    <cellStyle name="20% - Accent3 3 2 5 2 2 4" xfId="16764" xr:uid="{1333CE48-0077-4643-8081-E67EDD407D57}"/>
    <cellStyle name="20% - Accent3 3 2 5 2 3" xfId="20984" xr:uid="{B09855F5-DD51-4C21-8299-400B90D555E7}"/>
    <cellStyle name="20% - Accent3 3 2 5 2 4" xfId="29419" xr:uid="{76B93ED2-42B8-4706-95C5-8B3ED4457E9B}"/>
    <cellStyle name="20% - Accent3 3 2 5 2 5" xfId="12546" xr:uid="{AA458BE7-C20D-4B14-8B6C-F1A7EBEB2FDD}"/>
    <cellStyle name="20% - Accent3 3 2 5 3" xfId="6180" xr:uid="{00000000-0005-0000-0000-0000A3010000}"/>
    <cellStyle name="20% - Accent3 3 2 5 3 2" xfId="23057" xr:uid="{5800A31D-4834-4582-BF7B-4DD5D91968CC}"/>
    <cellStyle name="20% - Accent3 3 2 5 3 3" xfId="31491" xr:uid="{01AFC8AB-9211-436E-B6FA-BC64E604322D}"/>
    <cellStyle name="20% - Accent3 3 2 5 3 4" xfId="14619" xr:uid="{798FFBBE-5844-4EA2-8E81-BB43AB2F9AE6}"/>
    <cellStyle name="20% - Accent3 3 2 5 4" xfId="18839" xr:uid="{F5F0544C-6710-4902-B07B-C077552028DB}"/>
    <cellStyle name="20% - Accent3 3 2 5 5" xfId="27274" xr:uid="{2A7CE8E1-E032-4637-93D1-A23FD58486C9}"/>
    <cellStyle name="20% - Accent3 3 2 5 6" xfId="10401" xr:uid="{93E16542-6CBE-468E-8140-0012E6725D25}"/>
    <cellStyle name="20% - Accent3 3 2 6" xfId="2286" xr:uid="{00000000-0005-0000-0000-0000A4010000}"/>
    <cellStyle name="20% - Accent3 3 2 6 2" xfId="6593" xr:uid="{00000000-0005-0000-0000-0000A5010000}"/>
    <cellStyle name="20% - Accent3 3 2 6 2 2" xfId="23470" xr:uid="{CBBFE7D5-6525-47E6-9C64-686F95776BFB}"/>
    <cellStyle name="20% - Accent3 3 2 6 2 3" xfId="31904" xr:uid="{DCD67C2D-CF53-4367-B98E-02731E352011}"/>
    <cellStyle name="20% - Accent3 3 2 6 2 4" xfId="15032" xr:uid="{F3F57E03-6B07-4681-A872-46598C027826}"/>
    <cellStyle name="20% - Accent3 3 2 6 3" xfId="19252" xr:uid="{5712014F-AD9F-4CEF-AEB4-A98137432388}"/>
    <cellStyle name="20% - Accent3 3 2 6 4" xfId="27687" xr:uid="{FE97AA8B-E382-4DF0-81C1-B22584F5D1B6}"/>
    <cellStyle name="20% - Accent3 3 2 6 5" xfId="10814" xr:uid="{06DA90EF-B637-4D8C-92DA-6D8B26EF1A09}"/>
    <cellStyle name="20% - Accent3 3 2 7" xfId="4527" xr:uid="{00000000-0005-0000-0000-0000A6010000}"/>
    <cellStyle name="20% - Accent3 3 2 7 2" xfId="21404" xr:uid="{B80FAD17-11E1-4EFE-A191-067F19FA720A}"/>
    <cellStyle name="20% - Accent3 3 2 7 3" xfId="29838" xr:uid="{3C861C9E-5C26-4F63-9685-27188D0603A1}"/>
    <cellStyle name="20% - Accent3 3 2 7 4" xfId="12966" xr:uid="{2100EA75-C48D-4781-B8D6-EAEDF682C186}"/>
    <cellStyle name="20% - Accent3 3 2 8" xfId="17186" xr:uid="{EEEBB7AF-C745-4C74-B786-3522CBB1390A}"/>
    <cellStyle name="20% - Accent3 3 2 9" xfId="25621" xr:uid="{E5B99342-7891-49A7-9FCA-1AC94C263995}"/>
    <cellStyle name="20% - Accent3 3 3" xfId="591" xr:uid="{00000000-0005-0000-0000-0000A7010000}"/>
    <cellStyle name="20% - Accent3 3 3 2" xfId="2862" xr:uid="{00000000-0005-0000-0000-0000A8010000}"/>
    <cellStyle name="20% - Accent3 3 3 2 2" xfId="7085" xr:uid="{00000000-0005-0000-0000-0000A9010000}"/>
    <cellStyle name="20% - Accent3 3 3 2 2 2" xfId="23962" xr:uid="{BB5B6005-AE02-4D1C-B4D9-CB9406B196E8}"/>
    <cellStyle name="20% - Accent3 3 3 2 2 3" xfId="32396" xr:uid="{36E33E61-FB52-4CEE-8E8D-6CD57F8B257E}"/>
    <cellStyle name="20% - Accent3 3 3 2 2 4" xfId="15524" xr:uid="{6E06CD22-193B-45D5-BCC4-02373F9E91A6}"/>
    <cellStyle name="20% - Accent3 3 3 2 3" xfId="19744" xr:uid="{23079234-69A2-400B-91B3-1B3DABA85125}"/>
    <cellStyle name="20% - Accent3 3 3 2 4" xfId="28179" xr:uid="{37E9385C-4039-45C9-94C9-361C1506346A}"/>
    <cellStyle name="20% - Accent3 3 3 2 5" xfId="11306" xr:uid="{3202833B-F5DD-428D-94C7-338E60B2D659}"/>
    <cellStyle name="20% - Accent3 3 3 3" xfId="4940" xr:uid="{00000000-0005-0000-0000-0000AA010000}"/>
    <cellStyle name="20% - Accent3 3 3 3 2" xfId="21817" xr:uid="{917295FD-0437-4605-B218-575693EB880C}"/>
    <cellStyle name="20% - Accent3 3 3 3 3" xfId="30251" xr:uid="{4B758D6F-A49C-448D-888D-24B13D5DCFD3}"/>
    <cellStyle name="20% - Accent3 3 3 3 4" xfId="13379" xr:uid="{88AFFB4B-8B36-419E-A5EB-9F7E0BD37983}"/>
    <cellStyle name="20% - Accent3 3 3 4" xfId="17599" xr:uid="{94DF653B-95F9-4120-9E6C-E5B0FF1B7287}"/>
    <cellStyle name="20% - Accent3 3 3 5" xfId="26034" xr:uid="{AD408C7F-5690-40A2-B3C9-4A8630FBF581}"/>
    <cellStyle name="20% - Accent3 3 3 6" xfId="9161" xr:uid="{FD81B2B7-C9E4-4941-A0A9-7A2D265DB609}"/>
    <cellStyle name="20% - Accent3 3 4" xfId="1044" xr:uid="{00000000-0005-0000-0000-0000AB010000}"/>
    <cellStyle name="20% - Accent3 3 4 2" xfId="3275" xr:uid="{00000000-0005-0000-0000-0000AC010000}"/>
    <cellStyle name="20% - Accent3 3 4 2 2" xfId="7498" xr:uid="{00000000-0005-0000-0000-0000AD010000}"/>
    <cellStyle name="20% - Accent3 3 4 2 2 2" xfId="24375" xr:uid="{D27559CB-F030-4304-AA7D-92AC5D897766}"/>
    <cellStyle name="20% - Accent3 3 4 2 2 3" xfId="32809" xr:uid="{CA711D84-6B67-4A6A-A5E1-E1624E43FC2B}"/>
    <cellStyle name="20% - Accent3 3 4 2 2 4" xfId="15937" xr:uid="{1A401254-A51E-4B03-A753-27670E0CCAAA}"/>
    <cellStyle name="20% - Accent3 3 4 2 3" xfId="20157" xr:uid="{7AB8D634-7DC1-41C1-B5F0-D07EEF3E205B}"/>
    <cellStyle name="20% - Accent3 3 4 2 4" xfId="28592" xr:uid="{240438CA-B054-485F-9321-2CA814D58906}"/>
    <cellStyle name="20% - Accent3 3 4 2 5" xfId="11719" xr:uid="{846445BA-645F-4B27-9709-C44E7FE00056}"/>
    <cellStyle name="20% - Accent3 3 4 3" xfId="5353" xr:uid="{00000000-0005-0000-0000-0000AE010000}"/>
    <cellStyle name="20% - Accent3 3 4 3 2" xfId="22230" xr:uid="{6E073897-6418-445A-A09A-2F5898E85D68}"/>
    <cellStyle name="20% - Accent3 3 4 3 3" xfId="30664" xr:uid="{15705504-0411-46BC-BC5F-1FB4AA1496B1}"/>
    <cellStyle name="20% - Accent3 3 4 3 4" xfId="13792" xr:uid="{EF903162-B370-4AFF-A361-A6BE93B60738}"/>
    <cellStyle name="20% - Accent3 3 4 4" xfId="18012" xr:uid="{1925DC9C-7F80-45CD-881A-BAEDE0BAE4A2}"/>
    <cellStyle name="20% - Accent3 3 4 5" xfId="26447" xr:uid="{B5033F02-3502-4B98-9573-78058674D916}"/>
    <cellStyle name="20% - Accent3 3 4 6" xfId="9574" xr:uid="{4673725F-032F-4959-BFCE-C20FAA5F8DCB}"/>
    <cellStyle name="20% - Accent3 3 5" xfId="1458" xr:uid="{00000000-0005-0000-0000-0000AF010000}"/>
    <cellStyle name="20% - Accent3 3 5 2" xfId="3688" xr:uid="{00000000-0005-0000-0000-0000B0010000}"/>
    <cellStyle name="20% - Accent3 3 5 2 2" xfId="7911" xr:uid="{00000000-0005-0000-0000-0000B1010000}"/>
    <cellStyle name="20% - Accent3 3 5 2 2 2" xfId="24788" xr:uid="{FDBCAFCA-3716-407B-B8BF-D338DEB67540}"/>
    <cellStyle name="20% - Accent3 3 5 2 2 3" xfId="33222" xr:uid="{AA74CEFD-8815-4FC9-B0A4-40A8680A51B8}"/>
    <cellStyle name="20% - Accent3 3 5 2 2 4" xfId="16350" xr:uid="{9A155808-95E2-42E3-9FB6-FA3571A63155}"/>
    <cellStyle name="20% - Accent3 3 5 2 3" xfId="20570" xr:uid="{88A236CA-2B1D-4723-AA81-7B6F5EDE371E}"/>
    <cellStyle name="20% - Accent3 3 5 2 4" xfId="29005" xr:uid="{BE64CB1F-13FF-4026-9D2C-9C7E4E8C42E6}"/>
    <cellStyle name="20% - Accent3 3 5 2 5" xfId="12132" xr:uid="{D8A6889D-C129-4323-B9E3-D6A31B149777}"/>
    <cellStyle name="20% - Accent3 3 5 3" xfId="5766" xr:uid="{00000000-0005-0000-0000-0000B2010000}"/>
    <cellStyle name="20% - Accent3 3 5 3 2" xfId="22643" xr:uid="{2AFD7B58-9B5C-4460-8ADB-17BA024ECD25}"/>
    <cellStyle name="20% - Accent3 3 5 3 3" xfId="31077" xr:uid="{FE49E836-8D30-4B71-84B2-4385404CC9BE}"/>
    <cellStyle name="20% - Accent3 3 5 3 4" xfId="14205" xr:uid="{4227E824-8C29-4330-85BD-099505A12746}"/>
    <cellStyle name="20% - Accent3 3 5 4" xfId="18425" xr:uid="{A5B38D9D-1A90-4475-AC95-871E2DC6CBDB}"/>
    <cellStyle name="20% - Accent3 3 5 5" xfId="26860" xr:uid="{CD3317D3-D854-41B5-9CBE-C2160FD9BECE}"/>
    <cellStyle name="20% - Accent3 3 5 6" xfId="9987" xr:uid="{0841BF8B-E26B-4C54-957A-8D0A113D2C6F}"/>
    <cellStyle name="20% - Accent3 3 6" xfId="1872" xr:uid="{00000000-0005-0000-0000-0000B3010000}"/>
    <cellStyle name="20% - Accent3 3 6 2" xfId="4101" xr:uid="{00000000-0005-0000-0000-0000B4010000}"/>
    <cellStyle name="20% - Accent3 3 6 2 2" xfId="8324" xr:uid="{00000000-0005-0000-0000-0000B5010000}"/>
    <cellStyle name="20% - Accent3 3 6 2 2 2" xfId="25201" xr:uid="{37E1438A-EB0B-4665-A00D-12CCDACC5DF2}"/>
    <cellStyle name="20% - Accent3 3 6 2 2 3" xfId="33635" xr:uid="{99CC68B6-9FBB-4104-8867-7E39CA40B877}"/>
    <cellStyle name="20% - Accent3 3 6 2 2 4" xfId="16763" xr:uid="{B5C5D2D5-C0DF-4BD9-9C63-C7ACA9026E45}"/>
    <cellStyle name="20% - Accent3 3 6 2 3" xfId="20983" xr:uid="{F9319B11-4188-421A-B5FD-054816FFBF69}"/>
    <cellStyle name="20% - Accent3 3 6 2 4" xfId="29418" xr:uid="{D497374C-E3A5-41D9-BBF8-6BA5DFC31DE1}"/>
    <cellStyle name="20% - Accent3 3 6 2 5" xfId="12545" xr:uid="{D73ECD54-3F21-41FC-ABD5-C507AE5CCE3A}"/>
    <cellStyle name="20% - Accent3 3 6 3" xfId="6179" xr:uid="{00000000-0005-0000-0000-0000B6010000}"/>
    <cellStyle name="20% - Accent3 3 6 3 2" xfId="23056" xr:uid="{317325BC-A543-430C-8441-BD235C967DDE}"/>
    <cellStyle name="20% - Accent3 3 6 3 3" xfId="31490" xr:uid="{740A9ADE-2DCB-46D1-B5E8-FFDE4B11064A}"/>
    <cellStyle name="20% - Accent3 3 6 3 4" xfId="14618" xr:uid="{6B285F8F-5375-4580-8DF6-D5515C04E49E}"/>
    <cellStyle name="20% - Accent3 3 6 4" xfId="18838" xr:uid="{46687D62-17C4-4178-8204-90E481178FEB}"/>
    <cellStyle name="20% - Accent3 3 6 5" xfId="27273" xr:uid="{803CEB7D-A7AF-44D9-8BED-0A50A675F087}"/>
    <cellStyle name="20% - Accent3 3 6 6" xfId="10400" xr:uid="{7CEDAC85-8287-4AD6-9971-3CF643D679EE}"/>
    <cellStyle name="20% - Accent3 3 7" xfId="2285" xr:uid="{00000000-0005-0000-0000-0000B7010000}"/>
    <cellStyle name="20% - Accent3 3 7 2" xfId="6592" xr:uid="{00000000-0005-0000-0000-0000B8010000}"/>
    <cellStyle name="20% - Accent3 3 7 2 2" xfId="23469" xr:uid="{38C7654A-1C56-4630-AD95-A83D605B32E0}"/>
    <cellStyle name="20% - Accent3 3 7 2 3" xfId="31903" xr:uid="{40D5B011-12E4-4C26-BAE6-4C2F22C545FE}"/>
    <cellStyle name="20% - Accent3 3 7 2 4" xfId="15031" xr:uid="{0027F18C-ECBE-4D40-99DD-01B4FD0FAF4A}"/>
    <cellStyle name="20% - Accent3 3 7 3" xfId="19251" xr:uid="{A2F026B4-20DA-482B-8801-FF83D9287593}"/>
    <cellStyle name="20% - Accent3 3 7 4" xfId="27686" xr:uid="{0218F3D1-EB9D-4CE6-AF24-1AEB4CA233BD}"/>
    <cellStyle name="20% - Accent3 3 7 5" xfId="10813" xr:uid="{7C306E82-0477-477F-B45C-76A12C5E6C55}"/>
    <cellStyle name="20% - Accent3 3 8" xfId="4526" xr:uid="{00000000-0005-0000-0000-0000B9010000}"/>
    <cellStyle name="20% - Accent3 3 8 2" xfId="21403" xr:uid="{96F08413-C3C8-4E6F-9B69-E7CE7E98A258}"/>
    <cellStyle name="20% - Accent3 3 8 3" xfId="29837" xr:uid="{0AB296EC-3D2F-4287-93AE-864F91506DA7}"/>
    <cellStyle name="20% - Accent3 3 8 4" xfId="12965" xr:uid="{835823C0-23FE-4658-BA26-A4CB11C9FA69}"/>
    <cellStyle name="20% - Accent3 3 9" xfId="17185" xr:uid="{51629725-2853-402D-B9E3-01CED855381B}"/>
    <cellStyle name="20% - Accent3 4" xfId="24" xr:uid="{00000000-0005-0000-0000-0000BA010000}"/>
    <cellStyle name="20% - Accent3 4 10" xfId="8749" xr:uid="{1374C822-D834-4686-B7B3-5239EB38B128}"/>
    <cellStyle name="20% - Accent3 4 2" xfId="593" xr:uid="{00000000-0005-0000-0000-0000BB010000}"/>
    <cellStyle name="20% - Accent3 4 2 2" xfId="2864" xr:uid="{00000000-0005-0000-0000-0000BC010000}"/>
    <cellStyle name="20% - Accent3 4 2 2 2" xfId="7087" xr:uid="{00000000-0005-0000-0000-0000BD010000}"/>
    <cellStyle name="20% - Accent3 4 2 2 2 2" xfId="23964" xr:uid="{7D9C9F3D-DFB0-48C6-90E9-B189B1F7C308}"/>
    <cellStyle name="20% - Accent3 4 2 2 2 3" xfId="32398" xr:uid="{57CFC7CF-C0CF-4762-ABE0-E70ADB562A78}"/>
    <cellStyle name="20% - Accent3 4 2 2 2 4" xfId="15526" xr:uid="{A5CAB8BD-A859-4359-BB08-1ADF2C27362D}"/>
    <cellStyle name="20% - Accent3 4 2 2 3" xfId="19746" xr:uid="{3D9717E9-40D3-4153-8D8F-B46E3E69593C}"/>
    <cellStyle name="20% - Accent3 4 2 2 4" xfId="28181" xr:uid="{1755265F-F2E4-4F25-91F9-FC823E4DC394}"/>
    <cellStyle name="20% - Accent3 4 2 2 5" xfId="11308" xr:uid="{C68A3A19-5B3D-4436-8C25-0A10A88C3C99}"/>
    <cellStyle name="20% - Accent3 4 2 3" xfId="4942" xr:uid="{00000000-0005-0000-0000-0000BE010000}"/>
    <cellStyle name="20% - Accent3 4 2 3 2" xfId="21819" xr:uid="{0FBA4C57-3033-48CF-85FC-ED84D00EB83C}"/>
    <cellStyle name="20% - Accent3 4 2 3 3" xfId="30253" xr:uid="{3A165F08-5914-429C-85CF-2E949DC84F39}"/>
    <cellStyle name="20% - Accent3 4 2 3 4" xfId="13381" xr:uid="{3BB6F6E8-7CEA-4591-A770-D44C9C47EF0D}"/>
    <cellStyle name="20% - Accent3 4 2 4" xfId="17601" xr:uid="{1CF988FE-59BE-4398-9344-6D8617683F84}"/>
    <cellStyle name="20% - Accent3 4 2 5" xfId="26036" xr:uid="{05BDA886-D857-46CD-A1FC-F5F91CD85025}"/>
    <cellStyle name="20% - Accent3 4 2 6" xfId="9163" xr:uid="{488FB190-65AF-4C63-909D-2F2CD96111FB}"/>
    <cellStyle name="20% - Accent3 4 3" xfId="1046" xr:uid="{00000000-0005-0000-0000-0000BF010000}"/>
    <cellStyle name="20% - Accent3 4 3 2" xfId="3277" xr:uid="{00000000-0005-0000-0000-0000C0010000}"/>
    <cellStyle name="20% - Accent3 4 3 2 2" xfId="7500" xr:uid="{00000000-0005-0000-0000-0000C1010000}"/>
    <cellStyle name="20% - Accent3 4 3 2 2 2" xfId="24377" xr:uid="{9B71BFF5-8D13-47F2-AA11-04CE9E19C574}"/>
    <cellStyle name="20% - Accent3 4 3 2 2 3" xfId="32811" xr:uid="{1860A92D-1A87-40DD-AD49-60B729C4E4FB}"/>
    <cellStyle name="20% - Accent3 4 3 2 2 4" xfId="15939" xr:uid="{4D2FC237-66D7-48B8-AD2F-02C965B626BF}"/>
    <cellStyle name="20% - Accent3 4 3 2 3" xfId="20159" xr:uid="{40AEA13D-BAEA-4FA2-BD24-0485CD4CC409}"/>
    <cellStyle name="20% - Accent3 4 3 2 4" xfId="28594" xr:uid="{2C43ECE1-E534-4210-91B6-E290791A35A1}"/>
    <cellStyle name="20% - Accent3 4 3 2 5" xfId="11721" xr:uid="{5668AA3D-ADAC-4510-BD4C-221AF8B5990E}"/>
    <cellStyle name="20% - Accent3 4 3 3" xfId="5355" xr:uid="{00000000-0005-0000-0000-0000C2010000}"/>
    <cellStyle name="20% - Accent3 4 3 3 2" xfId="22232" xr:uid="{F2E8E289-C8A8-4B29-899A-B98BA6F140F8}"/>
    <cellStyle name="20% - Accent3 4 3 3 3" xfId="30666" xr:uid="{38BC7571-A765-4BC0-BE03-9F26791609EA}"/>
    <cellStyle name="20% - Accent3 4 3 3 4" xfId="13794" xr:uid="{8629F89B-3E3E-4F67-BBE6-B4295EE3F7E4}"/>
    <cellStyle name="20% - Accent3 4 3 4" xfId="18014" xr:uid="{9C046753-A25C-4DB4-AC35-E8C974506469}"/>
    <cellStyle name="20% - Accent3 4 3 5" xfId="26449" xr:uid="{13BB091F-284B-4700-BD8E-57BF106F4CD8}"/>
    <cellStyle name="20% - Accent3 4 3 6" xfId="9576" xr:uid="{95543CB6-FD28-47F3-B951-6A7B60E2394A}"/>
    <cellStyle name="20% - Accent3 4 4" xfId="1460" xr:uid="{00000000-0005-0000-0000-0000C3010000}"/>
    <cellStyle name="20% - Accent3 4 4 2" xfId="3690" xr:uid="{00000000-0005-0000-0000-0000C4010000}"/>
    <cellStyle name="20% - Accent3 4 4 2 2" xfId="7913" xr:uid="{00000000-0005-0000-0000-0000C5010000}"/>
    <cellStyle name="20% - Accent3 4 4 2 2 2" xfId="24790" xr:uid="{468F7BF7-7203-4F5F-9566-54749AD952F7}"/>
    <cellStyle name="20% - Accent3 4 4 2 2 3" xfId="33224" xr:uid="{F6BFBDEE-17AA-4ABB-887B-443056482982}"/>
    <cellStyle name="20% - Accent3 4 4 2 2 4" xfId="16352" xr:uid="{AC081E3A-694C-4CF7-BE58-A6B24966B180}"/>
    <cellStyle name="20% - Accent3 4 4 2 3" xfId="20572" xr:uid="{1E04FA9B-9AC7-4295-87EF-AFCBED8F0D61}"/>
    <cellStyle name="20% - Accent3 4 4 2 4" xfId="29007" xr:uid="{E602D95B-F5B3-44C4-9F5F-40879C7A265A}"/>
    <cellStyle name="20% - Accent3 4 4 2 5" xfId="12134" xr:uid="{BFFFFA5E-DDB5-4E9C-BA69-25B914B4C765}"/>
    <cellStyle name="20% - Accent3 4 4 3" xfId="5768" xr:uid="{00000000-0005-0000-0000-0000C6010000}"/>
    <cellStyle name="20% - Accent3 4 4 3 2" xfId="22645" xr:uid="{C9304CDB-BB41-41A9-9750-33BF19A79441}"/>
    <cellStyle name="20% - Accent3 4 4 3 3" xfId="31079" xr:uid="{4DC53BEF-2715-4E36-BE32-735C08E6BF5F}"/>
    <cellStyle name="20% - Accent3 4 4 3 4" xfId="14207" xr:uid="{5939ECD4-8E83-4FA5-9EB9-4C7CD7890DCA}"/>
    <cellStyle name="20% - Accent3 4 4 4" xfId="18427" xr:uid="{78C59037-338B-49E3-B610-DDC2D3CDB068}"/>
    <cellStyle name="20% - Accent3 4 4 5" xfId="26862" xr:uid="{4CC2F28D-E06A-4ED3-83F0-6B3D6EC0D94E}"/>
    <cellStyle name="20% - Accent3 4 4 6" xfId="9989" xr:uid="{4C4FEF27-B5D5-4002-ABA3-308951F80404}"/>
    <cellStyle name="20% - Accent3 4 5" xfId="1874" xr:uid="{00000000-0005-0000-0000-0000C7010000}"/>
    <cellStyle name="20% - Accent3 4 5 2" xfId="4103" xr:uid="{00000000-0005-0000-0000-0000C8010000}"/>
    <cellStyle name="20% - Accent3 4 5 2 2" xfId="8326" xr:uid="{00000000-0005-0000-0000-0000C9010000}"/>
    <cellStyle name="20% - Accent3 4 5 2 2 2" xfId="25203" xr:uid="{212BA95B-1E0E-4F64-BF51-9DAB4F4010D7}"/>
    <cellStyle name="20% - Accent3 4 5 2 2 3" xfId="33637" xr:uid="{3C7CB7AD-EF4F-4E89-9031-E2CABDEF2406}"/>
    <cellStyle name="20% - Accent3 4 5 2 2 4" xfId="16765" xr:uid="{87507D81-C7DF-4634-9659-8BF2FEF03067}"/>
    <cellStyle name="20% - Accent3 4 5 2 3" xfId="20985" xr:uid="{3ED4C484-77CF-4489-8DEA-8C3358F6DE92}"/>
    <cellStyle name="20% - Accent3 4 5 2 4" xfId="29420" xr:uid="{376D27DE-0E45-47D2-9F00-38BF1E249FAB}"/>
    <cellStyle name="20% - Accent3 4 5 2 5" xfId="12547" xr:uid="{F516B235-94EF-4F8A-95F6-17CE0FC03CF0}"/>
    <cellStyle name="20% - Accent3 4 5 3" xfId="6181" xr:uid="{00000000-0005-0000-0000-0000CA010000}"/>
    <cellStyle name="20% - Accent3 4 5 3 2" xfId="23058" xr:uid="{3906AC13-C571-4F52-BD7D-90E18FBCD2AB}"/>
    <cellStyle name="20% - Accent3 4 5 3 3" xfId="31492" xr:uid="{26983EB0-5912-4691-B408-2CE2A173689F}"/>
    <cellStyle name="20% - Accent3 4 5 3 4" xfId="14620" xr:uid="{AA637898-F421-4352-A20B-9F4C258F0D18}"/>
    <cellStyle name="20% - Accent3 4 5 4" xfId="18840" xr:uid="{43239CD3-9D11-47AB-A0F4-BAF7D88FE068}"/>
    <cellStyle name="20% - Accent3 4 5 5" xfId="27275" xr:uid="{A1417AAF-4178-48D7-ABCC-2254576EFB54}"/>
    <cellStyle name="20% - Accent3 4 5 6" xfId="10402" xr:uid="{D606189E-223E-4A1C-B70F-3CE554CC4490}"/>
    <cellStyle name="20% - Accent3 4 6" xfId="2287" xr:uid="{00000000-0005-0000-0000-0000CB010000}"/>
    <cellStyle name="20% - Accent3 4 6 2" xfId="6594" xr:uid="{00000000-0005-0000-0000-0000CC010000}"/>
    <cellStyle name="20% - Accent3 4 6 2 2" xfId="23471" xr:uid="{249DB08D-EB61-410A-843C-672C63895F67}"/>
    <cellStyle name="20% - Accent3 4 6 2 3" xfId="31905" xr:uid="{EB16F431-0627-406E-AE69-E6FD661594D6}"/>
    <cellStyle name="20% - Accent3 4 6 2 4" xfId="15033" xr:uid="{C9C86451-E101-460E-B155-ABC92EF874F7}"/>
    <cellStyle name="20% - Accent3 4 6 3" xfId="19253" xr:uid="{092148D7-F181-4404-A1DA-26B6274CDC1C}"/>
    <cellStyle name="20% - Accent3 4 6 4" xfId="27688" xr:uid="{427B5583-6E3D-49C8-B863-C9BFC2CF3C2A}"/>
    <cellStyle name="20% - Accent3 4 6 5" xfId="10815" xr:uid="{B7BA8930-8B30-4883-9BC5-2330CBF5DD2C}"/>
    <cellStyle name="20% - Accent3 4 7" xfId="4528" xr:uid="{00000000-0005-0000-0000-0000CD010000}"/>
    <cellStyle name="20% - Accent3 4 7 2" xfId="21405" xr:uid="{DF289790-DDD3-42F8-B9F7-FC0702F541AA}"/>
    <cellStyle name="20% - Accent3 4 7 3" xfId="29839" xr:uid="{40717D99-015B-4138-816F-2A223197FEE6}"/>
    <cellStyle name="20% - Accent3 4 7 4" xfId="12967" xr:uid="{B9D1D77C-5A6C-48D3-AA23-699EDEE24F5A}"/>
    <cellStyle name="20% - Accent3 4 8" xfId="17187" xr:uid="{2F2D2D36-0EE1-4056-A8F7-822E3FE511BF}"/>
    <cellStyle name="20% - Accent3 4 9" xfId="25622" xr:uid="{7DE0969E-C799-4175-B90F-FAAE928150D6}"/>
    <cellStyle name="20% - Accent3 5" xfId="586" xr:uid="{00000000-0005-0000-0000-0000CE010000}"/>
    <cellStyle name="20% - Accent3 5 2" xfId="2857" xr:uid="{00000000-0005-0000-0000-0000CF010000}"/>
    <cellStyle name="20% - Accent3 5 2 2" xfId="7080" xr:uid="{00000000-0005-0000-0000-0000D0010000}"/>
    <cellStyle name="20% - Accent3 5 2 2 2" xfId="23957" xr:uid="{1F2D2359-C220-4393-B48A-6E8E909C4C19}"/>
    <cellStyle name="20% - Accent3 5 2 2 3" xfId="32391" xr:uid="{BF2A2589-EC4E-4C8F-A8EB-73F248F1C22B}"/>
    <cellStyle name="20% - Accent3 5 2 2 4" xfId="15519" xr:uid="{B903B63F-B454-44F1-8F9B-42E34A089081}"/>
    <cellStyle name="20% - Accent3 5 2 3" xfId="19739" xr:uid="{90545456-F3CD-4EA5-84A0-81FAE2A2A0CC}"/>
    <cellStyle name="20% - Accent3 5 2 4" xfId="28174" xr:uid="{F1F775FF-7232-4A7C-B990-6D4194FF687C}"/>
    <cellStyle name="20% - Accent3 5 2 5" xfId="11301" xr:uid="{1FCE606A-82D7-4F1B-A7CF-B03D83B49F7D}"/>
    <cellStyle name="20% - Accent3 5 3" xfId="4935" xr:uid="{00000000-0005-0000-0000-0000D1010000}"/>
    <cellStyle name="20% - Accent3 5 3 2" xfId="21812" xr:uid="{0B3DC6D9-FFD0-4277-ABE4-E2908442594A}"/>
    <cellStyle name="20% - Accent3 5 3 3" xfId="30246" xr:uid="{82660391-5944-4965-8035-B22349F2CC73}"/>
    <cellStyle name="20% - Accent3 5 3 4" xfId="13374" xr:uid="{AEFF975E-E9FB-4605-A398-B16B95F2088F}"/>
    <cellStyle name="20% - Accent3 5 4" xfId="17594" xr:uid="{B7BCD112-31B9-4C68-A3BA-C318D8E0EED2}"/>
    <cellStyle name="20% - Accent3 5 5" xfId="26029" xr:uid="{86AA13E6-06B7-44EA-B541-67C0F755A6BE}"/>
    <cellStyle name="20% - Accent3 5 6" xfId="9156" xr:uid="{F9B9DC6B-AFEA-4A34-B52E-8DB023CDA34D}"/>
    <cellStyle name="20% - Accent3 6" xfId="1039" xr:uid="{00000000-0005-0000-0000-0000D2010000}"/>
    <cellStyle name="20% - Accent3 6 2" xfId="3270" xr:uid="{00000000-0005-0000-0000-0000D3010000}"/>
    <cellStyle name="20% - Accent3 6 2 2" xfId="7493" xr:uid="{00000000-0005-0000-0000-0000D4010000}"/>
    <cellStyle name="20% - Accent3 6 2 2 2" xfId="24370" xr:uid="{07C65987-3409-40D5-B022-C51120E6A4D2}"/>
    <cellStyle name="20% - Accent3 6 2 2 3" xfId="32804" xr:uid="{967848AE-9273-45B8-8883-822EFC0752A1}"/>
    <cellStyle name="20% - Accent3 6 2 2 4" xfId="15932" xr:uid="{C0854991-E797-4797-87EC-19D03382B50A}"/>
    <cellStyle name="20% - Accent3 6 2 3" xfId="20152" xr:uid="{A7B45622-7DFC-45BD-A2F8-53312A8773CD}"/>
    <cellStyle name="20% - Accent3 6 2 4" xfId="28587" xr:uid="{47656919-4D45-49E3-B7D2-909B762F03C4}"/>
    <cellStyle name="20% - Accent3 6 2 5" xfId="11714" xr:uid="{56AF81A0-2AE3-46DB-9E23-3EED87190774}"/>
    <cellStyle name="20% - Accent3 6 3" xfId="5348" xr:uid="{00000000-0005-0000-0000-0000D5010000}"/>
    <cellStyle name="20% - Accent3 6 3 2" xfId="22225" xr:uid="{140E5E5C-71A9-44E8-BEC3-6B68E4A0D4C5}"/>
    <cellStyle name="20% - Accent3 6 3 3" xfId="30659" xr:uid="{0257C340-D348-45C2-9A2C-3D9DDA02FD43}"/>
    <cellStyle name="20% - Accent3 6 3 4" xfId="13787" xr:uid="{2863551F-0B81-455D-93CC-E7BCC5B00887}"/>
    <cellStyle name="20% - Accent3 6 4" xfId="18007" xr:uid="{2F5FD7FE-BEB1-4F1C-BC69-C7996FDA2CFE}"/>
    <cellStyle name="20% - Accent3 6 5" xfId="26442" xr:uid="{13BEB073-71A2-4DFC-B1FD-C987AC04E278}"/>
    <cellStyle name="20% - Accent3 6 6" xfId="9569" xr:uid="{2843606C-367D-4A9C-BBBB-6F958B19D75C}"/>
    <cellStyle name="20% - Accent3 7" xfId="1453" xr:uid="{00000000-0005-0000-0000-0000D6010000}"/>
    <cellStyle name="20% - Accent3 7 2" xfId="3683" xr:uid="{00000000-0005-0000-0000-0000D7010000}"/>
    <cellStyle name="20% - Accent3 7 2 2" xfId="7906" xr:uid="{00000000-0005-0000-0000-0000D8010000}"/>
    <cellStyle name="20% - Accent3 7 2 2 2" xfId="24783" xr:uid="{81B45F35-0B2E-4DB2-9429-4D5386E25555}"/>
    <cellStyle name="20% - Accent3 7 2 2 3" xfId="33217" xr:uid="{8F13F57B-2DA9-4823-9BDD-107C0361B50A}"/>
    <cellStyle name="20% - Accent3 7 2 2 4" xfId="16345" xr:uid="{68E7D482-D224-4507-BB88-7FB0BA13DD7E}"/>
    <cellStyle name="20% - Accent3 7 2 3" xfId="20565" xr:uid="{75B3F7A7-187A-420B-9884-1738CAAE81B5}"/>
    <cellStyle name="20% - Accent3 7 2 4" xfId="29000" xr:uid="{687BDC00-1C97-4641-8E25-ED5AA3C0C65E}"/>
    <cellStyle name="20% - Accent3 7 2 5" xfId="12127" xr:uid="{55CDB012-513C-4470-8A74-E0F0D1BFB1A8}"/>
    <cellStyle name="20% - Accent3 7 3" xfId="5761" xr:uid="{00000000-0005-0000-0000-0000D9010000}"/>
    <cellStyle name="20% - Accent3 7 3 2" xfId="22638" xr:uid="{DCF09714-762E-4AFE-8DE3-2D3B953355E6}"/>
    <cellStyle name="20% - Accent3 7 3 3" xfId="31072" xr:uid="{D2A69FE3-6DC7-4CA3-A13E-1381D9CAFD9B}"/>
    <cellStyle name="20% - Accent3 7 3 4" xfId="14200" xr:uid="{7D226432-C148-4FE2-868B-3ECD9BAD4ABD}"/>
    <cellStyle name="20% - Accent3 7 4" xfId="18420" xr:uid="{E64C746D-7651-47A9-86B6-FBE8DCC9A9FE}"/>
    <cellStyle name="20% - Accent3 7 5" xfId="26855" xr:uid="{382CD9EE-A992-4381-B072-2C462D6DB1EA}"/>
    <cellStyle name="20% - Accent3 7 6" xfId="9982" xr:uid="{3A26E4F0-C285-4B39-AA9A-E1F7DAB7C2BC}"/>
    <cellStyle name="20% - Accent3 8" xfId="1867" xr:uid="{00000000-0005-0000-0000-0000DA010000}"/>
    <cellStyle name="20% - Accent3 8 2" xfId="4096" xr:uid="{00000000-0005-0000-0000-0000DB010000}"/>
    <cellStyle name="20% - Accent3 8 2 2" xfId="8319" xr:uid="{00000000-0005-0000-0000-0000DC010000}"/>
    <cellStyle name="20% - Accent3 8 2 2 2" xfId="25196" xr:uid="{C6212311-40D8-443B-9351-D20ACE1A6ECE}"/>
    <cellStyle name="20% - Accent3 8 2 2 3" xfId="33630" xr:uid="{A9AC4C4D-7A3A-4224-A22C-E158B686B77F}"/>
    <cellStyle name="20% - Accent3 8 2 2 4" xfId="16758" xr:uid="{70E46E26-1FD1-4443-9639-0B00FE046DFC}"/>
    <cellStyle name="20% - Accent3 8 2 3" xfId="20978" xr:uid="{C7CDCFB0-DB44-48F7-A981-5B95B53D467D}"/>
    <cellStyle name="20% - Accent3 8 2 4" xfId="29413" xr:uid="{6869574A-0C46-4D9B-98AB-B566F8159E82}"/>
    <cellStyle name="20% - Accent3 8 2 5" xfId="12540" xr:uid="{6E3EDE5D-F701-460A-B81A-9B3860ADB604}"/>
    <cellStyle name="20% - Accent3 8 3" xfId="6174" xr:uid="{00000000-0005-0000-0000-0000DD010000}"/>
    <cellStyle name="20% - Accent3 8 3 2" xfId="23051" xr:uid="{7E5DF7B4-A7C8-4F26-95C9-807E7AEDD3DF}"/>
    <cellStyle name="20% - Accent3 8 3 3" xfId="31485" xr:uid="{93D73A2E-4214-4263-88BB-DB14198A0628}"/>
    <cellStyle name="20% - Accent3 8 3 4" xfId="14613" xr:uid="{2EEF161D-86D2-4AFF-B794-4DD37E2C2D33}"/>
    <cellStyle name="20% - Accent3 8 4" xfId="18833" xr:uid="{A94F12B4-E0F6-4365-B3E2-083454B62D57}"/>
    <cellStyle name="20% - Accent3 8 5" xfId="27268" xr:uid="{64EAF321-3236-4AAA-8887-11065F31F3B6}"/>
    <cellStyle name="20% - Accent3 8 6" xfId="10395" xr:uid="{D0E2C22E-8B11-48C8-B380-A805CAF66C84}"/>
    <cellStyle name="20% - Accent3 9" xfId="2280" xr:uid="{00000000-0005-0000-0000-0000DE010000}"/>
    <cellStyle name="20% - Accent3 9 2" xfId="6587" xr:uid="{00000000-0005-0000-0000-0000DF010000}"/>
    <cellStyle name="20% - Accent3 9 2 2" xfId="23464" xr:uid="{222B07C7-D807-4381-9875-DE9B04C24E5F}"/>
    <cellStyle name="20% - Accent3 9 2 3" xfId="31898" xr:uid="{6ED75C0F-31DA-489A-9ACA-BDB0A15F7CAC}"/>
    <cellStyle name="20% - Accent3 9 2 4" xfId="15026" xr:uid="{EF8AD006-947B-40DF-9D5B-E2848C3F2ACA}"/>
    <cellStyle name="20% - Accent3 9 3" xfId="19246" xr:uid="{27A3CE1B-7142-4DA4-88FF-F7C160289986}"/>
    <cellStyle name="20% - Accent3 9 4" xfId="27681" xr:uid="{FD2B5C01-D052-46CE-A82A-4B567290CDBE}"/>
    <cellStyle name="20% - Accent3 9 5" xfId="10808" xr:uid="{E0D90893-6EB1-4555-9769-CE1A761AFE29}"/>
    <cellStyle name="20% - Accent4" xfId="25" builtinId="42" customBuiltin="1"/>
    <cellStyle name="20% - Accent4 10" xfId="4529" xr:uid="{00000000-0005-0000-0000-0000E1010000}"/>
    <cellStyle name="20% - Accent4 10 2" xfId="21406" xr:uid="{5A3DFD93-89EB-407D-88ED-C2DCF71A4B20}"/>
    <cellStyle name="20% - Accent4 10 3" xfId="29840" xr:uid="{CBB5E178-289A-42C0-9F2D-315AB4F19383}"/>
    <cellStyle name="20% - Accent4 10 4" xfId="12968" xr:uid="{CFC9A33E-F59C-4A80-9977-BC6F5F236696}"/>
    <cellStyle name="20% - Accent4 11" xfId="17188" xr:uid="{44EE8915-4969-4AFB-A606-011DB4AA4327}"/>
    <cellStyle name="20% - Accent4 12" xfId="25623" xr:uid="{406AD83A-6502-4B00-953E-851023E8DE6A}"/>
    <cellStyle name="20% - Accent4 13" xfId="8750" xr:uid="{78C179D5-0F98-4D3B-865C-58A3FC20310D}"/>
    <cellStyle name="20% - Accent4 2" xfId="26" xr:uid="{00000000-0005-0000-0000-0000E2010000}"/>
    <cellStyle name="20% - Accent4 2 10" xfId="17189" xr:uid="{3D4B1665-2ABA-4784-BD3C-B0091AE88618}"/>
    <cellStyle name="20% - Accent4 2 11" xfId="25624" xr:uid="{78622112-0C4E-4A25-9F05-391D58BECC46}"/>
    <cellStyle name="20% - Accent4 2 12" xfId="8751" xr:uid="{128497BA-F531-4E6B-9DA3-3A176786FBD3}"/>
    <cellStyle name="20% - Accent4 2 2" xfId="27" xr:uid="{00000000-0005-0000-0000-0000E3010000}"/>
    <cellStyle name="20% - Accent4 2 2 10" xfId="25625" xr:uid="{958894AA-F9FA-42CE-B858-87E76BCDFCFE}"/>
    <cellStyle name="20% - Accent4 2 2 11" xfId="8752" xr:uid="{24FFA511-1805-4F3D-B02C-8058C79FDAA2}"/>
    <cellStyle name="20% - Accent4 2 2 2" xfId="28" xr:uid="{00000000-0005-0000-0000-0000E4010000}"/>
    <cellStyle name="20% - Accent4 2 2 2 10" xfId="8753" xr:uid="{60495018-837B-46CA-9232-5E378DA8043B}"/>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23968" xr:uid="{1A318852-0437-4FBF-AE6A-3F6402804DF0}"/>
    <cellStyle name="20% - Accent4 2 2 2 2 2 2 3" xfId="32402" xr:uid="{5F742A96-0F66-48ED-943A-290AA3F7B483}"/>
    <cellStyle name="20% - Accent4 2 2 2 2 2 2 4" xfId="15530" xr:uid="{EA10E506-2EE0-46D3-B600-09EECC630245}"/>
    <cellStyle name="20% - Accent4 2 2 2 2 2 3" xfId="19750" xr:uid="{CC7CA664-F20F-49A1-BF84-696C468CE481}"/>
    <cellStyle name="20% - Accent4 2 2 2 2 2 4" xfId="28185" xr:uid="{0494B103-9A2D-4240-BDA5-64FE38805A00}"/>
    <cellStyle name="20% - Accent4 2 2 2 2 2 5" xfId="11312" xr:uid="{B376342B-14D0-4D0F-AB82-B20DA6C322B4}"/>
    <cellStyle name="20% - Accent4 2 2 2 2 3" xfId="4946" xr:uid="{00000000-0005-0000-0000-0000E8010000}"/>
    <cellStyle name="20% - Accent4 2 2 2 2 3 2" xfId="21823" xr:uid="{B208B3F5-1149-4364-8B4F-462B0F3E51F1}"/>
    <cellStyle name="20% - Accent4 2 2 2 2 3 3" xfId="30257" xr:uid="{53B83C58-7A34-4D72-9AF0-1C9846B76446}"/>
    <cellStyle name="20% - Accent4 2 2 2 2 3 4" xfId="13385" xr:uid="{6161570E-2E9A-4A98-9B5B-1FD1205078C7}"/>
    <cellStyle name="20% - Accent4 2 2 2 2 4" xfId="17605" xr:uid="{EB732768-5F7E-4F1C-8ADD-EF68E432746E}"/>
    <cellStyle name="20% - Accent4 2 2 2 2 5" xfId="26040" xr:uid="{F1608394-2C37-4BE5-ADFA-67D6A030A65D}"/>
    <cellStyle name="20% - Accent4 2 2 2 2 6" xfId="9167" xr:uid="{C06F07FD-15AD-4990-BC17-41BEE5F9FE5C}"/>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24381" xr:uid="{92888EDE-1E0D-4DBD-860E-C2307E79E175}"/>
    <cellStyle name="20% - Accent4 2 2 2 3 2 2 3" xfId="32815" xr:uid="{FD2FCFC9-6041-4450-9DB1-B7C903D4BFB2}"/>
    <cellStyle name="20% - Accent4 2 2 2 3 2 2 4" xfId="15943" xr:uid="{2FCF518A-E806-4B62-971B-08CE7E7B99E1}"/>
    <cellStyle name="20% - Accent4 2 2 2 3 2 3" xfId="20163" xr:uid="{51198FB2-3B7F-49E2-994B-A6C500F86C81}"/>
    <cellStyle name="20% - Accent4 2 2 2 3 2 4" xfId="28598" xr:uid="{67231CA0-8D4C-4A32-8867-B4DBEF1F439B}"/>
    <cellStyle name="20% - Accent4 2 2 2 3 2 5" xfId="11725" xr:uid="{5FA0E507-91F7-4C7A-8BCF-48193412767B}"/>
    <cellStyle name="20% - Accent4 2 2 2 3 3" xfId="5359" xr:uid="{00000000-0005-0000-0000-0000EC010000}"/>
    <cellStyle name="20% - Accent4 2 2 2 3 3 2" xfId="22236" xr:uid="{3F3AA945-FBCA-4C55-ADB4-42E94B87DCC3}"/>
    <cellStyle name="20% - Accent4 2 2 2 3 3 3" xfId="30670" xr:uid="{6911F4E5-F8BE-4B78-A411-F340A2E53D71}"/>
    <cellStyle name="20% - Accent4 2 2 2 3 3 4" xfId="13798" xr:uid="{8C6F66EC-F688-4C95-A0B1-54643341C162}"/>
    <cellStyle name="20% - Accent4 2 2 2 3 4" xfId="18018" xr:uid="{D0201398-0884-40EA-93B0-381165686041}"/>
    <cellStyle name="20% - Accent4 2 2 2 3 5" xfId="26453" xr:uid="{89362144-0E5C-4ED8-B21C-E1A9F9870590}"/>
    <cellStyle name="20% - Accent4 2 2 2 3 6" xfId="9580" xr:uid="{22D33D13-D457-4382-A9C0-A6BC909163C6}"/>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24794" xr:uid="{020B177F-D60F-41B9-B780-CD3E10C0C5E2}"/>
    <cellStyle name="20% - Accent4 2 2 2 4 2 2 3" xfId="33228" xr:uid="{C55824CD-573B-496A-AD79-E0DAE321F672}"/>
    <cellStyle name="20% - Accent4 2 2 2 4 2 2 4" xfId="16356" xr:uid="{87A5CCE1-5562-4CB4-B628-6E0D46D45E8C}"/>
    <cellStyle name="20% - Accent4 2 2 2 4 2 3" xfId="20576" xr:uid="{24B92154-D8D1-4AEB-9D21-FF509564AAD2}"/>
    <cellStyle name="20% - Accent4 2 2 2 4 2 4" xfId="29011" xr:uid="{3240DDAB-0D86-4FAF-BF8D-A3EFC541C3A6}"/>
    <cellStyle name="20% - Accent4 2 2 2 4 2 5" xfId="12138" xr:uid="{A176882E-A3A2-4AE5-981E-91F0627334AC}"/>
    <cellStyle name="20% - Accent4 2 2 2 4 3" xfId="5772" xr:uid="{00000000-0005-0000-0000-0000F0010000}"/>
    <cellStyle name="20% - Accent4 2 2 2 4 3 2" xfId="22649" xr:uid="{B3D78314-99DC-4628-8D19-A0D19917A62F}"/>
    <cellStyle name="20% - Accent4 2 2 2 4 3 3" xfId="31083" xr:uid="{D0CAA82A-0ACD-4973-A645-47524D983A7C}"/>
    <cellStyle name="20% - Accent4 2 2 2 4 3 4" xfId="14211" xr:uid="{69B1AEEC-BEF5-47BA-B218-DF5F67EFD2AB}"/>
    <cellStyle name="20% - Accent4 2 2 2 4 4" xfId="18431" xr:uid="{3C424CEF-9854-460E-B488-82DA2D0AC5BC}"/>
    <cellStyle name="20% - Accent4 2 2 2 4 5" xfId="26866" xr:uid="{D8DC0472-BDE8-44E7-9918-04063AEBC611}"/>
    <cellStyle name="20% - Accent4 2 2 2 4 6" xfId="9993" xr:uid="{5BBE66EC-3977-43BE-ADB4-F06B6C4D2FB3}"/>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25207" xr:uid="{FBC78ECD-6516-4697-A979-805BD4E1B5AF}"/>
    <cellStyle name="20% - Accent4 2 2 2 5 2 2 3" xfId="33641" xr:uid="{E23D61F5-DADB-45C9-987A-FDD2B06FE9E1}"/>
    <cellStyle name="20% - Accent4 2 2 2 5 2 2 4" xfId="16769" xr:uid="{E186ECB7-D1DA-4456-A544-719AC792898F}"/>
    <cellStyle name="20% - Accent4 2 2 2 5 2 3" xfId="20989" xr:uid="{057ADCA2-092B-4EEB-AB32-7BEC8AB1DCDE}"/>
    <cellStyle name="20% - Accent4 2 2 2 5 2 4" xfId="29424" xr:uid="{7B9BCF39-AD5F-40B6-8831-D406820534AA}"/>
    <cellStyle name="20% - Accent4 2 2 2 5 2 5" xfId="12551" xr:uid="{C329C6CF-CA27-4E01-B51C-A1733284F4A5}"/>
    <cellStyle name="20% - Accent4 2 2 2 5 3" xfId="6185" xr:uid="{00000000-0005-0000-0000-0000F4010000}"/>
    <cellStyle name="20% - Accent4 2 2 2 5 3 2" xfId="23062" xr:uid="{6D317892-BB08-40AA-A8B6-074AB07212B3}"/>
    <cellStyle name="20% - Accent4 2 2 2 5 3 3" xfId="31496" xr:uid="{BD98C97C-0B03-435A-9518-2E764836C616}"/>
    <cellStyle name="20% - Accent4 2 2 2 5 3 4" xfId="14624" xr:uid="{4F0097D6-FBCF-41E7-87FD-EA795E397E14}"/>
    <cellStyle name="20% - Accent4 2 2 2 5 4" xfId="18844" xr:uid="{BF21AE17-9E57-47D2-B589-F84220401967}"/>
    <cellStyle name="20% - Accent4 2 2 2 5 5" xfId="27279" xr:uid="{D030478F-5307-4BAB-88D4-7A97B33313D2}"/>
    <cellStyle name="20% - Accent4 2 2 2 5 6" xfId="10406" xr:uid="{AD000127-3493-4313-AF42-D50E6608FBCD}"/>
    <cellStyle name="20% - Accent4 2 2 2 6" xfId="2291" xr:uid="{00000000-0005-0000-0000-0000F5010000}"/>
    <cellStyle name="20% - Accent4 2 2 2 6 2" xfId="6598" xr:uid="{00000000-0005-0000-0000-0000F6010000}"/>
    <cellStyle name="20% - Accent4 2 2 2 6 2 2" xfId="23475" xr:uid="{5D5B32EE-BE34-4A8D-A92B-2F3CC683E9B5}"/>
    <cellStyle name="20% - Accent4 2 2 2 6 2 3" xfId="31909" xr:uid="{0F8D0690-3DB1-4650-B50E-12411E0312AC}"/>
    <cellStyle name="20% - Accent4 2 2 2 6 2 4" xfId="15037" xr:uid="{FDBF5B67-1A79-4CC4-937C-39D1AFE37552}"/>
    <cellStyle name="20% - Accent4 2 2 2 6 3" xfId="19257" xr:uid="{76E0109A-1522-45BD-BC6C-EB006CE48E20}"/>
    <cellStyle name="20% - Accent4 2 2 2 6 4" xfId="27692" xr:uid="{81A6D971-12E4-434B-AABD-6863BB8ED37A}"/>
    <cellStyle name="20% - Accent4 2 2 2 6 5" xfId="10819" xr:uid="{48A47E60-02AC-4CBD-8DE0-200C30D5D903}"/>
    <cellStyle name="20% - Accent4 2 2 2 7" xfId="4532" xr:uid="{00000000-0005-0000-0000-0000F7010000}"/>
    <cellStyle name="20% - Accent4 2 2 2 7 2" xfId="21409" xr:uid="{CB12A0B2-4FC5-46C5-87B5-D503B898D096}"/>
    <cellStyle name="20% - Accent4 2 2 2 7 3" xfId="29843" xr:uid="{1C96181C-57BD-4B72-B0B5-686C85D10A08}"/>
    <cellStyle name="20% - Accent4 2 2 2 7 4" xfId="12971" xr:uid="{050B482B-85AD-4D94-A826-B40DB97138D6}"/>
    <cellStyle name="20% - Accent4 2 2 2 8" xfId="17191" xr:uid="{4D54B452-FF90-49D8-B643-D4C290BB954F}"/>
    <cellStyle name="20% - Accent4 2 2 2 9" xfId="25626" xr:uid="{CD4E609A-4607-4E71-A507-53749849D581}"/>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23967" xr:uid="{D572971B-C046-4329-9951-9F07E1FC94E6}"/>
    <cellStyle name="20% - Accent4 2 2 3 2 2 3" xfId="32401" xr:uid="{0792F297-DE9E-4978-B74A-594C87EE3B38}"/>
    <cellStyle name="20% - Accent4 2 2 3 2 2 4" xfId="15529" xr:uid="{BB30493C-93CC-4958-BEA6-2D7CB6E769D4}"/>
    <cellStyle name="20% - Accent4 2 2 3 2 3" xfId="19749" xr:uid="{4691FF9C-C24B-4335-8268-3ADA2724EBC9}"/>
    <cellStyle name="20% - Accent4 2 2 3 2 4" xfId="28184" xr:uid="{82EB9868-411F-4E87-94DF-55A8DAD7FA2D}"/>
    <cellStyle name="20% - Accent4 2 2 3 2 5" xfId="11311" xr:uid="{213A17F4-ED6A-44B6-8AD1-B8FF993CC960}"/>
    <cellStyle name="20% - Accent4 2 2 3 3" xfId="4945" xr:uid="{00000000-0005-0000-0000-0000FB010000}"/>
    <cellStyle name="20% - Accent4 2 2 3 3 2" xfId="21822" xr:uid="{CCBE47E5-2488-40F4-B6B5-9480584C7681}"/>
    <cellStyle name="20% - Accent4 2 2 3 3 3" xfId="30256" xr:uid="{22FE42CB-F0C4-49E4-A7CD-CB382F3C88F8}"/>
    <cellStyle name="20% - Accent4 2 2 3 3 4" xfId="13384" xr:uid="{A783F1C2-E9B7-4208-9A7C-62D70A0DADB2}"/>
    <cellStyle name="20% - Accent4 2 2 3 4" xfId="17604" xr:uid="{9498E374-CAEE-42C3-BBE2-BFCBB4D89EF1}"/>
    <cellStyle name="20% - Accent4 2 2 3 5" xfId="26039" xr:uid="{A6D635DA-6C0C-4A59-A7A7-D60E5B831AB3}"/>
    <cellStyle name="20% - Accent4 2 2 3 6" xfId="9166" xr:uid="{DF1F50BB-7277-42B1-A055-ED7334263886}"/>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24380" xr:uid="{0FAB7207-5844-4846-B536-090B4DD6E172}"/>
    <cellStyle name="20% - Accent4 2 2 4 2 2 3" xfId="32814" xr:uid="{FDCA12FF-9296-45C3-AFA1-CB9A20B5620C}"/>
    <cellStyle name="20% - Accent4 2 2 4 2 2 4" xfId="15942" xr:uid="{CB58B252-93A8-40F0-9F57-865F2D6381C8}"/>
    <cellStyle name="20% - Accent4 2 2 4 2 3" xfId="20162" xr:uid="{466D6FE0-B332-4704-9D2F-86F736C92962}"/>
    <cellStyle name="20% - Accent4 2 2 4 2 4" xfId="28597" xr:uid="{11BFC7D9-02F8-4D68-8604-877FAE225FAF}"/>
    <cellStyle name="20% - Accent4 2 2 4 2 5" xfId="11724" xr:uid="{062E1503-1EB1-4896-9D30-0CC077A13218}"/>
    <cellStyle name="20% - Accent4 2 2 4 3" xfId="5358" xr:uid="{00000000-0005-0000-0000-0000FF010000}"/>
    <cellStyle name="20% - Accent4 2 2 4 3 2" xfId="22235" xr:uid="{2CEFF37C-BDCD-4F8F-A01C-3BEBF172BFB1}"/>
    <cellStyle name="20% - Accent4 2 2 4 3 3" xfId="30669" xr:uid="{E2FBAC85-88DD-4CF2-909D-FDD94CCC4302}"/>
    <cellStyle name="20% - Accent4 2 2 4 3 4" xfId="13797" xr:uid="{8851F6B7-B3DB-4EAC-AE1B-BA7F50637B4B}"/>
    <cellStyle name="20% - Accent4 2 2 4 4" xfId="18017" xr:uid="{B7473E00-0403-4C1A-B143-27AB661275B7}"/>
    <cellStyle name="20% - Accent4 2 2 4 5" xfId="26452" xr:uid="{B30759B7-9CE7-4FBB-9FCC-20CFA9F56ACA}"/>
    <cellStyle name="20% - Accent4 2 2 4 6" xfId="9579" xr:uid="{E22C18AF-61F6-400D-9751-9135B64A36FD}"/>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24793" xr:uid="{3C4E28B1-4469-45DF-A6C6-D7B3A6C6E48C}"/>
    <cellStyle name="20% - Accent4 2 2 5 2 2 3" xfId="33227" xr:uid="{2D5CCCE4-AF0C-4BF6-AA5F-1AB39A616392}"/>
    <cellStyle name="20% - Accent4 2 2 5 2 2 4" xfId="16355" xr:uid="{447CFEA9-619E-4187-B5C3-AC281B4925C2}"/>
    <cellStyle name="20% - Accent4 2 2 5 2 3" xfId="20575" xr:uid="{FC1E8FCA-13D5-4C3D-B8C3-6107BDB62B49}"/>
    <cellStyle name="20% - Accent4 2 2 5 2 4" xfId="29010" xr:uid="{0F3326D1-FD91-4990-AC05-D820602BF2DC}"/>
    <cellStyle name="20% - Accent4 2 2 5 2 5" xfId="12137" xr:uid="{52802986-6524-49D3-A4DD-7908D90ABA8F}"/>
    <cellStyle name="20% - Accent4 2 2 5 3" xfId="5771" xr:uid="{00000000-0005-0000-0000-000003020000}"/>
    <cellStyle name="20% - Accent4 2 2 5 3 2" xfId="22648" xr:uid="{E6356D4A-8E56-4222-9BDE-C585F78AC885}"/>
    <cellStyle name="20% - Accent4 2 2 5 3 3" xfId="31082" xr:uid="{50CBE63C-A0A3-4BCA-A811-69F192D2463D}"/>
    <cellStyle name="20% - Accent4 2 2 5 3 4" xfId="14210" xr:uid="{EA4AE9CB-7A31-4755-89E5-385A0EAB7DA7}"/>
    <cellStyle name="20% - Accent4 2 2 5 4" xfId="18430" xr:uid="{A63AF0D1-088A-4899-8EB7-34F4C4FEA2F9}"/>
    <cellStyle name="20% - Accent4 2 2 5 5" xfId="26865" xr:uid="{46FB2063-4DB7-4C02-99D5-0B912F6E88C5}"/>
    <cellStyle name="20% - Accent4 2 2 5 6" xfId="9992" xr:uid="{97CD3341-A4DA-4666-A7CD-D8908242E3AE}"/>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25206" xr:uid="{422BA378-B642-42AD-9A3C-269EF17AAC68}"/>
    <cellStyle name="20% - Accent4 2 2 6 2 2 3" xfId="33640" xr:uid="{2327CF09-C269-4287-A5FD-239EA55878A9}"/>
    <cellStyle name="20% - Accent4 2 2 6 2 2 4" xfId="16768" xr:uid="{5AD0523C-E325-4E55-9405-6A70A191BB45}"/>
    <cellStyle name="20% - Accent4 2 2 6 2 3" xfId="20988" xr:uid="{67B8E6B3-19FB-4416-949A-A3E2948F7282}"/>
    <cellStyle name="20% - Accent4 2 2 6 2 4" xfId="29423" xr:uid="{9F5284E6-7706-4918-88FC-3F6CAF45AB44}"/>
    <cellStyle name="20% - Accent4 2 2 6 2 5" xfId="12550" xr:uid="{F6E5681F-0D6B-436A-8194-472C5953ABB7}"/>
    <cellStyle name="20% - Accent4 2 2 6 3" xfId="6184" xr:uid="{00000000-0005-0000-0000-000007020000}"/>
    <cellStyle name="20% - Accent4 2 2 6 3 2" xfId="23061" xr:uid="{DEC75DAE-F16D-4AE6-BBDF-6866C75A3222}"/>
    <cellStyle name="20% - Accent4 2 2 6 3 3" xfId="31495" xr:uid="{C24A0980-3AA2-43E4-9CB1-4998C0612DEE}"/>
    <cellStyle name="20% - Accent4 2 2 6 3 4" xfId="14623" xr:uid="{8B26C363-ADD6-4915-BC10-0D8925A5DC26}"/>
    <cellStyle name="20% - Accent4 2 2 6 4" xfId="18843" xr:uid="{86A2A28C-8C9F-4E30-A9B5-7C9335E5E07D}"/>
    <cellStyle name="20% - Accent4 2 2 6 5" xfId="27278" xr:uid="{B18F1DF6-B5E9-4A08-977C-72E63FA7E344}"/>
    <cellStyle name="20% - Accent4 2 2 6 6" xfId="10405" xr:uid="{6D4517C9-0D82-48F3-BD8F-E5158D52468F}"/>
    <cellStyle name="20% - Accent4 2 2 7" xfId="2290" xr:uid="{00000000-0005-0000-0000-000008020000}"/>
    <cellStyle name="20% - Accent4 2 2 7 2" xfId="6597" xr:uid="{00000000-0005-0000-0000-000009020000}"/>
    <cellStyle name="20% - Accent4 2 2 7 2 2" xfId="23474" xr:uid="{91875B2C-DF46-42FA-BB82-2304868FF662}"/>
    <cellStyle name="20% - Accent4 2 2 7 2 3" xfId="31908" xr:uid="{672EEBB3-2605-4F5E-819D-384E5CC3349D}"/>
    <cellStyle name="20% - Accent4 2 2 7 2 4" xfId="15036" xr:uid="{53D4F5C4-CC11-44DB-A5B6-E109853597F9}"/>
    <cellStyle name="20% - Accent4 2 2 7 3" xfId="19256" xr:uid="{BA68A02B-B942-40EF-9432-1E801914839F}"/>
    <cellStyle name="20% - Accent4 2 2 7 4" xfId="27691" xr:uid="{AEF7DB74-83A6-4385-B5B8-87C4F94AEAA1}"/>
    <cellStyle name="20% - Accent4 2 2 7 5" xfId="10818" xr:uid="{8E8549AD-ED59-4CB4-B933-389017C5C210}"/>
    <cellStyle name="20% - Accent4 2 2 8" xfId="4531" xr:uid="{00000000-0005-0000-0000-00000A020000}"/>
    <cellStyle name="20% - Accent4 2 2 8 2" xfId="21408" xr:uid="{DD485BF7-A6D4-4AC4-A089-D526A3F5034A}"/>
    <cellStyle name="20% - Accent4 2 2 8 3" xfId="29842" xr:uid="{0E71E99D-5E03-439B-AFF8-84BBED0A904F}"/>
    <cellStyle name="20% - Accent4 2 2 8 4" xfId="12970" xr:uid="{63281223-CFE9-422C-BAB9-42C1DC5892B4}"/>
    <cellStyle name="20% - Accent4 2 2 9" xfId="17190" xr:uid="{C2E674E3-B4F4-454F-806F-113B15D68DE2}"/>
    <cellStyle name="20% - Accent4 2 3" xfId="29" xr:uid="{00000000-0005-0000-0000-00000B020000}"/>
    <cellStyle name="20% - Accent4 2 3 10" xfId="8754" xr:uid="{61889FF8-4BF9-4A4C-87F4-AB06478699D4}"/>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23969" xr:uid="{D9DA05F0-AE40-446A-BB43-41EE38C76AB1}"/>
    <cellStyle name="20% - Accent4 2 3 2 2 2 3" xfId="32403" xr:uid="{7847DBA8-7FAD-466B-8330-809E7CE53DD3}"/>
    <cellStyle name="20% - Accent4 2 3 2 2 2 4" xfId="15531" xr:uid="{10976A8F-0B45-42D3-937F-76150CA7F24E}"/>
    <cellStyle name="20% - Accent4 2 3 2 2 3" xfId="19751" xr:uid="{864FF74F-09F3-4DC7-944D-71EB02147E95}"/>
    <cellStyle name="20% - Accent4 2 3 2 2 4" xfId="28186" xr:uid="{7C6EBFC9-AEBF-43D3-A5F5-26A82D516DAE}"/>
    <cellStyle name="20% - Accent4 2 3 2 2 5" xfId="11313" xr:uid="{BD02313D-807E-4AD6-8169-5B0CB98F59CA}"/>
    <cellStyle name="20% - Accent4 2 3 2 3" xfId="4947" xr:uid="{00000000-0005-0000-0000-00000F020000}"/>
    <cellStyle name="20% - Accent4 2 3 2 3 2" xfId="21824" xr:uid="{009728C1-C309-418B-BD59-7311CFA11B52}"/>
    <cellStyle name="20% - Accent4 2 3 2 3 3" xfId="30258" xr:uid="{101A1038-DA23-4654-9AA6-DCF146C1862D}"/>
    <cellStyle name="20% - Accent4 2 3 2 3 4" xfId="13386" xr:uid="{51128559-6526-401B-A344-1582D1B77109}"/>
    <cellStyle name="20% - Accent4 2 3 2 4" xfId="17606" xr:uid="{F32B6D0D-C855-4F11-B7DB-F5D2BA9DFD66}"/>
    <cellStyle name="20% - Accent4 2 3 2 5" xfId="26041" xr:uid="{EA5E00C2-1055-4525-84EF-7834C3C84CF6}"/>
    <cellStyle name="20% - Accent4 2 3 2 6" xfId="9168" xr:uid="{A584CDF8-5C94-43F3-AFD0-7B1FB51138B3}"/>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24382" xr:uid="{F4AB0026-866C-4E82-A33A-6F57F275FC08}"/>
    <cellStyle name="20% - Accent4 2 3 3 2 2 3" xfId="32816" xr:uid="{9AA36BF9-A8BB-4BA8-87FC-AA54BA416461}"/>
    <cellStyle name="20% - Accent4 2 3 3 2 2 4" xfId="15944" xr:uid="{E422EB61-DD57-46A2-AFEE-188E1519F056}"/>
    <cellStyle name="20% - Accent4 2 3 3 2 3" xfId="20164" xr:uid="{BCAC892F-7CD5-4893-96BA-B460B76F61C8}"/>
    <cellStyle name="20% - Accent4 2 3 3 2 4" xfId="28599" xr:uid="{E0BFECA3-3490-4EC4-BEF6-5DEBF80D0B5E}"/>
    <cellStyle name="20% - Accent4 2 3 3 2 5" xfId="11726" xr:uid="{410B1F81-6355-429B-A4FA-D2A1F81D3735}"/>
    <cellStyle name="20% - Accent4 2 3 3 3" xfId="5360" xr:uid="{00000000-0005-0000-0000-000013020000}"/>
    <cellStyle name="20% - Accent4 2 3 3 3 2" xfId="22237" xr:uid="{154B6881-929C-45E8-A043-CF0AD1B05A62}"/>
    <cellStyle name="20% - Accent4 2 3 3 3 3" xfId="30671" xr:uid="{F239AF80-017F-443E-ADEF-F6327BE5AA35}"/>
    <cellStyle name="20% - Accent4 2 3 3 3 4" xfId="13799" xr:uid="{B15151A2-EAE7-49CD-92FA-29CBAA37F3D4}"/>
    <cellStyle name="20% - Accent4 2 3 3 4" xfId="18019" xr:uid="{DF6BBD92-F406-4564-A06D-86127AACF489}"/>
    <cellStyle name="20% - Accent4 2 3 3 5" xfId="26454" xr:uid="{6B2FE55C-1A6D-4AF0-9A47-BD8D2FCF0E37}"/>
    <cellStyle name="20% - Accent4 2 3 3 6" xfId="9581" xr:uid="{4D51280B-67A8-4210-8F29-BED779722BEB}"/>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24795" xr:uid="{62A05014-E9F3-4481-88F3-6A869111F539}"/>
    <cellStyle name="20% - Accent4 2 3 4 2 2 3" xfId="33229" xr:uid="{AFDB1DE8-E40F-4E40-BE93-7FA91F3B7E18}"/>
    <cellStyle name="20% - Accent4 2 3 4 2 2 4" xfId="16357" xr:uid="{9D27C87A-EF3D-4231-A2F7-AEEFCD8E0F09}"/>
    <cellStyle name="20% - Accent4 2 3 4 2 3" xfId="20577" xr:uid="{9F283C0A-9813-420E-8596-7FE907DB666D}"/>
    <cellStyle name="20% - Accent4 2 3 4 2 4" xfId="29012" xr:uid="{7C5D9A92-3F8C-451D-9DEA-9B63295E9878}"/>
    <cellStyle name="20% - Accent4 2 3 4 2 5" xfId="12139" xr:uid="{831F54BC-E44D-478A-8EE7-FFA3656DFEE5}"/>
    <cellStyle name="20% - Accent4 2 3 4 3" xfId="5773" xr:uid="{00000000-0005-0000-0000-000017020000}"/>
    <cellStyle name="20% - Accent4 2 3 4 3 2" xfId="22650" xr:uid="{7A8D260E-5306-4CE3-913B-0FEAC51150E3}"/>
    <cellStyle name="20% - Accent4 2 3 4 3 3" xfId="31084" xr:uid="{C3FD147B-A2FF-4080-855A-9CFD7FFB0984}"/>
    <cellStyle name="20% - Accent4 2 3 4 3 4" xfId="14212" xr:uid="{98F20590-8B9E-428B-B4C1-A3BEB1453B0C}"/>
    <cellStyle name="20% - Accent4 2 3 4 4" xfId="18432" xr:uid="{272F2DB0-0641-4FE0-BEBB-8F638CA79F0B}"/>
    <cellStyle name="20% - Accent4 2 3 4 5" xfId="26867" xr:uid="{28576CA6-F17A-4ACA-B343-E0351F3785CC}"/>
    <cellStyle name="20% - Accent4 2 3 4 6" xfId="9994" xr:uid="{55F99A91-FC22-4073-B8E8-3612780BC3AD}"/>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25208" xr:uid="{B7D6FBAE-A0FD-486D-A65F-A903B8567F2E}"/>
    <cellStyle name="20% - Accent4 2 3 5 2 2 3" xfId="33642" xr:uid="{11186C31-1699-4C55-B33F-1274BA6354AB}"/>
    <cellStyle name="20% - Accent4 2 3 5 2 2 4" xfId="16770" xr:uid="{3A857F0B-659F-43A2-98E0-C876F1C9332D}"/>
    <cellStyle name="20% - Accent4 2 3 5 2 3" xfId="20990" xr:uid="{E355BBC0-8A4E-4217-B71E-CAF279D2C1F0}"/>
    <cellStyle name="20% - Accent4 2 3 5 2 4" xfId="29425" xr:uid="{737DD723-0FCF-403F-B15C-9472A2D5BFE9}"/>
    <cellStyle name="20% - Accent4 2 3 5 2 5" xfId="12552" xr:uid="{6645B491-B082-4E83-83BB-73BFCE83F15D}"/>
    <cellStyle name="20% - Accent4 2 3 5 3" xfId="6186" xr:uid="{00000000-0005-0000-0000-00001B020000}"/>
    <cellStyle name="20% - Accent4 2 3 5 3 2" xfId="23063" xr:uid="{73A44F27-3054-472E-BAB2-FD37F614FF6A}"/>
    <cellStyle name="20% - Accent4 2 3 5 3 3" xfId="31497" xr:uid="{1F9EB64E-1859-4B21-B975-4B6D5B307294}"/>
    <cellStyle name="20% - Accent4 2 3 5 3 4" xfId="14625" xr:uid="{41E9546D-B305-4339-A6F7-DC41259CD61B}"/>
    <cellStyle name="20% - Accent4 2 3 5 4" xfId="18845" xr:uid="{2BF1073F-C50D-4874-ACAF-3556EE444667}"/>
    <cellStyle name="20% - Accent4 2 3 5 5" xfId="27280" xr:uid="{4D7B6E6D-1A90-494D-BBD3-B7F123FA3C51}"/>
    <cellStyle name="20% - Accent4 2 3 5 6" xfId="10407" xr:uid="{637EAD69-4609-410A-8EDE-E74643FA25B4}"/>
    <cellStyle name="20% - Accent4 2 3 6" xfId="2292" xr:uid="{00000000-0005-0000-0000-00001C020000}"/>
    <cellStyle name="20% - Accent4 2 3 6 2" xfId="6599" xr:uid="{00000000-0005-0000-0000-00001D020000}"/>
    <cellStyle name="20% - Accent4 2 3 6 2 2" xfId="23476" xr:uid="{47BABD42-37F2-43EB-8711-835574E680C1}"/>
    <cellStyle name="20% - Accent4 2 3 6 2 3" xfId="31910" xr:uid="{31290545-AC91-491F-BCD1-E11D3451BDF1}"/>
    <cellStyle name="20% - Accent4 2 3 6 2 4" xfId="15038" xr:uid="{F3E8D26C-01FB-4EDC-938F-02D93471AF11}"/>
    <cellStyle name="20% - Accent4 2 3 6 3" xfId="19258" xr:uid="{5EA39FC1-0F7C-40AA-A6CA-B67775B61F97}"/>
    <cellStyle name="20% - Accent4 2 3 6 4" xfId="27693" xr:uid="{E77FCB58-F82E-4143-AA9B-7A0C594627D5}"/>
    <cellStyle name="20% - Accent4 2 3 6 5" xfId="10820" xr:uid="{8A8FE0DD-9113-46E8-97A7-D3F571E2A147}"/>
    <cellStyle name="20% - Accent4 2 3 7" xfId="4533" xr:uid="{00000000-0005-0000-0000-00001E020000}"/>
    <cellStyle name="20% - Accent4 2 3 7 2" xfId="21410" xr:uid="{3BAB7087-4157-4301-9963-5884D7914C24}"/>
    <cellStyle name="20% - Accent4 2 3 7 3" xfId="29844" xr:uid="{1DE5F0AC-3F92-4618-824D-83E2730F814D}"/>
    <cellStyle name="20% - Accent4 2 3 7 4" xfId="12972" xr:uid="{38D9FDA2-BFC3-452E-8DF3-11D84BF0DC9A}"/>
    <cellStyle name="20% - Accent4 2 3 8" xfId="17192" xr:uid="{B61F4E13-C1C3-492C-999F-F9059C765BAD}"/>
    <cellStyle name="20% - Accent4 2 3 9" xfId="25627" xr:uid="{77B24F6A-16E6-4089-874D-37908A332FE6}"/>
    <cellStyle name="20% - Accent4 2 4" xfId="595" xr:uid="{00000000-0005-0000-0000-00001F020000}"/>
    <cellStyle name="20% - Accent4 2 4 2" xfId="2866" xr:uid="{00000000-0005-0000-0000-000020020000}"/>
    <cellStyle name="20% - Accent4 2 4 2 2" xfId="7089" xr:uid="{00000000-0005-0000-0000-000021020000}"/>
    <cellStyle name="20% - Accent4 2 4 2 2 2" xfId="23966" xr:uid="{282D2261-A8F6-4EBB-A317-6F83B4A6B501}"/>
    <cellStyle name="20% - Accent4 2 4 2 2 3" xfId="32400" xr:uid="{F7B61A1B-4F44-43E2-B604-AB2D1BFDD929}"/>
    <cellStyle name="20% - Accent4 2 4 2 2 4" xfId="15528" xr:uid="{96CE5181-0214-4284-A465-D0B9B4FB3129}"/>
    <cellStyle name="20% - Accent4 2 4 2 3" xfId="19748" xr:uid="{2EB61CAC-39F5-47C0-8F67-08F2C7BA0908}"/>
    <cellStyle name="20% - Accent4 2 4 2 4" xfId="28183" xr:uid="{0E119E2C-55F8-427F-867A-6006E66C3462}"/>
    <cellStyle name="20% - Accent4 2 4 2 5" xfId="11310" xr:uid="{18BBD320-3C49-408C-94F7-66577047A0D1}"/>
    <cellStyle name="20% - Accent4 2 4 3" xfId="4944" xr:uid="{00000000-0005-0000-0000-000022020000}"/>
    <cellStyle name="20% - Accent4 2 4 3 2" xfId="21821" xr:uid="{6C937BEF-6407-4E1E-B6F9-CF78695B09E8}"/>
    <cellStyle name="20% - Accent4 2 4 3 3" xfId="30255" xr:uid="{EE8EDEFF-0E69-48EA-9C5B-F23260CA9771}"/>
    <cellStyle name="20% - Accent4 2 4 3 4" xfId="13383" xr:uid="{B2BF896A-B40A-4F91-8C55-F7036F6B73DB}"/>
    <cellStyle name="20% - Accent4 2 4 4" xfId="17603" xr:uid="{B7503452-4AC1-4836-BB03-DB36048F1B3D}"/>
    <cellStyle name="20% - Accent4 2 4 5" xfId="26038" xr:uid="{7F95986D-CE40-4E16-B614-602F61C727FA}"/>
    <cellStyle name="20% - Accent4 2 4 6" xfId="9165" xr:uid="{EC139C2D-85CA-4634-8235-1F003EC014B2}"/>
    <cellStyle name="20% - Accent4 2 5" xfId="1048" xr:uid="{00000000-0005-0000-0000-000023020000}"/>
    <cellStyle name="20% - Accent4 2 5 2" xfId="3279" xr:uid="{00000000-0005-0000-0000-000024020000}"/>
    <cellStyle name="20% - Accent4 2 5 2 2" xfId="7502" xr:uid="{00000000-0005-0000-0000-000025020000}"/>
    <cellStyle name="20% - Accent4 2 5 2 2 2" xfId="24379" xr:uid="{0EA7BAF0-2075-474D-8407-E9685C2D1A16}"/>
    <cellStyle name="20% - Accent4 2 5 2 2 3" xfId="32813" xr:uid="{7910A4BC-ED39-4FBF-9599-815652D7D4AD}"/>
    <cellStyle name="20% - Accent4 2 5 2 2 4" xfId="15941" xr:uid="{8611EA8A-5305-4EE8-9DAB-A386D022EB83}"/>
    <cellStyle name="20% - Accent4 2 5 2 3" xfId="20161" xr:uid="{32E6C94E-03D2-46DA-A8B8-7E4D877931AB}"/>
    <cellStyle name="20% - Accent4 2 5 2 4" xfId="28596" xr:uid="{1BE282BD-4488-4273-BA7B-7C9E633EE5B5}"/>
    <cellStyle name="20% - Accent4 2 5 2 5" xfId="11723" xr:uid="{BCC58248-13AF-4089-A623-11BE89DA5822}"/>
    <cellStyle name="20% - Accent4 2 5 3" xfId="5357" xr:uid="{00000000-0005-0000-0000-000026020000}"/>
    <cellStyle name="20% - Accent4 2 5 3 2" xfId="22234" xr:uid="{176F8DCA-5C2E-4ECD-9368-AD5A0650FC9A}"/>
    <cellStyle name="20% - Accent4 2 5 3 3" xfId="30668" xr:uid="{B5D0699B-68FC-4FE6-804E-F05B7865664D}"/>
    <cellStyle name="20% - Accent4 2 5 3 4" xfId="13796" xr:uid="{423FFFCE-2B19-466C-B9CE-B147B679054B}"/>
    <cellStyle name="20% - Accent4 2 5 4" xfId="18016" xr:uid="{9640570C-FDB8-48FF-B7CF-D81C597AB2C2}"/>
    <cellStyle name="20% - Accent4 2 5 5" xfId="26451" xr:uid="{6F0E0810-87B3-457C-85CF-8F34D1EBC1BC}"/>
    <cellStyle name="20% - Accent4 2 5 6" xfId="9578" xr:uid="{9ED24C27-676F-4F0D-B8E1-4FC4AE96BC98}"/>
    <cellStyle name="20% - Accent4 2 6" xfId="1462" xr:uid="{00000000-0005-0000-0000-000027020000}"/>
    <cellStyle name="20% - Accent4 2 6 2" xfId="3692" xr:uid="{00000000-0005-0000-0000-000028020000}"/>
    <cellStyle name="20% - Accent4 2 6 2 2" xfId="7915" xr:uid="{00000000-0005-0000-0000-000029020000}"/>
    <cellStyle name="20% - Accent4 2 6 2 2 2" xfId="24792" xr:uid="{96CDE741-6856-4F97-A9EF-ACE65014AF8A}"/>
    <cellStyle name="20% - Accent4 2 6 2 2 3" xfId="33226" xr:uid="{46ACB8DC-2B08-4C42-803A-3E4E147646D2}"/>
    <cellStyle name="20% - Accent4 2 6 2 2 4" xfId="16354" xr:uid="{7B7C4D82-0EE2-4465-AE27-A87F168A7EE0}"/>
    <cellStyle name="20% - Accent4 2 6 2 3" xfId="20574" xr:uid="{0B46F0BC-338F-4D72-AEF3-9679CC4F3398}"/>
    <cellStyle name="20% - Accent4 2 6 2 4" xfId="29009" xr:uid="{AC6C49D5-17CD-4BE9-BAC6-CC93DBB25CBC}"/>
    <cellStyle name="20% - Accent4 2 6 2 5" xfId="12136" xr:uid="{7A49D5E2-C46D-47F1-AD22-373EBF095240}"/>
    <cellStyle name="20% - Accent4 2 6 3" xfId="5770" xr:uid="{00000000-0005-0000-0000-00002A020000}"/>
    <cellStyle name="20% - Accent4 2 6 3 2" xfId="22647" xr:uid="{29AEF839-9494-4E4A-9BEA-EEB36C33982D}"/>
    <cellStyle name="20% - Accent4 2 6 3 3" xfId="31081" xr:uid="{14535B2E-E8F6-4A50-9A8A-4B793547A60A}"/>
    <cellStyle name="20% - Accent4 2 6 3 4" xfId="14209" xr:uid="{CBB5D9CF-996F-4B52-9CCC-69A931446520}"/>
    <cellStyle name="20% - Accent4 2 6 4" xfId="18429" xr:uid="{E5B2DE87-64DE-4E07-8AC9-96FB3AB3EB53}"/>
    <cellStyle name="20% - Accent4 2 6 5" xfId="26864" xr:uid="{C35F1016-B18E-4B9F-8E94-1CAC5424AFD9}"/>
    <cellStyle name="20% - Accent4 2 6 6" xfId="9991" xr:uid="{1EA1B09E-D8ED-42BB-98EE-BBD320FFEEBC}"/>
    <cellStyle name="20% - Accent4 2 7" xfId="1876" xr:uid="{00000000-0005-0000-0000-00002B020000}"/>
    <cellStyle name="20% - Accent4 2 7 2" xfId="4105" xr:uid="{00000000-0005-0000-0000-00002C020000}"/>
    <cellStyle name="20% - Accent4 2 7 2 2" xfId="8328" xr:uid="{00000000-0005-0000-0000-00002D020000}"/>
    <cellStyle name="20% - Accent4 2 7 2 2 2" xfId="25205" xr:uid="{BD6B12B1-44D6-472F-AE3A-9D9394C5780A}"/>
    <cellStyle name="20% - Accent4 2 7 2 2 3" xfId="33639" xr:uid="{ABDCC498-EC23-417E-A7D1-D19B6F7D4BAA}"/>
    <cellStyle name="20% - Accent4 2 7 2 2 4" xfId="16767" xr:uid="{CA9AE9BD-34AE-407D-A054-A7D19AE0FE94}"/>
    <cellStyle name="20% - Accent4 2 7 2 3" xfId="20987" xr:uid="{857C3FDE-5BF8-4831-819E-5EB1A8EB2033}"/>
    <cellStyle name="20% - Accent4 2 7 2 4" xfId="29422" xr:uid="{E68DD07B-78AD-4A3A-A221-D2E472953AE1}"/>
    <cellStyle name="20% - Accent4 2 7 2 5" xfId="12549" xr:uid="{FF59F0B7-554C-431C-836E-AEDB96FEDD58}"/>
    <cellStyle name="20% - Accent4 2 7 3" xfId="6183" xr:uid="{00000000-0005-0000-0000-00002E020000}"/>
    <cellStyle name="20% - Accent4 2 7 3 2" xfId="23060" xr:uid="{A2328765-9E9E-4B65-A5BA-56E57B052F51}"/>
    <cellStyle name="20% - Accent4 2 7 3 3" xfId="31494" xr:uid="{64B9E380-D5F7-4F97-874C-746BAD7E7303}"/>
    <cellStyle name="20% - Accent4 2 7 3 4" xfId="14622" xr:uid="{835E916A-0810-4B26-8FB7-7A00B5B8D795}"/>
    <cellStyle name="20% - Accent4 2 7 4" xfId="18842" xr:uid="{6C60F1C6-1D5D-468B-8179-D06B99C6CEBC}"/>
    <cellStyle name="20% - Accent4 2 7 5" xfId="27277" xr:uid="{9752E7C0-FB5F-4EC1-9B8F-9EF0D3CD2F21}"/>
    <cellStyle name="20% - Accent4 2 7 6" xfId="10404" xr:uid="{40E9E382-51B4-4025-B006-EAE31AC143DB}"/>
    <cellStyle name="20% - Accent4 2 8" xfId="2289" xr:uid="{00000000-0005-0000-0000-00002F020000}"/>
    <cellStyle name="20% - Accent4 2 8 2" xfId="6596" xr:uid="{00000000-0005-0000-0000-000030020000}"/>
    <cellStyle name="20% - Accent4 2 8 2 2" xfId="23473" xr:uid="{6AA4D73B-AE67-4491-9AD7-DEAE4B3895E5}"/>
    <cellStyle name="20% - Accent4 2 8 2 3" xfId="31907" xr:uid="{4DB87C2C-EB23-47FE-938C-CDEA665D7750}"/>
    <cellStyle name="20% - Accent4 2 8 2 4" xfId="15035" xr:uid="{5FAF33B2-EB52-44CF-BBA8-27F8ECB14B19}"/>
    <cellStyle name="20% - Accent4 2 8 3" xfId="19255" xr:uid="{C048510F-7EEF-4C21-AC42-83F8027EAAD5}"/>
    <cellStyle name="20% - Accent4 2 8 4" xfId="27690" xr:uid="{7A03184D-A805-46A7-AAA6-1870A7307B76}"/>
    <cellStyle name="20% - Accent4 2 8 5" xfId="10817" xr:uid="{B2331E5F-6406-4B30-B90A-410D81324F5B}"/>
    <cellStyle name="20% - Accent4 2 9" xfId="4530" xr:uid="{00000000-0005-0000-0000-000031020000}"/>
    <cellStyle name="20% - Accent4 2 9 2" xfId="21407" xr:uid="{9BFFEED1-EEFE-41DE-B5D6-71F911454B9D}"/>
    <cellStyle name="20% - Accent4 2 9 3" xfId="29841" xr:uid="{B68C9CDA-26E7-4600-B8AC-9E7F2457BC6F}"/>
    <cellStyle name="20% - Accent4 2 9 4" xfId="12969" xr:uid="{6A926409-79B0-4212-A421-66928DEBB934}"/>
    <cellStyle name="20% - Accent4 3" xfId="30" xr:uid="{00000000-0005-0000-0000-000032020000}"/>
    <cellStyle name="20% - Accent4 3 10" xfId="25628" xr:uid="{E71489E0-7E5D-4F36-B1DB-F97C6FADA2A2}"/>
    <cellStyle name="20% - Accent4 3 11" xfId="8755" xr:uid="{E3A01FA8-BD6E-45A7-B82F-B4B6A1FB62EF}"/>
    <cellStyle name="20% - Accent4 3 2" xfId="31" xr:uid="{00000000-0005-0000-0000-000033020000}"/>
    <cellStyle name="20% - Accent4 3 2 10" xfId="8756" xr:uid="{7F78EE5B-797E-47CE-9CBD-E379DDA1A5B6}"/>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23971" xr:uid="{C5595B64-9F7B-4216-BEB3-77BD52C75D4A}"/>
    <cellStyle name="20% - Accent4 3 2 2 2 2 3" xfId="32405" xr:uid="{B19A039F-F22F-4163-99E3-04D00C0C19E4}"/>
    <cellStyle name="20% - Accent4 3 2 2 2 2 4" xfId="15533" xr:uid="{9261D504-5E76-4B3C-A0EE-73DBAB6149C7}"/>
    <cellStyle name="20% - Accent4 3 2 2 2 3" xfId="19753" xr:uid="{3A14147C-3CD3-4D1B-B53A-D9413CEF1335}"/>
    <cellStyle name="20% - Accent4 3 2 2 2 4" xfId="28188" xr:uid="{63D1D71C-D522-47D1-9F32-5D5369227493}"/>
    <cellStyle name="20% - Accent4 3 2 2 2 5" xfId="11315" xr:uid="{9232121F-3B4B-419D-86EC-87261F7EF5E0}"/>
    <cellStyle name="20% - Accent4 3 2 2 3" xfId="4949" xr:uid="{00000000-0005-0000-0000-000037020000}"/>
    <cellStyle name="20% - Accent4 3 2 2 3 2" xfId="21826" xr:uid="{D9D3C135-84E6-4E0D-AD18-E7D6D106A047}"/>
    <cellStyle name="20% - Accent4 3 2 2 3 3" xfId="30260" xr:uid="{71C4A828-91AE-4BCE-91DF-7903D55373FA}"/>
    <cellStyle name="20% - Accent4 3 2 2 3 4" xfId="13388" xr:uid="{F6CC28E5-090B-4410-A574-758D61D87477}"/>
    <cellStyle name="20% - Accent4 3 2 2 4" xfId="17608" xr:uid="{191D0CC9-70F6-41F0-8813-D8B2064F47F8}"/>
    <cellStyle name="20% - Accent4 3 2 2 5" xfId="26043" xr:uid="{5EFA346D-E1A1-4B5A-BD53-8005988DC5B4}"/>
    <cellStyle name="20% - Accent4 3 2 2 6" xfId="9170" xr:uid="{1308ECD2-D4C6-4483-BF32-0C367252E4E8}"/>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24384" xr:uid="{53A018C6-C89E-46F7-B88B-B83F6AA2CED7}"/>
    <cellStyle name="20% - Accent4 3 2 3 2 2 3" xfId="32818" xr:uid="{2636AE5D-6803-414E-AFF7-315FB10A34C4}"/>
    <cellStyle name="20% - Accent4 3 2 3 2 2 4" xfId="15946" xr:uid="{1094CE4D-570C-40FB-835A-C812A09FC574}"/>
    <cellStyle name="20% - Accent4 3 2 3 2 3" xfId="20166" xr:uid="{917DDF82-2EAE-4AC0-8D07-F11825CA5176}"/>
    <cellStyle name="20% - Accent4 3 2 3 2 4" xfId="28601" xr:uid="{FC605010-265F-4F78-AE1A-A7D48B0C6593}"/>
    <cellStyle name="20% - Accent4 3 2 3 2 5" xfId="11728" xr:uid="{6A2DC7C7-3B60-416A-A510-9672E3D79798}"/>
    <cellStyle name="20% - Accent4 3 2 3 3" xfId="5362" xr:uid="{00000000-0005-0000-0000-00003B020000}"/>
    <cellStyle name="20% - Accent4 3 2 3 3 2" xfId="22239" xr:uid="{F69FE4A6-8A59-41B1-A315-1B5B709494A6}"/>
    <cellStyle name="20% - Accent4 3 2 3 3 3" xfId="30673" xr:uid="{F9AE54A6-DDFE-466B-A405-E46244A32475}"/>
    <cellStyle name="20% - Accent4 3 2 3 3 4" xfId="13801" xr:uid="{3AE515BA-D4DE-4421-8952-93F018BD4B41}"/>
    <cellStyle name="20% - Accent4 3 2 3 4" xfId="18021" xr:uid="{B5BACA1F-0F4E-4974-9731-B5B5530AA972}"/>
    <cellStyle name="20% - Accent4 3 2 3 5" xfId="26456" xr:uid="{A63CA9CE-58BF-43B5-A463-3B10BD2B681A}"/>
    <cellStyle name="20% - Accent4 3 2 3 6" xfId="9583" xr:uid="{62B1F954-9BBE-4CD1-A517-2A9A1604E12C}"/>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24797" xr:uid="{DBB4E0B7-8131-4302-8AFC-6A519A9E54AA}"/>
    <cellStyle name="20% - Accent4 3 2 4 2 2 3" xfId="33231" xr:uid="{65C79D25-E751-4D53-84E9-1772EC05C448}"/>
    <cellStyle name="20% - Accent4 3 2 4 2 2 4" xfId="16359" xr:uid="{B92B9A0A-56C5-46A0-BB03-166FCB1DA9AA}"/>
    <cellStyle name="20% - Accent4 3 2 4 2 3" xfId="20579" xr:uid="{E38D5FCE-0F32-4183-804F-BEAD17CEA345}"/>
    <cellStyle name="20% - Accent4 3 2 4 2 4" xfId="29014" xr:uid="{3D8D0367-57D3-4ED1-B01B-53543E067556}"/>
    <cellStyle name="20% - Accent4 3 2 4 2 5" xfId="12141" xr:uid="{F6239463-F2D5-44EC-BC1D-9FB1A218D7D1}"/>
    <cellStyle name="20% - Accent4 3 2 4 3" xfId="5775" xr:uid="{00000000-0005-0000-0000-00003F020000}"/>
    <cellStyle name="20% - Accent4 3 2 4 3 2" xfId="22652" xr:uid="{806CA7C0-4CAB-483F-B0FA-2E4E01DD6E05}"/>
    <cellStyle name="20% - Accent4 3 2 4 3 3" xfId="31086" xr:uid="{459DE548-4846-4166-B8FF-3B618219DC89}"/>
    <cellStyle name="20% - Accent4 3 2 4 3 4" xfId="14214" xr:uid="{F5704FEC-FD48-4CEA-9F61-EDFF11306124}"/>
    <cellStyle name="20% - Accent4 3 2 4 4" xfId="18434" xr:uid="{45DE4C31-FFAA-479A-9D1C-20A35D6C7269}"/>
    <cellStyle name="20% - Accent4 3 2 4 5" xfId="26869" xr:uid="{2FD16265-C771-41F2-A461-BBE94FB185B7}"/>
    <cellStyle name="20% - Accent4 3 2 4 6" xfId="9996" xr:uid="{90B42897-2BC7-4433-B1DE-2A2EC3BE0809}"/>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25210" xr:uid="{8A306EC8-BD89-4728-8ECB-7D5CE8ED974E}"/>
    <cellStyle name="20% - Accent4 3 2 5 2 2 3" xfId="33644" xr:uid="{CE2C2903-4EFE-43EB-8013-901B7E85D3E6}"/>
    <cellStyle name="20% - Accent4 3 2 5 2 2 4" xfId="16772" xr:uid="{FBE3E384-772F-43BD-A70C-181BB6B8A806}"/>
    <cellStyle name="20% - Accent4 3 2 5 2 3" xfId="20992" xr:uid="{387C8510-F0CA-4FA4-BFAB-01A7220CB47A}"/>
    <cellStyle name="20% - Accent4 3 2 5 2 4" xfId="29427" xr:uid="{569B9C3F-18F5-4271-A164-FF623753E498}"/>
    <cellStyle name="20% - Accent4 3 2 5 2 5" xfId="12554" xr:uid="{9B56CBF0-A144-4C8E-A222-2E7821EE7DE9}"/>
    <cellStyle name="20% - Accent4 3 2 5 3" xfId="6188" xr:uid="{00000000-0005-0000-0000-000043020000}"/>
    <cellStyle name="20% - Accent4 3 2 5 3 2" xfId="23065" xr:uid="{92822E96-46CD-4523-A0F8-4FF685F9F2CA}"/>
    <cellStyle name="20% - Accent4 3 2 5 3 3" xfId="31499" xr:uid="{AA9B4715-F119-4D29-86CA-2AAD6821FA95}"/>
    <cellStyle name="20% - Accent4 3 2 5 3 4" xfId="14627" xr:uid="{CC0F9D5C-B982-4191-BC3C-9C6144D6F13D}"/>
    <cellStyle name="20% - Accent4 3 2 5 4" xfId="18847" xr:uid="{DDED704D-BE03-46A3-824E-48F893BBE1A3}"/>
    <cellStyle name="20% - Accent4 3 2 5 5" xfId="27282" xr:uid="{235D1F9B-4A9D-411D-9BD1-C8C8557AC603}"/>
    <cellStyle name="20% - Accent4 3 2 5 6" xfId="10409" xr:uid="{958BC57F-A7FA-44EB-B61E-20110BE1A985}"/>
    <cellStyle name="20% - Accent4 3 2 6" xfId="2294" xr:uid="{00000000-0005-0000-0000-000044020000}"/>
    <cellStyle name="20% - Accent4 3 2 6 2" xfId="6601" xr:uid="{00000000-0005-0000-0000-000045020000}"/>
    <cellStyle name="20% - Accent4 3 2 6 2 2" xfId="23478" xr:uid="{1F353D2D-6FDA-4B70-9501-7D0FD7298725}"/>
    <cellStyle name="20% - Accent4 3 2 6 2 3" xfId="31912" xr:uid="{459B9A6A-495A-485B-AF5E-7B00B5F05FF8}"/>
    <cellStyle name="20% - Accent4 3 2 6 2 4" xfId="15040" xr:uid="{66375829-E2A9-4A76-80D9-77B9D82011D3}"/>
    <cellStyle name="20% - Accent4 3 2 6 3" xfId="19260" xr:uid="{BEBB3396-1379-4A7F-84DF-059856D33DC3}"/>
    <cellStyle name="20% - Accent4 3 2 6 4" xfId="27695" xr:uid="{D0ECA372-1416-492A-AD18-009AE4EED49B}"/>
    <cellStyle name="20% - Accent4 3 2 6 5" xfId="10822" xr:uid="{EC5EABE3-5243-463A-ABDC-D77FC1F9EBFB}"/>
    <cellStyle name="20% - Accent4 3 2 7" xfId="4535" xr:uid="{00000000-0005-0000-0000-000046020000}"/>
    <cellStyle name="20% - Accent4 3 2 7 2" xfId="21412" xr:uid="{732B3B37-CCED-4B75-9A98-BE7643CA0E67}"/>
    <cellStyle name="20% - Accent4 3 2 7 3" xfId="29846" xr:uid="{909E637E-875C-422E-B065-433983F34FB0}"/>
    <cellStyle name="20% - Accent4 3 2 7 4" xfId="12974" xr:uid="{32F37AC6-462E-4606-96D4-49486810FCC0}"/>
    <cellStyle name="20% - Accent4 3 2 8" xfId="17194" xr:uid="{327D65DE-51C1-4C99-9D66-1C3E7F948AB2}"/>
    <cellStyle name="20% - Accent4 3 2 9" xfId="25629" xr:uid="{E2C13729-B447-47F2-AAFD-C44478F97467}"/>
    <cellStyle name="20% - Accent4 3 3" xfId="599" xr:uid="{00000000-0005-0000-0000-000047020000}"/>
    <cellStyle name="20% - Accent4 3 3 2" xfId="2870" xr:uid="{00000000-0005-0000-0000-000048020000}"/>
    <cellStyle name="20% - Accent4 3 3 2 2" xfId="7093" xr:uid="{00000000-0005-0000-0000-000049020000}"/>
    <cellStyle name="20% - Accent4 3 3 2 2 2" xfId="23970" xr:uid="{7E282151-752F-4580-BF5B-B32980A93A39}"/>
    <cellStyle name="20% - Accent4 3 3 2 2 3" xfId="32404" xr:uid="{BD3C90AF-800E-4C71-94F9-88B3CEC605F0}"/>
    <cellStyle name="20% - Accent4 3 3 2 2 4" xfId="15532" xr:uid="{0939EE7E-4304-4B1A-B275-B1E79E49381B}"/>
    <cellStyle name="20% - Accent4 3 3 2 3" xfId="19752" xr:uid="{35DAAE50-C23D-4271-8FA2-FF0338A7904A}"/>
    <cellStyle name="20% - Accent4 3 3 2 4" xfId="28187" xr:uid="{E058BD98-4F84-493C-8948-B36D7A333850}"/>
    <cellStyle name="20% - Accent4 3 3 2 5" xfId="11314" xr:uid="{193324D0-D426-4159-A9E6-60CF71493485}"/>
    <cellStyle name="20% - Accent4 3 3 3" xfId="4948" xr:uid="{00000000-0005-0000-0000-00004A020000}"/>
    <cellStyle name="20% - Accent4 3 3 3 2" xfId="21825" xr:uid="{6D85FCEA-5438-4D4F-9EDB-7E727A37531E}"/>
    <cellStyle name="20% - Accent4 3 3 3 3" xfId="30259" xr:uid="{66803AA7-3281-4E39-AD8D-B9C16A86FC21}"/>
    <cellStyle name="20% - Accent4 3 3 3 4" xfId="13387" xr:uid="{06A127A8-F9F6-4C55-A764-B04CD55353AB}"/>
    <cellStyle name="20% - Accent4 3 3 4" xfId="17607" xr:uid="{0D48C502-B39F-4FE8-8604-1A03B7BC39EB}"/>
    <cellStyle name="20% - Accent4 3 3 5" xfId="26042" xr:uid="{AE4EB66F-8DE6-4430-8787-D0492B671472}"/>
    <cellStyle name="20% - Accent4 3 3 6" xfId="9169" xr:uid="{CAAD4B4A-735A-41B7-AF91-F3505ECAC320}"/>
    <cellStyle name="20% - Accent4 3 4" xfId="1052" xr:uid="{00000000-0005-0000-0000-00004B020000}"/>
    <cellStyle name="20% - Accent4 3 4 2" xfId="3283" xr:uid="{00000000-0005-0000-0000-00004C020000}"/>
    <cellStyle name="20% - Accent4 3 4 2 2" xfId="7506" xr:uid="{00000000-0005-0000-0000-00004D020000}"/>
    <cellStyle name="20% - Accent4 3 4 2 2 2" xfId="24383" xr:uid="{23EF42A0-AEA6-447E-8D2E-5B52DE26F1C9}"/>
    <cellStyle name="20% - Accent4 3 4 2 2 3" xfId="32817" xr:uid="{D0D78D1A-A235-49E9-9B47-2AFF8960E020}"/>
    <cellStyle name="20% - Accent4 3 4 2 2 4" xfId="15945" xr:uid="{BBBBFC91-12A4-47EF-9793-6C7753F400DD}"/>
    <cellStyle name="20% - Accent4 3 4 2 3" xfId="20165" xr:uid="{4FC8B5A6-983A-43B1-8A22-B1ED93905A5B}"/>
    <cellStyle name="20% - Accent4 3 4 2 4" xfId="28600" xr:uid="{DF858D8B-CDE1-4246-A6AA-DCC58374BF8E}"/>
    <cellStyle name="20% - Accent4 3 4 2 5" xfId="11727" xr:uid="{A544CD05-50F0-4BBC-840C-E7821DB82F61}"/>
    <cellStyle name="20% - Accent4 3 4 3" xfId="5361" xr:uid="{00000000-0005-0000-0000-00004E020000}"/>
    <cellStyle name="20% - Accent4 3 4 3 2" xfId="22238" xr:uid="{2FA620BF-812C-46BA-9AAE-7B18956A6FEC}"/>
    <cellStyle name="20% - Accent4 3 4 3 3" xfId="30672" xr:uid="{03905A56-1249-41D4-B033-CD5401C7201C}"/>
    <cellStyle name="20% - Accent4 3 4 3 4" xfId="13800" xr:uid="{738D20E0-C33D-488D-9C09-864A9455F014}"/>
    <cellStyle name="20% - Accent4 3 4 4" xfId="18020" xr:uid="{4486ACD6-DCE8-4C06-B050-D518A377BE9D}"/>
    <cellStyle name="20% - Accent4 3 4 5" xfId="26455" xr:uid="{6C2343B0-E899-4D96-9BD7-E3A8375C6B38}"/>
    <cellStyle name="20% - Accent4 3 4 6" xfId="9582" xr:uid="{2390F0C2-5398-44FD-9EED-A3694E35DAC8}"/>
    <cellStyle name="20% - Accent4 3 5" xfId="1466" xr:uid="{00000000-0005-0000-0000-00004F020000}"/>
    <cellStyle name="20% - Accent4 3 5 2" xfId="3696" xr:uid="{00000000-0005-0000-0000-000050020000}"/>
    <cellStyle name="20% - Accent4 3 5 2 2" xfId="7919" xr:uid="{00000000-0005-0000-0000-000051020000}"/>
    <cellStyle name="20% - Accent4 3 5 2 2 2" xfId="24796" xr:uid="{75DD2CC8-8268-49E8-89AE-4E2879DE9EFF}"/>
    <cellStyle name="20% - Accent4 3 5 2 2 3" xfId="33230" xr:uid="{79068FA9-AF08-4036-8CED-22C465B72F38}"/>
    <cellStyle name="20% - Accent4 3 5 2 2 4" xfId="16358" xr:uid="{FDA1FFDF-A1DA-4683-B440-C25EFF545B69}"/>
    <cellStyle name="20% - Accent4 3 5 2 3" xfId="20578" xr:uid="{1F7B3164-9B16-4C22-B469-1C440FF999B6}"/>
    <cellStyle name="20% - Accent4 3 5 2 4" xfId="29013" xr:uid="{7792D141-A58A-4BAA-A2A4-5B063E0C79E0}"/>
    <cellStyle name="20% - Accent4 3 5 2 5" xfId="12140" xr:uid="{FF2C90AF-6698-4336-B683-72072AF4BDDB}"/>
    <cellStyle name="20% - Accent4 3 5 3" xfId="5774" xr:uid="{00000000-0005-0000-0000-000052020000}"/>
    <cellStyle name="20% - Accent4 3 5 3 2" xfId="22651" xr:uid="{5F4D2A09-94C9-4F99-93E2-9856BAFBE4A1}"/>
    <cellStyle name="20% - Accent4 3 5 3 3" xfId="31085" xr:uid="{71A7D46F-AFBF-4D46-BD7B-FD4F476F5D9A}"/>
    <cellStyle name="20% - Accent4 3 5 3 4" xfId="14213" xr:uid="{562631C2-39C0-483D-A6EE-BAC34ACCE696}"/>
    <cellStyle name="20% - Accent4 3 5 4" xfId="18433" xr:uid="{321DA4C7-A334-4FAA-AAE1-568F5D147941}"/>
    <cellStyle name="20% - Accent4 3 5 5" xfId="26868" xr:uid="{6111C73A-093E-46F3-A26C-BE4AC268CCF1}"/>
    <cellStyle name="20% - Accent4 3 5 6" xfId="9995" xr:uid="{8DF4D615-49E0-4E89-B89D-7811AC48B5C7}"/>
    <cellStyle name="20% - Accent4 3 6" xfId="1880" xr:uid="{00000000-0005-0000-0000-000053020000}"/>
    <cellStyle name="20% - Accent4 3 6 2" xfId="4109" xr:uid="{00000000-0005-0000-0000-000054020000}"/>
    <cellStyle name="20% - Accent4 3 6 2 2" xfId="8332" xr:uid="{00000000-0005-0000-0000-000055020000}"/>
    <cellStyle name="20% - Accent4 3 6 2 2 2" xfId="25209" xr:uid="{A76554D8-9BF8-4AB2-A519-44262983100A}"/>
    <cellStyle name="20% - Accent4 3 6 2 2 3" xfId="33643" xr:uid="{F52664BE-1243-4B9C-8737-CDCB7AB9A52D}"/>
    <cellStyle name="20% - Accent4 3 6 2 2 4" xfId="16771" xr:uid="{0854253C-C55F-4F8D-93D8-C89FF44850A1}"/>
    <cellStyle name="20% - Accent4 3 6 2 3" xfId="20991" xr:uid="{5686063C-B6B2-4E1D-B793-786F998FEC1F}"/>
    <cellStyle name="20% - Accent4 3 6 2 4" xfId="29426" xr:uid="{D33188D0-A7F7-4711-8260-63EC4ABCD33A}"/>
    <cellStyle name="20% - Accent4 3 6 2 5" xfId="12553" xr:uid="{6B0A84CE-67E6-4256-9DC7-7E9C7C5C34CE}"/>
    <cellStyle name="20% - Accent4 3 6 3" xfId="6187" xr:uid="{00000000-0005-0000-0000-000056020000}"/>
    <cellStyle name="20% - Accent4 3 6 3 2" xfId="23064" xr:uid="{4EF05C40-27AD-4C01-B119-1F36850C363B}"/>
    <cellStyle name="20% - Accent4 3 6 3 3" xfId="31498" xr:uid="{B0F56427-EB78-48A1-96D4-3A220C1D6457}"/>
    <cellStyle name="20% - Accent4 3 6 3 4" xfId="14626" xr:uid="{F54190B8-9744-4DC6-89C3-AE8F728A150D}"/>
    <cellStyle name="20% - Accent4 3 6 4" xfId="18846" xr:uid="{A25AC54F-679C-4F98-8EDA-F4191FD322B5}"/>
    <cellStyle name="20% - Accent4 3 6 5" xfId="27281" xr:uid="{64656D6F-51E7-44BA-998D-E1469C522064}"/>
    <cellStyle name="20% - Accent4 3 6 6" xfId="10408" xr:uid="{F33D23C2-C2AA-4710-BE39-73A7CB6298BD}"/>
    <cellStyle name="20% - Accent4 3 7" xfId="2293" xr:uid="{00000000-0005-0000-0000-000057020000}"/>
    <cellStyle name="20% - Accent4 3 7 2" xfId="6600" xr:uid="{00000000-0005-0000-0000-000058020000}"/>
    <cellStyle name="20% - Accent4 3 7 2 2" xfId="23477" xr:uid="{212442AB-E78E-4FC2-9792-C4303C81C700}"/>
    <cellStyle name="20% - Accent4 3 7 2 3" xfId="31911" xr:uid="{D768CED8-D9B7-41FD-B9EC-F8C233B8CE87}"/>
    <cellStyle name="20% - Accent4 3 7 2 4" xfId="15039" xr:uid="{57BF5219-002E-449F-AB78-93DC06754C07}"/>
    <cellStyle name="20% - Accent4 3 7 3" xfId="19259" xr:uid="{70B9CAF5-93D9-4431-96B9-1218025851A9}"/>
    <cellStyle name="20% - Accent4 3 7 4" xfId="27694" xr:uid="{95A24BBE-F7F2-40E5-BD88-1C4F748150C2}"/>
    <cellStyle name="20% - Accent4 3 7 5" xfId="10821" xr:uid="{1190D305-F532-4977-B697-13B83BE63868}"/>
    <cellStyle name="20% - Accent4 3 8" xfId="4534" xr:uid="{00000000-0005-0000-0000-000059020000}"/>
    <cellStyle name="20% - Accent4 3 8 2" xfId="21411" xr:uid="{526A1AEC-6613-4659-AE48-6286B2ED6883}"/>
    <cellStyle name="20% - Accent4 3 8 3" xfId="29845" xr:uid="{D2A1068E-3687-4836-AF4C-6C4A35CFA51F}"/>
    <cellStyle name="20% - Accent4 3 8 4" xfId="12973" xr:uid="{DA277EFE-F7F1-4901-A09D-D7F153CDB025}"/>
    <cellStyle name="20% - Accent4 3 9" xfId="17193" xr:uid="{9B66EEE1-268A-4CEE-A1C0-AAF6975D3ED6}"/>
    <cellStyle name="20% - Accent4 4" xfId="32" xr:uid="{00000000-0005-0000-0000-00005A020000}"/>
    <cellStyle name="20% - Accent4 4 10" xfId="8757" xr:uid="{862EA648-E1FE-4811-B0E1-B2A7603220CA}"/>
    <cellStyle name="20% - Accent4 4 2" xfId="601" xr:uid="{00000000-0005-0000-0000-00005B020000}"/>
    <cellStyle name="20% - Accent4 4 2 2" xfId="2872" xr:uid="{00000000-0005-0000-0000-00005C020000}"/>
    <cellStyle name="20% - Accent4 4 2 2 2" xfId="7095" xr:uid="{00000000-0005-0000-0000-00005D020000}"/>
    <cellStyle name="20% - Accent4 4 2 2 2 2" xfId="23972" xr:uid="{973DF9BB-1059-41C4-9281-D9E1278CEB79}"/>
    <cellStyle name="20% - Accent4 4 2 2 2 3" xfId="32406" xr:uid="{D27EE473-43E3-4229-8F09-2292D7ABA572}"/>
    <cellStyle name="20% - Accent4 4 2 2 2 4" xfId="15534" xr:uid="{5AFB1128-A74D-4843-AC97-3CC37A00741E}"/>
    <cellStyle name="20% - Accent4 4 2 2 3" xfId="19754" xr:uid="{660F943D-C93B-436D-A98D-7F8E38631495}"/>
    <cellStyle name="20% - Accent4 4 2 2 4" xfId="28189" xr:uid="{9C4EEE49-9B2B-44AD-9C74-ACE4B8922F47}"/>
    <cellStyle name="20% - Accent4 4 2 2 5" xfId="11316" xr:uid="{2BDB49E1-3373-4CAD-A22D-F20F487F2925}"/>
    <cellStyle name="20% - Accent4 4 2 3" xfId="4950" xr:uid="{00000000-0005-0000-0000-00005E020000}"/>
    <cellStyle name="20% - Accent4 4 2 3 2" xfId="21827" xr:uid="{17DFC950-2F5C-4F10-B3BA-B409B4A6115B}"/>
    <cellStyle name="20% - Accent4 4 2 3 3" xfId="30261" xr:uid="{AEC83C6F-4E9D-483A-A24D-B00A6A39566D}"/>
    <cellStyle name="20% - Accent4 4 2 3 4" xfId="13389" xr:uid="{1EE89810-3163-465E-AC2E-7D92B0461BF3}"/>
    <cellStyle name="20% - Accent4 4 2 4" xfId="17609" xr:uid="{24A3D6F8-54CB-44AB-855B-528353506457}"/>
    <cellStyle name="20% - Accent4 4 2 5" xfId="26044" xr:uid="{8497B6BD-FB6F-45BA-9FD5-5E09B351898B}"/>
    <cellStyle name="20% - Accent4 4 2 6" xfId="9171" xr:uid="{4FF2C40D-847D-44E9-9854-9D8DAE6705C5}"/>
    <cellStyle name="20% - Accent4 4 3" xfId="1054" xr:uid="{00000000-0005-0000-0000-00005F020000}"/>
    <cellStyle name="20% - Accent4 4 3 2" xfId="3285" xr:uid="{00000000-0005-0000-0000-000060020000}"/>
    <cellStyle name="20% - Accent4 4 3 2 2" xfId="7508" xr:uid="{00000000-0005-0000-0000-000061020000}"/>
    <cellStyle name="20% - Accent4 4 3 2 2 2" xfId="24385" xr:uid="{81B3A7F9-9F6A-4CEF-B4B0-E69C3A5F114D}"/>
    <cellStyle name="20% - Accent4 4 3 2 2 3" xfId="32819" xr:uid="{947E9F47-8551-493D-895A-DD260DCB5264}"/>
    <cellStyle name="20% - Accent4 4 3 2 2 4" xfId="15947" xr:uid="{3CE0DC36-F8D8-46DE-A3CB-36D9B539E783}"/>
    <cellStyle name="20% - Accent4 4 3 2 3" xfId="20167" xr:uid="{8A74F987-54C6-4D86-83DB-2D807B68001E}"/>
    <cellStyle name="20% - Accent4 4 3 2 4" xfId="28602" xr:uid="{40C5FAB0-6190-4B8E-AC41-9CEA93781ED2}"/>
    <cellStyle name="20% - Accent4 4 3 2 5" xfId="11729" xr:uid="{B7FE66CF-7F24-48F0-A621-6C41D2D795D7}"/>
    <cellStyle name="20% - Accent4 4 3 3" xfId="5363" xr:uid="{00000000-0005-0000-0000-000062020000}"/>
    <cellStyle name="20% - Accent4 4 3 3 2" xfId="22240" xr:uid="{FF5837CF-A223-4F9E-ABD8-CFE8E77F01DA}"/>
    <cellStyle name="20% - Accent4 4 3 3 3" xfId="30674" xr:uid="{39BA2AB2-9A53-430C-9ADB-94DC985482F0}"/>
    <cellStyle name="20% - Accent4 4 3 3 4" xfId="13802" xr:uid="{DDB5953E-9DB9-426A-863F-5CED8559ABFA}"/>
    <cellStyle name="20% - Accent4 4 3 4" xfId="18022" xr:uid="{8E77F8F1-B8EC-4F44-8FBD-7FBA472AD12C}"/>
    <cellStyle name="20% - Accent4 4 3 5" xfId="26457" xr:uid="{C3A6C9C4-5F0B-45B2-A51B-45D75F637487}"/>
    <cellStyle name="20% - Accent4 4 3 6" xfId="9584" xr:uid="{E222102D-F2B8-4816-B5BF-9D94D44E17BC}"/>
    <cellStyle name="20% - Accent4 4 4" xfId="1468" xr:uid="{00000000-0005-0000-0000-000063020000}"/>
    <cellStyle name="20% - Accent4 4 4 2" xfId="3698" xr:uid="{00000000-0005-0000-0000-000064020000}"/>
    <cellStyle name="20% - Accent4 4 4 2 2" xfId="7921" xr:uid="{00000000-0005-0000-0000-000065020000}"/>
    <cellStyle name="20% - Accent4 4 4 2 2 2" xfId="24798" xr:uid="{495507E1-F5BF-4B8D-8960-83144C446FC8}"/>
    <cellStyle name="20% - Accent4 4 4 2 2 3" xfId="33232" xr:uid="{5C08D41A-B7C1-4C14-BB18-3092CD51D23E}"/>
    <cellStyle name="20% - Accent4 4 4 2 2 4" xfId="16360" xr:uid="{01405928-84A8-4671-B85B-57D77635A1BC}"/>
    <cellStyle name="20% - Accent4 4 4 2 3" xfId="20580" xr:uid="{29270EC0-78D0-43E0-8386-194995D2F3B3}"/>
    <cellStyle name="20% - Accent4 4 4 2 4" xfId="29015" xr:uid="{D363765E-40C1-4912-8447-E153C6C52EF5}"/>
    <cellStyle name="20% - Accent4 4 4 2 5" xfId="12142" xr:uid="{1CC6D281-3E3B-498F-8B50-A126F49EF717}"/>
    <cellStyle name="20% - Accent4 4 4 3" xfId="5776" xr:uid="{00000000-0005-0000-0000-000066020000}"/>
    <cellStyle name="20% - Accent4 4 4 3 2" xfId="22653" xr:uid="{2CAFAC8F-DEEE-490A-8155-FF0BED3E2AF1}"/>
    <cellStyle name="20% - Accent4 4 4 3 3" xfId="31087" xr:uid="{5DC592DD-9E93-45B7-9315-368F1420FFF7}"/>
    <cellStyle name="20% - Accent4 4 4 3 4" xfId="14215" xr:uid="{E2E3A8EB-AF6A-4DD2-B38E-C482CB658CA9}"/>
    <cellStyle name="20% - Accent4 4 4 4" xfId="18435" xr:uid="{BEBE5FF5-595F-4FEE-96BC-E3C664EEF261}"/>
    <cellStyle name="20% - Accent4 4 4 5" xfId="26870" xr:uid="{BA20B42E-2281-4DE0-AD1E-39AC31F25330}"/>
    <cellStyle name="20% - Accent4 4 4 6" xfId="9997" xr:uid="{B217FFA7-FD18-4297-BBAD-7CCF4E196FCD}"/>
    <cellStyle name="20% - Accent4 4 5" xfId="1882" xr:uid="{00000000-0005-0000-0000-000067020000}"/>
    <cellStyle name="20% - Accent4 4 5 2" xfId="4111" xr:uid="{00000000-0005-0000-0000-000068020000}"/>
    <cellStyle name="20% - Accent4 4 5 2 2" xfId="8334" xr:uid="{00000000-0005-0000-0000-000069020000}"/>
    <cellStyle name="20% - Accent4 4 5 2 2 2" xfId="25211" xr:uid="{577799FB-4231-4FE1-88DE-8AA450B5D8A7}"/>
    <cellStyle name="20% - Accent4 4 5 2 2 3" xfId="33645" xr:uid="{506F9EEC-EFCD-4765-BA33-0653DBD6D69F}"/>
    <cellStyle name="20% - Accent4 4 5 2 2 4" xfId="16773" xr:uid="{9617CDDC-5922-447B-ACB9-82B017F7B7CB}"/>
    <cellStyle name="20% - Accent4 4 5 2 3" xfId="20993" xr:uid="{2E61EED0-7C23-4050-855D-6404226EBF37}"/>
    <cellStyle name="20% - Accent4 4 5 2 4" xfId="29428" xr:uid="{3FCAF8F1-4367-4331-9A68-D23200564CE3}"/>
    <cellStyle name="20% - Accent4 4 5 2 5" xfId="12555" xr:uid="{E5917BFF-F452-41C7-87E6-986D714226C2}"/>
    <cellStyle name="20% - Accent4 4 5 3" xfId="6189" xr:uid="{00000000-0005-0000-0000-00006A020000}"/>
    <cellStyle name="20% - Accent4 4 5 3 2" xfId="23066" xr:uid="{60EEB2DE-C359-42F8-A092-C0B44389BEF5}"/>
    <cellStyle name="20% - Accent4 4 5 3 3" xfId="31500" xr:uid="{853F32CC-8AE9-40DA-AD54-47F06D341EE6}"/>
    <cellStyle name="20% - Accent4 4 5 3 4" xfId="14628" xr:uid="{28EBB3D9-ADDB-4830-A3C8-88BDD8E21D71}"/>
    <cellStyle name="20% - Accent4 4 5 4" xfId="18848" xr:uid="{DFA606AB-305C-4E71-86C5-F709886AA432}"/>
    <cellStyle name="20% - Accent4 4 5 5" xfId="27283" xr:uid="{47EFA649-10DE-43BA-AEA6-8CEE5DF08137}"/>
    <cellStyle name="20% - Accent4 4 5 6" xfId="10410" xr:uid="{3F2E70E9-1ADD-4CC6-8EC0-B7258981F4F9}"/>
    <cellStyle name="20% - Accent4 4 6" xfId="2295" xr:uid="{00000000-0005-0000-0000-00006B020000}"/>
    <cellStyle name="20% - Accent4 4 6 2" xfId="6602" xr:uid="{00000000-0005-0000-0000-00006C020000}"/>
    <cellStyle name="20% - Accent4 4 6 2 2" xfId="23479" xr:uid="{66E56D2D-9CA7-40E8-8F6D-26556ACCDF0C}"/>
    <cellStyle name="20% - Accent4 4 6 2 3" xfId="31913" xr:uid="{FE1F9494-C9EA-4AC7-A47A-F6AB6B78959B}"/>
    <cellStyle name="20% - Accent4 4 6 2 4" xfId="15041" xr:uid="{9EFB3FAA-8DA2-4BC7-8176-B11B4EB3915C}"/>
    <cellStyle name="20% - Accent4 4 6 3" xfId="19261" xr:uid="{2C702399-0871-4514-AC91-81AC11AF3AA9}"/>
    <cellStyle name="20% - Accent4 4 6 4" xfId="27696" xr:uid="{07CAA4A6-2A31-4C60-B274-4D83A21B60DD}"/>
    <cellStyle name="20% - Accent4 4 6 5" xfId="10823" xr:uid="{C2B9D3A5-7B47-47D2-97F9-AC3B9E4CDDD2}"/>
    <cellStyle name="20% - Accent4 4 7" xfId="4536" xr:uid="{00000000-0005-0000-0000-00006D020000}"/>
    <cellStyle name="20% - Accent4 4 7 2" xfId="21413" xr:uid="{CB151B27-A30A-4BA9-8C41-F7ED02F8A0F1}"/>
    <cellStyle name="20% - Accent4 4 7 3" xfId="29847" xr:uid="{E3257E09-8D42-415E-AFC3-C08A4E1F7449}"/>
    <cellStyle name="20% - Accent4 4 7 4" xfId="12975" xr:uid="{02E5CB9D-54A8-4100-A415-23FF18CB36EB}"/>
    <cellStyle name="20% - Accent4 4 8" xfId="17195" xr:uid="{37C192FA-A688-4B17-B9CB-0E897F452C5B}"/>
    <cellStyle name="20% - Accent4 4 9" xfId="25630" xr:uid="{24B4E4B1-2524-4B56-B20F-9443C46269BF}"/>
    <cellStyle name="20% - Accent4 5" xfId="594" xr:uid="{00000000-0005-0000-0000-00006E020000}"/>
    <cellStyle name="20% - Accent4 5 2" xfId="2865" xr:uid="{00000000-0005-0000-0000-00006F020000}"/>
    <cellStyle name="20% - Accent4 5 2 2" xfId="7088" xr:uid="{00000000-0005-0000-0000-000070020000}"/>
    <cellStyle name="20% - Accent4 5 2 2 2" xfId="23965" xr:uid="{6AF8FA5D-DF9B-47A6-B8D4-4DAFF8DD623C}"/>
    <cellStyle name="20% - Accent4 5 2 2 3" xfId="32399" xr:uid="{2FBDC4CA-B576-433E-ADDC-D09C9C786D5A}"/>
    <cellStyle name="20% - Accent4 5 2 2 4" xfId="15527" xr:uid="{3888F2F4-9372-409D-AFE4-05A8E16E4468}"/>
    <cellStyle name="20% - Accent4 5 2 3" xfId="19747" xr:uid="{0D4771F6-1739-4697-AF9E-59206C90C1BC}"/>
    <cellStyle name="20% - Accent4 5 2 4" xfId="28182" xr:uid="{06DD90FE-D62C-40EA-8975-1CABD54AFCA2}"/>
    <cellStyle name="20% - Accent4 5 2 5" xfId="11309" xr:uid="{C2CE1E36-D46E-4D49-92A3-C7EC638DC452}"/>
    <cellStyle name="20% - Accent4 5 3" xfId="4943" xr:uid="{00000000-0005-0000-0000-000071020000}"/>
    <cellStyle name="20% - Accent4 5 3 2" xfId="21820" xr:uid="{A8EB0640-C73E-4761-A3CB-4472D9020DAB}"/>
    <cellStyle name="20% - Accent4 5 3 3" xfId="30254" xr:uid="{5908186F-C4BD-45A5-9873-198216D23CF0}"/>
    <cellStyle name="20% - Accent4 5 3 4" xfId="13382" xr:uid="{B7DCD99C-E3BA-4066-A1D8-8E1A5983BF04}"/>
    <cellStyle name="20% - Accent4 5 4" xfId="17602" xr:uid="{A15385E3-115B-4831-96D1-92DAF2F6D36D}"/>
    <cellStyle name="20% - Accent4 5 5" xfId="26037" xr:uid="{8BC7B72C-3548-41D9-9EBC-38580570182A}"/>
    <cellStyle name="20% - Accent4 5 6" xfId="9164" xr:uid="{4AECF9EB-A230-4FAC-966F-EAC1BFAEBE48}"/>
    <cellStyle name="20% - Accent4 6" xfId="1047" xr:uid="{00000000-0005-0000-0000-000072020000}"/>
    <cellStyle name="20% - Accent4 6 2" xfId="3278" xr:uid="{00000000-0005-0000-0000-000073020000}"/>
    <cellStyle name="20% - Accent4 6 2 2" xfId="7501" xr:uid="{00000000-0005-0000-0000-000074020000}"/>
    <cellStyle name="20% - Accent4 6 2 2 2" xfId="24378" xr:uid="{40A674E2-C4C7-453F-9EC5-AFE3C1543104}"/>
    <cellStyle name="20% - Accent4 6 2 2 3" xfId="32812" xr:uid="{7354E990-9B36-4017-99F9-8BB53DEDA99E}"/>
    <cellStyle name="20% - Accent4 6 2 2 4" xfId="15940" xr:uid="{990EB734-349E-478C-A307-DD228EF8171A}"/>
    <cellStyle name="20% - Accent4 6 2 3" xfId="20160" xr:uid="{27B081C6-02C8-4BB9-97AE-64856A2B638B}"/>
    <cellStyle name="20% - Accent4 6 2 4" xfId="28595" xr:uid="{9300C95C-DE07-4D98-95AD-C90510F21FB1}"/>
    <cellStyle name="20% - Accent4 6 2 5" xfId="11722" xr:uid="{3081B49F-B783-47EB-98D6-49EC4978341E}"/>
    <cellStyle name="20% - Accent4 6 3" xfId="5356" xr:uid="{00000000-0005-0000-0000-000075020000}"/>
    <cellStyle name="20% - Accent4 6 3 2" xfId="22233" xr:uid="{E4251456-A01D-42CF-B602-A73C115B6327}"/>
    <cellStyle name="20% - Accent4 6 3 3" xfId="30667" xr:uid="{FD240559-B261-44F8-A4D9-CD6E5121B484}"/>
    <cellStyle name="20% - Accent4 6 3 4" xfId="13795" xr:uid="{F2402809-9BFB-42D7-B875-8C89BA7B41AF}"/>
    <cellStyle name="20% - Accent4 6 4" xfId="18015" xr:uid="{B2C5AC04-AEAF-4F7B-AFD0-A82E62A58332}"/>
    <cellStyle name="20% - Accent4 6 5" xfId="26450" xr:uid="{2BF3B3A8-57BF-4F0B-824D-FDC39FEF7C07}"/>
    <cellStyle name="20% - Accent4 6 6" xfId="9577" xr:uid="{F39C7C99-85C2-45CE-8F39-28E7F9E71891}"/>
    <cellStyle name="20% - Accent4 7" xfId="1461" xr:uid="{00000000-0005-0000-0000-000076020000}"/>
    <cellStyle name="20% - Accent4 7 2" xfId="3691" xr:uid="{00000000-0005-0000-0000-000077020000}"/>
    <cellStyle name="20% - Accent4 7 2 2" xfId="7914" xr:uid="{00000000-0005-0000-0000-000078020000}"/>
    <cellStyle name="20% - Accent4 7 2 2 2" xfId="24791" xr:uid="{85211F89-98BC-4AA7-8959-299587784E99}"/>
    <cellStyle name="20% - Accent4 7 2 2 3" xfId="33225" xr:uid="{25997C17-B10B-41A7-97AF-A24A70771316}"/>
    <cellStyle name="20% - Accent4 7 2 2 4" xfId="16353" xr:uid="{AA04BC7E-78E4-4BF2-B39D-92AF63A62677}"/>
    <cellStyle name="20% - Accent4 7 2 3" xfId="20573" xr:uid="{28618CBF-D994-4062-A608-C8745320733F}"/>
    <cellStyle name="20% - Accent4 7 2 4" xfId="29008" xr:uid="{512A6729-B7FB-4F51-9404-79D7CFA4346B}"/>
    <cellStyle name="20% - Accent4 7 2 5" xfId="12135" xr:uid="{CC54FC3E-A8F6-40CA-8D15-792E19FA693F}"/>
    <cellStyle name="20% - Accent4 7 3" xfId="5769" xr:uid="{00000000-0005-0000-0000-000079020000}"/>
    <cellStyle name="20% - Accent4 7 3 2" xfId="22646" xr:uid="{21DE042F-A0F3-4C31-803B-C470349CCB46}"/>
    <cellStyle name="20% - Accent4 7 3 3" xfId="31080" xr:uid="{E7CD4FD0-77A3-408C-983B-79BE4A710AF2}"/>
    <cellStyle name="20% - Accent4 7 3 4" xfId="14208" xr:uid="{6FCB88C5-D857-4E4C-94EC-4F8E3D1833D7}"/>
    <cellStyle name="20% - Accent4 7 4" xfId="18428" xr:uid="{C974DD60-C7D4-4D02-8398-0BC213EB0D12}"/>
    <cellStyle name="20% - Accent4 7 5" xfId="26863" xr:uid="{57364C0E-E91B-48BE-8E14-0CB23B884334}"/>
    <cellStyle name="20% - Accent4 7 6" xfId="9990" xr:uid="{F798044F-2FA1-4558-9DAB-AF7390D2FBBA}"/>
    <cellStyle name="20% - Accent4 8" xfId="1875" xr:uid="{00000000-0005-0000-0000-00007A020000}"/>
    <cellStyle name="20% - Accent4 8 2" xfId="4104" xr:uid="{00000000-0005-0000-0000-00007B020000}"/>
    <cellStyle name="20% - Accent4 8 2 2" xfId="8327" xr:uid="{00000000-0005-0000-0000-00007C020000}"/>
    <cellStyle name="20% - Accent4 8 2 2 2" xfId="25204" xr:uid="{93B0CEBD-1BCA-41AE-BDEF-D1B6FC51C5F8}"/>
    <cellStyle name="20% - Accent4 8 2 2 3" xfId="33638" xr:uid="{B7E7C074-8BAD-4854-8ACD-D18D59E4AAA8}"/>
    <cellStyle name="20% - Accent4 8 2 2 4" xfId="16766" xr:uid="{BA19CA86-3D3E-49CB-BE62-80524AAF7DF6}"/>
    <cellStyle name="20% - Accent4 8 2 3" xfId="20986" xr:uid="{1FD2865F-F5F3-43E7-9E28-896304AB462A}"/>
    <cellStyle name="20% - Accent4 8 2 4" xfId="29421" xr:uid="{65002028-EC3A-4504-A527-1AB0F34C97AD}"/>
    <cellStyle name="20% - Accent4 8 2 5" xfId="12548" xr:uid="{DB2B84F8-A4F3-4424-B368-61B9B1BB9CFD}"/>
    <cellStyle name="20% - Accent4 8 3" xfId="6182" xr:uid="{00000000-0005-0000-0000-00007D020000}"/>
    <cellStyle name="20% - Accent4 8 3 2" xfId="23059" xr:uid="{57D93ADE-866E-4F88-8DC8-6DA77BADFEBF}"/>
    <cellStyle name="20% - Accent4 8 3 3" xfId="31493" xr:uid="{B25A703B-1D0D-4FA6-9FE5-31906C7956AA}"/>
    <cellStyle name="20% - Accent4 8 3 4" xfId="14621" xr:uid="{DB59CB4D-A623-450B-A54A-03E6FBEFE354}"/>
    <cellStyle name="20% - Accent4 8 4" xfId="18841" xr:uid="{C9F5AAEA-C96D-4B66-A02E-A0437F9C3A21}"/>
    <cellStyle name="20% - Accent4 8 5" xfId="27276" xr:uid="{6F579BEC-943F-42AA-B48E-90AD25AB3B32}"/>
    <cellStyle name="20% - Accent4 8 6" xfId="10403" xr:uid="{AD09815D-6D7B-43F0-9B59-E2698C32B8A4}"/>
    <cellStyle name="20% - Accent4 9" xfId="2288" xr:uid="{00000000-0005-0000-0000-00007E020000}"/>
    <cellStyle name="20% - Accent4 9 2" xfId="6595" xr:uid="{00000000-0005-0000-0000-00007F020000}"/>
    <cellStyle name="20% - Accent4 9 2 2" xfId="23472" xr:uid="{BB8C62F4-79B5-4B3F-9456-FA25F0979B98}"/>
    <cellStyle name="20% - Accent4 9 2 3" xfId="31906" xr:uid="{512A054B-624E-4CFA-852F-BC2D65DA48C3}"/>
    <cellStyle name="20% - Accent4 9 2 4" xfId="15034" xr:uid="{5A4CF329-6AE9-4D8E-AD6A-91FEB30FCA42}"/>
    <cellStyle name="20% - Accent4 9 3" xfId="19254" xr:uid="{60229E27-2AA2-4301-90D5-AEC64A717F0B}"/>
    <cellStyle name="20% - Accent4 9 4" xfId="27689" xr:uid="{08768AEF-D11A-4015-8267-91FE93934396}"/>
    <cellStyle name="20% - Accent4 9 5" xfId="10816" xr:uid="{82FF8649-0A3B-4DE5-B072-C614BA197D49}"/>
    <cellStyle name="20% - Accent5" xfId="33" builtinId="46" customBuiltin="1"/>
    <cellStyle name="20% - Accent5 10" xfId="4537" xr:uid="{00000000-0005-0000-0000-000081020000}"/>
    <cellStyle name="20% - Accent5 10 2" xfId="21414" xr:uid="{8BE8EBE6-ADB7-4988-B499-70B148F38EB2}"/>
    <cellStyle name="20% - Accent5 10 3" xfId="29848" xr:uid="{D4F75BAA-1571-4D7B-8A22-A18D30E320B8}"/>
    <cellStyle name="20% - Accent5 10 4" xfId="12976" xr:uid="{5BF541DD-A9D3-4805-ACCA-8702D4F270A2}"/>
    <cellStyle name="20% - Accent5 11" xfId="17196" xr:uid="{079F12A2-6349-41CE-989D-969146E093B2}"/>
    <cellStyle name="20% - Accent5 12" xfId="25631" xr:uid="{B96F133B-9FB6-4584-AB49-B25AAE409D03}"/>
    <cellStyle name="20% - Accent5 13" xfId="8758" xr:uid="{D3656F9C-B0D5-4BBD-8017-203A34096AEC}"/>
    <cellStyle name="20% - Accent5 2" xfId="34" xr:uid="{00000000-0005-0000-0000-000082020000}"/>
    <cellStyle name="20% - Accent5 2 10" xfId="17197" xr:uid="{BF008216-C2CE-447E-8C8E-706F41AD30A3}"/>
    <cellStyle name="20% - Accent5 2 11" xfId="25632" xr:uid="{13B8D90D-92F4-4C0E-9ECB-B0D75EE12D74}"/>
    <cellStyle name="20% - Accent5 2 12" xfId="8759" xr:uid="{06E73F2A-985C-49B4-B4B3-D4B3924F3E39}"/>
    <cellStyle name="20% - Accent5 2 2" xfId="35" xr:uid="{00000000-0005-0000-0000-000083020000}"/>
    <cellStyle name="20% - Accent5 2 2 10" xfId="25633" xr:uid="{37A85DD2-63FF-415C-9615-B3CA11C18B47}"/>
    <cellStyle name="20% - Accent5 2 2 11" xfId="8760" xr:uid="{8E991D70-AA55-4CC0-92D0-08414E0D2208}"/>
    <cellStyle name="20% - Accent5 2 2 2" xfId="36" xr:uid="{00000000-0005-0000-0000-000084020000}"/>
    <cellStyle name="20% - Accent5 2 2 2 10" xfId="8761" xr:uid="{1CAFFE6A-CE8E-475E-9836-5CEDCE3DC1CF}"/>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23976" xr:uid="{E4256D9F-CFA6-4221-8698-D7B2BBBA9F13}"/>
    <cellStyle name="20% - Accent5 2 2 2 2 2 2 3" xfId="32410" xr:uid="{995C0CE8-CB10-462B-98C9-E807C2E46697}"/>
    <cellStyle name="20% - Accent5 2 2 2 2 2 2 4" xfId="15538" xr:uid="{995E7FB0-28CC-433D-BDE9-A805CB26FE1B}"/>
    <cellStyle name="20% - Accent5 2 2 2 2 2 3" xfId="19758" xr:uid="{2C4EA8FD-71A5-4030-9759-69DB84204A6E}"/>
    <cellStyle name="20% - Accent5 2 2 2 2 2 4" xfId="28193" xr:uid="{2CC4517D-1239-4BA1-92F3-BEE481B84CD4}"/>
    <cellStyle name="20% - Accent5 2 2 2 2 2 5" xfId="11320" xr:uid="{7B0F4AC5-7910-4E2E-9D89-CC5DEBBD1100}"/>
    <cellStyle name="20% - Accent5 2 2 2 2 3" xfId="4954" xr:uid="{00000000-0005-0000-0000-000088020000}"/>
    <cellStyle name="20% - Accent5 2 2 2 2 3 2" xfId="21831" xr:uid="{FF91A74A-1F28-4185-88A3-3A74011B6FEF}"/>
    <cellStyle name="20% - Accent5 2 2 2 2 3 3" xfId="30265" xr:uid="{A1337AB5-FA44-469F-BCB4-C61E9BF21A2B}"/>
    <cellStyle name="20% - Accent5 2 2 2 2 3 4" xfId="13393" xr:uid="{DCEE034B-CDB6-44F6-8C5D-C4169131111E}"/>
    <cellStyle name="20% - Accent5 2 2 2 2 4" xfId="17613" xr:uid="{6F9E7E27-D849-4B64-ABF5-14B04006A8E1}"/>
    <cellStyle name="20% - Accent5 2 2 2 2 5" xfId="26048" xr:uid="{815BC2FA-EEBA-4D25-B5D8-96FE0FB3F7AA}"/>
    <cellStyle name="20% - Accent5 2 2 2 2 6" xfId="9175" xr:uid="{E13E155D-9A0F-4FD8-8069-223163B0F68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24389" xr:uid="{B940D009-6AB8-49D3-9D78-663639F83E0C}"/>
    <cellStyle name="20% - Accent5 2 2 2 3 2 2 3" xfId="32823" xr:uid="{DB588EF3-0515-4DA2-ADE8-D223740942A7}"/>
    <cellStyle name="20% - Accent5 2 2 2 3 2 2 4" xfId="15951" xr:uid="{6A6A7058-2DD0-490F-9872-A57CCF9FE8FB}"/>
    <cellStyle name="20% - Accent5 2 2 2 3 2 3" xfId="20171" xr:uid="{5D408405-8344-4462-81E1-9032F39BEE2D}"/>
    <cellStyle name="20% - Accent5 2 2 2 3 2 4" xfId="28606" xr:uid="{4154AD84-B704-42D1-AF82-862B4CE0B1D7}"/>
    <cellStyle name="20% - Accent5 2 2 2 3 2 5" xfId="11733" xr:uid="{6AB4EA14-6062-4A62-B00A-3B5CF48E795A}"/>
    <cellStyle name="20% - Accent5 2 2 2 3 3" xfId="5367" xr:uid="{00000000-0005-0000-0000-00008C020000}"/>
    <cellStyle name="20% - Accent5 2 2 2 3 3 2" xfId="22244" xr:uid="{41B06B51-5CE4-4132-8692-18BED1FD75C3}"/>
    <cellStyle name="20% - Accent5 2 2 2 3 3 3" xfId="30678" xr:uid="{499CC9B9-AFAD-4DED-8845-50EFC5571EE9}"/>
    <cellStyle name="20% - Accent5 2 2 2 3 3 4" xfId="13806" xr:uid="{1D5D3541-DFF6-428D-AE84-D65D41BB6D7E}"/>
    <cellStyle name="20% - Accent5 2 2 2 3 4" xfId="18026" xr:uid="{0DAFD6D7-77CC-4444-B1A8-E634F90B40C1}"/>
    <cellStyle name="20% - Accent5 2 2 2 3 5" xfId="26461" xr:uid="{66B8C5C6-2AF5-48ED-8575-5CFDD3A5A140}"/>
    <cellStyle name="20% - Accent5 2 2 2 3 6" xfId="9588" xr:uid="{0DE3290A-1671-46B2-B628-C79BE0545E0B}"/>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24802" xr:uid="{725B5028-EE64-4CA8-9FDA-F7C45C8C9055}"/>
    <cellStyle name="20% - Accent5 2 2 2 4 2 2 3" xfId="33236" xr:uid="{E5CBC2F8-EA58-4578-8F47-62B04907706F}"/>
    <cellStyle name="20% - Accent5 2 2 2 4 2 2 4" xfId="16364" xr:uid="{2C57891F-8D39-41F2-B86A-6ACB19C801B7}"/>
    <cellStyle name="20% - Accent5 2 2 2 4 2 3" xfId="20584" xr:uid="{C7964E7E-0249-47BD-ABA3-4550BCD614EF}"/>
    <cellStyle name="20% - Accent5 2 2 2 4 2 4" xfId="29019" xr:uid="{0B7E60E7-1CC6-48DC-A3F9-582610E00272}"/>
    <cellStyle name="20% - Accent5 2 2 2 4 2 5" xfId="12146" xr:uid="{90E70592-042F-4E7B-9BC2-C5A4A6FF4B05}"/>
    <cellStyle name="20% - Accent5 2 2 2 4 3" xfId="5780" xr:uid="{00000000-0005-0000-0000-000090020000}"/>
    <cellStyle name="20% - Accent5 2 2 2 4 3 2" xfId="22657" xr:uid="{5A96013A-111A-4D93-ABA8-7EA87E0056B1}"/>
    <cellStyle name="20% - Accent5 2 2 2 4 3 3" xfId="31091" xr:uid="{D46657BA-9A7E-435B-8539-1D306D844882}"/>
    <cellStyle name="20% - Accent5 2 2 2 4 3 4" xfId="14219" xr:uid="{D6355D61-903D-4EC2-B8BD-55D2799C95E5}"/>
    <cellStyle name="20% - Accent5 2 2 2 4 4" xfId="18439" xr:uid="{39A18EC0-7C32-4199-9995-805EA1BD2CAC}"/>
    <cellStyle name="20% - Accent5 2 2 2 4 5" xfId="26874" xr:uid="{89D30D7F-B673-4F7A-91B0-1F8EA9F1D5B6}"/>
    <cellStyle name="20% - Accent5 2 2 2 4 6" xfId="10001" xr:uid="{FDE550ED-3710-4BCC-8224-73E7B0D143C6}"/>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25215" xr:uid="{D373CF6D-5A55-441E-9468-D53E9F9CECE4}"/>
    <cellStyle name="20% - Accent5 2 2 2 5 2 2 3" xfId="33649" xr:uid="{AD31425E-CA16-4AA4-9098-ABDAFBD6E86D}"/>
    <cellStyle name="20% - Accent5 2 2 2 5 2 2 4" xfId="16777" xr:uid="{0F32306A-9799-423D-A304-6152698C7B2E}"/>
    <cellStyle name="20% - Accent5 2 2 2 5 2 3" xfId="20997" xr:uid="{2CFDB74A-569D-4137-8B4F-1B1BA9F9EC6B}"/>
    <cellStyle name="20% - Accent5 2 2 2 5 2 4" xfId="29432" xr:uid="{9160A9BF-D4ED-4C3F-BADB-02FE022867C7}"/>
    <cellStyle name="20% - Accent5 2 2 2 5 2 5" xfId="12559" xr:uid="{103B852B-59AE-4EBD-A4D3-F01BB4CECA2A}"/>
    <cellStyle name="20% - Accent5 2 2 2 5 3" xfId="6193" xr:uid="{00000000-0005-0000-0000-000094020000}"/>
    <cellStyle name="20% - Accent5 2 2 2 5 3 2" xfId="23070" xr:uid="{1C0F8996-36A4-4F0F-ADCF-C1A66E1C4037}"/>
    <cellStyle name="20% - Accent5 2 2 2 5 3 3" xfId="31504" xr:uid="{EAEC59D8-06D6-4DBC-BB67-AD99106A2B79}"/>
    <cellStyle name="20% - Accent5 2 2 2 5 3 4" xfId="14632" xr:uid="{3B668AFB-B8C9-432E-94D8-8727A69851CB}"/>
    <cellStyle name="20% - Accent5 2 2 2 5 4" xfId="18852" xr:uid="{520F84C1-BDDC-40C9-9C11-2E96AC7D7967}"/>
    <cellStyle name="20% - Accent5 2 2 2 5 5" xfId="27287" xr:uid="{3C019798-BC99-4682-B212-1AA6004C1AA4}"/>
    <cellStyle name="20% - Accent5 2 2 2 5 6" xfId="10414" xr:uid="{5AC8A649-5D73-4204-B527-B74719AD49A4}"/>
    <cellStyle name="20% - Accent5 2 2 2 6" xfId="2299" xr:uid="{00000000-0005-0000-0000-000095020000}"/>
    <cellStyle name="20% - Accent5 2 2 2 6 2" xfId="6606" xr:uid="{00000000-0005-0000-0000-000096020000}"/>
    <cellStyle name="20% - Accent5 2 2 2 6 2 2" xfId="23483" xr:uid="{46FE977C-817C-444E-ACD9-FC620F53F351}"/>
    <cellStyle name="20% - Accent5 2 2 2 6 2 3" xfId="31917" xr:uid="{B7C40D28-5389-43F8-BED1-2E4DBABAA65B}"/>
    <cellStyle name="20% - Accent5 2 2 2 6 2 4" xfId="15045" xr:uid="{1A5D687A-979C-46C1-8C19-E1490001C3E7}"/>
    <cellStyle name="20% - Accent5 2 2 2 6 3" xfId="19265" xr:uid="{149D81FE-97FB-4405-A339-D45B39DCF21C}"/>
    <cellStyle name="20% - Accent5 2 2 2 6 4" xfId="27700" xr:uid="{C15E2843-0D38-48A3-9533-FCEE1CBFB1B5}"/>
    <cellStyle name="20% - Accent5 2 2 2 6 5" xfId="10827" xr:uid="{74FDCEB7-3CAA-4860-A4E4-30FC423942FE}"/>
    <cellStyle name="20% - Accent5 2 2 2 7" xfId="4540" xr:uid="{00000000-0005-0000-0000-000097020000}"/>
    <cellStyle name="20% - Accent5 2 2 2 7 2" xfId="21417" xr:uid="{F3E8E059-A322-40B1-A4B3-4050B6E07130}"/>
    <cellStyle name="20% - Accent5 2 2 2 7 3" xfId="29851" xr:uid="{8C39962C-7315-442A-AFCC-A86DF731EA19}"/>
    <cellStyle name="20% - Accent5 2 2 2 7 4" xfId="12979" xr:uid="{CE9EFB96-22B8-4681-A020-B17FB2E29C9C}"/>
    <cellStyle name="20% - Accent5 2 2 2 8" xfId="17199" xr:uid="{5D029063-3D83-44F5-9993-44289218EB30}"/>
    <cellStyle name="20% - Accent5 2 2 2 9" xfId="25634" xr:uid="{76B56215-AD11-434D-8D13-2FE7C6560F48}"/>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23975" xr:uid="{62B8408F-5A41-47BA-B92E-06BE4E53DF26}"/>
    <cellStyle name="20% - Accent5 2 2 3 2 2 3" xfId="32409" xr:uid="{95D4BF57-ED17-4CD5-A817-721AA51A67FF}"/>
    <cellStyle name="20% - Accent5 2 2 3 2 2 4" xfId="15537" xr:uid="{CFBCFD94-8E57-4322-BAF2-B7E6DBEA7F51}"/>
    <cellStyle name="20% - Accent5 2 2 3 2 3" xfId="19757" xr:uid="{E212D94A-73D7-4383-A461-81F558019D19}"/>
    <cellStyle name="20% - Accent5 2 2 3 2 4" xfId="28192" xr:uid="{EC04B6DB-96D0-4C9F-B13F-48268D7C529A}"/>
    <cellStyle name="20% - Accent5 2 2 3 2 5" xfId="11319" xr:uid="{C09C7502-D1C1-4278-94AB-CB72655C8D18}"/>
    <cellStyle name="20% - Accent5 2 2 3 3" xfId="4953" xr:uid="{00000000-0005-0000-0000-00009B020000}"/>
    <cellStyle name="20% - Accent5 2 2 3 3 2" xfId="21830" xr:uid="{301C48B7-5A11-49CA-8C49-6FC235A5A446}"/>
    <cellStyle name="20% - Accent5 2 2 3 3 3" xfId="30264" xr:uid="{D52A4809-F18B-4E44-BB5F-ED7E71C17A6D}"/>
    <cellStyle name="20% - Accent5 2 2 3 3 4" xfId="13392" xr:uid="{45043B40-D4D5-4267-8865-DECC8C8082F8}"/>
    <cellStyle name="20% - Accent5 2 2 3 4" xfId="17612" xr:uid="{FB361D8F-67E4-4079-9A8D-6C83325BD95D}"/>
    <cellStyle name="20% - Accent5 2 2 3 5" xfId="26047" xr:uid="{32FD9784-C9EF-4360-A033-F5876171AA9A}"/>
    <cellStyle name="20% - Accent5 2 2 3 6" xfId="9174" xr:uid="{F114E5A5-8424-486E-871C-A82A0E6A7950}"/>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24388" xr:uid="{EE6F3028-A7F9-41AB-9F82-B65F2A4D6D89}"/>
    <cellStyle name="20% - Accent5 2 2 4 2 2 3" xfId="32822" xr:uid="{17AD7A6B-567C-416E-9141-B3732493E0B5}"/>
    <cellStyle name="20% - Accent5 2 2 4 2 2 4" xfId="15950" xr:uid="{36A5DF28-5F01-44AE-9C62-81521EC93C96}"/>
    <cellStyle name="20% - Accent5 2 2 4 2 3" xfId="20170" xr:uid="{0EFD2DE0-36E9-4624-8F64-C39F89CE565A}"/>
    <cellStyle name="20% - Accent5 2 2 4 2 4" xfId="28605" xr:uid="{5ECFC717-E2B0-4FD8-9ACD-1FCA023A9D1E}"/>
    <cellStyle name="20% - Accent5 2 2 4 2 5" xfId="11732" xr:uid="{00249047-BFB7-4844-85E4-9D7A798C1031}"/>
    <cellStyle name="20% - Accent5 2 2 4 3" xfId="5366" xr:uid="{00000000-0005-0000-0000-00009F020000}"/>
    <cellStyle name="20% - Accent5 2 2 4 3 2" xfId="22243" xr:uid="{CF62F259-934A-4091-81FF-9DB7ABA36CC4}"/>
    <cellStyle name="20% - Accent5 2 2 4 3 3" xfId="30677" xr:uid="{DF943CEE-3B52-4C3F-9118-471C535E0EFE}"/>
    <cellStyle name="20% - Accent5 2 2 4 3 4" xfId="13805" xr:uid="{E3950DCE-E2CC-4432-A25A-6EB540592B6C}"/>
    <cellStyle name="20% - Accent5 2 2 4 4" xfId="18025" xr:uid="{D1DA2EF4-80F2-4F30-AED6-A0C096162465}"/>
    <cellStyle name="20% - Accent5 2 2 4 5" xfId="26460" xr:uid="{937CDC71-79B3-42CB-A62C-467EDF1EBF53}"/>
    <cellStyle name="20% - Accent5 2 2 4 6" xfId="9587" xr:uid="{5B5A4F13-0AE7-4992-B0EA-09623A07A8FB}"/>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24801" xr:uid="{9901FA43-8A8B-442A-88FC-5187C1B8B971}"/>
    <cellStyle name="20% - Accent5 2 2 5 2 2 3" xfId="33235" xr:uid="{146D6BE3-F6EC-4BE3-8D8B-597706458D36}"/>
    <cellStyle name="20% - Accent5 2 2 5 2 2 4" xfId="16363" xr:uid="{FC3EC8DE-C423-4D9E-8C82-E10FD75464F8}"/>
    <cellStyle name="20% - Accent5 2 2 5 2 3" xfId="20583" xr:uid="{FE84CE35-FD0D-42E3-89C2-1E48C28F8115}"/>
    <cellStyle name="20% - Accent5 2 2 5 2 4" xfId="29018" xr:uid="{4C6A5EDF-FDFF-4AED-BFC1-BC28FF32D45A}"/>
    <cellStyle name="20% - Accent5 2 2 5 2 5" xfId="12145" xr:uid="{B4488F69-6899-412E-AC2D-D7C0516FD5EE}"/>
    <cellStyle name="20% - Accent5 2 2 5 3" xfId="5779" xr:uid="{00000000-0005-0000-0000-0000A3020000}"/>
    <cellStyle name="20% - Accent5 2 2 5 3 2" xfId="22656" xr:uid="{39F4E59E-AEDA-43B0-AF65-6ABA3F097549}"/>
    <cellStyle name="20% - Accent5 2 2 5 3 3" xfId="31090" xr:uid="{92F28EAD-2762-45FF-95D5-621EB2F93BB9}"/>
    <cellStyle name="20% - Accent5 2 2 5 3 4" xfId="14218" xr:uid="{6300367E-F378-4657-9F00-D32D2D8115E9}"/>
    <cellStyle name="20% - Accent5 2 2 5 4" xfId="18438" xr:uid="{B733BC4A-ED88-4E3C-826F-43D4B716D2A7}"/>
    <cellStyle name="20% - Accent5 2 2 5 5" xfId="26873" xr:uid="{5F36F7BC-356D-4071-BCBA-AD1963BD2E2E}"/>
    <cellStyle name="20% - Accent5 2 2 5 6" xfId="10000" xr:uid="{3CD02E34-D4A7-4685-AA30-3876E709F5A3}"/>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25214" xr:uid="{4982C450-1869-4233-A7D7-574781C3BC8A}"/>
    <cellStyle name="20% - Accent5 2 2 6 2 2 3" xfId="33648" xr:uid="{9A10BA1E-8B94-488A-93F3-852D76CD8668}"/>
    <cellStyle name="20% - Accent5 2 2 6 2 2 4" xfId="16776" xr:uid="{5A634623-E843-46F9-A084-2D70881FD9A5}"/>
    <cellStyle name="20% - Accent5 2 2 6 2 3" xfId="20996" xr:uid="{0FC8B809-CC8F-47DA-BADE-364C568EFA99}"/>
    <cellStyle name="20% - Accent5 2 2 6 2 4" xfId="29431" xr:uid="{A2B49F0C-56A7-4527-816E-F2453E037A40}"/>
    <cellStyle name="20% - Accent5 2 2 6 2 5" xfId="12558" xr:uid="{EC722DDE-0EDF-485C-9DC8-CBC3EB5309F8}"/>
    <cellStyle name="20% - Accent5 2 2 6 3" xfId="6192" xr:uid="{00000000-0005-0000-0000-0000A7020000}"/>
    <cellStyle name="20% - Accent5 2 2 6 3 2" xfId="23069" xr:uid="{7B2AC020-3FEC-47D2-8FA8-5E5ECEA34159}"/>
    <cellStyle name="20% - Accent5 2 2 6 3 3" xfId="31503" xr:uid="{78FE543B-9E21-431B-8147-C44FDC45C1CB}"/>
    <cellStyle name="20% - Accent5 2 2 6 3 4" xfId="14631" xr:uid="{C9B118A0-1DD8-4922-BAEF-0B78BF823B25}"/>
    <cellStyle name="20% - Accent5 2 2 6 4" xfId="18851" xr:uid="{FB852CEF-26A8-4AD0-9B31-A11E950039D8}"/>
    <cellStyle name="20% - Accent5 2 2 6 5" xfId="27286" xr:uid="{D23919E2-978C-4F99-8344-B785C556B72D}"/>
    <cellStyle name="20% - Accent5 2 2 6 6" xfId="10413" xr:uid="{DC87EA76-098C-41E7-9892-EDA253CAF0F4}"/>
    <cellStyle name="20% - Accent5 2 2 7" xfId="2298" xr:uid="{00000000-0005-0000-0000-0000A8020000}"/>
    <cellStyle name="20% - Accent5 2 2 7 2" xfId="6605" xr:uid="{00000000-0005-0000-0000-0000A9020000}"/>
    <cellStyle name="20% - Accent5 2 2 7 2 2" xfId="23482" xr:uid="{42022433-E956-4FB6-BDD5-55931D97A9E2}"/>
    <cellStyle name="20% - Accent5 2 2 7 2 3" xfId="31916" xr:uid="{26A67427-B447-4415-B844-B65C8F7F4652}"/>
    <cellStyle name="20% - Accent5 2 2 7 2 4" xfId="15044" xr:uid="{D17CAD1E-9750-4EA5-8475-6775E3A02B7A}"/>
    <cellStyle name="20% - Accent5 2 2 7 3" xfId="19264" xr:uid="{CD58253B-4B59-465E-9AF6-0634CF74566E}"/>
    <cellStyle name="20% - Accent5 2 2 7 4" xfId="27699" xr:uid="{988027A3-4FC3-4E94-96CD-A40E6FEE366D}"/>
    <cellStyle name="20% - Accent5 2 2 7 5" xfId="10826" xr:uid="{0A76CB13-EC30-456C-AE87-0D75C5263B82}"/>
    <cellStyle name="20% - Accent5 2 2 8" xfId="4539" xr:uid="{00000000-0005-0000-0000-0000AA020000}"/>
    <cellStyle name="20% - Accent5 2 2 8 2" xfId="21416" xr:uid="{ACD03A5B-009B-457A-8C05-20D5F6376803}"/>
    <cellStyle name="20% - Accent5 2 2 8 3" xfId="29850" xr:uid="{C37E9517-ABF0-4140-B6E4-5B43784290B4}"/>
    <cellStyle name="20% - Accent5 2 2 8 4" xfId="12978" xr:uid="{A2FDA204-648F-47A7-A44A-7E313AB67CDC}"/>
    <cellStyle name="20% - Accent5 2 2 9" xfId="17198" xr:uid="{BFDF7142-E078-4E69-8C6F-4F31B7F0E0AD}"/>
    <cellStyle name="20% - Accent5 2 3" xfId="37" xr:uid="{00000000-0005-0000-0000-0000AB020000}"/>
    <cellStyle name="20% - Accent5 2 3 10" xfId="8762" xr:uid="{7CBF1C10-0862-4F0D-8956-36488FF63BA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23977" xr:uid="{F6AF0355-8CC6-4A65-B8A7-4C677C40D7D5}"/>
    <cellStyle name="20% - Accent5 2 3 2 2 2 3" xfId="32411" xr:uid="{3F69420A-F777-465C-9066-EE71FC28D982}"/>
    <cellStyle name="20% - Accent5 2 3 2 2 2 4" xfId="15539" xr:uid="{AB6E4256-6775-481C-A1FC-50AF3698EA8B}"/>
    <cellStyle name="20% - Accent5 2 3 2 2 3" xfId="19759" xr:uid="{AC4C2159-7A9B-4770-BA4E-20A933757904}"/>
    <cellStyle name="20% - Accent5 2 3 2 2 4" xfId="28194" xr:uid="{9B13EB76-604B-4555-A286-F176D1AFE63F}"/>
    <cellStyle name="20% - Accent5 2 3 2 2 5" xfId="11321" xr:uid="{7348A8F2-B0F2-4664-ADFC-CBAABB2C55FF}"/>
    <cellStyle name="20% - Accent5 2 3 2 3" xfId="4955" xr:uid="{00000000-0005-0000-0000-0000AF020000}"/>
    <cellStyle name="20% - Accent5 2 3 2 3 2" xfId="21832" xr:uid="{0B584366-730A-4EA6-A4A4-C2FE4C105F7B}"/>
    <cellStyle name="20% - Accent5 2 3 2 3 3" xfId="30266" xr:uid="{44B25945-2172-4652-9170-AA113F3D275B}"/>
    <cellStyle name="20% - Accent5 2 3 2 3 4" xfId="13394" xr:uid="{976EF206-B723-40C8-B428-B45AECA7BD25}"/>
    <cellStyle name="20% - Accent5 2 3 2 4" xfId="17614" xr:uid="{287FAD22-5CAD-4E0F-8CD7-65D8AB9EF7D5}"/>
    <cellStyle name="20% - Accent5 2 3 2 5" xfId="26049" xr:uid="{8DCFB8A6-4251-4C66-A8F0-83F7D3352EDC}"/>
    <cellStyle name="20% - Accent5 2 3 2 6" xfId="9176" xr:uid="{7C4E7609-692B-495F-810E-1DAF122170E7}"/>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24390" xr:uid="{0B5356E1-9B5C-4FF0-82BC-1B776B76173C}"/>
    <cellStyle name="20% - Accent5 2 3 3 2 2 3" xfId="32824" xr:uid="{DC09E671-89B8-43DD-8E55-6045EA753189}"/>
    <cellStyle name="20% - Accent5 2 3 3 2 2 4" xfId="15952" xr:uid="{9AEA113D-171A-4AAE-8D3D-FCB685D364C5}"/>
    <cellStyle name="20% - Accent5 2 3 3 2 3" xfId="20172" xr:uid="{E0EF367B-0DE7-433B-8B62-016C8296979F}"/>
    <cellStyle name="20% - Accent5 2 3 3 2 4" xfId="28607" xr:uid="{04DB32B9-C720-4CF8-B20D-ABE9F779115B}"/>
    <cellStyle name="20% - Accent5 2 3 3 2 5" xfId="11734" xr:uid="{B47D19F4-1183-4092-99BA-8F33903E4B60}"/>
    <cellStyle name="20% - Accent5 2 3 3 3" xfId="5368" xr:uid="{00000000-0005-0000-0000-0000B3020000}"/>
    <cellStyle name="20% - Accent5 2 3 3 3 2" xfId="22245" xr:uid="{F82FE79D-3897-48C0-8E48-1A5EC73A68D4}"/>
    <cellStyle name="20% - Accent5 2 3 3 3 3" xfId="30679" xr:uid="{8AC76107-BBD1-481D-B776-9B7C1BD84771}"/>
    <cellStyle name="20% - Accent5 2 3 3 3 4" xfId="13807" xr:uid="{8AA16C39-6176-4EC2-8E87-47032C5E9799}"/>
    <cellStyle name="20% - Accent5 2 3 3 4" xfId="18027" xr:uid="{CA0E4D6B-A7BD-49E3-933A-D86685919947}"/>
    <cellStyle name="20% - Accent5 2 3 3 5" xfId="26462" xr:uid="{4FE58DFF-6877-4C2C-9C7D-B82CF56CCA39}"/>
    <cellStyle name="20% - Accent5 2 3 3 6" xfId="9589" xr:uid="{AEAF9AC1-687D-4EF2-BB0D-7433848E9A59}"/>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24803" xr:uid="{0066201E-073B-429A-B05E-B320CEA04A05}"/>
    <cellStyle name="20% - Accent5 2 3 4 2 2 3" xfId="33237" xr:uid="{307945F9-8031-4142-A83B-4244B6052377}"/>
    <cellStyle name="20% - Accent5 2 3 4 2 2 4" xfId="16365" xr:uid="{DEFB9E05-CA7A-43D4-97BF-905F2407971B}"/>
    <cellStyle name="20% - Accent5 2 3 4 2 3" xfId="20585" xr:uid="{19AB7005-03D4-417F-94AE-F14983A04744}"/>
    <cellStyle name="20% - Accent5 2 3 4 2 4" xfId="29020" xr:uid="{97D9EB41-72AA-47A9-B8C9-8131CFE405CB}"/>
    <cellStyle name="20% - Accent5 2 3 4 2 5" xfId="12147" xr:uid="{13FC6BC2-D176-4B88-B583-EA0CD0C5B604}"/>
    <cellStyle name="20% - Accent5 2 3 4 3" xfId="5781" xr:uid="{00000000-0005-0000-0000-0000B7020000}"/>
    <cellStyle name="20% - Accent5 2 3 4 3 2" xfId="22658" xr:uid="{3B64A018-7727-4F40-9B15-CFF6CFD33E0A}"/>
    <cellStyle name="20% - Accent5 2 3 4 3 3" xfId="31092" xr:uid="{DB84FCCD-6934-44F1-B140-EC737AD2B785}"/>
    <cellStyle name="20% - Accent5 2 3 4 3 4" xfId="14220" xr:uid="{6D580651-DB06-406B-83E6-358097130725}"/>
    <cellStyle name="20% - Accent5 2 3 4 4" xfId="18440" xr:uid="{02AD8E21-4263-4FA1-BD27-D9DA8EB0F1D5}"/>
    <cellStyle name="20% - Accent5 2 3 4 5" xfId="26875" xr:uid="{F2621109-978F-4994-9B52-92D0F1660C63}"/>
    <cellStyle name="20% - Accent5 2 3 4 6" xfId="10002" xr:uid="{727910C4-A93D-4807-9D92-46F871715CA7}"/>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25216" xr:uid="{E9D2F108-35E7-41FB-870B-0E3376F3E32B}"/>
    <cellStyle name="20% - Accent5 2 3 5 2 2 3" xfId="33650" xr:uid="{11E8828B-B14C-4C2C-9160-71271427318D}"/>
    <cellStyle name="20% - Accent5 2 3 5 2 2 4" xfId="16778" xr:uid="{4A5B692B-BDEA-4C74-AF5D-34C278739379}"/>
    <cellStyle name="20% - Accent5 2 3 5 2 3" xfId="20998" xr:uid="{A8401C2A-FCF4-4880-A677-DED507F6A59B}"/>
    <cellStyle name="20% - Accent5 2 3 5 2 4" xfId="29433" xr:uid="{C8502635-5787-42FD-9625-8D45A763F8CF}"/>
    <cellStyle name="20% - Accent5 2 3 5 2 5" xfId="12560" xr:uid="{0FC1B708-8F0E-44BC-9B40-1FD091A92028}"/>
    <cellStyle name="20% - Accent5 2 3 5 3" xfId="6194" xr:uid="{00000000-0005-0000-0000-0000BB020000}"/>
    <cellStyle name="20% - Accent5 2 3 5 3 2" xfId="23071" xr:uid="{FAAD55C5-B7B2-41CD-A20A-2DA19836C555}"/>
    <cellStyle name="20% - Accent5 2 3 5 3 3" xfId="31505" xr:uid="{ADBC3577-1B0E-4FAE-A20E-A7199E973481}"/>
    <cellStyle name="20% - Accent5 2 3 5 3 4" xfId="14633" xr:uid="{C462367B-7816-4661-995E-7DC03F79F78D}"/>
    <cellStyle name="20% - Accent5 2 3 5 4" xfId="18853" xr:uid="{1E4D5EFF-9511-4920-B7C0-974190B91363}"/>
    <cellStyle name="20% - Accent5 2 3 5 5" xfId="27288" xr:uid="{5D8B97A6-B8B7-4010-B9C8-75386F6C67FC}"/>
    <cellStyle name="20% - Accent5 2 3 5 6" xfId="10415" xr:uid="{3272F82E-398F-4E25-A87F-2AAC4D8D8D84}"/>
    <cellStyle name="20% - Accent5 2 3 6" xfId="2300" xr:uid="{00000000-0005-0000-0000-0000BC020000}"/>
    <cellStyle name="20% - Accent5 2 3 6 2" xfId="6607" xr:uid="{00000000-0005-0000-0000-0000BD020000}"/>
    <cellStyle name="20% - Accent5 2 3 6 2 2" xfId="23484" xr:uid="{10598CC6-50CE-4DF1-8EEC-735914B62FDF}"/>
    <cellStyle name="20% - Accent5 2 3 6 2 3" xfId="31918" xr:uid="{AE579F32-C0DE-499B-B25A-BA92D5F7CF8E}"/>
    <cellStyle name="20% - Accent5 2 3 6 2 4" xfId="15046" xr:uid="{A013D455-FB33-46C0-8906-8E8CD45617DB}"/>
    <cellStyle name="20% - Accent5 2 3 6 3" xfId="19266" xr:uid="{A3CB30A9-4D08-49B9-9D25-95B9FAA8C61A}"/>
    <cellStyle name="20% - Accent5 2 3 6 4" xfId="27701" xr:uid="{06418DD3-3DEC-411A-B201-AE6C60E121BF}"/>
    <cellStyle name="20% - Accent5 2 3 6 5" xfId="10828" xr:uid="{3EBD5FC4-B35F-4BE6-9A07-9269C090A9A8}"/>
    <cellStyle name="20% - Accent5 2 3 7" xfId="4541" xr:uid="{00000000-0005-0000-0000-0000BE020000}"/>
    <cellStyle name="20% - Accent5 2 3 7 2" xfId="21418" xr:uid="{959CD822-F780-4BE2-8F1E-0A232198D1AA}"/>
    <cellStyle name="20% - Accent5 2 3 7 3" xfId="29852" xr:uid="{D267CC8C-F70A-41CF-AF0D-F2C6BEC7F952}"/>
    <cellStyle name="20% - Accent5 2 3 7 4" xfId="12980" xr:uid="{9A5FB704-5393-4FF3-9523-19EB2E2F1C13}"/>
    <cellStyle name="20% - Accent5 2 3 8" xfId="17200" xr:uid="{C295AC34-DEB0-46B0-B7A4-110B78E66633}"/>
    <cellStyle name="20% - Accent5 2 3 9" xfId="25635" xr:uid="{4DF2E95D-2AD9-4665-AECA-6CC67F44DE37}"/>
    <cellStyle name="20% - Accent5 2 4" xfId="603" xr:uid="{00000000-0005-0000-0000-0000BF020000}"/>
    <cellStyle name="20% - Accent5 2 4 2" xfId="2874" xr:uid="{00000000-0005-0000-0000-0000C0020000}"/>
    <cellStyle name="20% - Accent5 2 4 2 2" xfId="7097" xr:uid="{00000000-0005-0000-0000-0000C1020000}"/>
    <cellStyle name="20% - Accent5 2 4 2 2 2" xfId="23974" xr:uid="{C513F734-6DEC-4B59-9D5B-1B15C55CE3F1}"/>
    <cellStyle name="20% - Accent5 2 4 2 2 3" xfId="32408" xr:uid="{34701148-FE0D-4CAD-BA07-79D047E32724}"/>
    <cellStyle name="20% - Accent5 2 4 2 2 4" xfId="15536" xr:uid="{53198896-5FA0-40B2-B343-F9FFFBC15E0E}"/>
    <cellStyle name="20% - Accent5 2 4 2 3" xfId="19756" xr:uid="{ADE94268-E22F-4AB5-9434-1CCBAC0E0AC0}"/>
    <cellStyle name="20% - Accent5 2 4 2 4" xfId="28191" xr:uid="{B6164C61-E992-414B-AB53-FACAABC48974}"/>
    <cellStyle name="20% - Accent5 2 4 2 5" xfId="11318" xr:uid="{6F30BB69-6F42-4CA8-819F-E76A968D4D7B}"/>
    <cellStyle name="20% - Accent5 2 4 3" xfId="4952" xr:uid="{00000000-0005-0000-0000-0000C2020000}"/>
    <cellStyle name="20% - Accent5 2 4 3 2" xfId="21829" xr:uid="{9626AFD5-B46F-43B5-8F2B-ABB6BBEB3978}"/>
    <cellStyle name="20% - Accent5 2 4 3 3" xfId="30263" xr:uid="{9464FD8A-30B1-4314-A496-26781CD993FD}"/>
    <cellStyle name="20% - Accent5 2 4 3 4" xfId="13391" xr:uid="{566E831B-D73D-4CE0-B403-DE87493D20FE}"/>
    <cellStyle name="20% - Accent5 2 4 4" xfId="17611" xr:uid="{0D8C6F26-8576-496B-8CA9-DE284D529743}"/>
    <cellStyle name="20% - Accent5 2 4 5" xfId="26046" xr:uid="{13446226-3BED-48C1-9E61-6D7C0884163F}"/>
    <cellStyle name="20% - Accent5 2 4 6" xfId="9173" xr:uid="{2A25C42F-A003-4F8A-BBD9-21866BD616C1}"/>
    <cellStyle name="20% - Accent5 2 5" xfId="1056" xr:uid="{00000000-0005-0000-0000-0000C3020000}"/>
    <cellStyle name="20% - Accent5 2 5 2" xfId="3287" xr:uid="{00000000-0005-0000-0000-0000C4020000}"/>
    <cellStyle name="20% - Accent5 2 5 2 2" xfId="7510" xr:uid="{00000000-0005-0000-0000-0000C5020000}"/>
    <cellStyle name="20% - Accent5 2 5 2 2 2" xfId="24387" xr:uid="{E10F7E72-3334-45B0-9CAF-1E6B2377E6BC}"/>
    <cellStyle name="20% - Accent5 2 5 2 2 3" xfId="32821" xr:uid="{44833BFD-F390-4AFB-A423-F48AC24028D7}"/>
    <cellStyle name="20% - Accent5 2 5 2 2 4" xfId="15949" xr:uid="{77B17056-1075-4EFC-96F4-5D4E078994FB}"/>
    <cellStyle name="20% - Accent5 2 5 2 3" xfId="20169" xr:uid="{723C5F33-5226-4FD0-B6EA-D31D7623226F}"/>
    <cellStyle name="20% - Accent5 2 5 2 4" xfId="28604" xr:uid="{6038516B-2A09-4FE6-B352-04B2E2AFFD96}"/>
    <cellStyle name="20% - Accent5 2 5 2 5" xfId="11731" xr:uid="{6B98D294-689C-4BDB-9244-5704BA8FC487}"/>
    <cellStyle name="20% - Accent5 2 5 3" xfId="5365" xr:uid="{00000000-0005-0000-0000-0000C6020000}"/>
    <cellStyle name="20% - Accent5 2 5 3 2" xfId="22242" xr:uid="{326C579A-AC82-40AD-BD26-8F1394CFEDDA}"/>
    <cellStyle name="20% - Accent5 2 5 3 3" xfId="30676" xr:uid="{674D7F5E-C941-4879-B9B3-C178311A3CEF}"/>
    <cellStyle name="20% - Accent5 2 5 3 4" xfId="13804" xr:uid="{F3EBEE89-D4CF-4013-AE95-2C1E73AF5E72}"/>
    <cellStyle name="20% - Accent5 2 5 4" xfId="18024" xr:uid="{5C1B4B07-E7E4-46F8-A495-209DF20A10CA}"/>
    <cellStyle name="20% - Accent5 2 5 5" xfId="26459" xr:uid="{88CDD45B-D031-4C5F-9F6F-3BA8FF0E9876}"/>
    <cellStyle name="20% - Accent5 2 5 6" xfId="9586" xr:uid="{7888650F-9AF8-4A82-A4A5-516B7C63938D}"/>
    <cellStyle name="20% - Accent5 2 6" xfId="1470" xr:uid="{00000000-0005-0000-0000-0000C7020000}"/>
    <cellStyle name="20% - Accent5 2 6 2" xfId="3700" xr:uid="{00000000-0005-0000-0000-0000C8020000}"/>
    <cellStyle name="20% - Accent5 2 6 2 2" xfId="7923" xr:uid="{00000000-0005-0000-0000-0000C9020000}"/>
    <cellStyle name="20% - Accent5 2 6 2 2 2" xfId="24800" xr:uid="{895EC2B5-E71A-4F46-B8D0-63FB6DFDCB65}"/>
    <cellStyle name="20% - Accent5 2 6 2 2 3" xfId="33234" xr:uid="{EB7E9B53-D697-409F-B010-B2256C49C8A9}"/>
    <cellStyle name="20% - Accent5 2 6 2 2 4" xfId="16362" xr:uid="{B37377FE-0DE9-4639-ACA6-2BA24D253C63}"/>
    <cellStyle name="20% - Accent5 2 6 2 3" xfId="20582" xr:uid="{A099C66A-4881-4EA6-BE5A-49A606391608}"/>
    <cellStyle name="20% - Accent5 2 6 2 4" xfId="29017" xr:uid="{9DCC862B-0C0A-4312-9AC5-BE8E53B67935}"/>
    <cellStyle name="20% - Accent5 2 6 2 5" xfId="12144" xr:uid="{7AC38ADC-26EB-4DDC-AD3E-157DFC22F069}"/>
    <cellStyle name="20% - Accent5 2 6 3" xfId="5778" xr:uid="{00000000-0005-0000-0000-0000CA020000}"/>
    <cellStyle name="20% - Accent5 2 6 3 2" xfId="22655" xr:uid="{62A45F44-CCEE-41D8-9796-103CABEE8EF0}"/>
    <cellStyle name="20% - Accent5 2 6 3 3" xfId="31089" xr:uid="{13D6F1A7-8995-4614-B674-397299492E85}"/>
    <cellStyle name="20% - Accent5 2 6 3 4" xfId="14217" xr:uid="{4D1FC8C3-B255-4FF3-9672-1316C2F300D1}"/>
    <cellStyle name="20% - Accent5 2 6 4" xfId="18437" xr:uid="{91483506-8D4D-45B2-8942-93126D7B9AE3}"/>
    <cellStyle name="20% - Accent5 2 6 5" xfId="26872" xr:uid="{0CF07CD4-B4F4-4057-A302-BA9D233081B8}"/>
    <cellStyle name="20% - Accent5 2 6 6" xfId="9999" xr:uid="{E861398B-3C51-43E8-8511-240DA6DA35F7}"/>
    <cellStyle name="20% - Accent5 2 7" xfId="1884" xr:uid="{00000000-0005-0000-0000-0000CB020000}"/>
    <cellStyle name="20% - Accent5 2 7 2" xfId="4113" xr:uid="{00000000-0005-0000-0000-0000CC020000}"/>
    <cellStyle name="20% - Accent5 2 7 2 2" xfId="8336" xr:uid="{00000000-0005-0000-0000-0000CD020000}"/>
    <cellStyle name="20% - Accent5 2 7 2 2 2" xfId="25213" xr:uid="{F29B2302-84EC-4A60-9E19-19E7D3474275}"/>
    <cellStyle name="20% - Accent5 2 7 2 2 3" xfId="33647" xr:uid="{C3814B1B-4497-48D4-B429-1597DDAA993B}"/>
    <cellStyle name="20% - Accent5 2 7 2 2 4" xfId="16775" xr:uid="{04969BA6-62EA-47AA-B3AB-CC4F5BBC14DF}"/>
    <cellStyle name="20% - Accent5 2 7 2 3" xfId="20995" xr:uid="{374D571E-D79E-4FAC-8797-70A55E3A100F}"/>
    <cellStyle name="20% - Accent5 2 7 2 4" xfId="29430" xr:uid="{2E6D29A4-7E78-4FF8-8627-9E2CDC23231B}"/>
    <cellStyle name="20% - Accent5 2 7 2 5" xfId="12557" xr:uid="{660BF1AF-40C5-4B4C-BF76-89E28DA36DEE}"/>
    <cellStyle name="20% - Accent5 2 7 3" xfId="6191" xr:uid="{00000000-0005-0000-0000-0000CE020000}"/>
    <cellStyle name="20% - Accent5 2 7 3 2" xfId="23068" xr:uid="{4269B524-2640-42F1-B93D-BB361E05AF31}"/>
    <cellStyle name="20% - Accent5 2 7 3 3" xfId="31502" xr:uid="{CB44E82A-7D80-4A34-9E26-82C6CF29CC0A}"/>
    <cellStyle name="20% - Accent5 2 7 3 4" xfId="14630" xr:uid="{B79AA222-2772-4693-ACFF-53B5FBD9AE92}"/>
    <cellStyle name="20% - Accent5 2 7 4" xfId="18850" xr:uid="{41AC3732-2679-491F-9D3D-4C88CBB13283}"/>
    <cellStyle name="20% - Accent5 2 7 5" xfId="27285" xr:uid="{83ACDBFD-01EE-4D08-B4FA-01966F5038DD}"/>
    <cellStyle name="20% - Accent5 2 7 6" xfId="10412" xr:uid="{8F7B576D-E1C4-4438-A62F-0B5200213C67}"/>
    <cellStyle name="20% - Accent5 2 8" xfId="2297" xr:uid="{00000000-0005-0000-0000-0000CF020000}"/>
    <cellStyle name="20% - Accent5 2 8 2" xfId="6604" xr:uid="{00000000-0005-0000-0000-0000D0020000}"/>
    <cellStyle name="20% - Accent5 2 8 2 2" xfId="23481" xr:uid="{49CEBF1A-5DF8-432D-B48C-747F5EFEBCF6}"/>
    <cellStyle name="20% - Accent5 2 8 2 3" xfId="31915" xr:uid="{C6D4C895-B0C7-4708-AB33-47155B36917E}"/>
    <cellStyle name="20% - Accent5 2 8 2 4" xfId="15043" xr:uid="{5F4D1557-1EA0-4ECB-BA7B-13A6E415BE58}"/>
    <cellStyle name="20% - Accent5 2 8 3" xfId="19263" xr:uid="{B550A5B0-DEE0-4F70-907E-A966E7B867DD}"/>
    <cellStyle name="20% - Accent5 2 8 4" xfId="27698" xr:uid="{A915459C-1142-4099-AD71-FB39415836B2}"/>
    <cellStyle name="20% - Accent5 2 8 5" xfId="10825" xr:uid="{9CBD1A00-9D6C-41A4-91BC-BB367C82A3B4}"/>
    <cellStyle name="20% - Accent5 2 9" xfId="4538" xr:uid="{00000000-0005-0000-0000-0000D1020000}"/>
    <cellStyle name="20% - Accent5 2 9 2" xfId="21415" xr:uid="{B910ED58-4051-4753-B8B5-5C389260BA92}"/>
    <cellStyle name="20% - Accent5 2 9 3" xfId="29849" xr:uid="{4E5D9D04-79A4-425A-B57F-320AD0D59B82}"/>
    <cellStyle name="20% - Accent5 2 9 4" xfId="12977" xr:uid="{91EF76EB-1381-4CBC-A8FE-B643A5B95599}"/>
    <cellStyle name="20% - Accent5 3" xfId="38" xr:uid="{00000000-0005-0000-0000-0000D2020000}"/>
    <cellStyle name="20% - Accent5 3 10" xfId="25636" xr:uid="{65E1A570-4781-4EC8-96CE-E03663F53271}"/>
    <cellStyle name="20% - Accent5 3 11" xfId="8763" xr:uid="{A733E3EB-1FE8-4996-B9BF-419D80F787EE}"/>
    <cellStyle name="20% - Accent5 3 2" xfId="39" xr:uid="{00000000-0005-0000-0000-0000D3020000}"/>
    <cellStyle name="20% - Accent5 3 2 10" xfId="8764" xr:uid="{041CD2F5-64E7-422C-B87E-4C47E7145D63}"/>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23979" xr:uid="{D3F396CE-7DCF-4670-AA32-48532D23B1D7}"/>
    <cellStyle name="20% - Accent5 3 2 2 2 2 3" xfId="32413" xr:uid="{A025C857-599D-4CE0-9926-394E78D4CA49}"/>
    <cellStyle name="20% - Accent5 3 2 2 2 2 4" xfId="15541" xr:uid="{AD0931BE-7648-4C6F-8D31-FCC511CAEB06}"/>
    <cellStyle name="20% - Accent5 3 2 2 2 3" xfId="19761" xr:uid="{550DB9E1-2297-457F-92A2-F754AF3292B5}"/>
    <cellStyle name="20% - Accent5 3 2 2 2 4" xfId="28196" xr:uid="{8C7107D6-9EBF-466C-BA71-F3D6146F603B}"/>
    <cellStyle name="20% - Accent5 3 2 2 2 5" xfId="11323" xr:uid="{6351F92B-43E6-4663-A7B5-014A2FD393A6}"/>
    <cellStyle name="20% - Accent5 3 2 2 3" xfId="4957" xr:uid="{00000000-0005-0000-0000-0000D7020000}"/>
    <cellStyle name="20% - Accent5 3 2 2 3 2" xfId="21834" xr:uid="{14571F50-C998-419A-BBFE-224CED34FD69}"/>
    <cellStyle name="20% - Accent5 3 2 2 3 3" xfId="30268" xr:uid="{687C76A8-8A97-45EF-9A16-F70AD319CD76}"/>
    <cellStyle name="20% - Accent5 3 2 2 3 4" xfId="13396" xr:uid="{3926FB4C-0FB5-47D0-B744-147CCF02CA47}"/>
    <cellStyle name="20% - Accent5 3 2 2 4" xfId="17616" xr:uid="{4A33750D-1971-4896-90AD-2280A42565A5}"/>
    <cellStyle name="20% - Accent5 3 2 2 5" xfId="26051" xr:uid="{E3D7EA6E-4319-48AC-BFB5-83898828D942}"/>
    <cellStyle name="20% - Accent5 3 2 2 6" xfId="9178" xr:uid="{D81F54E2-71A7-423C-8D3F-67D616492E40}"/>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24392" xr:uid="{79CF391A-C194-4DDF-BB4A-F2CBD47F2F7E}"/>
    <cellStyle name="20% - Accent5 3 2 3 2 2 3" xfId="32826" xr:uid="{5ECCE080-83DB-4104-AF36-C98738C1B2DD}"/>
    <cellStyle name="20% - Accent5 3 2 3 2 2 4" xfId="15954" xr:uid="{7C41306E-42D9-47CD-A439-13105E6FF595}"/>
    <cellStyle name="20% - Accent5 3 2 3 2 3" xfId="20174" xr:uid="{CBE26EB8-934B-41F5-BF3A-02D323ACA9E6}"/>
    <cellStyle name="20% - Accent5 3 2 3 2 4" xfId="28609" xr:uid="{BA019DFD-21CB-4146-8358-F721444B6B37}"/>
    <cellStyle name="20% - Accent5 3 2 3 2 5" xfId="11736" xr:uid="{3FE93AC3-C6D1-4746-B7E7-0FD2D6B7F8AC}"/>
    <cellStyle name="20% - Accent5 3 2 3 3" xfId="5370" xr:uid="{00000000-0005-0000-0000-0000DB020000}"/>
    <cellStyle name="20% - Accent5 3 2 3 3 2" xfId="22247" xr:uid="{7BEACE64-26D8-462D-9F19-554F13437690}"/>
    <cellStyle name="20% - Accent5 3 2 3 3 3" xfId="30681" xr:uid="{827138A0-14C6-4CB7-AABA-D98D7B127EB6}"/>
    <cellStyle name="20% - Accent5 3 2 3 3 4" xfId="13809" xr:uid="{19D92299-CD8E-452B-B9D2-1285B311E3B9}"/>
    <cellStyle name="20% - Accent5 3 2 3 4" xfId="18029" xr:uid="{A51FA9FF-B12E-4578-85F6-7F44B826ABE3}"/>
    <cellStyle name="20% - Accent5 3 2 3 5" xfId="26464" xr:uid="{555D31ED-F515-4172-B836-8CFC5DC7EBC4}"/>
    <cellStyle name="20% - Accent5 3 2 3 6" xfId="9591" xr:uid="{6F1FCF00-19CA-44F7-9698-998D4E0E0E0D}"/>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24805" xr:uid="{5D09BF26-1231-436D-92A3-40B152CCC8E1}"/>
    <cellStyle name="20% - Accent5 3 2 4 2 2 3" xfId="33239" xr:uid="{9AEAD885-FD17-4C9B-B757-02E69325F8F0}"/>
    <cellStyle name="20% - Accent5 3 2 4 2 2 4" xfId="16367" xr:uid="{9DF8337B-03C4-4A5E-853E-CF3DB3D7C671}"/>
    <cellStyle name="20% - Accent5 3 2 4 2 3" xfId="20587" xr:uid="{EA654AAC-34CC-425D-9166-142988034626}"/>
    <cellStyle name="20% - Accent5 3 2 4 2 4" xfId="29022" xr:uid="{D99CDB41-7FF8-4A6C-8800-6267F9DF47DA}"/>
    <cellStyle name="20% - Accent5 3 2 4 2 5" xfId="12149" xr:uid="{2045E175-6279-4645-9890-15555B2030C9}"/>
    <cellStyle name="20% - Accent5 3 2 4 3" xfId="5783" xr:uid="{00000000-0005-0000-0000-0000DF020000}"/>
    <cellStyle name="20% - Accent5 3 2 4 3 2" xfId="22660" xr:uid="{89691D38-A0F4-418A-8AEC-3774A95AD66E}"/>
    <cellStyle name="20% - Accent5 3 2 4 3 3" xfId="31094" xr:uid="{FD73DB1E-A12E-4D8D-8272-10DF14A8FD46}"/>
    <cellStyle name="20% - Accent5 3 2 4 3 4" xfId="14222" xr:uid="{486634CE-EBC2-44B0-9E81-8D03C6ED1165}"/>
    <cellStyle name="20% - Accent5 3 2 4 4" xfId="18442" xr:uid="{678CAB96-77A4-4B85-8B76-5E68BBEA7738}"/>
    <cellStyle name="20% - Accent5 3 2 4 5" xfId="26877" xr:uid="{707D2659-09DE-4D4D-B752-5B09502A7235}"/>
    <cellStyle name="20% - Accent5 3 2 4 6" xfId="10004" xr:uid="{94C56449-C563-4C9A-82CC-63CA5986455D}"/>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25218" xr:uid="{799EF798-A103-4882-9B4A-AA65DF4A06AF}"/>
    <cellStyle name="20% - Accent5 3 2 5 2 2 3" xfId="33652" xr:uid="{ED977527-2E2A-4CCB-92C3-F8A9128407F5}"/>
    <cellStyle name="20% - Accent5 3 2 5 2 2 4" xfId="16780" xr:uid="{2FEDC8D0-C94A-4B02-8831-E1EC09C1C4AD}"/>
    <cellStyle name="20% - Accent5 3 2 5 2 3" xfId="21000" xr:uid="{BB68C6E4-89FB-4713-B141-3E1353060625}"/>
    <cellStyle name="20% - Accent5 3 2 5 2 4" xfId="29435" xr:uid="{B3061CE7-181C-460F-8653-BF5581E729CA}"/>
    <cellStyle name="20% - Accent5 3 2 5 2 5" xfId="12562" xr:uid="{E847AA35-A06D-4B48-811E-ED6C0ACC06E2}"/>
    <cellStyle name="20% - Accent5 3 2 5 3" xfId="6196" xr:uid="{00000000-0005-0000-0000-0000E3020000}"/>
    <cellStyle name="20% - Accent5 3 2 5 3 2" xfId="23073" xr:uid="{39DA90A8-1222-4A5E-8C03-56C519669404}"/>
    <cellStyle name="20% - Accent5 3 2 5 3 3" xfId="31507" xr:uid="{49857FC5-FAAC-43BC-9740-A1AFE6AA890D}"/>
    <cellStyle name="20% - Accent5 3 2 5 3 4" xfId="14635" xr:uid="{0C7FB0C9-3719-42CD-B90D-42038E7E3605}"/>
    <cellStyle name="20% - Accent5 3 2 5 4" xfId="18855" xr:uid="{76FC0B39-49DA-4DF9-9937-7E556A778CD6}"/>
    <cellStyle name="20% - Accent5 3 2 5 5" xfId="27290" xr:uid="{939ED735-17DA-4276-AC5F-8E66AD040C8A}"/>
    <cellStyle name="20% - Accent5 3 2 5 6" xfId="10417" xr:uid="{08984BEF-F6CA-4B21-A5E6-EE5F77F7E033}"/>
    <cellStyle name="20% - Accent5 3 2 6" xfId="2302" xr:uid="{00000000-0005-0000-0000-0000E4020000}"/>
    <cellStyle name="20% - Accent5 3 2 6 2" xfId="6609" xr:uid="{00000000-0005-0000-0000-0000E5020000}"/>
    <cellStyle name="20% - Accent5 3 2 6 2 2" xfId="23486" xr:uid="{0E965CD3-0DAF-4B1F-B7BD-D8F4BA70C81E}"/>
    <cellStyle name="20% - Accent5 3 2 6 2 3" xfId="31920" xr:uid="{82348629-2F32-4038-86F4-3210AC4631F9}"/>
    <cellStyle name="20% - Accent5 3 2 6 2 4" xfId="15048" xr:uid="{D2C9DF2C-6D54-478E-9DE2-4B629DF287B1}"/>
    <cellStyle name="20% - Accent5 3 2 6 3" xfId="19268" xr:uid="{661BC156-F2D5-4FAA-8BA3-93BF31069395}"/>
    <cellStyle name="20% - Accent5 3 2 6 4" xfId="27703" xr:uid="{EE33EF53-9799-4FB3-BACB-57674028E7A1}"/>
    <cellStyle name="20% - Accent5 3 2 6 5" xfId="10830" xr:uid="{75ACDAD4-3701-4ED6-A416-1E121434C5CA}"/>
    <cellStyle name="20% - Accent5 3 2 7" xfId="4543" xr:uid="{00000000-0005-0000-0000-0000E6020000}"/>
    <cellStyle name="20% - Accent5 3 2 7 2" xfId="21420" xr:uid="{353AE683-4693-4411-87AF-B5E27E0D323A}"/>
    <cellStyle name="20% - Accent5 3 2 7 3" xfId="29854" xr:uid="{446B2385-30B9-4099-AFA1-B26CE375D060}"/>
    <cellStyle name="20% - Accent5 3 2 7 4" xfId="12982" xr:uid="{44C5A873-AE59-4846-B78A-F6A866DFA3A9}"/>
    <cellStyle name="20% - Accent5 3 2 8" xfId="17202" xr:uid="{F1FBD2A4-15BD-4166-B02E-F8419A026F30}"/>
    <cellStyle name="20% - Accent5 3 2 9" xfId="25637" xr:uid="{1C6589E2-EAB7-4CAC-87B3-768D8AC096CD}"/>
    <cellStyle name="20% - Accent5 3 3" xfId="607" xr:uid="{00000000-0005-0000-0000-0000E7020000}"/>
    <cellStyle name="20% - Accent5 3 3 2" xfId="2878" xr:uid="{00000000-0005-0000-0000-0000E8020000}"/>
    <cellStyle name="20% - Accent5 3 3 2 2" xfId="7101" xr:uid="{00000000-0005-0000-0000-0000E9020000}"/>
    <cellStyle name="20% - Accent5 3 3 2 2 2" xfId="23978" xr:uid="{AD29513E-C512-4ADD-9B48-BED0DD43E1C3}"/>
    <cellStyle name="20% - Accent5 3 3 2 2 3" xfId="32412" xr:uid="{D9AF6B73-45D2-4F8E-8B8A-AA21161EBE39}"/>
    <cellStyle name="20% - Accent5 3 3 2 2 4" xfId="15540" xr:uid="{EE1EBC2A-B5EF-4D33-8472-A0EAEFBABDB3}"/>
    <cellStyle name="20% - Accent5 3 3 2 3" xfId="19760" xr:uid="{8D2FD326-4A48-4FF3-9207-5FBABA4C1EFF}"/>
    <cellStyle name="20% - Accent5 3 3 2 4" xfId="28195" xr:uid="{5BEA2EEE-3EE8-4D13-A199-4086497082A2}"/>
    <cellStyle name="20% - Accent5 3 3 2 5" xfId="11322" xr:uid="{F402B94F-FA03-48B8-956D-21EDF977346D}"/>
    <cellStyle name="20% - Accent5 3 3 3" xfId="4956" xr:uid="{00000000-0005-0000-0000-0000EA020000}"/>
    <cellStyle name="20% - Accent5 3 3 3 2" xfId="21833" xr:uid="{4D5868C6-F73B-4EFA-A330-6A9FF1A0A7A4}"/>
    <cellStyle name="20% - Accent5 3 3 3 3" xfId="30267" xr:uid="{CB240C6F-A1C1-4ADB-A365-7B94DDA3ACF4}"/>
    <cellStyle name="20% - Accent5 3 3 3 4" xfId="13395" xr:uid="{DA76C376-14BE-4F39-A437-8902B990B1D9}"/>
    <cellStyle name="20% - Accent5 3 3 4" xfId="17615" xr:uid="{1B7E11C0-4A95-4001-B088-728450C266E5}"/>
    <cellStyle name="20% - Accent5 3 3 5" xfId="26050" xr:uid="{0B3A8E5F-D192-44E0-8B3B-57F639529220}"/>
    <cellStyle name="20% - Accent5 3 3 6" xfId="9177" xr:uid="{75700913-04C0-405B-838C-97F16B040C7F}"/>
    <cellStyle name="20% - Accent5 3 4" xfId="1060" xr:uid="{00000000-0005-0000-0000-0000EB020000}"/>
    <cellStyle name="20% - Accent5 3 4 2" xfId="3291" xr:uid="{00000000-0005-0000-0000-0000EC020000}"/>
    <cellStyle name="20% - Accent5 3 4 2 2" xfId="7514" xr:uid="{00000000-0005-0000-0000-0000ED020000}"/>
    <cellStyle name="20% - Accent5 3 4 2 2 2" xfId="24391" xr:uid="{3A0C8F59-275A-4394-9EC2-9CCD7299EC6C}"/>
    <cellStyle name="20% - Accent5 3 4 2 2 3" xfId="32825" xr:uid="{AC023B63-5ABD-4FF1-838A-92D122FD6057}"/>
    <cellStyle name="20% - Accent5 3 4 2 2 4" xfId="15953" xr:uid="{383918C7-B010-46B2-AED7-DDB24BC293CA}"/>
    <cellStyle name="20% - Accent5 3 4 2 3" xfId="20173" xr:uid="{65BF76D7-949D-4157-8B5B-AC28E34ED8A9}"/>
    <cellStyle name="20% - Accent5 3 4 2 4" xfId="28608" xr:uid="{D8D87BA1-8A8B-4F1B-B57E-BDE9E448610C}"/>
    <cellStyle name="20% - Accent5 3 4 2 5" xfId="11735" xr:uid="{4C629513-6395-4502-8C71-891BB6856191}"/>
    <cellStyle name="20% - Accent5 3 4 3" xfId="5369" xr:uid="{00000000-0005-0000-0000-0000EE020000}"/>
    <cellStyle name="20% - Accent5 3 4 3 2" xfId="22246" xr:uid="{0D22AD33-95FA-424E-8F73-F1215CFAF71A}"/>
    <cellStyle name="20% - Accent5 3 4 3 3" xfId="30680" xr:uid="{7DB3C07F-867A-4D75-9180-FA37FBEC8657}"/>
    <cellStyle name="20% - Accent5 3 4 3 4" xfId="13808" xr:uid="{BCACE583-BF78-4DCC-A080-C2B084494CB0}"/>
    <cellStyle name="20% - Accent5 3 4 4" xfId="18028" xr:uid="{53EF36DD-CB98-47B2-BF5B-536D0426BB32}"/>
    <cellStyle name="20% - Accent5 3 4 5" xfId="26463" xr:uid="{70D70631-8E47-4F16-9044-DBED6FDD0FB9}"/>
    <cellStyle name="20% - Accent5 3 4 6" xfId="9590" xr:uid="{E21C4F53-7512-4D7F-A981-2C7F896827C4}"/>
    <cellStyle name="20% - Accent5 3 5" xfId="1474" xr:uid="{00000000-0005-0000-0000-0000EF020000}"/>
    <cellStyle name="20% - Accent5 3 5 2" xfId="3704" xr:uid="{00000000-0005-0000-0000-0000F0020000}"/>
    <cellStyle name="20% - Accent5 3 5 2 2" xfId="7927" xr:uid="{00000000-0005-0000-0000-0000F1020000}"/>
    <cellStyle name="20% - Accent5 3 5 2 2 2" xfId="24804" xr:uid="{1290D8AF-04EB-44BA-A743-52FF0DD5530C}"/>
    <cellStyle name="20% - Accent5 3 5 2 2 3" xfId="33238" xr:uid="{C68AE5D0-CAEE-467B-A79C-79868037AE82}"/>
    <cellStyle name="20% - Accent5 3 5 2 2 4" xfId="16366" xr:uid="{CC982601-4AC2-439F-83A4-477513F6B8D3}"/>
    <cellStyle name="20% - Accent5 3 5 2 3" xfId="20586" xr:uid="{CD2B8E9C-B6E0-4E07-B6B2-2DC285778E1C}"/>
    <cellStyle name="20% - Accent5 3 5 2 4" xfId="29021" xr:uid="{E77A727F-1EAB-412F-A720-2EEC5F238313}"/>
    <cellStyle name="20% - Accent5 3 5 2 5" xfId="12148" xr:uid="{94D52948-0BBD-454D-BCB4-E6336CE9C35E}"/>
    <cellStyle name="20% - Accent5 3 5 3" xfId="5782" xr:uid="{00000000-0005-0000-0000-0000F2020000}"/>
    <cellStyle name="20% - Accent5 3 5 3 2" xfId="22659" xr:uid="{7BA44ACE-8147-4888-B592-7D7BE2743C58}"/>
    <cellStyle name="20% - Accent5 3 5 3 3" xfId="31093" xr:uid="{F2E69826-C953-44F5-BDB1-FFB67C0160A4}"/>
    <cellStyle name="20% - Accent5 3 5 3 4" xfId="14221" xr:uid="{4A1E2A68-5996-49EE-88E1-0BC9115A725B}"/>
    <cellStyle name="20% - Accent5 3 5 4" xfId="18441" xr:uid="{3EC7CA3B-55FD-445E-9FDA-26974D3F69F6}"/>
    <cellStyle name="20% - Accent5 3 5 5" xfId="26876" xr:uid="{05766425-7002-48B4-BE33-A45F31482CF6}"/>
    <cellStyle name="20% - Accent5 3 5 6" xfId="10003" xr:uid="{C63422C7-C8F4-4347-8AE4-D20BD5D5F6E0}"/>
    <cellStyle name="20% - Accent5 3 6" xfId="1888" xr:uid="{00000000-0005-0000-0000-0000F3020000}"/>
    <cellStyle name="20% - Accent5 3 6 2" xfId="4117" xr:uid="{00000000-0005-0000-0000-0000F4020000}"/>
    <cellStyle name="20% - Accent5 3 6 2 2" xfId="8340" xr:uid="{00000000-0005-0000-0000-0000F5020000}"/>
    <cellStyle name="20% - Accent5 3 6 2 2 2" xfId="25217" xr:uid="{F7BE63CC-BB6B-469C-BF4F-20AAF77B801F}"/>
    <cellStyle name="20% - Accent5 3 6 2 2 3" xfId="33651" xr:uid="{68869801-D7BD-40E1-9BE5-46CA86200788}"/>
    <cellStyle name="20% - Accent5 3 6 2 2 4" xfId="16779" xr:uid="{7BD9B9C6-4C3B-4FC9-A40B-4567438AF49D}"/>
    <cellStyle name="20% - Accent5 3 6 2 3" xfId="20999" xr:uid="{95799481-6976-43BC-AC59-4111B6442849}"/>
    <cellStyle name="20% - Accent5 3 6 2 4" xfId="29434" xr:uid="{50014F98-05F3-4C10-A2F0-44ACCBBC0B3E}"/>
    <cellStyle name="20% - Accent5 3 6 2 5" xfId="12561" xr:uid="{525F2D39-11D3-4CA9-B495-649156AD3545}"/>
    <cellStyle name="20% - Accent5 3 6 3" xfId="6195" xr:uid="{00000000-0005-0000-0000-0000F6020000}"/>
    <cellStyle name="20% - Accent5 3 6 3 2" xfId="23072" xr:uid="{9F425B21-6F2B-4F4B-AA53-5058D603032D}"/>
    <cellStyle name="20% - Accent5 3 6 3 3" xfId="31506" xr:uid="{A2059826-F824-4FEC-A6D7-B68E6F616E81}"/>
    <cellStyle name="20% - Accent5 3 6 3 4" xfId="14634" xr:uid="{5547CBE6-03F6-46F2-B432-F8C2DEDA934A}"/>
    <cellStyle name="20% - Accent5 3 6 4" xfId="18854" xr:uid="{C6E2D56A-453C-4BD4-BD22-1E69EF208273}"/>
    <cellStyle name="20% - Accent5 3 6 5" xfId="27289" xr:uid="{9ACD9441-C1BC-4D57-AE7D-694122CFC3D0}"/>
    <cellStyle name="20% - Accent5 3 6 6" xfId="10416" xr:uid="{2E87B363-C7C0-47BC-B2DE-192701DC89D6}"/>
    <cellStyle name="20% - Accent5 3 7" xfId="2301" xr:uid="{00000000-0005-0000-0000-0000F7020000}"/>
    <cellStyle name="20% - Accent5 3 7 2" xfId="6608" xr:uid="{00000000-0005-0000-0000-0000F8020000}"/>
    <cellStyle name="20% - Accent5 3 7 2 2" xfId="23485" xr:uid="{B84F467A-28F3-4455-9B16-07E9C2E66097}"/>
    <cellStyle name="20% - Accent5 3 7 2 3" xfId="31919" xr:uid="{D82725B1-C1E7-4356-B987-B644344D04A3}"/>
    <cellStyle name="20% - Accent5 3 7 2 4" xfId="15047" xr:uid="{3D43AF94-5370-40DA-806B-AED78D8B7645}"/>
    <cellStyle name="20% - Accent5 3 7 3" xfId="19267" xr:uid="{A269C1BD-417B-45EE-B4C0-06F54F5DEF57}"/>
    <cellStyle name="20% - Accent5 3 7 4" xfId="27702" xr:uid="{9F17C7F0-E252-4DB8-B5AB-BE99421049B8}"/>
    <cellStyle name="20% - Accent5 3 7 5" xfId="10829" xr:uid="{4DEB1E4B-5A32-44E1-BC45-F241DF792D64}"/>
    <cellStyle name="20% - Accent5 3 8" xfId="4542" xr:uid="{00000000-0005-0000-0000-0000F9020000}"/>
    <cellStyle name="20% - Accent5 3 8 2" xfId="21419" xr:uid="{7C4F3D78-46E6-4553-90DD-6EB749B36342}"/>
    <cellStyle name="20% - Accent5 3 8 3" xfId="29853" xr:uid="{FD8DD841-0AEE-462E-AB9B-D0B289775A6C}"/>
    <cellStyle name="20% - Accent5 3 8 4" xfId="12981" xr:uid="{90C06E41-1E5D-4865-B017-44B0A41787BE}"/>
    <cellStyle name="20% - Accent5 3 9" xfId="17201" xr:uid="{688B7FFB-438E-410B-835E-52ACABAA0964}"/>
    <cellStyle name="20% - Accent5 4" xfId="40" xr:uid="{00000000-0005-0000-0000-0000FA020000}"/>
    <cellStyle name="20% - Accent5 4 10" xfId="8765" xr:uid="{5A3C2EBF-9AF3-4AF3-A9EA-554584B59092}"/>
    <cellStyle name="20% - Accent5 4 2" xfId="609" xr:uid="{00000000-0005-0000-0000-0000FB020000}"/>
    <cellStyle name="20% - Accent5 4 2 2" xfId="2880" xr:uid="{00000000-0005-0000-0000-0000FC020000}"/>
    <cellStyle name="20% - Accent5 4 2 2 2" xfId="7103" xr:uid="{00000000-0005-0000-0000-0000FD020000}"/>
    <cellStyle name="20% - Accent5 4 2 2 2 2" xfId="23980" xr:uid="{D4430768-2C64-44E7-A78C-C92ABBA28EC7}"/>
    <cellStyle name="20% - Accent5 4 2 2 2 3" xfId="32414" xr:uid="{BFB23351-6F39-46C2-B3DE-615C9F24BA79}"/>
    <cellStyle name="20% - Accent5 4 2 2 2 4" xfId="15542" xr:uid="{947342AA-4B01-40B2-A342-6861D3BBF17A}"/>
    <cellStyle name="20% - Accent5 4 2 2 3" xfId="19762" xr:uid="{E8B2F6AC-FE00-43BC-832E-59C9C734AD63}"/>
    <cellStyle name="20% - Accent5 4 2 2 4" xfId="28197" xr:uid="{1A83B239-0C1E-45DD-BE2F-74CB0C07BF01}"/>
    <cellStyle name="20% - Accent5 4 2 2 5" xfId="11324" xr:uid="{DFAB6071-BE15-4C90-91C8-1AD97CE04789}"/>
    <cellStyle name="20% - Accent5 4 2 3" xfId="4958" xr:uid="{00000000-0005-0000-0000-0000FE020000}"/>
    <cellStyle name="20% - Accent5 4 2 3 2" xfId="21835" xr:uid="{642034D1-5EBF-4768-8F17-5F5F9B6694AF}"/>
    <cellStyle name="20% - Accent5 4 2 3 3" xfId="30269" xr:uid="{7CA9EBCA-A8FF-4BB0-A7CE-6499EBAF4976}"/>
    <cellStyle name="20% - Accent5 4 2 3 4" xfId="13397" xr:uid="{25CD3A09-2A55-4C69-9469-0A48E38ED3C1}"/>
    <cellStyle name="20% - Accent5 4 2 4" xfId="17617" xr:uid="{8121A11F-EE60-4E62-840C-7BBCD19F2A16}"/>
    <cellStyle name="20% - Accent5 4 2 5" xfId="26052" xr:uid="{29830C9C-FB9F-4FDB-856E-CACEC7B5C036}"/>
    <cellStyle name="20% - Accent5 4 2 6" xfId="9179" xr:uid="{B08B82CC-2E0C-4293-952D-32A3B93F4F90}"/>
    <cellStyle name="20% - Accent5 4 3" xfId="1062" xr:uid="{00000000-0005-0000-0000-0000FF020000}"/>
    <cellStyle name="20% - Accent5 4 3 2" xfId="3293" xr:uid="{00000000-0005-0000-0000-000000030000}"/>
    <cellStyle name="20% - Accent5 4 3 2 2" xfId="7516" xr:uid="{00000000-0005-0000-0000-000001030000}"/>
    <cellStyle name="20% - Accent5 4 3 2 2 2" xfId="24393" xr:uid="{83118D84-5016-47BC-8149-6FF753342D5D}"/>
    <cellStyle name="20% - Accent5 4 3 2 2 3" xfId="32827" xr:uid="{14C794C9-1E4B-4884-A9AF-3D94D389CB90}"/>
    <cellStyle name="20% - Accent5 4 3 2 2 4" xfId="15955" xr:uid="{195AB7BA-B1F3-4DC8-AC20-E8EAD87205F0}"/>
    <cellStyle name="20% - Accent5 4 3 2 3" xfId="20175" xr:uid="{C39DE8AF-B36D-4BAD-8A0C-4CAAD9A8B94D}"/>
    <cellStyle name="20% - Accent5 4 3 2 4" xfId="28610" xr:uid="{D7F8F9DC-76E7-498A-9A53-51D682E0F0B4}"/>
    <cellStyle name="20% - Accent5 4 3 2 5" xfId="11737" xr:uid="{3564F957-4D10-41E4-878B-779B7A3CEBC0}"/>
    <cellStyle name="20% - Accent5 4 3 3" xfId="5371" xr:uid="{00000000-0005-0000-0000-000002030000}"/>
    <cellStyle name="20% - Accent5 4 3 3 2" xfId="22248" xr:uid="{4F40E5DF-4D17-4344-9207-0D714958EB19}"/>
    <cellStyle name="20% - Accent5 4 3 3 3" xfId="30682" xr:uid="{58B3B7CB-B186-4935-AF56-5B042955AF72}"/>
    <cellStyle name="20% - Accent5 4 3 3 4" xfId="13810" xr:uid="{CDA67BC0-06ED-49ED-BC43-9DB9F85E604C}"/>
    <cellStyle name="20% - Accent5 4 3 4" xfId="18030" xr:uid="{3EFA2A65-F1A6-4DAF-9438-FDA3BB34B692}"/>
    <cellStyle name="20% - Accent5 4 3 5" xfId="26465" xr:uid="{FA1C3681-536F-4203-AA72-9DAAD3AB59CA}"/>
    <cellStyle name="20% - Accent5 4 3 6" xfId="9592" xr:uid="{CB184C2C-8503-4692-B9D1-DDA619374525}"/>
    <cellStyle name="20% - Accent5 4 4" xfId="1476" xr:uid="{00000000-0005-0000-0000-000003030000}"/>
    <cellStyle name="20% - Accent5 4 4 2" xfId="3706" xr:uid="{00000000-0005-0000-0000-000004030000}"/>
    <cellStyle name="20% - Accent5 4 4 2 2" xfId="7929" xr:uid="{00000000-0005-0000-0000-000005030000}"/>
    <cellStyle name="20% - Accent5 4 4 2 2 2" xfId="24806" xr:uid="{FE07ABA0-C341-4BFA-B1DC-ABB0EEBE8247}"/>
    <cellStyle name="20% - Accent5 4 4 2 2 3" xfId="33240" xr:uid="{9CF7DB9C-1FF6-41BA-884F-7269CCBA517B}"/>
    <cellStyle name="20% - Accent5 4 4 2 2 4" xfId="16368" xr:uid="{A88BF5B4-DEAD-41BE-8697-CD60410C7E9A}"/>
    <cellStyle name="20% - Accent5 4 4 2 3" xfId="20588" xr:uid="{7DD4939C-1DB6-4372-A162-5DAC982351A8}"/>
    <cellStyle name="20% - Accent5 4 4 2 4" xfId="29023" xr:uid="{6704ACA8-FADD-4F86-B6A2-564F190E467F}"/>
    <cellStyle name="20% - Accent5 4 4 2 5" xfId="12150" xr:uid="{66E274E2-7F6B-4A3E-BC76-7289DCF7E035}"/>
    <cellStyle name="20% - Accent5 4 4 3" xfId="5784" xr:uid="{00000000-0005-0000-0000-000006030000}"/>
    <cellStyle name="20% - Accent5 4 4 3 2" xfId="22661" xr:uid="{FCFD3C4F-B4E6-4885-91AD-479DF1D29931}"/>
    <cellStyle name="20% - Accent5 4 4 3 3" xfId="31095" xr:uid="{B5B74F19-C9AF-4966-A9AD-C1FF3DA6593C}"/>
    <cellStyle name="20% - Accent5 4 4 3 4" xfId="14223" xr:uid="{0DAA7CEA-CEC5-43EF-AB19-156A2B87DF87}"/>
    <cellStyle name="20% - Accent5 4 4 4" xfId="18443" xr:uid="{DCC28578-F578-404F-9F08-AB6E4C3E4D22}"/>
    <cellStyle name="20% - Accent5 4 4 5" xfId="26878" xr:uid="{3DE50F6B-762E-4AD8-903D-DD05ABFE7CB1}"/>
    <cellStyle name="20% - Accent5 4 4 6" xfId="10005" xr:uid="{A5093EBD-B527-4763-80C8-519751FEAAA3}"/>
    <cellStyle name="20% - Accent5 4 5" xfId="1890" xr:uid="{00000000-0005-0000-0000-000007030000}"/>
    <cellStyle name="20% - Accent5 4 5 2" xfId="4119" xr:uid="{00000000-0005-0000-0000-000008030000}"/>
    <cellStyle name="20% - Accent5 4 5 2 2" xfId="8342" xr:uid="{00000000-0005-0000-0000-000009030000}"/>
    <cellStyle name="20% - Accent5 4 5 2 2 2" xfId="25219" xr:uid="{1B395292-A48F-4C81-A075-5D7911D023D4}"/>
    <cellStyle name="20% - Accent5 4 5 2 2 3" xfId="33653" xr:uid="{34FDFA9A-36B2-4F16-95DF-677AA8531813}"/>
    <cellStyle name="20% - Accent5 4 5 2 2 4" xfId="16781" xr:uid="{26BB3001-B1F0-431D-848A-24CDE88D1781}"/>
    <cellStyle name="20% - Accent5 4 5 2 3" xfId="21001" xr:uid="{0E7C8EE8-3B17-4448-B831-16BB487BAEA8}"/>
    <cellStyle name="20% - Accent5 4 5 2 4" xfId="29436" xr:uid="{73FBF2CA-B931-4693-B277-AF40C04B85CF}"/>
    <cellStyle name="20% - Accent5 4 5 2 5" xfId="12563" xr:uid="{C84486C1-5253-4725-8F34-EB5D1B330656}"/>
    <cellStyle name="20% - Accent5 4 5 3" xfId="6197" xr:uid="{00000000-0005-0000-0000-00000A030000}"/>
    <cellStyle name="20% - Accent5 4 5 3 2" xfId="23074" xr:uid="{5387426F-738E-419B-8031-EE8B488E064B}"/>
    <cellStyle name="20% - Accent5 4 5 3 3" xfId="31508" xr:uid="{2F723CD2-04EA-4F38-98F1-5248B7EC3D26}"/>
    <cellStyle name="20% - Accent5 4 5 3 4" xfId="14636" xr:uid="{7A6F354A-2F99-4E3B-8088-18DB40D11F13}"/>
    <cellStyle name="20% - Accent5 4 5 4" xfId="18856" xr:uid="{EE971A0D-E21E-4A34-B4B8-E954836B482B}"/>
    <cellStyle name="20% - Accent5 4 5 5" xfId="27291" xr:uid="{8D36D4B6-5F8C-4051-B37A-6C9465E6466C}"/>
    <cellStyle name="20% - Accent5 4 5 6" xfId="10418" xr:uid="{6A1D6F06-8A0F-4F96-84F7-826821C33868}"/>
    <cellStyle name="20% - Accent5 4 6" xfId="2303" xr:uid="{00000000-0005-0000-0000-00000B030000}"/>
    <cellStyle name="20% - Accent5 4 6 2" xfId="6610" xr:uid="{00000000-0005-0000-0000-00000C030000}"/>
    <cellStyle name="20% - Accent5 4 6 2 2" xfId="23487" xr:uid="{51CEC220-40E8-4373-9610-A36623710A00}"/>
    <cellStyle name="20% - Accent5 4 6 2 3" xfId="31921" xr:uid="{D34FE308-6B6F-42D3-B63B-2AD31C39B19F}"/>
    <cellStyle name="20% - Accent5 4 6 2 4" xfId="15049" xr:uid="{EB59720F-A9AC-48F9-B4B1-92511AC76154}"/>
    <cellStyle name="20% - Accent5 4 6 3" xfId="19269" xr:uid="{689DF181-E0BC-4376-BAD0-B4F21B021F0B}"/>
    <cellStyle name="20% - Accent5 4 6 4" xfId="27704" xr:uid="{D1CD95AA-4AEA-4F13-9BCB-00E4ABEBDBD8}"/>
    <cellStyle name="20% - Accent5 4 6 5" xfId="10831" xr:uid="{F3C23C56-9FD3-4D89-A88B-35995EDF6D31}"/>
    <cellStyle name="20% - Accent5 4 7" xfId="4544" xr:uid="{00000000-0005-0000-0000-00000D030000}"/>
    <cellStyle name="20% - Accent5 4 7 2" xfId="21421" xr:uid="{34DED67C-A4B0-409D-8DE5-99124D7F9606}"/>
    <cellStyle name="20% - Accent5 4 7 3" xfId="29855" xr:uid="{06C1E928-9338-4879-8D83-89FF3266F3AA}"/>
    <cellStyle name="20% - Accent5 4 7 4" xfId="12983" xr:uid="{875B198C-94F2-42A4-9126-6B7570698018}"/>
    <cellStyle name="20% - Accent5 4 8" xfId="17203" xr:uid="{450BB694-4C88-47B1-AC3C-9894D6E05BC1}"/>
    <cellStyle name="20% - Accent5 4 9" xfId="25638" xr:uid="{72E014DB-DF35-45B0-8143-7A20FC72273C}"/>
    <cellStyle name="20% - Accent5 5" xfId="602" xr:uid="{00000000-0005-0000-0000-00000E030000}"/>
    <cellStyle name="20% - Accent5 5 2" xfId="2873" xr:uid="{00000000-0005-0000-0000-00000F030000}"/>
    <cellStyle name="20% - Accent5 5 2 2" xfId="7096" xr:uid="{00000000-0005-0000-0000-000010030000}"/>
    <cellStyle name="20% - Accent5 5 2 2 2" xfId="23973" xr:uid="{B3899078-4FD0-4101-BCE3-E72072C6C85F}"/>
    <cellStyle name="20% - Accent5 5 2 2 3" xfId="32407" xr:uid="{61E7C182-DF7C-40FF-BB16-DE32AFB673D1}"/>
    <cellStyle name="20% - Accent5 5 2 2 4" xfId="15535" xr:uid="{9A53C4DE-107D-4510-953F-42F724ED2392}"/>
    <cellStyle name="20% - Accent5 5 2 3" xfId="19755" xr:uid="{6994DE42-799C-44D1-AD4A-6A884AD5CB1D}"/>
    <cellStyle name="20% - Accent5 5 2 4" xfId="28190" xr:uid="{D91ACF8E-744D-47BF-8E6E-3A4355BF2065}"/>
    <cellStyle name="20% - Accent5 5 2 5" xfId="11317" xr:uid="{6C1083C2-435E-4697-9018-75F6920243E9}"/>
    <cellStyle name="20% - Accent5 5 3" xfId="4951" xr:uid="{00000000-0005-0000-0000-000011030000}"/>
    <cellStyle name="20% - Accent5 5 3 2" xfId="21828" xr:uid="{70994BF8-954F-4571-AAD2-2018D5DFA083}"/>
    <cellStyle name="20% - Accent5 5 3 3" xfId="30262" xr:uid="{DAFC50AD-EAC6-4CFD-9A51-DE42DA58BE76}"/>
    <cellStyle name="20% - Accent5 5 3 4" xfId="13390" xr:uid="{14F708B5-0A8A-4238-B34C-DE501A2C5F3C}"/>
    <cellStyle name="20% - Accent5 5 4" xfId="17610" xr:uid="{B56107DC-2605-406B-AB6E-09DDD63E36E4}"/>
    <cellStyle name="20% - Accent5 5 5" xfId="26045" xr:uid="{06BE69D0-472B-44D0-A154-036AA111519E}"/>
    <cellStyle name="20% - Accent5 5 6" xfId="9172" xr:uid="{E0917A3A-E9FB-4CF6-AF5B-5C816301605A}"/>
    <cellStyle name="20% - Accent5 6" xfId="1055" xr:uid="{00000000-0005-0000-0000-000012030000}"/>
    <cellStyle name="20% - Accent5 6 2" xfId="3286" xr:uid="{00000000-0005-0000-0000-000013030000}"/>
    <cellStyle name="20% - Accent5 6 2 2" xfId="7509" xr:uid="{00000000-0005-0000-0000-000014030000}"/>
    <cellStyle name="20% - Accent5 6 2 2 2" xfId="24386" xr:uid="{BB784FFB-A13A-420C-B9CD-2B2E622727CF}"/>
    <cellStyle name="20% - Accent5 6 2 2 3" xfId="32820" xr:uid="{14EB4DA2-92D3-4C82-9371-D6F88E4AC766}"/>
    <cellStyle name="20% - Accent5 6 2 2 4" xfId="15948" xr:uid="{E38B1928-9794-4617-A03C-16BD4A0427DB}"/>
    <cellStyle name="20% - Accent5 6 2 3" xfId="20168" xr:uid="{A4ABB1C3-8D4F-4085-A443-B5FBD45ABEB2}"/>
    <cellStyle name="20% - Accent5 6 2 4" xfId="28603" xr:uid="{984D6148-EB5B-4494-9B66-1E234AE43A98}"/>
    <cellStyle name="20% - Accent5 6 2 5" xfId="11730" xr:uid="{84D89638-9E1B-4890-9F80-7FBF809058FF}"/>
    <cellStyle name="20% - Accent5 6 3" xfId="5364" xr:uid="{00000000-0005-0000-0000-000015030000}"/>
    <cellStyle name="20% - Accent5 6 3 2" xfId="22241" xr:uid="{7E094244-7DCB-4957-BA1D-C9ECF12DCAFA}"/>
    <cellStyle name="20% - Accent5 6 3 3" xfId="30675" xr:uid="{2D88EFFF-DD57-49A3-89EC-111955781B4B}"/>
    <cellStyle name="20% - Accent5 6 3 4" xfId="13803" xr:uid="{D5BFEE82-785B-4170-B328-0DDEB22FD3F6}"/>
    <cellStyle name="20% - Accent5 6 4" xfId="18023" xr:uid="{B3525F29-95A9-46A2-AC94-888DB2EAA4C6}"/>
    <cellStyle name="20% - Accent5 6 5" xfId="26458" xr:uid="{2D9720A9-6ECF-4377-8B11-95022328D762}"/>
    <cellStyle name="20% - Accent5 6 6" xfId="9585" xr:uid="{CF15BAFC-6758-4292-A10C-8394A0CDB27C}"/>
    <cellStyle name="20% - Accent5 7" xfId="1469" xr:uid="{00000000-0005-0000-0000-000016030000}"/>
    <cellStyle name="20% - Accent5 7 2" xfId="3699" xr:uid="{00000000-0005-0000-0000-000017030000}"/>
    <cellStyle name="20% - Accent5 7 2 2" xfId="7922" xr:uid="{00000000-0005-0000-0000-000018030000}"/>
    <cellStyle name="20% - Accent5 7 2 2 2" xfId="24799" xr:uid="{532F4062-8C91-4FAD-993D-FDBB92545363}"/>
    <cellStyle name="20% - Accent5 7 2 2 3" xfId="33233" xr:uid="{E91B14A8-A2C3-4AD9-A73D-4518EF557029}"/>
    <cellStyle name="20% - Accent5 7 2 2 4" xfId="16361" xr:uid="{4C6C3AB8-6D55-4E5C-AEE3-6E656F95B474}"/>
    <cellStyle name="20% - Accent5 7 2 3" xfId="20581" xr:uid="{36B1BDD1-DEA9-4FDF-B4A4-F9874528247F}"/>
    <cellStyle name="20% - Accent5 7 2 4" xfId="29016" xr:uid="{D4BD3877-CBE2-4944-B523-65C1BDE14D18}"/>
    <cellStyle name="20% - Accent5 7 2 5" xfId="12143" xr:uid="{55016B92-D5DC-430E-BD3D-A0943CE4F9FC}"/>
    <cellStyle name="20% - Accent5 7 3" xfId="5777" xr:uid="{00000000-0005-0000-0000-000019030000}"/>
    <cellStyle name="20% - Accent5 7 3 2" xfId="22654" xr:uid="{3D3FA8B9-48BE-47C0-8C8A-236D202E8A2D}"/>
    <cellStyle name="20% - Accent5 7 3 3" xfId="31088" xr:uid="{5586154A-26CB-4AF4-BEF4-04C5C2FA9FD6}"/>
    <cellStyle name="20% - Accent5 7 3 4" xfId="14216" xr:uid="{ADB171D0-74D6-4D82-88FD-B8BE6BEC74EB}"/>
    <cellStyle name="20% - Accent5 7 4" xfId="18436" xr:uid="{00682F29-F5E0-4F89-B46E-260F784DE32E}"/>
    <cellStyle name="20% - Accent5 7 5" xfId="26871" xr:uid="{B9F48A36-E86D-44C3-B34D-301E33E1E38E}"/>
    <cellStyle name="20% - Accent5 7 6" xfId="9998" xr:uid="{509F1C31-D5F3-47A0-99F2-1867BF27097D}"/>
    <cellStyle name="20% - Accent5 8" xfId="1883" xr:uid="{00000000-0005-0000-0000-00001A030000}"/>
    <cellStyle name="20% - Accent5 8 2" xfId="4112" xr:uid="{00000000-0005-0000-0000-00001B030000}"/>
    <cellStyle name="20% - Accent5 8 2 2" xfId="8335" xr:uid="{00000000-0005-0000-0000-00001C030000}"/>
    <cellStyle name="20% - Accent5 8 2 2 2" xfId="25212" xr:uid="{D001DDD7-6BC2-42B2-9DD6-C573C23C2229}"/>
    <cellStyle name="20% - Accent5 8 2 2 3" xfId="33646" xr:uid="{7876DCDB-F31E-43D0-AE45-EE6D51E16545}"/>
    <cellStyle name="20% - Accent5 8 2 2 4" xfId="16774" xr:uid="{2E025322-6DAF-434E-B61B-3E27922F2262}"/>
    <cellStyle name="20% - Accent5 8 2 3" xfId="20994" xr:uid="{5B8C10FB-9EE3-4E42-A57D-3C03B6A4CBAD}"/>
    <cellStyle name="20% - Accent5 8 2 4" xfId="29429" xr:uid="{B0A1E8DC-A649-48FF-9D47-5AF3F7043479}"/>
    <cellStyle name="20% - Accent5 8 2 5" xfId="12556" xr:uid="{13942BCA-2459-4E4C-B365-12A345B05DEC}"/>
    <cellStyle name="20% - Accent5 8 3" xfId="6190" xr:uid="{00000000-0005-0000-0000-00001D030000}"/>
    <cellStyle name="20% - Accent5 8 3 2" xfId="23067" xr:uid="{EEB1C974-DF88-40A8-9E2A-875B83AE5402}"/>
    <cellStyle name="20% - Accent5 8 3 3" xfId="31501" xr:uid="{9B327415-5CC4-4424-9468-92773ED12A69}"/>
    <cellStyle name="20% - Accent5 8 3 4" xfId="14629" xr:uid="{0AC6326F-A03E-4B08-B321-4B929AB69389}"/>
    <cellStyle name="20% - Accent5 8 4" xfId="18849" xr:uid="{5A4BCF0B-498F-40A0-A187-2069FC887FB5}"/>
    <cellStyle name="20% - Accent5 8 5" xfId="27284" xr:uid="{1FF65984-CFD1-4B87-882C-13983C226380}"/>
    <cellStyle name="20% - Accent5 8 6" xfId="10411" xr:uid="{2D61990D-45EB-4FEA-B70B-4BD97C1EAC81}"/>
    <cellStyle name="20% - Accent5 9" xfId="2296" xr:uid="{00000000-0005-0000-0000-00001E030000}"/>
    <cellStyle name="20% - Accent5 9 2" xfId="6603" xr:uid="{00000000-0005-0000-0000-00001F030000}"/>
    <cellStyle name="20% - Accent5 9 2 2" xfId="23480" xr:uid="{5D8C4BB8-A0F7-4FAE-AACC-8CF893187CA1}"/>
    <cellStyle name="20% - Accent5 9 2 3" xfId="31914" xr:uid="{9D8606C5-B3FA-4638-A525-AC7C95C0C367}"/>
    <cellStyle name="20% - Accent5 9 2 4" xfId="15042" xr:uid="{4ECEDBFC-D95D-4F63-8230-1EEAF9DB3424}"/>
    <cellStyle name="20% - Accent5 9 3" xfId="19262" xr:uid="{310C62FA-65E2-4414-B1FA-0626BB483F11}"/>
    <cellStyle name="20% - Accent5 9 4" xfId="27697" xr:uid="{EF87E8B8-724A-4C79-8232-6BE1E8C20B9E}"/>
    <cellStyle name="20% - Accent5 9 5" xfId="10824" xr:uid="{A7E5F5E0-A5E5-40EC-8B1F-3D4F72E3A102}"/>
    <cellStyle name="20% - Accent6" xfId="41" builtinId="50" customBuiltin="1"/>
    <cellStyle name="20% - Accent6 10" xfId="4545" xr:uid="{00000000-0005-0000-0000-000021030000}"/>
    <cellStyle name="20% - Accent6 10 2" xfId="21422" xr:uid="{90579D80-4A3B-44CB-8137-9BD862F63C8A}"/>
    <cellStyle name="20% - Accent6 10 3" xfId="29856" xr:uid="{C1D990E6-65C8-4E8B-B39F-52C1B0E1DB8A}"/>
    <cellStyle name="20% - Accent6 10 4" xfId="12984" xr:uid="{298464A5-E891-4FE9-9687-EEEAEE157D53}"/>
    <cellStyle name="20% - Accent6 11" xfId="17204" xr:uid="{E53E91C8-C1F5-4185-984B-FF0BC445765A}"/>
    <cellStyle name="20% - Accent6 12" xfId="25639" xr:uid="{8F47D741-AE26-4F98-9C9E-0B15EFFF08C1}"/>
    <cellStyle name="20% - Accent6 13" xfId="8766" xr:uid="{E147CA5A-9EEF-468D-8E32-215902012BA9}"/>
    <cellStyle name="20% - Accent6 2" xfId="42" xr:uid="{00000000-0005-0000-0000-000022030000}"/>
    <cellStyle name="20% - Accent6 2 10" xfId="17205" xr:uid="{132FA185-F1EF-4EB8-9C8B-B249A2408EC7}"/>
    <cellStyle name="20% - Accent6 2 11" xfId="25640" xr:uid="{3F113DF3-F7D5-4AB6-A4C3-FD66F8C3DDA7}"/>
    <cellStyle name="20% - Accent6 2 12" xfId="8767" xr:uid="{69EAF988-04B9-4441-A18D-BA2B4B57578D}"/>
    <cellStyle name="20% - Accent6 2 2" xfId="43" xr:uid="{00000000-0005-0000-0000-000023030000}"/>
    <cellStyle name="20% - Accent6 2 2 10" xfId="25641" xr:uid="{E0B38845-2C58-433E-8DD8-87BFBE6CCFD2}"/>
    <cellStyle name="20% - Accent6 2 2 11" xfId="8768" xr:uid="{047A50D6-A443-4CDB-A016-E38C7FA589A9}"/>
    <cellStyle name="20% - Accent6 2 2 2" xfId="44" xr:uid="{00000000-0005-0000-0000-000024030000}"/>
    <cellStyle name="20% - Accent6 2 2 2 10" xfId="8769" xr:uid="{95511414-CBBA-450E-AD85-6C2519548A0A}"/>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23984" xr:uid="{C1A01631-8B2A-4FD6-B0DE-396E3B326E5C}"/>
    <cellStyle name="20% - Accent6 2 2 2 2 2 2 3" xfId="32418" xr:uid="{930F282A-F54D-48FC-BD36-827871B39E3A}"/>
    <cellStyle name="20% - Accent6 2 2 2 2 2 2 4" xfId="15546" xr:uid="{D72F25FB-9AE1-4AF5-BF3D-FD2054292EED}"/>
    <cellStyle name="20% - Accent6 2 2 2 2 2 3" xfId="19766" xr:uid="{178CDF38-72CD-4C84-832D-40952634A10C}"/>
    <cellStyle name="20% - Accent6 2 2 2 2 2 4" xfId="28201" xr:uid="{3C7BEF8B-69B7-4053-845C-C8CA348CB3D6}"/>
    <cellStyle name="20% - Accent6 2 2 2 2 2 5" xfId="11328" xr:uid="{EF94B0A2-E0FE-4941-ADAA-CD0CD138FA4F}"/>
    <cellStyle name="20% - Accent6 2 2 2 2 3" xfId="4962" xr:uid="{00000000-0005-0000-0000-000028030000}"/>
    <cellStyle name="20% - Accent6 2 2 2 2 3 2" xfId="21839" xr:uid="{630A56A5-7091-47A5-BE6D-89ED9B41DBFA}"/>
    <cellStyle name="20% - Accent6 2 2 2 2 3 3" xfId="30273" xr:uid="{5AC7DBF1-ABC4-445C-A74D-BA155044BFE9}"/>
    <cellStyle name="20% - Accent6 2 2 2 2 3 4" xfId="13401" xr:uid="{691C0B69-F4C5-449D-8F6D-ED264572C7BA}"/>
    <cellStyle name="20% - Accent6 2 2 2 2 4" xfId="17621" xr:uid="{6CD4F485-BE2B-4E56-B746-DC34D71CF45E}"/>
    <cellStyle name="20% - Accent6 2 2 2 2 5" xfId="26056" xr:uid="{BD35ACB4-1CA3-491B-9190-F0B5ECB6D244}"/>
    <cellStyle name="20% - Accent6 2 2 2 2 6" xfId="9183" xr:uid="{074810FC-29D6-48F6-AEB7-3C623292FAAA}"/>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24397" xr:uid="{AC01FF0A-FFC8-4579-A8F3-B11DCE797A8E}"/>
    <cellStyle name="20% - Accent6 2 2 2 3 2 2 3" xfId="32831" xr:uid="{2B3B60A6-290F-46A1-9D04-A9D7F8E4EF8C}"/>
    <cellStyle name="20% - Accent6 2 2 2 3 2 2 4" xfId="15959" xr:uid="{C5976E11-301F-4AA8-9D54-71F59A0A190B}"/>
    <cellStyle name="20% - Accent6 2 2 2 3 2 3" xfId="20179" xr:uid="{16E43298-7CB8-4B9E-BEE8-4828867ED3B7}"/>
    <cellStyle name="20% - Accent6 2 2 2 3 2 4" xfId="28614" xr:uid="{0C83C3EC-9DE4-4DEA-8C4B-FD5CA4A9E9FD}"/>
    <cellStyle name="20% - Accent6 2 2 2 3 2 5" xfId="11741" xr:uid="{62A8E7FF-DC35-448D-A798-8721A87B6046}"/>
    <cellStyle name="20% - Accent6 2 2 2 3 3" xfId="5375" xr:uid="{00000000-0005-0000-0000-00002C030000}"/>
    <cellStyle name="20% - Accent6 2 2 2 3 3 2" xfId="22252" xr:uid="{2EEF7199-A246-4BCB-AA6C-3A7CE3392431}"/>
    <cellStyle name="20% - Accent6 2 2 2 3 3 3" xfId="30686" xr:uid="{71EF3F0C-E22D-46D1-864D-18452322DEBF}"/>
    <cellStyle name="20% - Accent6 2 2 2 3 3 4" xfId="13814" xr:uid="{24251663-4F81-4A81-A1D9-F8E014D0F6AC}"/>
    <cellStyle name="20% - Accent6 2 2 2 3 4" xfId="18034" xr:uid="{9692D633-A7DA-4243-B2D0-44116AA67736}"/>
    <cellStyle name="20% - Accent6 2 2 2 3 5" xfId="26469" xr:uid="{DC313444-5729-4712-A157-A34FCEE248FB}"/>
    <cellStyle name="20% - Accent6 2 2 2 3 6" xfId="9596" xr:uid="{5AB8BC5B-5907-43E7-9C7A-586EB45B75F8}"/>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24810" xr:uid="{F2D3C74A-3E6D-4949-A451-DEB554CEFEC7}"/>
    <cellStyle name="20% - Accent6 2 2 2 4 2 2 3" xfId="33244" xr:uid="{66960995-1E35-40D6-9694-AC060CF57095}"/>
    <cellStyle name="20% - Accent6 2 2 2 4 2 2 4" xfId="16372" xr:uid="{F5BC62F8-BC7A-40FB-BF72-2A9C3FD97D69}"/>
    <cellStyle name="20% - Accent6 2 2 2 4 2 3" xfId="20592" xr:uid="{0F205382-A678-41AB-8EDF-44021FAD00CF}"/>
    <cellStyle name="20% - Accent6 2 2 2 4 2 4" xfId="29027" xr:uid="{88841767-030C-466A-880C-AE03DC957B70}"/>
    <cellStyle name="20% - Accent6 2 2 2 4 2 5" xfId="12154" xr:uid="{EB871EB5-EA73-462C-A6E1-814F6117AC93}"/>
    <cellStyle name="20% - Accent6 2 2 2 4 3" xfId="5788" xr:uid="{00000000-0005-0000-0000-000030030000}"/>
    <cellStyle name="20% - Accent6 2 2 2 4 3 2" xfId="22665" xr:uid="{BA374B3F-F07B-4AB1-9B90-4D621E61C259}"/>
    <cellStyle name="20% - Accent6 2 2 2 4 3 3" xfId="31099" xr:uid="{3331BDA1-9274-4C13-8428-BC41A58A2236}"/>
    <cellStyle name="20% - Accent6 2 2 2 4 3 4" xfId="14227" xr:uid="{C929A365-0108-4C1C-B2BC-5EE9B9CB4FAD}"/>
    <cellStyle name="20% - Accent6 2 2 2 4 4" xfId="18447" xr:uid="{BEA1256F-0B1B-46CA-8B42-79E125093922}"/>
    <cellStyle name="20% - Accent6 2 2 2 4 5" xfId="26882" xr:uid="{0AEE9054-4BD5-46DA-99CC-1C43CB39ABF0}"/>
    <cellStyle name="20% - Accent6 2 2 2 4 6" xfId="10009" xr:uid="{CF7D1DBE-6EAF-45B4-905A-BBBD37252CAD}"/>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25223" xr:uid="{A6FD0F95-7EBE-4BB3-8D61-F358B6FB3E88}"/>
    <cellStyle name="20% - Accent6 2 2 2 5 2 2 3" xfId="33657" xr:uid="{86D51836-5AF4-4D6A-82FF-CD6067766039}"/>
    <cellStyle name="20% - Accent6 2 2 2 5 2 2 4" xfId="16785" xr:uid="{3C9A667D-0744-47D5-AFF8-6AF0119A31BA}"/>
    <cellStyle name="20% - Accent6 2 2 2 5 2 3" xfId="21005" xr:uid="{6AB9A42D-C656-40DE-88E3-31E24A699085}"/>
    <cellStyle name="20% - Accent6 2 2 2 5 2 4" xfId="29440" xr:uid="{A26C6FF1-3E49-4C0B-A400-CC82CC41DDC6}"/>
    <cellStyle name="20% - Accent6 2 2 2 5 2 5" xfId="12567" xr:uid="{49DB9AF7-5A74-4C2E-ADD4-15E1503F0AB8}"/>
    <cellStyle name="20% - Accent6 2 2 2 5 3" xfId="6201" xr:uid="{00000000-0005-0000-0000-000034030000}"/>
    <cellStyle name="20% - Accent6 2 2 2 5 3 2" xfId="23078" xr:uid="{EF7A82BA-1BDE-499D-901E-0287FC3BED8B}"/>
    <cellStyle name="20% - Accent6 2 2 2 5 3 3" xfId="31512" xr:uid="{EDC2795D-67BF-4563-8517-C2A5EDF2C7C5}"/>
    <cellStyle name="20% - Accent6 2 2 2 5 3 4" xfId="14640" xr:uid="{FA64F4EB-6259-4D0F-8729-6FBD37D53A79}"/>
    <cellStyle name="20% - Accent6 2 2 2 5 4" xfId="18860" xr:uid="{407BAE35-C326-4C56-8BDF-147B4705A0D6}"/>
    <cellStyle name="20% - Accent6 2 2 2 5 5" xfId="27295" xr:uid="{D6C3EAB7-2063-428A-B22F-2C69DF135E60}"/>
    <cellStyle name="20% - Accent6 2 2 2 5 6" xfId="10422" xr:uid="{C03BA2BF-676D-4C31-BC08-A9A46AC3700C}"/>
    <cellStyle name="20% - Accent6 2 2 2 6" xfId="2307" xr:uid="{00000000-0005-0000-0000-000035030000}"/>
    <cellStyle name="20% - Accent6 2 2 2 6 2" xfId="6614" xr:uid="{00000000-0005-0000-0000-000036030000}"/>
    <cellStyle name="20% - Accent6 2 2 2 6 2 2" xfId="23491" xr:uid="{93C7C0FD-99ED-4F89-8F8F-FF7BBC88C0B4}"/>
    <cellStyle name="20% - Accent6 2 2 2 6 2 3" xfId="31925" xr:uid="{2ED2DBEB-FB7E-48AD-9EBA-EA1D0341445B}"/>
    <cellStyle name="20% - Accent6 2 2 2 6 2 4" xfId="15053" xr:uid="{D3D55CF7-BDBE-40C0-9A80-72B6B91F63DE}"/>
    <cellStyle name="20% - Accent6 2 2 2 6 3" xfId="19273" xr:uid="{903F0341-1C4A-4A19-9226-694CCA2E8EC1}"/>
    <cellStyle name="20% - Accent6 2 2 2 6 4" xfId="27708" xr:uid="{8FDC19F5-2A42-4EE1-A1E3-2CC5A7C99428}"/>
    <cellStyle name="20% - Accent6 2 2 2 6 5" xfId="10835" xr:uid="{4E34BA0B-4702-4CC3-A812-6D3D90CF8042}"/>
    <cellStyle name="20% - Accent6 2 2 2 7" xfId="4548" xr:uid="{00000000-0005-0000-0000-000037030000}"/>
    <cellStyle name="20% - Accent6 2 2 2 7 2" xfId="21425" xr:uid="{4FA51F6B-E35F-49F8-B1FD-0204AF0481A6}"/>
    <cellStyle name="20% - Accent6 2 2 2 7 3" xfId="29859" xr:uid="{2AAB3288-0B47-45AF-9E08-0800464D2658}"/>
    <cellStyle name="20% - Accent6 2 2 2 7 4" xfId="12987" xr:uid="{9C38B057-5974-47F9-9B4E-880A4B15E537}"/>
    <cellStyle name="20% - Accent6 2 2 2 8" xfId="17207" xr:uid="{9097B172-822B-4762-9837-B0B9BDB16439}"/>
    <cellStyle name="20% - Accent6 2 2 2 9" xfId="25642" xr:uid="{3F62BB10-FFE4-4755-86DF-4D36C9418769}"/>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23983" xr:uid="{CE03248F-0C3F-4D9A-8E42-CCF874562903}"/>
    <cellStyle name="20% - Accent6 2 2 3 2 2 3" xfId="32417" xr:uid="{08BCFD0C-C8F7-4DBF-A364-0D2E01F7C59B}"/>
    <cellStyle name="20% - Accent6 2 2 3 2 2 4" xfId="15545" xr:uid="{62A438EA-0540-4C64-9E6D-0452ED6137D1}"/>
    <cellStyle name="20% - Accent6 2 2 3 2 3" xfId="19765" xr:uid="{95F82FD8-6575-42B0-BB4E-6D3C3B77DFEC}"/>
    <cellStyle name="20% - Accent6 2 2 3 2 4" xfId="28200" xr:uid="{AC63039C-6C67-4E0C-9F74-B464C99C654C}"/>
    <cellStyle name="20% - Accent6 2 2 3 2 5" xfId="11327" xr:uid="{048D8522-1BE2-4122-9FA5-BFDD4173F122}"/>
    <cellStyle name="20% - Accent6 2 2 3 3" xfId="4961" xr:uid="{00000000-0005-0000-0000-00003B030000}"/>
    <cellStyle name="20% - Accent6 2 2 3 3 2" xfId="21838" xr:uid="{DD3A3582-A8C4-4415-829A-EC7478A616E2}"/>
    <cellStyle name="20% - Accent6 2 2 3 3 3" xfId="30272" xr:uid="{7D5F8F36-1696-4F78-87A6-6B4CE4942895}"/>
    <cellStyle name="20% - Accent6 2 2 3 3 4" xfId="13400" xr:uid="{3AFE16EA-6151-4065-A246-3F88F128FA23}"/>
    <cellStyle name="20% - Accent6 2 2 3 4" xfId="17620" xr:uid="{6E34E505-2130-462A-B3B3-C473B6290CA0}"/>
    <cellStyle name="20% - Accent6 2 2 3 5" xfId="26055" xr:uid="{4D18169F-7E77-4846-BE8D-0154552ADDB2}"/>
    <cellStyle name="20% - Accent6 2 2 3 6" xfId="9182" xr:uid="{E04738BD-5AC5-4DBA-B618-B1EEAF7C5AC8}"/>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24396" xr:uid="{AABBAC69-3B25-496A-8D90-2E4C5AFCBC5B}"/>
    <cellStyle name="20% - Accent6 2 2 4 2 2 3" xfId="32830" xr:uid="{8E0EDD24-BBAC-4BA8-8C60-67AB8E76A427}"/>
    <cellStyle name="20% - Accent6 2 2 4 2 2 4" xfId="15958" xr:uid="{51A67566-0FF5-45B2-B638-24C4CD92EF0C}"/>
    <cellStyle name="20% - Accent6 2 2 4 2 3" xfId="20178" xr:uid="{54B371D0-AE24-4713-B70F-B490E45FF40A}"/>
    <cellStyle name="20% - Accent6 2 2 4 2 4" xfId="28613" xr:uid="{512A8556-684D-49EA-AC6D-D2B9AB10430A}"/>
    <cellStyle name="20% - Accent6 2 2 4 2 5" xfId="11740" xr:uid="{E3C91A40-761B-426B-832D-A9E6C4F82532}"/>
    <cellStyle name="20% - Accent6 2 2 4 3" xfId="5374" xr:uid="{00000000-0005-0000-0000-00003F030000}"/>
    <cellStyle name="20% - Accent6 2 2 4 3 2" xfId="22251" xr:uid="{CF6DCC8E-A7DB-4D63-B88D-653F5F181093}"/>
    <cellStyle name="20% - Accent6 2 2 4 3 3" xfId="30685" xr:uid="{9C38410A-48B4-43FD-8394-14E92689C593}"/>
    <cellStyle name="20% - Accent6 2 2 4 3 4" xfId="13813" xr:uid="{80E8ED7A-84F7-4EA7-8320-347E582A657E}"/>
    <cellStyle name="20% - Accent6 2 2 4 4" xfId="18033" xr:uid="{77160959-852E-4CFD-B706-EB2DA2AED20E}"/>
    <cellStyle name="20% - Accent6 2 2 4 5" xfId="26468" xr:uid="{E1F9105D-8516-45E4-90E3-3BA8A1408EC2}"/>
    <cellStyle name="20% - Accent6 2 2 4 6" xfId="9595" xr:uid="{37D367B8-8249-4A11-AFBD-F2A751180BC4}"/>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24809" xr:uid="{C789FA7A-CA98-455B-9EFD-92C0B4A4E2BD}"/>
    <cellStyle name="20% - Accent6 2 2 5 2 2 3" xfId="33243" xr:uid="{CD530506-5AA5-4657-9E1A-F625F11185E4}"/>
    <cellStyle name="20% - Accent6 2 2 5 2 2 4" xfId="16371" xr:uid="{EBB56F9F-8BC3-4692-8950-5A8B6F75C5E4}"/>
    <cellStyle name="20% - Accent6 2 2 5 2 3" xfId="20591" xr:uid="{6FFF10BB-45F4-4996-ADA5-18651C9D9B98}"/>
    <cellStyle name="20% - Accent6 2 2 5 2 4" xfId="29026" xr:uid="{660706B1-6E35-487E-9C4F-387D468CE475}"/>
    <cellStyle name="20% - Accent6 2 2 5 2 5" xfId="12153" xr:uid="{E44E05E8-A77D-4346-A121-50EC90655F67}"/>
    <cellStyle name="20% - Accent6 2 2 5 3" xfId="5787" xr:uid="{00000000-0005-0000-0000-000043030000}"/>
    <cellStyle name="20% - Accent6 2 2 5 3 2" xfId="22664" xr:uid="{56484959-DC8B-4E2D-816C-F47E99BDEB24}"/>
    <cellStyle name="20% - Accent6 2 2 5 3 3" xfId="31098" xr:uid="{16E7D96C-4069-4CCB-BD34-A30512F338A0}"/>
    <cellStyle name="20% - Accent6 2 2 5 3 4" xfId="14226" xr:uid="{1EE6B54B-FF7B-4E1A-AAFC-F2AEAEC09E91}"/>
    <cellStyle name="20% - Accent6 2 2 5 4" xfId="18446" xr:uid="{61FF0C3C-B9F6-48F2-A2BA-975F6BC85B45}"/>
    <cellStyle name="20% - Accent6 2 2 5 5" xfId="26881" xr:uid="{BE7D6FE7-7ADE-4990-86A2-5740B21C9144}"/>
    <cellStyle name="20% - Accent6 2 2 5 6" xfId="10008" xr:uid="{6051428B-C73C-45F2-A58F-4FDD2F43A9F4}"/>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25222" xr:uid="{2701006D-255B-4671-BB9F-7828D52F17EE}"/>
    <cellStyle name="20% - Accent6 2 2 6 2 2 3" xfId="33656" xr:uid="{DA9B7D81-F0AD-4EFD-9AE3-7A2CF6047717}"/>
    <cellStyle name="20% - Accent6 2 2 6 2 2 4" xfId="16784" xr:uid="{BBFF6DA0-7898-41EE-BA76-78273C41EC84}"/>
    <cellStyle name="20% - Accent6 2 2 6 2 3" xfId="21004" xr:uid="{909C77DB-4409-4FF8-BACF-061975F8DB89}"/>
    <cellStyle name="20% - Accent6 2 2 6 2 4" xfId="29439" xr:uid="{7A5AAB15-1CB7-470A-A9C5-034BED38E0EA}"/>
    <cellStyle name="20% - Accent6 2 2 6 2 5" xfId="12566" xr:uid="{161F45E2-5856-4079-95AB-0D3B78A07504}"/>
    <cellStyle name="20% - Accent6 2 2 6 3" xfId="6200" xr:uid="{00000000-0005-0000-0000-000047030000}"/>
    <cellStyle name="20% - Accent6 2 2 6 3 2" xfId="23077" xr:uid="{CE5D0541-D4D9-4140-8B08-6E631C8D34A0}"/>
    <cellStyle name="20% - Accent6 2 2 6 3 3" xfId="31511" xr:uid="{9D792781-7970-4440-BFF3-AB97DDEDCE23}"/>
    <cellStyle name="20% - Accent6 2 2 6 3 4" xfId="14639" xr:uid="{3BDD488D-6C1D-4CCF-BD48-FD0DEAB3F556}"/>
    <cellStyle name="20% - Accent6 2 2 6 4" xfId="18859" xr:uid="{71ABB7B5-1332-4519-96D5-59ED39F7C05B}"/>
    <cellStyle name="20% - Accent6 2 2 6 5" xfId="27294" xr:uid="{1965AEEB-CD93-4E08-86F2-21AF2C64C006}"/>
    <cellStyle name="20% - Accent6 2 2 6 6" xfId="10421" xr:uid="{ED15B51D-DD9F-46DB-89FD-805B3D575760}"/>
    <cellStyle name="20% - Accent6 2 2 7" xfId="2306" xr:uid="{00000000-0005-0000-0000-000048030000}"/>
    <cellStyle name="20% - Accent6 2 2 7 2" xfId="6613" xr:uid="{00000000-0005-0000-0000-000049030000}"/>
    <cellStyle name="20% - Accent6 2 2 7 2 2" xfId="23490" xr:uid="{62927C6D-6789-4F1F-9BF0-896A5BF6CC01}"/>
    <cellStyle name="20% - Accent6 2 2 7 2 3" xfId="31924" xr:uid="{CD4AD67F-0F56-4F5B-A65E-3178A67F0DDB}"/>
    <cellStyle name="20% - Accent6 2 2 7 2 4" xfId="15052" xr:uid="{264FA144-DA97-4F33-8E52-0EA72CE60D5F}"/>
    <cellStyle name="20% - Accent6 2 2 7 3" xfId="19272" xr:uid="{4E2D5726-41F5-4B10-B8B5-9C206B0440F3}"/>
    <cellStyle name="20% - Accent6 2 2 7 4" xfId="27707" xr:uid="{9E802957-5D9D-49E1-B0F6-9BEAC1578A1D}"/>
    <cellStyle name="20% - Accent6 2 2 7 5" xfId="10834" xr:uid="{EE8953B5-0385-4FA0-AEE5-0B243B7B3726}"/>
    <cellStyle name="20% - Accent6 2 2 8" xfId="4547" xr:uid="{00000000-0005-0000-0000-00004A030000}"/>
    <cellStyle name="20% - Accent6 2 2 8 2" xfId="21424" xr:uid="{F0F3ACFB-D36C-41F6-90CF-230561269DDC}"/>
    <cellStyle name="20% - Accent6 2 2 8 3" xfId="29858" xr:uid="{8B5510A8-76D1-4824-B936-9FE0C5564ECF}"/>
    <cellStyle name="20% - Accent6 2 2 8 4" xfId="12986" xr:uid="{452D655C-6438-44DF-B46C-3BF8728802DF}"/>
    <cellStyle name="20% - Accent6 2 2 9" xfId="17206" xr:uid="{A037D12C-96E2-4DC8-AF5B-D58BB58680CB}"/>
    <cellStyle name="20% - Accent6 2 3" xfId="45" xr:uid="{00000000-0005-0000-0000-00004B030000}"/>
    <cellStyle name="20% - Accent6 2 3 10" xfId="8770" xr:uid="{9DCA2C8D-A875-4620-8E9B-A082B5B8485A}"/>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23985" xr:uid="{FED1B3E3-6657-484B-9FF4-EFE28B533284}"/>
    <cellStyle name="20% - Accent6 2 3 2 2 2 3" xfId="32419" xr:uid="{A63A3C09-20D9-42E9-B8E0-6489BA1FE173}"/>
    <cellStyle name="20% - Accent6 2 3 2 2 2 4" xfId="15547" xr:uid="{53886491-1E57-49DD-837D-360EA162BB41}"/>
    <cellStyle name="20% - Accent6 2 3 2 2 3" xfId="19767" xr:uid="{90A70695-D6C0-4082-89E7-D409DF2BF05C}"/>
    <cellStyle name="20% - Accent6 2 3 2 2 4" xfId="28202" xr:uid="{C7D55F9D-C747-4B6F-B01B-95E4CFA20AE8}"/>
    <cellStyle name="20% - Accent6 2 3 2 2 5" xfId="11329" xr:uid="{A529F111-27B9-48DF-9EEA-5589D59207E3}"/>
    <cellStyle name="20% - Accent6 2 3 2 3" xfId="4963" xr:uid="{00000000-0005-0000-0000-00004F030000}"/>
    <cellStyle name="20% - Accent6 2 3 2 3 2" xfId="21840" xr:uid="{283976C5-A67D-41EC-A359-2EFC140BC162}"/>
    <cellStyle name="20% - Accent6 2 3 2 3 3" xfId="30274" xr:uid="{1C745450-62AF-4E28-B95F-B1B964A2EA87}"/>
    <cellStyle name="20% - Accent6 2 3 2 3 4" xfId="13402" xr:uid="{D2B41208-46E3-4533-BBD6-800076E534BE}"/>
    <cellStyle name="20% - Accent6 2 3 2 4" xfId="17622" xr:uid="{B6D326FB-83F3-4707-819B-27D73B0C32ED}"/>
    <cellStyle name="20% - Accent6 2 3 2 5" xfId="26057" xr:uid="{C702DF29-023E-495E-8278-E9CC6CC35D7B}"/>
    <cellStyle name="20% - Accent6 2 3 2 6" xfId="9184" xr:uid="{D1610368-9BEA-4289-8138-E2ACAB74B307}"/>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24398" xr:uid="{1D7EB533-7F15-4BF4-8E9C-9A2A21DCB47D}"/>
    <cellStyle name="20% - Accent6 2 3 3 2 2 3" xfId="32832" xr:uid="{860F6FDF-96F1-46FF-A437-959992F02199}"/>
    <cellStyle name="20% - Accent6 2 3 3 2 2 4" xfId="15960" xr:uid="{1CAB4F2C-3966-4285-98C6-2794E2503106}"/>
    <cellStyle name="20% - Accent6 2 3 3 2 3" xfId="20180" xr:uid="{82B24BA3-BB0A-4B9A-8338-3164DFEF4A1F}"/>
    <cellStyle name="20% - Accent6 2 3 3 2 4" xfId="28615" xr:uid="{78932B45-4690-4C75-A0A9-A015DC794812}"/>
    <cellStyle name="20% - Accent6 2 3 3 2 5" xfId="11742" xr:uid="{C3538E1C-189D-4496-B718-9D9F20AA5060}"/>
    <cellStyle name="20% - Accent6 2 3 3 3" xfId="5376" xr:uid="{00000000-0005-0000-0000-000053030000}"/>
    <cellStyle name="20% - Accent6 2 3 3 3 2" xfId="22253" xr:uid="{B850BDBB-6577-4ACC-8462-21776EAB4AF8}"/>
    <cellStyle name="20% - Accent6 2 3 3 3 3" xfId="30687" xr:uid="{E0E3A238-7807-4512-8EED-D3B018627DC8}"/>
    <cellStyle name="20% - Accent6 2 3 3 3 4" xfId="13815" xr:uid="{184D77F1-5828-47D0-9897-DF09E48A79C1}"/>
    <cellStyle name="20% - Accent6 2 3 3 4" xfId="18035" xr:uid="{D32806FB-02C3-4E48-AD1D-B904D70C1279}"/>
    <cellStyle name="20% - Accent6 2 3 3 5" xfId="26470" xr:uid="{61C3C567-E3FF-4A3F-A23E-9444E31E4FDA}"/>
    <cellStyle name="20% - Accent6 2 3 3 6" xfId="9597" xr:uid="{9B4CA6FB-E193-410B-BD03-A6765DE4E1E1}"/>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24811" xr:uid="{9FC3FF0A-32BE-470E-8DB6-E32E77D58234}"/>
    <cellStyle name="20% - Accent6 2 3 4 2 2 3" xfId="33245" xr:uid="{1D5D7B6D-C246-4923-993B-6248C74B2688}"/>
    <cellStyle name="20% - Accent6 2 3 4 2 2 4" xfId="16373" xr:uid="{C15915F9-4F3E-46B9-BDD2-D42EE17063FB}"/>
    <cellStyle name="20% - Accent6 2 3 4 2 3" xfId="20593" xr:uid="{F2AA2360-77C0-4A7A-AC32-B6C8A2EDD457}"/>
    <cellStyle name="20% - Accent6 2 3 4 2 4" xfId="29028" xr:uid="{0A54DFF9-21AB-4CFB-AAFE-695257A401C7}"/>
    <cellStyle name="20% - Accent6 2 3 4 2 5" xfId="12155" xr:uid="{3E41B155-A63F-43AF-A714-AC1ACACE5EC2}"/>
    <cellStyle name="20% - Accent6 2 3 4 3" xfId="5789" xr:uid="{00000000-0005-0000-0000-000057030000}"/>
    <cellStyle name="20% - Accent6 2 3 4 3 2" xfId="22666" xr:uid="{22FDA562-643C-4290-9155-DA70FFF05BEC}"/>
    <cellStyle name="20% - Accent6 2 3 4 3 3" xfId="31100" xr:uid="{BF1611FD-57BE-45AD-89FA-89249DD35A34}"/>
    <cellStyle name="20% - Accent6 2 3 4 3 4" xfId="14228" xr:uid="{FC5B3B48-052F-4108-ACE9-4E41A81709E6}"/>
    <cellStyle name="20% - Accent6 2 3 4 4" xfId="18448" xr:uid="{48F7A44D-1D88-4D34-B282-71E97A365488}"/>
    <cellStyle name="20% - Accent6 2 3 4 5" xfId="26883" xr:uid="{CCC065DF-747C-468B-96F8-A052957EBC72}"/>
    <cellStyle name="20% - Accent6 2 3 4 6" xfId="10010" xr:uid="{BCA47816-1B87-4A42-B18F-D6F87DD189D9}"/>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25224" xr:uid="{35897396-4F29-4CBA-BC67-A1C5BD3C99AD}"/>
    <cellStyle name="20% - Accent6 2 3 5 2 2 3" xfId="33658" xr:uid="{D0031837-F7EB-4217-9B35-26BD617041D2}"/>
    <cellStyle name="20% - Accent6 2 3 5 2 2 4" xfId="16786" xr:uid="{E37220D5-780C-4A13-94F2-824BFB12E6E9}"/>
    <cellStyle name="20% - Accent6 2 3 5 2 3" xfId="21006" xr:uid="{E5103989-61F4-4C18-9DBC-756F72BD5163}"/>
    <cellStyle name="20% - Accent6 2 3 5 2 4" xfId="29441" xr:uid="{B58ABBB0-9BC0-4A3C-944A-EF1CA7D65675}"/>
    <cellStyle name="20% - Accent6 2 3 5 2 5" xfId="12568" xr:uid="{5F50E0CE-8FDB-425D-BB39-0AE005B069B8}"/>
    <cellStyle name="20% - Accent6 2 3 5 3" xfId="6202" xr:uid="{00000000-0005-0000-0000-00005B030000}"/>
    <cellStyle name="20% - Accent6 2 3 5 3 2" xfId="23079" xr:uid="{95CF3C88-EC47-4FE0-AD5B-38A7CC2D790D}"/>
    <cellStyle name="20% - Accent6 2 3 5 3 3" xfId="31513" xr:uid="{E6A445C5-43D0-4E72-A53F-96F71CBFE10E}"/>
    <cellStyle name="20% - Accent6 2 3 5 3 4" xfId="14641" xr:uid="{168431AB-87E1-4F19-8427-D8CFE6D6DA44}"/>
    <cellStyle name="20% - Accent6 2 3 5 4" xfId="18861" xr:uid="{16F3C199-A316-4F41-9942-D6202A8AD7E5}"/>
    <cellStyle name="20% - Accent6 2 3 5 5" xfId="27296" xr:uid="{783C425F-7998-4BEF-A7B6-11C465DE777C}"/>
    <cellStyle name="20% - Accent6 2 3 5 6" xfId="10423" xr:uid="{42B89EB2-D1D6-4A3E-9492-3D66B6C60220}"/>
    <cellStyle name="20% - Accent6 2 3 6" xfId="2308" xr:uid="{00000000-0005-0000-0000-00005C030000}"/>
    <cellStyle name="20% - Accent6 2 3 6 2" xfId="6615" xr:uid="{00000000-0005-0000-0000-00005D030000}"/>
    <cellStyle name="20% - Accent6 2 3 6 2 2" xfId="23492" xr:uid="{6AFB8A9F-5494-4CFD-B050-1F3CA2C60909}"/>
    <cellStyle name="20% - Accent6 2 3 6 2 3" xfId="31926" xr:uid="{B459FE15-A7E3-4DC7-81E3-6CB8EE2DEC68}"/>
    <cellStyle name="20% - Accent6 2 3 6 2 4" xfId="15054" xr:uid="{58A6C28D-888A-411F-9346-9CB5B1E0F1DC}"/>
    <cellStyle name="20% - Accent6 2 3 6 3" xfId="19274" xr:uid="{817BBA5D-9316-49BA-8DD8-AF3CA5D33838}"/>
    <cellStyle name="20% - Accent6 2 3 6 4" xfId="27709" xr:uid="{E0B0EFA0-6C10-4C76-A850-829CE904B679}"/>
    <cellStyle name="20% - Accent6 2 3 6 5" xfId="10836" xr:uid="{DED75D81-E836-40AD-A2DC-1DF30D7FFD31}"/>
    <cellStyle name="20% - Accent6 2 3 7" xfId="4549" xr:uid="{00000000-0005-0000-0000-00005E030000}"/>
    <cellStyle name="20% - Accent6 2 3 7 2" xfId="21426" xr:uid="{49F2DDEB-26DD-4236-8F5C-FF0B0E8D424A}"/>
    <cellStyle name="20% - Accent6 2 3 7 3" xfId="29860" xr:uid="{146C69C7-4A25-47D8-AC8F-4070B568FF82}"/>
    <cellStyle name="20% - Accent6 2 3 7 4" xfId="12988" xr:uid="{A65798A4-626E-4775-ADFA-BB70D285840B}"/>
    <cellStyle name="20% - Accent6 2 3 8" xfId="17208" xr:uid="{EDE1ED2E-21CB-494A-A835-E6BB80C557BE}"/>
    <cellStyle name="20% - Accent6 2 3 9" xfId="25643" xr:uid="{AA95EE0F-956C-41BE-AD43-642F2ECA8A6E}"/>
    <cellStyle name="20% - Accent6 2 4" xfId="611" xr:uid="{00000000-0005-0000-0000-00005F030000}"/>
    <cellStyle name="20% - Accent6 2 4 2" xfId="2882" xr:uid="{00000000-0005-0000-0000-000060030000}"/>
    <cellStyle name="20% - Accent6 2 4 2 2" xfId="7105" xr:uid="{00000000-0005-0000-0000-000061030000}"/>
    <cellStyle name="20% - Accent6 2 4 2 2 2" xfId="23982" xr:uid="{6708F475-0E33-4F15-BFC3-93B875C50083}"/>
    <cellStyle name="20% - Accent6 2 4 2 2 3" xfId="32416" xr:uid="{6E852407-E42A-49B0-9FB4-F8A5C917EA89}"/>
    <cellStyle name="20% - Accent6 2 4 2 2 4" xfId="15544" xr:uid="{6F88CBB8-F60E-4126-B95A-8BF576BDBD5A}"/>
    <cellStyle name="20% - Accent6 2 4 2 3" xfId="19764" xr:uid="{3F930B05-0737-4ED9-813D-C80435A62054}"/>
    <cellStyle name="20% - Accent6 2 4 2 4" xfId="28199" xr:uid="{DB99B19D-9C50-4D51-9E75-68363412C781}"/>
    <cellStyle name="20% - Accent6 2 4 2 5" xfId="11326" xr:uid="{D215F6BD-FC60-45E0-9BE8-3CFF38564E14}"/>
    <cellStyle name="20% - Accent6 2 4 3" xfId="4960" xr:uid="{00000000-0005-0000-0000-000062030000}"/>
    <cellStyle name="20% - Accent6 2 4 3 2" xfId="21837" xr:uid="{B2E7D62D-72A8-4772-99F6-5BEEA1E65EB7}"/>
    <cellStyle name="20% - Accent6 2 4 3 3" xfId="30271" xr:uid="{CF626B01-40A7-417A-B951-EC1F6AC21841}"/>
    <cellStyle name="20% - Accent6 2 4 3 4" xfId="13399" xr:uid="{EF23269C-D13B-41F3-A25A-A5EDB71F3579}"/>
    <cellStyle name="20% - Accent6 2 4 4" xfId="17619" xr:uid="{00E74A9E-B7E4-4DED-BCB0-0B48159C62CE}"/>
    <cellStyle name="20% - Accent6 2 4 5" xfId="26054" xr:uid="{2970406E-B86C-4FA9-856A-48BA733D8511}"/>
    <cellStyle name="20% - Accent6 2 4 6" xfId="9181" xr:uid="{153290AC-2BE3-4887-A275-A8E536055350}"/>
    <cellStyle name="20% - Accent6 2 5" xfId="1064" xr:uid="{00000000-0005-0000-0000-000063030000}"/>
    <cellStyle name="20% - Accent6 2 5 2" xfId="3295" xr:uid="{00000000-0005-0000-0000-000064030000}"/>
    <cellStyle name="20% - Accent6 2 5 2 2" xfId="7518" xr:uid="{00000000-0005-0000-0000-000065030000}"/>
    <cellStyle name="20% - Accent6 2 5 2 2 2" xfId="24395" xr:uid="{29253471-D52A-44C0-9107-CFC86B4FFA42}"/>
    <cellStyle name="20% - Accent6 2 5 2 2 3" xfId="32829" xr:uid="{1E363A40-5482-4881-B97F-FB7CD5FCC24D}"/>
    <cellStyle name="20% - Accent6 2 5 2 2 4" xfId="15957" xr:uid="{8C3A92D8-C725-45D4-9790-A511B3AC2D75}"/>
    <cellStyle name="20% - Accent6 2 5 2 3" xfId="20177" xr:uid="{83A004CD-FF6B-49CF-B174-4B7595197E21}"/>
    <cellStyle name="20% - Accent6 2 5 2 4" xfId="28612" xr:uid="{45504763-E77D-48A3-90ED-4165A59CA926}"/>
    <cellStyle name="20% - Accent6 2 5 2 5" xfId="11739" xr:uid="{602364F1-2A46-4CB4-835F-4F13217644FF}"/>
    <cellStyle name="20% - Accent6 2 5 3" xfId="5373" xr:uid="{00000000-0005-0000-0000-000066030000}"/>
    <cellStyle name="20% - Accent6 2 5 3 2" xfId="22250" xr:uid="{F28EDA34-D3AB-4EA1-B708-308B1FC124EC}"/>
    <cellStyle name="20% - Accent6 2 5 3 3" xfId="30684" xr:uid="{020B78A6-E989-48BE-87BF-0FD6EBA652F0}"/>
    <cellStyle name="20% - Accent6 2 5 3 4" xfId="13812" xr:uid="{651F4DA4-63E4-4006-A743-70D8734097D7}"/>
    <cellStyle name="20% - Accent6 2 5 4" xfId="18032" xr:uid="{B57CC79A-B19A-42D0-BDA0-B1E45F2EFBD1}"/>
    <cellStyle name="20% - Accent6 2 5 5" xfId="26467" xr:uid="{9B11A8B3-C035-4B80-833E-15F4AF664491}"/>
    <cellStyle name="20% - Accent6 2 5 6" xfId="9594" xr:uid="{0433EEDD-F4D1-489A-B354-652DBF477F91}"/>
    <cellStyle name="20% - Accent6 2 6" xfId="1478" xr:uid="{00000000-0005-0000-0000-000067030000}"/>
    <cellStyle name="20% - Accent6 2 6 2" xfId="3708" xr:uid="{00000000-0005-0000-0000-000068030000}"/>
    <cellStyle name="20% - Accent6 2 6 2 2" xfId="7931" xr:uid="{00000000-0005-0000-0000-000069030000}"/>
    <cellStyle name="20% - Accent6 2 6 2 2 2" xfId="24808" xr:uid="{5A7E5C87-169F-49DB-A69C-A07E5F58B08C}"/>
    <cellStyle name="20% - Accent6 2 6 2 2 3" xfId="33242" xr:uid="{A9571F6F-915A-4B66-8E5D-507425033F46}"/>
    <cellStyle name="20% - Accent6 2 6 2 2 4" xfId="16370" xr:uid="{1D0A9E9B-57A9-4E74-9C15-32C323F20C2A}"/>
    <cellStyle name="20% - Accent6 2 6 2 3" xfId="20590" xr:uid="{9E5F195D-68DC-47E3-B7C9-E59C9FD05016}"/>
    <cellStyle name="20% - Accent6 2 6 2 4" xfId="29025" xr:uid="{3D509F00-88BF-40A6-97DA-E5E1B8F37457}"/>
    <cellStyle name="20% - Accent6 2 6 2 5" xfId="12152" xr:uid="{CEDE30AD-F65E-416D-9373-AB2383C447C0}"/>
    <cellStyle name="20% - Accent6 2 6 3" xfId="5786" xr:uid="{00000000-0005-0000-0000-00006A030000}"/>
    <cellStyle name="20% - Accent6 2 6 3 2" xfId="22663" xr:uid="{9318916B-A75C-42E6-9529-C312A9BDD60D}"/>
    <cellStyle name="20% - Accent6 2 6 3 3" xfId="31097" xr:uid="{427C2C4F-DFAD-467D-B238-2FB3FAFD70C0}"/>
    <cellStyle name="20% - Accent6 2 6 3 4" xfId="14225" xr:uid="{FE851030-8059-4179-9518-4CFAE7D33F4A}"/>
    <cellStyle name="20% - Accent6 2 6 4" xfId="18445" xr:uid="{9A27DB5A-10A6-4650-867F-32A6D0352A3C}"/>
    <cellStyle name="20% - Accent6 2 6 5" xfId="26880" xr:uid="{1103507A-C348-4EB6-BBC9-24969BDE0A5F}"/>
    <cellStyle name="20% - Accent6 2 6 6" xfId="10007" xr:uid="{2571EE34-5C1B-4BC5-A937-D56AF44EADE2}"/>
    <cellStyle name="20% - Accent6 2 7" xfId="1892" xr:uid="{00000000-0005-0000-0000-00006B030000}"/>
    <cellStyle name="20% - Accent6 2 7 2" xfId="4121" xr:uid="{00000000-0005-0000-0000-00006C030000}"/>
    <cellStyle name="20% - Accent6 2 7 2 2" xfId="8344" xr:uid="{00000000-0005-0000-0000-00006D030000}"/>
    <cellStyle name="20% - Accent6 2 7 2 2 2" xfId="25221" xr:uid="{196E15DD-8628-4C93-8FF6-6172459B9881}"/>
    <cellStyle name="20% - Accent6 2 7 2 2 3" xfId="33655" xr:uid="{13C40AEB-9676-4638-9EBA-D58837BDA3F6}"/>
    <cellStyle name="20% - Accent6 2 7 2 2 4" xfId="16783" xr:uid="{03C81A10-9881-475A-B572-83A9984BE980}"/>
    <cellStyle name="20% - Accent6 2 7 2 3" xfId="21003" xr:uid="{2A82F35C-EA33-43CD-99F9-165468BD232E}"/>
    <cellStyle name="20% - Accent6 2 7 2 4" xfId="29438" xr:uid="{5F31D262-7D58-4708-989D-FED4B251BD97}"/>
    <cellStyle name="20% - Accent6 2 7 2 5" xfId="12565" xr:uid="{42EE6F85-6865-4F7F-BC47-6AC149741C0F}"/>
    <cellStyle name="20% - Accent6 2 7 3" xfId="6199" xr:uid="{00000000-0005-0000-0000-00006E030000}"/>
    <cellStyle name="20% - Accent6 2 7 3 2" xfId="23076" xr:uid="{767B4FE9-FC02-47A7-AE52-E7FFA230E8A9}"/>
    <cellStyle name="20% - Accent6 2 7 3 3" xfId="31510" xr:uid="{BC133FE9-1663-46D4-A9BB-57919D82663B}"/>
    <cellStyle name="20% - Accent6 2 7 3 4" xfId="14638" xr:uid="{3EA90C7B-4CA2-48E0-AE5C-B3436D052F13}"/>
    <cellStyle name="20% - Accent6 2 7 4" xfId="18858" xr:uid="{6351B571-7590-435A-BFD9-88131C8D9DAF}"/>
    <cellStyle name="20% - Accent6 2 7 5" xfId="27293" xr:uid="{DBBB26BA-9E6A-4EFA-9370-3B4235FAECBC}"/>
    <cellStyle name="20% - Accent6 2 7 6" xfId="10420" xr:uid="{76469BA1-2399-4E6C-8829-F0EF46EFAE70}"/>
    <cellStyle name="20% - Accent6 2 8" xfId="2305" xr:uid="{00000000-0005-0000-0000-00006F030000}"/>
    <cellStyle name="20% - Accent6 2 8 2" xfId="6612" xr:uid="{00000000-0005-0000-0000-000070030000}"/>
    <cellStyle name="20% - Accent6 2 8 2 2" xfId="23489" xr:uid="{6C0F2F0E-55A1-4D82-8C75-14FE949CCF96}"/>
    <cellStyle name="20% - Accent6 2 8 2 3" xfId="31923" xr:uid="{05BB3E49-9A2C-4300-90FD-6A767AD13090}"/>
    <cellStyle name="20% - Accent6 2 8 2 4" xfId="15051" xr:uid="{B3653916-5E37-48DD-8436-CDE51A7D9A44}"/>
    <cellStyle name="20% - Accent6 2 8 3" xfId="19271" xr:uid="{D0D3D2D5-AFF6-4C2A-97A2-86B3CBA38091}"/>
    <cellStyle name="20% - Accent6 2 8 4" xfId="27706" xr:uid="{BE6D628E-CA8B-4EAF-8C38-9F7BCD9594F2}"/>
    <cellStyle name="20% - Accent6 2 8 5" xfId="10833" xr:uid="{D9C5B058-9187-4133-8654-57B7A03B8D7E}"/>
    <cellStyle name="20% - Accent6 2 9" xfId="4546" xr:uid="{00000000-0005-0000-0000-000071030000}"/>
    <cellStyle name="20% - Accent6 2 9 2" xfId="21423" xr:uid="{5E7C28FB-5EA0-4041-BEB0-96CA46554E80}"/>
    <cellStyle name="20% - Accent6 2 9 3" xfId="29857" xr:uid="{B41E235A-97EB-4E1C-9BCC-C11332486FE2}"/>
    <cellStyle name="20% - Accent6 2 9 4" xfId="12985" xr:uid="{72F2B6C2-FD66-4605-BB4A-913E84F45891}"/>
    <cellStyle name="20% - Accent6 3" xfId="46" xr:uid="{00000000-0005-0000-0000-000072030000}"/>
    <cellStyle name="20% - Accent6 3 10" xfId="25644" xr:uid="{D314CC71-BD83-401D-92D9-D45E570A88BD}"/>
    <cellStyle name="20% - Accent6 3 11" xfId="8771" xr:uid="{3E7715DB-B803-41AA-BB57-0F575B5BB848}"/>
    <cellStyle name="20% - Accent6 3 2" xfId="47" xr:uid="{00000000-0005-0000-0000-000073030000}"/>
    <cellStyle name="20% - Accent6 3 2 10" xfId="8772" xr:uid="{167C30BE-4447-42FC-BFE1-9289B4AC7989}"/>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23987" xr:uid="{9B3FBE8B-680F-4DE8-907D-41BC103E2BF5}"/>
    <cellStyle name="20% - Accent6 3 2 2 2 2 3" xfId="32421" xr:uid="{07C7D292-9FF8-4A45-A1AA-5F34164F8DDF}"/>
    <cellStyle name="20% - Accent6 3 2 2 2 2 4" xfId="15549" xr:uid="{1E99E059-B003-4862-93A5-5EADDD42FC1D}"/>
    <cellStyle name="20% - Accent6 3 2 2 2 3" xfId="19769" xr:uid="{9937DEE3-882C-4AEE-A4A7-8C43F41AC86D}"/>
    <cellStyle name="20% - Accent6 3 2 2 2 4" xfId="28204" xr:uid="{B462B22F-9296-4874-ADBF-7896B58B62AD}"/>
    <cellStyle name="20% - Accent6 3 2 2 2 5" xfId="11331" xr:uid="{9C08B447-CBD6-46F2-ABD7-D3B941AEB9AC}"/>
    <cellStyle name="20% - Accent6 3 2 2 3" xfId="4965" xr:uid="{00000000-0005-0000-0000-000077030000}"/>
    <cellStyle name="20% - Accent6 3 2 2 3 2" xfId="21842" xr:uid="{ECC8C778-D907-4415-B517-4D9136B345C5}"/>
    <cellStyle name="20% - Accent6 3 2 2 3 3" xfId="30276" xr:uid="{D109C095-15DC-4238-8B8D-B39B8DAB1B45}"/>
    <cellStyle name="20% - Accent6 3 2 2 3 4" xfId="13404" xr:uid="{73571B47-DA04-4F9D-BEC1-8D79EC4A5F69}"/>
    <cellStyle name="20% - Accent6 3 2 2 4" xfId="17624" xr:uid="{99C4E328-D821-440A-8882-3318ABB7BFA0}"/>
    <cellStyle name="20% - Accent6 3 2 2 5" xfId="26059" xr:uid="{C45FFE41-A300-45BA-B255-1389BD0F9ABF}"/>
    <cellStyle name="20% - Accent6 3 2 2 6" xfId="9186" xr:uid="{965DD9A7-E48E-467A-901A-D2FF983CC4CA}"/>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24400" xr:uid="{E9136729-8D38-47AC-8C7F-E71FC2EDFC73}"/>
    <cellStyle name="20% - Accent6 3 2 3 2 2 3" xfId="32834" xr:uid="{BCC8CC76-14B8-42E2-A129-FD1C76CFA0EF}"/>
    <cellStyle name="20% - Accent6 3 2 3 2 2 4" xfId="15962" xr:uid="{BCCDBF5B-BFE8-4BEF-8E09-1A41F4DCDEAE}"/>
    <cellStyle name="20% - Accent6 3 2 3 2 3" xfId="20182" xr:uid="{32E451B2-0DBB-45BC-89B0-786D55A1C76A}"/>
    <cellStyle name="20% - Accent6 3 2 3 2 4" xfId="28617" xr:uid="{F7B54F18-6D0B-4E99-B9CE-A7A910B5067B}"/>
    <cellStyle name="20% - Accent6 3 2 3 2 5" xfId="11744" xr:uid="{9033A47D-2D60-45E8-8CE2-DAE45ABF8932}"/>
    <cellStyle name="20% - Accent6 3 2 3 3" xfId="5378" xr:uid="{00000000-0005-0000-0000-00007B030000}"/>
    <cellStyle name="20% - Accent6 3 2 3 3 2" xfId="22255" xr:uid="{5D350F31-0A4E-40F1-9D77-1B94BD82D44A}"/>
    <cellStyle name="20% - Accent6 3 2 3 3 3" xfId="30689" xr:uid="{47F75ACB-785E-43CD-BFE7-3134F4A577A7}"/>
    <cellStyle name="20% - Accent6 3 2 3 3 4" xfId="13817" xr:uid="{FD5F84C7-87C3-4AD1-995D-4A9E22656922}"/>
    <cellStyle name="20% - Accent6 3 2 3 4" xfId="18037" xr:uid="{984FF9DF-BA01-4A52-A3D3-9AA41AB4E538}"/>
    <cellStyle name="20% - Accent6 3 2 3 5" xfId="26472" xr:uid="{E7016BC4-AC40-4E67-AC1E-6DD038025D61}"/>
    <cellStyle name="20% - Accent6 3 2 3 6" xfId="9599" xr:uid="{C541322E-6CA7-4724-AD59-7F4789861B61}"/>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24813" xr:uid="{84315D16-BEDE-48E4-A54B-339E9515F8B2}"/>
    <cellStyle name="20% - Accent6 3 2 4 2 2 3" xfId="33247" xr:uid="{291FF8FA-5D36-4111-8A56-77C177081CB7}"/>
    <cellStyle name="20% - Accent6 3 2 4 2 2 4" xfId="16375" xr:uid="{267C7C05-49BF-4122-80EC-FA5DDF269A54}"/>
    <cellStyle name="20% - Accent6 3 2 4 2 3" xfId="20595" xr:uid="{A37DA910-AC32-4DFE-BC90-1AFE6025265E}"/>
    <cellStyle name="20% - Accent6 3 2 4 2 4" xfId="29030" xr:uid="{76DBBCDD-3316-41FC-9556-126138F91FCD}"/>
    <cellStyle name="20% - Accent6 3 2 4 2 5" xfId="12157" xr:uid="{4273B4F3-0916-44DD-B394-09FFAE1FAA39}"/>
    <cellStyle name="20% - Accent6 3 2 4 3" xfId="5791" xr:uid="{00000000-0005-0000-0000-00007F030000}"/>
    <cellStyle name="20% - Accent6 3 2 4 3 2" xfId="22668" xr:uid="{458FCCF8-0873-408B-A702-B062077707BD}"/>
    <cellStyle name="20% - Accent6 3 2 4 3 3" xfId="31102" xr:uid="{D347FC6C-C732-47FE-9E29-495F9CFCC603}"/>
    <cellStyle name="20% - Accent6 3 2 4 3 4" xfId="14230" xr:uid="{D14B3705-E44B-47CF-8A8C-2C01AD8003EC}"/>
    <cellStyle name="20% - Accent6 3 2 4 4" xfId="18450" xr:uid="{57991A26-95CB-43EB-9769-F83EC084805C}"/>
    <cellStyle name="20% - Accent6 3 2 4 5" xfId="26885" xr:uid="{DD3F4499-9C9F-46E8-A758-B400B5B66772}"/>
    <cellStyle name="20% - Accent6 3 2 4 6" xfId="10012" xr:uid="{1F5B511C-0242-4265-9F76-AE84CA49D1CE}"/>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25226" xr:uid="{0A2E90CF-DEA3-42BE-87A5-C03DC2D7D3BB}"/>
    <cellStyle name="20% - Accent6 3 2 5 2 2 3" xfId="33660" xr:uid="{C439A1B9-7AE4-420D-88F1-4F3478BDCF9F}"/>
    <cellStyle name="20% - Accent6 3 2 5 2 2 4" xfId="16788" xr:uid="{A85EF648-6696-42F7-9FAD-F9326CE75196}"/>
    <cellStyle name="20% - Accent6 3 2 5 2 3" xfId="21008" xr:uid="{53CC17C9-F02D-482B-9C41-F9FC6C960646}"/>
    <cellStyle name="20% - Accent6 3 2 5 2 4" xfId="29443" xr:uid="{3EB0DCCF-785B-4802-BB97-AB542E1DE568}"/>
    <cellStyle name="20% - Accent6 3 2 5 2 5" xfId="12570" xr:uid="{20BF6CCD-8DFA-43D7-9B5E-B0E6F8F81044}"/>
    <cellStyle name="20% - Accent6 3 2 5 3" xfId="6204" xr:uid="{00000000-0005-0000-0000-000083030000}"/>
    <cellStyle name="20% - Accent6 3 2 5 3 2" xfId="23081" xr:uid="{58344DFD-7879-43BC-9C10-281E14EEDC64}"/>
    <cellStyle name="20% - Accent6 3 2 5 3 3" xfId="31515" xr:uid="{AD3E7BDF-55E8-47AE-B2AB-F142505BD2F8}"/>
    <cellStyle name="20% - Accent6 3 2 5 3 4" xfId="14643" xr:uid="{96EA41D3-29EF-4DD1-B5CD-48A96C148C90}"/>
    <cellStyle name="20% - Accent6 3 2 5 4" xfId="18863" xr:uid="{35FA582C-8DDC-4A35-99A5-F5B8C041FD53}"/>
    <cellStyle name="20% - Accent6 3 2 5 5" xfId="27298" xr:uid="{791DE27D-D051-4893-A225-1F01CB15573A}"/>
    <cellStyle name="20% - Accent6 3 2 5 6" xfId="10425" xr:uid="{96F517F5-8A27-4831-8DF1-6C5C8A4324DD}"/>
    <cellStyle name="20% - Accent6 3 2 6" xfId="2310" xr:uid="{00000000-0005-0000-0000-000084030000}"/>
    <cellStyle name="20% - Accent6 3 2 6 2" xfId="6617" xr:uid="{00000000-0005-0000-0000-000085030000}"/>
    <cellStyle name="20% - Accent6 3 2 6 2 2" xfId="23494" xr:uid="{A62C7294-E872-4045-94A9-441D990E2DCF}"/>
    <cellStyle name="20% - Accent6 3 2 6 2 3" xfId="31928" xr:uid="{02551FAD-F0B4-49A1-B0D9-2C3853A00F35}"/>
    <cellStyle name="20% - Accent6 3 2 6 2 4" xfId="15056" xr:uid="{A860AA88-D522-438B-ADAB-F46A05120FC8}"/>
    <cellStyle name="20% - Accent6 3 2 6 3" xfId="19276" xr:uid="{206D4AFF-C4CC-489E-B9A7-511FE64DB488}"/>
    <cellStyle name="20% - Accent6 3 2 6 4" xfId="27711" xr:uid="{81EBFB56-6D46-467D-9FEE-0FB35B97B491}"/>
    <cellStyle name="20% - Accent6 3 2 6 5" xfId="10838" xr:uid="{395F4345-8D3F-49AA-BD9E-31231FE016FD}"/>
    <cellStyle name="20% - Accent6 3 2 7" xfId="4551" xr:uid="{00000000-0005-0000-0000-000086030000}"/>
    <cellStyle name="20% - Accent6 3 2 7 2" xfId="21428" xr:uid="{C9D69AF2-AEA3-4AE7-BFE4-9CA9AD27C453}"/>
    <cellStyle name="20% - Accent6 3 2 7 3" xfId="29862" xr:uid="{5A504F6B-247E-4677-99EE-FBF39E5B68DE}"/>
    <cellStyle name="20% - Accent6 3 2 7 4" xfId="12990" xr:uid="{61AD9E56-C458-44E1-B951-A5E126911513}"/>
    <cellStyle name="20% - Accent6 3 2 8" xfId="17210" xr:uid="{B60523AD-CA5D-4B2C-8CE6-7CFB63E955CE}"/>
    <cellStyle name="20% - Accent6 3 2 9" xfId="25645" xr:uid="{A7CA84AE-5583-4560-8AB2-FD717720204C}"/>
    <cellStyle name="20% - Accent6 3 3" xfId="615" xr:uid="{00000000-0005-0000-0000-000087030000}"/>
    <cellStyle name="20% - Accent6 3 3 2" xfId="2886" xr:uid="{00000000-0005-0000-0000-000088030000}"/>
    <cellStyle name="20% - Accent6 3 3 2 2" xfId="7109" xr:uid="{00000000-0005-0000-0000-000089030000}"/>
    <cellStyle name="20% - Accent6 3 3 2 2 2" xfId="23986" xr:uid="{0AB155D3-32D9-484F-BBF1-57C922EC9B06}"/>
    <cellStyle name="20% - Accent6 3 3 2 2 3" xfId="32420" xr:uid="{0850C8CC-93A0-4046-88DC-43D81AA613D6}"/>
    <cellStyle name="20% - Accent6 3 3 2 2 4" xfId="15548" xr:uid="{BFF68496-23EF-4A6E-A2E1-EFB3B0A3937C}"/>
    <cellStyle name="20% - Accent6 3 3 2 3" xfId="19768" xr:uid="{A75B8D61-4D3C-49B0-9642-020D08293070}"/>
    <cellStyle name="20% - Accent6 3 3 2 4" xfId="28203" xr:uid="{BCE2E135-53F0-4D0B-96C8-5DA35158E342}"/>
    <cellStyle name="20% - Accent6 3 3 2 5" xfId="11330" xr:uid="{8E36720D-66BC-4789-A063-BB2841E29FB7}"/>
    <cellStyle name="20% - Accent6 3 3 3" xfId="4964" xr:uid="{00000000-0005-0000-0000-00008A030000}"/>
    <cellStyle name="20% - Accent6 3 3 3 2" xfId="21841" xr:uid="{84D2B083-E15B-41C7-8ED7-06D01454ECB8}"/>
    <cellStyle name="20% - Accent6 3 3 3 3" xfId="30275" xr:uid="{38F173D5-D8B1-4DC9-A40B-40663E5FB106}"/>
    <cellStyle name="20% - Accent6 3 3 3 4" xfId="13403" xr:uid="{BFD28983-E1BB-4F51-87A4-EE408F80BC38}"/>
    <cellStyle name="20% - Accent6 3 3 4" xfId="17623" xr:uid="{EAD33C85-6A7F-49EA-B25E-2D4F40F22A3B}"/>
    <cellStyle name="20% - Accent6 3 3 5" xfId="26058" xr:uid="{DE065DFB-DCD0-47A6-86DC-19A9CDE51657}"/>
    <cellStyle name="20% - Accent6 3 3 6" xfId="9185" xr:uid="{D5EB9D0B-95FE-49E5-8355-EC5C44EAC7C1}"/>
    <cellStyle name="20% - Accent6 3 4" xfId="1068" xr:uid="{00000000-0005-0000-0000-00008B030000}"/>
    <cellStyle name="20% - Accent6 3 4 2" xfId="3299" xr:uid="{00000000-0005-0000-0000-00008C030000}"/>
    <cellStyle name="20% - Accent6 3 4 2 2" xfId="7522" xr:uid="{00000000-0005-0000-0000-00008D030000}"/>
    <cellStyle name="20% - Accent6 3 4 2 2 2" xfId="24399" xr:uid="{5AE39E80-6196-4BCC-9609-90DF6C4994B7}"/>
    <cellStyle name="20% - Accent6 3 4 2 2 3" xfId="32833" xr:uid="{D1A61BBE-B632-42FB-AB07-0B0D131199DA}"/>
    <cellStyle name="20% - Accent6 3 4 2 2 4" xfId="15961" xr:uid="{77578F56-1122-452B-841E-866FC30FD598}"/>
    <cellStyle name="20% - Accent6 3 4 2 3" xfId="20181" xr:uid="{B2E32E36-BAB6-4A25-B4C8-C5A619C202E6}"/>
    <cellStyle name="20% - Accent6 3 4 2 4" xfId="28616" xr:uid="{D81616F6-BC1D-475B-9F0A-AB9B2D647029}"/>
    <cellStyle name="20% - Accent6 3 4 2 5" xfId="11743" xr:uid="{EF449444-51FB-4FC2-B40F-F75D4581FA62}"/>
    <cellStyle name="20% - Accent6 3 4 3" xfId="5377" xr:uid="{00000000-0005-0000-0000-00008E030000}"/>
    <cellStyle name="20% - Accent6 3 4 3 2" xfId="22254" xr:uid="{CA4D6AB2-F662-4929-B0A5-07ACF2C19C59}"/>
    <cellStyle name="20% - Accent6 3 4 3 3" xfId="30688" xr:uid="{4C575EAB-FF92-4582-A2BA-96B5FA19DB31}"/>
    <cellStyle name="20% - Accent6 3 4 3 4" xfId="13816" xr:uid="{698FDA11-2758-4AA9-A77F-374E8EFE473A}"/>
    <cellStyle name="20% - Accent6 3 4 4" xfId="18036" xr:uid="{B49F6425-99AC-406E-9903-E6394DA53297}"/>
    <cellStyle name="20% - Accent6 3 4 5" xfId="26471" xr:uid="{2AE403E9-4135-4075-9A23-B804981B5122}"/>
    <cellStyle name="20% - Accent6 3 4 6" xfId="9598" xr:uid="{BC7415C1-2E2B-45EA-B305-28B30FCBEDB9}"/>
    <cellStyle name="20% - Accent6 3 5" xfId="1482" xr:uid="{00000000-0005-0000-0000-00008F030000}"/>
    <cellStyle name="20% - Accent6 3 5 2" xfId="3712" xr:uid="{00000000-0005-0000-0000-000090030000}"/>
    <cellStyle name="20% - Accent6 3 5 2 2" xfId="7935" xr:uid="{00000000-0005-0000-0000-000091030000}"/>
    <cellStyle name="20% - Accent6 3 5 2 2 2" xfId="24812" xr:uid="{609E30B0-69EB-4EFD-9B66-DABF11992601}"/>
    <cellStyle name="20% - Accent6 3 5 2 2 3" xfId="33246" xr:uid="{284A0A64-58F0-4B9A-AAF1-5C04ADC68FCA}"/>
    <cellStyle name="20% - Accent6 3 5 2 2 4" xfId="16374" xr:uid="{D27837D2-7A66-4CEF-9859-8DF93E88D245}"/>
    <cellStyle name="20% - Accent6 3 5 2 3" xfId="20594" xr:uid="{EF11FFCD-F7A4-482D-B572-51957EA50827}"/>
    <cellStyle name="20% - Accent6 3 5 2 4" xfId="29029" xr:uid="{85AC1DFB-2E27-476D-B801-3F0600FFEEEB}"/>
    <cellStyle name="20% - Accent6 3 5 2 5" xfId="12156" xr:uid="{BA90C755-394D-445D-80DC-3E417BE15C1E}"/>
    <cellStyle name="20% - Accent6 3 5 3" xfId="5790" xr:uid="{00000000-0005-0000-0000-000092030000}"/>
    <cellStyle name="20% - Accent6 3 5 3 2" xfId="22667" xr:uid="{622976D7-CB61-4C4A-A0AA-6B50FF5041AC}"/>
    <cellStyle name="20% - Accent6 3 5 3 3" xfId="31101" xr:uid="{CA13301B-E5D9-4500-8B06-480A9432E1AA}"/>
    <cellStyle name="20% - Accent6 3 5 3 4" xfId="14229" xr:uid="{6095B62B-04E1-4520-8A61-B065001EA98D}"/>
    <cellStyle name="20% - Accent6 3 5 4" xfId="18449" xr:uid="{FDF3711D-567C-4122-A430-AA6B0190293C}"/>
    <cellStyle name="20% - Accent6 3 5 5" xfId="26884" xr:uid="{433FCA82-7E50-4FCE-A57E-6616032F254F}"/>
    <cellStyle name="20% - Accent6 3 5 6" xfId="10011" xr:uid="{957CA173-8C4A-4846-952F-11B0096DBCD4}"/>
    <cellStyle name="20% - Accent6 3 6" xfId="1896" xr:uid="{00000000-0005-0000-0000-000093030000}"/>
    <cellStyle name="20% - Accent6 3 6 2" xfId="4125" xr:uid="{00000000-0005-0000-0000-000094030000}"/>
    <cellStyle name="20% - Accent6 3 6 2 2" xfId="8348" xr:uid="{00000000-0005-0000-0000-000095030000}"/>
    <cellStyle name="20% - Accent6 3 6 2 2 2" xfId="25225" xr:uid="{413A33A9-B0E2-4E32-BEB6-23183479BF8F}"/>
    <cellStyle name="20% - Accent6 3 6 2 2 3" xfId="33659" xr:uid="{A73D8C63-EDE0-411C-97DE-B63E5DFC51C1}"/>
    <cellStyle name="20% - Accent6 3 6 2 2 4" xfId="16787" xr:uid="{5AA1ABEC-BD2C-44D7-A789-DA1A698462D5}"/>
    <cellStyle name="20% - Accent6 3 6 2 3" xfId="21007" xr:uid="{BA1297E9-2FFC-4681-84FD-231D210A669B}"/>
    <cellStyle name="20% - Accent6 3 6 2 4" xfId="29442" xr:uid="{3D53CDE4-22A2-4D39-8205-E80959A1819C}"/>
    <cellStyle name="20% - Accent6 3 6 2 5" xfId="12569" xr:uid="{C46D7F06-D5C0-4915-B809-071427432F5F}"/>
    <cellStyle name="20% - Accent6 3 6 3" xfId="6203" xr:uid="{00000000-0005-0000-0000-000096030000}"/>
    <cellStyle name="20% - Accent6 3 6 3 2" xfId="23080" xr:uid="{797CF847-8B7B-4176-B352-74725B9AE932}"/>
    <cellStyle name="20% - Accent6 3 6 3 3" xfId="31514" xr:uid="{CBEF6FB2-CCAA-4E22-A63D-A598D9C584A8}"/>
    <cellStyle name="20% - Accent6 3 6 3 4" xfId="14642" xr:uid="{A99B4BE3-A0E8-424B-A0FA-E28BC1255601}"/>
    <cellStyle name="20% - Accent6 3 6 4" xfId="18862" xr:uid="{C5C76126-27B1-4348-BFAB-2B8AA4294E8C}"/>
    <cellStyle name="20% - Accent6 3 6 5" xfId="27297" xr:uid="{CD1E2E49-6B9B-482C-8894-FE2C605C9D24}"/>
    <cellStyle name="20% - Accent6 3 6 6" xfId="10424" xr:uid="{5878837D-6386-4A66-86AF-64DB47F7A7C8}"/>
    <cellStyle name="20% - Accent6 3 7" xfId="2309" xr:uid="{00000000-0005-0000-0000-000097030000}"/>
    <cellStyle name="20% - Accent6 3 7 2" xfId="6616" xr:uid="{00000000-0005-0000-0000-000098030000}"/>
    <cellStyle name="20% - Accent6 3 7 2 2" xfId="23493" xr:uid="{7B124EE7-737C-4DE1-8402-87DF3E893922}"/>
    <cellStyle name="20% - Accent6 3 7 2 3" xfId="31927" xr:uid="{163912D7-1764-4DFD-BE52-34952A432337}"/>
    <cellStyle name="20% - Accent6 3 7 2 4" xfId="15055" xr:uid="{BFD95347-11C5-4D28-B24B-CF251277E9FE}"/>
    <cellStyle name="20% - Accent6 3 7 3" xfId="19275" xr:uid="{58F25DBE-288D-4CB9-8345-AE938FCBB49E}"/>
    <cellStyle name="20% - Accent6 3 7 4" xfId="27710" xr:uid="{D2322295-AFA6-43A4-B498-BC797740D176}"/>
    <cellStyle name="20% - Accent6 3 7 5" xfId="10837" xr:uid="{A5691C52-368D-44EC-B0EB-7D7D376B9D70}"/>
    <cellStyle name="20% - Accent6 3 8" xfId="4550" xr:uid="{00000000-0005-0000-0000-000099030000}"/>
    <cellStyle name="20% - Accent6 3 8 2" xfId="21427" xr:uid="{B2CD35B1-ADEF-42CA-99B9-118C4B96476C}"/>
    <cellStyle name="20% - Accent6 3 8 3" xfId="29861" xr:uid="{DA788943-7F2D-445B-B19E-2E087E3949E6}"/>
    <cellStyle name="20% - Accent6 3 8 4" xfId="12989" xr:uid="{64C0ADE0-8DAE-41C8-A3D0-4E5B4C0CF544}"/>
    <cellStyle name="20% - Accent6 3 9" xfId="17209" xr:uid="{8ADADB78-500E-4BBB-A823-6D2980CBE298}"/>
    <cellStyle name="20% - Accent6 4" xfId="48" xr:uid="{00000000-0005-0000-0000-00009A030000}"/>
    <cellStyle name="20% - Accent6 4 10" xfId="8773" xr:uid="{2EA61DDA-EA16-46C9-BC3B-C5031F8CAB7B}"/>
    <cellStyle name="20% - Accent6 4 2" xfId="617" xr:uid="{00000000-0005-0000-0000-00009B030000}"/>
    <cellStyle name="20% - Accent6 4 2 2" xfId="2888" xr:uid="{00000000-0005-0000-0000-00009C030000}"/>
    <cellStyle name="20% - Accent6 4 2 2 2" xfId="7111" xr:uid="{00000000-0005-0000-0000-00009D030000}"/>
    <cellStyle name="20% - Accent6 4 2 2 2 2" xfId="23988" xr:uid="{822B20FC-B876-4A05-9F02-7E9157EA273A}"/>
    <cellStyle name="20% - Accent6 4 2 2 2 3" xfId="32422" xr:uid="{CE9F88DE-839B-4CF2-A8A6-B66AEFF6A167}"/>
    <cellStyle name="20% - Accent6 4 2 2 2 4" xfId="15550" xr:uid="{7086C8E9-1862-41C8-A2D1-4EC416A58E14}"/>
    <cellStyle name="20% - Accent6 4 2 2 3" xfId="19770" xr:uid="{53A6B359-E442-46D6-A459-33A31E031546}"/>
    <cellStyle name="20% - Accent6 4 2 2 4" xfId="28205" xr:uid="{5755E6CD-3E27-40CB-A47C-CED4E8C92E3A}"/>
    <cellStyle name="20% - Accent6 4 2 2 5" xfId="11332" xr:uid="{1A678001-7AE7-491C-BE62-40F1021CEFD5}"/>
    <cellStyle name="20% - Accent6 4 2 3" xfId="4966" xr:uid="{00000000-0005-0000-0000-00009E030000}"/>
    <cellStyle name="20% - Accent6 4 2 3 2" xfId="21843" xr:uid="{94863132-C4D0-43A5-95E5-CB06A56B408F}"/>
    <cellStyle name="20% - Accent6 4 2 3 3" xfId="30277" xr:uid="{A665761F-7312-4647-BA44-AAFFEF5AFD78}"/>
    <cellStyle name="20% - Accent6 4 2 3 4" xfId="13405" xr:uid="{CA2FF0E2-7378-4F89-B6E9-2D23602F6FDA}"/>
    <cellStyle name="20% - Accent6 4 2 4" xfId="17625" xr:uid="{84BAF6D7-DD2F-4B87-A600-19F1285F1723}"/>
    <cellStyle name="20% - Accent6 4 2 5" xfId="26060" xr:uid="{0A263535-E4C4-4B31-8C6E-8DF8B4C3A124}"/>
    <cellStyle name="20% - Accent6 4 2 6" xfId="9187" xr:uid="{7E9A46CD-945F-4BD9-8989-8EC72B82509C}"/>
    <cellStyle name="20% - Accent6 4 3" xfId="1070" xr:uid="{00000000-0005-0000-0000-00009F030000}"/>
    <cellStyle name="20% - Accent6 4 3 2" xfId="3301" xr:uid="{00000000-0005-0000-0000-0000A0030000}"/>
    <cellStyle name="20% - Accent6 4 3 2 2" xfId="7524" xr:uid="{00000000-0005-0000-0000-0000A1030000}"/>
    <cellStyle name="20% - Accent6 4 3 2 2 2" xfId="24401" xr:uid="{E3CF0819-D0F1-4301-B31F-2FA71F9F6DC5}"/>
    <cellStyle name="20% - Accent6 4 3 2 2 3" xfId="32835" xr:uid="{6982833A-CCCF-40B9-ADF6-863D7811CE6F}"/>
    <cellStyle name="20% - Accent6 4 3 2 2 4" xfId="15963" xr:uid="{8FE2F0C1-0102-444D-A140-8EF3A6607905}"/>
    <cellStyle name="20% - Accent6 4 3 2 3" xfId="20183" xr:uid="{F278D9C0-C214-4084-801C-97C01AB27878}"/>
    <cellStyle name="20% - Accent6 4 3 2 4" xfId="28618" xr:uid="{BB48B7FA-DB4F-48B2-B100-093A74B3F390}"/>
    <cellStyle name="20% - Accent6 4 3 2 5" xfId="11745" xr:uid="{B7B43D9E-5514-48C4-86DF-C2DD4A6BA989}"/>
    <cellStyle name="20% - Accent6 4 3 3" xfId="5379" xr:uid="{00000000-0005-0000-0000-0000A2030000}"/>
    <cellStyle name="20% - Accent6 4 3 3 2" xfId="22256" xr:uid="{A92EDAE1-AD6C-4BB0-A300-A37A4EFB674E}"/>
    <cellStyle name="20% - Accent6 4 3 3 3" xfId="30690" xr:uid="{F416273D-F4E1-4FFE-A698-A8C5226130A2}"/>
    <cellStyle name="20% - Accent6 4 3 3 4" xfId="13818" xr:uid="{6A443597-E9B4-45D9-AF00-D7A6F7D3BD9A}"/>
    <cellStyle name="20% - Accent6 4 3 4" xfId="18038" xr:uid="{78C4788E-211F-4064-89C1-A49B9BC6BCDD}"/>
    <cellStyle name="20% - Accent6 4 3 5" xfId="26473" xr:uid="{924EBB6E-0B2C-4FBC-803D-239A33F1CFF3}"/>
    <cellStyle name="20% - Accent6 4 3 6" xfId="9600" xr:uid="{2085FA75-3802-4D83-9701-0D3E86A270E4}"/>
    <cellStyle name="20% - Accent6 4 4" xfId="1484" xr:uid="{00000000-0005-0000-0000-0000A3030000}"/>
    <cellStyle name="20% - Accent6 4 4 2" xfId="3714" xr:uid="{00000000-0005-0000-0000-0000A4030000}"/>
    <cellStyle name="20% - Accent6 4 4 2 2" xfId="7937" xr:uid="{00000000-0005-0000-0000-0000A5030000}"/>
    <cellStyle name="20% - Accent6 4 4 2 2 2" xfId="24814" xr:uid="{D6F11F81-F13F-4B09-9BA0-912CA48ED8F2}"/>
    <cellStyle name="20% - Accent6 4 4 2 2 3" xfId="33248" xr:uid="{33503E97-CC52-47DC-8DCA-96D73086A24D}"/>
    <cellStyle name="20% - Accent6 4 4 2 2 4" xfId="16376" xr:uid="{9142AB1A-98C7-4832-BDBF-D5E8E7A00902}"/>
    <cellStyle name="20% - Accent6 4 4 2 3" xfId="20596" xr:uid="{B6A9D30F-097E-497C-9DE3-DB772F03244A}"/>
    <cellStyle name="20% - Accent6 4 4 2 4" xfId="29031" xr:uid="{F4FC8206-96B0-4A8F-A1BB-7CFE30E53F9B}"/>
    <cellStyle name="20% - Accent6 4 4 2 5" xfId="12158" xr:uid="{DD0B263B-E7B0-4331-825F-ABEC732F4113}"/>
    <cellStyle name="20% - Accent6 4 4 3" xfId="5792" xr:uid="{00000000-0005-0000-0000-0000A6030000}"/>
    <cellStyle name="20% - Accent6 4 4 3 2" xfId="22669" xr:uid="{22EADD95-D45D-4355-B341-7FC76D56E51C}"/>
    <cellStyle name="20% - Accent6 4 4 3 3" xfId="31103" xr:uid="{1132099A-9AFB-4E54-94C2-FA647A568FAC}"/>
    <cellStyle name="20% - Accent6 4 4 3 4" xfId="14231" xr:uid="{DDCC742B-4704-4160-928C-55C0A2BFA7EF}"/>
    <cellStyle name="20% - Accent6 4 4 4" xfId="18451" xr:uid="{0585528F-62FF-47CA-BF3F-FD49F77B1039}"/>
    <cellStyle name="20% - Accent6 4 4 5" xfId="26886" xr:uid="{5219B8A1-FF3F-45A9-96C6-5E347975EA8F}"/>
    <cellStyle name="20% - Accent6 4 4 6" xfId="10013" xr:uid="{2FD3E7D5-4DF8-4C98-9953-6AE5704D76F3}"/>
    <cellStyle name="20% - Accent6 4 5" xfId="1898" xr:uid="{00000000-0005-0000-0000-0000A7030000}"/>
    <cellStyle name="20% - Accent6 4 5 2" xfId="4127" xr:uid="{00000000-0005-0000-0000-0000A8030000}"/>
    <cellStyle name="20% - Accent6 4 5 2 2" xfId="8350" xr:uid="{00000000-0005-0000-0000-0000A9030000}"/>
    <cellStyle name="20% - Accent6 4 5 2 2 2" xfId="25227" xr:uid="{9C8FBF18-4553-408A-B8F9-78806A63F8E7}"/>
    <cellStyle name="20% - Accent6 4 5 2 2 3" xfId="33661" xr:uid="{8CC84DF0-74F0-4CB5-967B-BF900607C609}"/>
    <cellStyle name="20% - Accent6 4 5 2 2 4" xfId="16789" xr:uid="{E66F9DB7-FD6C-4B1E-AEC7-C5549487257E}"/>
    <cellStyle name="20% - Accent6 4 5 2 3" xfId="21009" xr:uid="{B75BCA29-E35D-4FF7-B4FC-D64152C851E8}"/>
    <cellStyle name="20% - Accent6 4 5 2 4" xfId="29444" xr:uid="{82214321-B3BF-43BF-8121-6583099C806E}"/>
    <cellStyle name="20% - Accent6 4 5 2 5" xfId="12571" xr:uid="{D65067AF-F70C-49C5-B33B-F4351691D2A9}"/>
    <cellStyle name="20% - Accent6 4 5 3" xfId="6205" xr:uid="{00000000-0005-0000-0000-0000AA030000}"/>
    <cellStyle name="20% - Accent6 4 5 3 2" xfId="23082" xr:uid="{9CEFA726-C6DB-494C-9751-1F2AEBEC05BE}"/>
    <cellStyle name="20% - Accent6 4 5 3 3" xfId="31516" xr:uid="{52FE7444-07AA-4F69-8181-C95980791CEE}"/>
    <cellStyle name="20% - Accent6 4 5 3 4" xfId="14644" xr:uid="{3DF185CA-7D19-4F03-BE8A-293130D7DE33}"/>
    <cellStyle name="20% - Accent6 4 5 4" xfId="18864" xr:uid="{7BF7063F-9D10-42DD-8730-FC211356050F}"/>
    <cellStyle name="20% - Accent6 4 5 5" xfId="27299" xr:uid="{7638613A-1DD9-449A-9D55-C72D9D0D97C8}"/>
    <cellStyle name="20% - Accent6 4 5 6" xfId="10426" xr:uid="{1B8770F5-C8B2-4482-840F-C31DC62DC23D}"/>
    <cellStyle name="20% - Accent6 4 6" xfId="2311" xr:uid="{00000000-0005-0000-0000-0000AB030000}"/>
    <cellStyle name="20% - Accent6 4 6 2" xfId="6618" xr:uid="{00000000-0005-0000-0000-0000AC030000}"/>
    <cellStyle name="20% - Accent6 4 6 2 2" xfId="23495" xr:uid="{BD74CFB8-B18C-4072-B1EF-20787AD67CA3}"/>
    <cellStyle name="20% - Accent6 4 6 2 3" xfId="31929" xr:uid="{2B1879B3-23D6-4FC8-B523-4BC0AB41E146}"/>
    <cellStyle name="20% - Accent6 4 6 2 4" xfId="15057" xr:uid="{1DD77B8E-2559-43DD-B938-884ACCC08423}"/>
    <cellStyle name="20% - Accent6 4 6 3" xfId="19277" xr:uid="{C8B35DA0-3B07-48A1-9A4C-1F8EB997A1A9}"/>
    <cellStyle name="20% - Accent6 4 6 4" xfId="27712" xr:uid="{F4BBC41B-6CFB-4193-803C-BE8839409BA4}"/>
    <cellStyle name="20% - Accent6 4 6 5" xfId="10839" xr:uid="{D9EFCDD2-CC53-458D-B8DD-06D59FD296F9}"/>
    <cellStyle name="20% - Accent6 4 7" xfId="4552" xr:uid="{00000000-0005-0000-0000-0000AD030000}"/>
    <cellStyle name="20% - Accent6 4 7 2" xfId="21429" xr:uid="{22DD2255-AE17-4A0F-92DB-B8C28C327B51}"/>
    <cellStyle name="20% - Accent6 4 7 3" xfId="29863" xr:uid="{8AE8AEAD-EF4D-4537-8DDF-2C009AF255DE}"/>
    <cellStyle name="20% - Accent6 4 7 4" xfId="12991" xr:uid="{2F720D0B-3C1E-46C0-8ACB-5152C5D0D6FF}"/>
    <cellStyle name="20% - Accent6 4 8" xfId="17211" xr:uid="{8D5F98B6-F791-4B63-BB48-F557956E541A}"/>
    <cellStyle name="20% - Accent6 4 9" xfId="25646" xr:uid="{B26F67D1-1EFA-4CB7-BAF4-9BADC6ADC84F}"/>
    <cellStyle name="20% - Accent6 5" xfId="610" xr:uid="{00000000-0005-0000-0000-0000AE030000}"/>
    <cellStyle name="20% - Accent6 5 2" xfId="2881" xr:uid="{00000000-0005-0000-0000-0000AF030000}"/>
    <cellStyle name="20% - Accent6 5 2 2" xfId="7104" xr:uid="{00000000-0005-0000-0000-0000B0030000}"/>
    <cellStyle name="20% - Accent6 5 2 2 2" xfId="23981" xr:uid="{F4A2FDE0-F91F-4DEB-B256-6EDB5BA42764}"/>
    <cellStyle name="20% - Accent6 5 2 2 3" xfId="32415" xr:uid="{679FCE6A-227D-44B3-B7A4-BEA11EB38422}"/>
    <cellStyle name="20% - Accent6 5 2 2 4" xfId="15543" xr:uid="{DBBC4A6E-6C91-474F-87F9-076D96CE90DD}"/>
    <cellStyle name="20% - Accent6 5 2 3" xfId="19763" xr:uid="{D8A6F2DD-8562-4306-8893-ADD0451EF225}"/>
    <cellStyle name="20% - Accent6 5 2 4" xfId="28198" xr:uid="{EB49E0FA-A767-46B8-83D4-94575313A5F0}"/>
    <cellStyle name="20% - Accent6 5 2 5" xfId="11325" xr:uid="{70560131-26A1-41BA-95B2-2DEEB64586FE}"/>
    <cellStyle name="20% - Accent6 5 3" xfId="4959" xr:uid="{00000000-0005-0000-0000-0000B1030000}"/>
    <cellStyle name="20% - Accent6 5 3 2" xfId="21836" xr:uid="{E955315F-B5EB-4E04-92E8-D223F620666B}"/>
    <cellStyle name="20% - Accent6 5 3 3" xfId="30270" xr:uid="{53A4EEBF-3D44-4B34-9883-2C75DD5494F5}"/>
    <cellStyle name="20% - Accent6 5 3 4" xfId="13398" xr:uid="{10200B3B-7510-47E9-BE2A-520929C04524}"/>
    <cellStyle name="20% - Accent6 5 4" xfId="17618" xr:uid="{249AC412-2585-4D5D-BAD8-AC1261F5C4A9}"/>
    <cellStyle name="20% - Accent6 5 5" xfId="26053" xr:uid="{575470A0-FE51-4942-9B99-CA7F0FA5E1EB}"/>
    <cellStyle name="20% - Accent6 5 6" xfId="9180" xr:uid="{40F4091B-1ACC-40CA-8ADF-E49AB6354C6F}"/>
    <cellStyle name="20% - Accent6 6" xfId="1063" xr:uid="{00000000-0005-0000-0000-0000B2030000}"/>
    <cellStyle name="20% - Accent6 6 2" xfId="3294" xr:uid="{00000000-0005-0000-0000-0000B3030000}"/>
    <cellStyle name="20% - Accent6 6 2 2" xfId="7517" xr:uid="{00000000-0005-0000-0000-0000B4030000}"/>
    <cellStyle name="20% - Accent6 6 2 2 2" xfId="24394" xr:uid="{542701A9-DAF3-4EA6-A43F-934D3A26DEB6}"/>
    <cellStyle name="20% - Accent6 6 2 2 3" xfId="32828" xr:uid="{382085A8-3529-4F5C-9268-A4A159B52A90}"/>
    <cellStyle name="20% - Accent6 6 2 2 4" xfId="15956" xr:uid="{7EC0055D-DA75-4016-9601-EEA05D4F023A}"/>
    <cellStyle name="20% - Accent6 6 2 3" xfId="20176" xr:uid="{B59AD5D4-3984-4AC8-952D-C2B136B6416C}"/>
    <cellStyle name="20% - Accent6 6 2 4" xfId="28611" xr:uid="{DC565441-F35C-43ED-8D4F-A05C7481BE56}"/>
    <cellStyle name="20% - Accent6 6 2 5" xfId="11738" xr:uid="{7D1D358B-BB7B-44BD-8357-A22B973421C0}"/>
    <cellStyle name="20% - Accent6 6 3" xfId="5372" xr:uid="{00000000-0005-0000-0000-0000B5030000}"/>
    <cellStyle name="20% - Accent6 6 3 2" xfId="22249" xr:uid="{ECC97FF9-1700-48D0-A4B7-ED5E16D3D034}"/>
    <cellStyle name="20% - Accent6 6 3 3" xfId="30683" xr:uid="{A16588F0-5CB5-482E-87D2-601787F9A08E}"/>
    <cellStyle name="20% - Accent6 6 3 4" xfId="13811" xr:uid="{A16471DF-4250-40E6-84BC-46F722C470B1}"/>
    <cellStyle name="20% - Accent6 6 4" xfId="18031" xr:uid="{13A4FB53-AE1B-4675-B0E8-8E8D834A164F}"/>
    <cellStyle name="20% - Accent6 6 5" xfId="26466" xr:uid="{4AA35FCA-105F-4BBD-8B4B-2A08D282D7E1}"/>
    <cellStyle name="20% - Accent6 6 6" xfId="9593" xr:uid="{FF8C1CA2-E734-4A4E-89C2-440584337B3F}"/>
    <cellStyle name="20% - Accent6 7" xfId="1477" xr:uid="{00000000-0005-0000-0000-0000B6030000}"/>
    <cellStyle name="20% - Accent6 7 2" xfId="3707" xr:uid="{00000000-0005-0000-0000-0000B7030000}"/>
    <cellStyle name="20% - Accent6 7 2 2" xfId="7930" xr:uid="{00000000-0005-0000-0000-0000B8030000}"/>
    <cellStyle name="20% - Accent6 7 2 2 2" xfId="24807" xr:uid="{322827A6-8041-409A-B4A1-6875EC1D1A84}"/>
    <cellStyle name="20% - Accent6 7 2 2 3" xfId="33241" xr:uid="{FD52C4B3-978F-463C-8B21-06BAF87D5201}"/>
    <cellStyle name="20% - Accent6 7 2 2 4" xfId="16369" xr:uid="{A35284D2-D5F2-4102-9444-D23185AE7268}"/>
    <cellStyle name="20% - Accent6 7 2 3" xfId="20589" xr:uid="{EA5DBFF1-2224-4BF3-9BBE-019AA1F7173B}"/>
    <cellStyle name="20% - Accent6 7 2 4" xfId="29024" xr:uid="{0C2606E6-6836-4E27-A5A9-142E77B8978C}"/>
    <cellStyle name="20% - Accent6 7 2 5" xfId="12151" xr:uid="{8CD3FCDA-7494-47E5-925C-A520DB4A558F}"/>
    <cellStyle name="20% - Accent6 7 3" xfId="5785" xr:uid="{00000000-0005-0000-0000-0000B9030000}"/>
    <cellStyle name="20% - Accent6 7 3 2" xfId="22662" xr:uid="{72797778-EBB2-4BCD-A269-5B617525471D}"/>
    <cellStyle name="20% - Accent6 7 3 3" xfId="31096" xr:uid="{50C1C4CB-B2C4-49EE-ADA2-10BFF0A34CFB}"/>
    <cellStyle name="20% - Accent6 7 3 4" xfId="14224" xr:uid="{EAD96974-25AE-4026-A111-1B6BB0D9DDCB}"/>
    <cellStyle name="20% - Accent6 7 4" xfId="18444" xr:uid="{4741644F-7080-4706-90C9-3FB92FF6475E}"/>
    <cellStyle name="20% - Accent6 7 5" xfId="26879" xr:uid="{7F133048-E243-40CC-8FE5-B5A6196C4D03}"/>
    <cellStyle name="20% - Accent6 7 6" xfId="10006" xr:uid="{71399E4E-A0EF-4CBB-A784-6A917C1C1AE0}"/>
    <cellStyle name="20% - Accent6 8" xfId="1891" xr:uid="{00000000-0005-0000-0000-0000BA030000}"/>
    <cellStyle name="20% - Accent6 8 2" xfId="4120" xr:uid="{00000000-0005-0000-0000-0000BB030000}"/>
    <cellStyle name="20% - Accent6 8 2 2" xfId="8343" xr:uid="{00000000-0005-0000-0000-0000BC030000}"/>
    <cellStyle name="20% - Accent6 8 2 2 2" xfId="25220" xr:uid="{BC919E09-2203-4EF1-A96C-463288F9CC46}"/>
    <cellStyle name="20% - Accent6 8 2 2 3" xfId="33654" xr:uid="{2330F5AC-7FC3-4F29-AE45-7039374AAE93}"/>
    <cellStyle name="20% - Accent6 8 2 2 4" xfId="16782" xr:uid="{0F3F76BC-D4FC-42F7-A187-124724A70AD9}"/>
    <cellStyle name="20% - Accent6 8 2 3" xfId="21002" xr:uid="{6E0B6FAA-EB2F-44D9-B6FB-C08754F20587}"/>
    <cellStyle name="20% - Accent6 8 2 4" xfId="29437" xr:uid="{49A1E812-FB3A-4E7B-884D-535258B43A76}"/>
    <cellStyle name="20% - Accent6 8 2 5" xfId="12564" xr:uid="{F7E7782F-C3A9-4996-B37B-D44DE2FFA4C4}"/>
    <cellStyle name="20% - Accent6 8 3" xfId="6198" xr:uid="{00000000-0005-0000-0000-0000BD030000}"/>
    <cellStyle name="20% - Accent6 8 3 2" xfId="23075" xr:uid="{80F213FF-C4E5-4481-8DE7-8D4F19F25898}"/>
    <cellStyle name="20% - Accent6 8 3 3" xfId="31509" xr:uid="{BE9496DA-6BBA-4B7B-A309-82B0E5EBE74E}"/>
    <cellStyle name="20% - Accent6 8 3 4" xfId="14637" xr:uid="{F4ED3727-A78A-4371-A154-CA6F1215B98C}"/>
    <cellStyle name="20% - Accent6 8 4" xfId="18857" xr:uid="{BDA8E985-150E-4D65-81AF-7CCE32337368}"/>
    <cellStyle name="20% - Accent6 8 5" xfId="27292" xr:uid="{2E9E63B3-B9F1-4FBA-9ABC-C48CAFE1BFCC}"/>
    <cellStyle name="20% - Accent6 8 6" xfId="10419" xr:uid="{70CF9238-2729-4A50-B1BE-5C619D073C17}"/>
    <cellStyle name="20% - Accent6 9" xfId="2304" xr:uid="{00000000-0005-0000-0000-0000BE030000}"/>
    <cellStyle name="20% - Accent6 9 2" xfId="6611" xr:uid="{00000000-0005-0000-0000-0000BF030000}"/>
    <cellStyle name="20% - Accent6 9 2 2" xfId="23488" xr:uid="{F7C9F58D-06A3-4D0D-BE57-AA82886ADAF7}"/>
    <cellStyle name="20% - Accent6 9 2 3" xfId="31922" xr:uid="{34A29A50-E6A8-40BF-BFAE-796285D5CC98}"/>
    <cellStyle name="20% - Accent6 9 2 4" xfId="15050" xr:uid="{98776920-820D-4BBE-9A2D-4EDB7AAF56AF}"/>
    <cellStyle name="20% - Accent6 9 3" xfId="19270" xr:uid="{0A168B5B-F9C7-489A-8261-F20E67C088DE}"/>
    <cellStyle name="20% - Accent6 9 4" xfId="27705" xr:uid="{B9867D91-E3F4-4AA4-97BB-4747D67C17E5}"/>
    <cellStyle name="20% - Accent6 9 5" xfId="10832" xr:uid="{C7E30557-288E-4393-9089-48FBE19C3FD8}"/>
    <cellStyle name="40% - Accent1" xfId="49" builtinId="31" customBuiltin="1"/>
    <cellStyle name="40% - Accent1 10" xfId="4553" xr:uid="{00000000-0005-0000-0000-0000C1030000}"/>
    <cellStyle name="40% - Accent1 10 2" xfId="21430" xr:uid="{16F6CA25-501D-4357-BA41-04E85D37B1BF}"/>
    <cellStyle name="40% - Accent1 10 3" xfId="29864" xr:uid="{DAAF26D0-D0C7-449C-97FB-D9E53FA0A951}"/>
    <cellStyle name="40% - Accent1 10 4" xfId="12992" xr:uid="{1F3F9833-E915-4926-B5B1-9DD942C587A0}"/>
    <cellStyle name="40% - Accent1 11" xfId="17212" xr:uid="{2043AAA3-DBF5-4D34-856D-4E4AC35F654C}"/>
    <cellStyle name="40% - Accent1 12" xfId="25647" xr:uid="{596FC024-A167-4E34-888D-21AF9B7B0FF0}"/>
    <cellStyle name="40% - Accent1 13" xfId="8774" xr:uid="{68CAEA2F-5D17-4B32-BF9B-1E56A4DD841F}"/>
    <cellStyle name="40% - Accent1 2" xfId="50" xr:uid="{00000000-0005-0000-0000-0000C2030000}"/>
    <cellStyle name="40% - Accent1 2 10" xfId="17213" xr:uid="{B5D1DC67-43EB-4358-9561-1865B848929D}"/>
    <cellStyle name="40% - Accent1 2 11" xfId="25648" xr:uid="{DC1E8FDA-6607-48CA-8D4F-78A61C7C8D07}"/>
    <cellStyle name="40% - Accent1 2 12" xfId="8775" xr:uid="{1414516C-E2EC-49B2-A3DA-0433A4F2F1A7}"/>
    <cellStyle name="40% - Accent1 2 2" xfId="51" xr:uid="{00000000-0005-0000-0000-0000C3030000}"/>
    <cellStyle name="40% - Accent1 2 2 10" xfId="25649" xr:uid="{5A577104-AFB3-4131-9CE8-E0F9CB6BE8A3}"/>
    <cellStyle name="40% - Accent1 2 2 11" xfId="8776" xr:uid="{A718D371-9822-4F1F-A81A-D1B313D8845D}"/>
    <cellStyle name="40% - Accent1 2 2 2" xfId="52" xr:uid="{00000000-0005-0000-0000-0000C4030000}"/>
    <cellStyle name="40% - Accent1 2 2 2 10" xfId="8777" xr:uid="{291ABB31-B279-4D20-A582-F414CCF55082}"/>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23992" xr:uid="{B9AFCD04-8254-4FCB-8EBB-2344B0FF2E67}"/>
    <cellStyle name="40% - Accent1 2 2 2 2 2 2 3" xfId="32426" xr:uid="{19524A9F-F5BD-4204-952D-3C7162A288F6}"/>
    <cellStyle name="40% - Accent1 2 2 2 2 2 2 4" xfId="15554" xr:uid="{92D49C1F-B195-4922-9F8A-4E8920B524D1}"/>
    <cellStyle name="40% - Accent1 2 2 2 2 2 3" xfId="19774" xr:uid="{1A6D3577-F001-4A93-B8EC-B60D33E9288A}"/>
    <cellStyle name="40% - Accent1 2 2 2 2 2 4" xfId="28209" xr:uid="{BF41DBD1-D8DC-4634-A878-BDE3880A62DA}"/>
    <cellStyle name="40% - Accent1 2 2 2 2 2 5" xfId="11336" xr:uid="{33A42AEA-44BF-4B22-9477-E5228DC76630}"/>
    <cellStyle name="40% - Accent1 2 2 2 2 3" xfId="4970" xr:uid="{00000000-0005-0000-0000-0000C8030000}"/>
    <cellStyle name="40% - Accent1 2 2 2 2 3 2" xfId="21847" xr:uid="{DFD86DC1-4881-4F1B-9030-7A76D8F95698}"/>
    <cellStyle name="40% - Accent1 2 2 2 2 3 3" xfId="30281" xr:uid="{3E4A968C-468B-46B7-8CCE-A580F8392DF7}"/>
    <cellStyle name="40% - Accent1 2 2 2 2 3 4" xfId="13409" xr:uid="{1DD6BB8B-8A96-4DC3-9E18-6ABF69D3043D}"/>
    <cellStyle name="40% - Accent1 2 2 2 2 4" xfId="17629" xr:uid="{1B6D4D0C-0DB3-4A2D-9CA1-944BBC211FDE}"/>
    <cellStyle name="40% - Accent1 2 2 2 2 5" xfId="26064" xr:uid="{4A12C35C-070E-4180-B641-AB225994C0C7}"/>
    <cellStyle name="40% - Accent1 2 2 2 2 6" xfId="9191" xr:uid="{486B8E15-66FF-4DF5-A974-84A94C8C776F}"/>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24405" xr:uid="{89004D12-D983-490C-9706-691E2B7FD34E}"/>
    <cellStyle name="40% - Accent1 2 2 2 3 2 2 3" xfId="32839" xr:uid="{35D6B602-E90C-4906-B557-8B9BB618DD80}"/>
    <cellStyle name="40% - Accent1 2 2 2 3 2 2 4" xfId="15967" xr:uid="{5CF27C0D-D0C5-4561-9352-F98CC37544CB}"/>
    <cellStyle name="40% - Accent1 2 2 2 3 2 3" xfId="20187" xr:uid="{F053E102-772E-42B8-9F5F-23116D57D9C8}"/>
    <cellStyle name="40% - Accent1 2 2 2 3 2 4" xfId="28622" xr:uid="{8D7D741F-B7E0-455B-81AA-8E530AC3A24E}"/>
    <cellStyle name="40% - Accent1 2 2 2 3 2 5" xfId="11749" xr:uid="{73F892B8-7B16-49FF-BEB4-13F43E79219C}"/>
    <cellStyle name="40% - Accent1 2 2 2 3 3" xfId="5383" xr:uid="{00000000-0005-0000-0000-0000CC030000}"/>
    <cellStyle name="40% - Accent1 2 2 2 3 3 2" xfId="22260" xr:uid="{562A3F7E-8D6D-4ACD-8A5F-08DCCCFC326B}"/>
    <cellStyle name="40% - Accent1 2 2 2 3 3 3" xfId="30694" xr:uid="{25C64CF8-136D-408A-B117-2CB96DA1E250}"/>
    <cellStyle name="40% - Accent1 2 2 2 3 3 4" xfId="13822" xr:uid="{53EAF685-CF45-47D2-AD13-7E134FC59711}"/>
    <cellStyle name="40% - Accent1 2 2 2 3 4" xfId="18042" xr:uid="{D834C6C0-616C-4FB6-9688-CC48F826A78B}"/>
    <cellStyle name="40% - Accent1 2 2 2 3 5" xfId="26477" xr:uid="{7DC8043F-B15F-492D-8FBC-3B588375AEDC}"/>
    <cellStyle name="40% - Accent1 2 2 2 3 6" xfId="9604" xr:uid="{C28B5291-C741-4D78-951B-6E69083B8E97}"/>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24818" xr:uid="{56BC514F-5D8F-4847-90BB-E26E4B50C378}"/>
    <cellStyle name="40% - Accent1 2 2 2 4 2 2 3" xfId="33252" xr:uid="{1701EB84-4069-48BE-AD3B-D86CA7967704}"/>
    <cellStyle name="40% - Accent1 2 2 2 4 2 2 4" xfId="16380" xr:uid="{B8648076-E975-4EFB-B81D-B55300EF79D2}"/>
    <cellStyle name="40% - Accent1 2 2 2 4 2 3" xfId="20600" xr:uid="{68BE796F-01C3-49E4-9814-F707A4B9803E}"/>
    <cellStyle name="40% - Accent1 2 2 2 4 2 4" xfId="29035" xr:uid="{35F2D135-8E61-4451-953D-C44C0D4E0D60}"/>
    <cellStyle name="40% - Accent1 2 2 2 4 2 5" xfId="12162" xr:uid="{E830EF85-4811-4E33-9D49-073664A6CAB9}"/>
    <cellStyle name="40% - Accent1 2 2 2 4 3" xfId="5796" xr:uid="{00000000-0005-0000-0000-0000D0030000}"/>
    <cellStyle name="40% - Accent1 2 2 2 4 3 2" xfId="22673" xr:uid="{89978DD8-13F8-49D8-814F-FB1CFBF119DA}"/>
    <cellStyle name="40% - Accent1 2 2 2 4 3 3" xfId="31107" xr:uid="{5D8C72CB-76F5-4995-9BE2-4B19169D1071}"/>
    <cellStyle name="40% - Accent1 2 2 2 4 3 4" xfId="14235" xr:uid="{26945A60-58D5-4502-BB16-A8C027AF50E8}"/>
    <cellStyle name="40% - Accent1 2 2 2 4 4" xfId="18455" xr:uid="{6CA3146F-01B3-4C0D-AA77-AA5C35011879}"/>
    <cellStyle name="40% - Accent1 2 2 2 4 5" xfId="26890" xr:uid="{B4878681-F4A1-46FB-8EDB-03EFF9982B26}"/>
    <cellStyle name="40% - Accent1 2 2 2 4 6" xfId="10017" xr:uid="{3129C57B-4DEF-4E89-8C96-74C8049C0424}"/>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25231" xr:uid="{DE4F0844-A555-486E-8B41-7604BF5B3A78}"/>
    <cellStyle name="40% - Accent1 2 2 2 5 2 2 3" xfId="33665" xr:uid="{E6C234AA-7A7B-410C-BAA6-693F3EB31135}"/>
    <cellStyle name="40% - Accent1 2 2 2 5 2 2 4" xfId="16793" xr:uid="{05A77B1A-580E-4BB1-9D1B-EC7F8392415C}"/>
    <cellStyle name="40% - Accent1 2 2 2 5 2 3" xfId="21013" xr:uid="{A283C9F0-7E7C-4674-8080-C9FB0B6262FD}"/>
    <cellStyle name="40% - Accent1 2 2 2 5 2 4" xfId="29448" xr:uid="{64FFD44A-214F-41AB-BE95-7B097BD77DC4}"/>
    <cellStyle name="40% - Accent1 2 2 2 5 2 5" xfId="12575" xr:uid="{5F79F78A-D77D-4081-9A7E-9DE881822C52}"/>
    <cellStyle name="40% - Accent1 2 2 2 5 3" xfId="6209" xr:uid="{00000000-0005-0000-0000-0000D4030000}"/>
    <cellStyle name="40% - Accent1 2 2 2 5 3 2" xfId="23086" xr:uid="{B35F5BF4-C017-4A6D-93FF-C592F4AD91AA}"/>
    <cellStyle name="40% - Accent1 2 2 2 5 3 3" xfId="31520" xr:uid="{F8342540-5B69-48E2-AAA9-2D7E55A48BB2}"/>
    <cellStyle name="40% - Accent1 2 2 2 5 3 4" xfId="14648" xr:uid="{25B4C7F8-5CA8-4403-83A7-BD0374AC41DD}"/>
    <cellStyle name="40% - Accent1 2 2 2 5 4" xfId="18868" xr:uid="{9592394D-152B-4781-AF0B-3F588982A797}"/>
    <cellStyle name="40% - Accent1 2 2 2 5 5" xfId="27303" xr:uid="{8D9171B3-438A-4875-B759-DADF25A2E6D7}"/>
    <cellStyle name="40% - Accent1 2 2 2 5 6" xfId="10430" xr:uid="{FB60D718-5150-4DE3-B308-BDC9F5E8929F}"/>
    <cellStyle name="40% - Accent1 2 2 2 6" xfId="2315" xr:uid="{00000000-0005-0000-0000-0000D5030000}"/>
    <cellStyle name="40% - Accent1 2 2 2 6 2" xfId="6622" xr:uid="{00000000-0005-0000-0000-0000D6030000}"/>
    <cellStyle name="40% - Accent1 2 2 2 6 2 2" xfId="23499" xr:uid="{5194E2EA-D8D3-45FD-B3A6-08BBA7729054}"/>
    <cellStyle name="40% - Accent1 2 2 2 6 2 3" xfId="31933" xr:uid="{E7FC0AB1-B8F2-4162-B1B1-2DEDA17561A8}"/>
    <cellStyle name="40% - Accent1 2 2 2 6 2 4" xfId="15061" xr:uid="{6FDF5549-DF2B-4379-BBD5-0D7A8E130779}"/>
    <cellStyle name="40% - Accent1 2 2 2 6 3" xfId="19281" xr:uid="{8530DC05-0D4E-4880-994B-994A6C21621A}"/>
    <cellStyle name="40% - Accent1 2 2 2 6 4" xfId="27716" xr:uid="{54CCC5F0-D37B-4764-B180-9728B742A9D7}"/>
    <cellStyle name="40% - Accent1 2 2 2 6 5" xfId="10843" xr:uid="{DE4EAAEC-A149-4347-A677-ECF42AF95F0E}"/>
    <cellStyle name="40% - Accent1 2 2 2 7" xfId="4556" xr:uid="{00000000-0005-0000-0000-0000D7030000}"/>
    <cellStyle name="40% - Accent1 2 2 2 7 2" xfId="21433" xr:uid="{AF9083C3-675C-4244-A8E8-E3F4B55A9D10}"/>
    <cellStyle name="40% - Accent1 2 2 2 7 3" xfId="29867" xr:uid="{B520D3D7-59A5-4AD8-8103-312C536E1849}"/>
    <cellStyle name="40% - Accent1 2 2 2 7 4" xfId="12995" xr:uid="{B4EFFF34-3E02-43FE-881E-2E7761C6DDBE}"/>
    <cellStyle name="40% - Accent1 2 2 2 8" xfId="17215" xr:uid="{63F41744-8195-4A44-90F1-CAB75F496851}"/>
    <cellStyle name="40% - Accent1 2 2 2 9" xfId="25650" xr:uid="{F57C2A17-F048-4B9C-A75F-0E2870521844}"/>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23991" xr:uid="{1CD787BD-1C5B-4F00-830A-07989F778DC4}"/>
    <cellStyle name="40% - Accent1 2 2 3 2 2 3" xfId="32425" xr:uid="{4D3C53FA-BF6E-4DAE-A254-49CC65DB3909}"/>
    <cellStyle name="40% - Accent1 2 2 3 2 2 4" xfId="15553" xr:uid="{1670E7A7-1FBF-4331-B132-82142B21E16B}"/>
    <cellStyle name="40% - Accent1 2 2 3 2 3" xfId="19773" xr:uid="{6EE0B1EE-5E42-42F5-9037-2EB172F63E20}"/>
    <cellStyle name="40% - Accent1 2 2 3 2 4" xfId="28208" xr:uid="{AFAA517E-053C-49C5-A0DD-87F50FD9345A}"/>
    <cellStyle name="40% - Accent1 2 2 3 2 5" xfId="11335" xr:uid="{1C27A448-8D7A-46E0-8B07-896A429529C9}"/>
    <cellStyle name="40% - Accent1 2 2 3 3" xfId="4969" xr:uid="{00000000-0005-0000-0000-0000DB030000}"/>
    <cellStyle name="40% - Accent1 2 2 3 3 2" xfId="21846" xr:uid="{4EB6DEDB-56B1-4DB6-963E-4A8AD1FF9DCF}"/>
    <cellStyle name="40% - Accent1 2 2 3 3 3" xfId="30280" xr:uid="{B0C4261E-75E3-44AF-8E75-BF317CFED87F}"/>
    <cellStyle name="40% - Accent1 2 2 3 3 4" xfId="13408" xr:uid="{A7A67C0E-D8E5-4DF1-8BB1-DABB4D8E34EC}"/>
    <cellStyle name="40% - Accent1 2 2 3 4" xfId="17628" xr:uid="{523075CF-2778-4021-881D-F64B72716CC3}"/>
    <cellStyle name="40% - Accent1 2 2 3 5" xfId="26063" xr:uid="{01BDFDB1-218D-4E48-8693-02BAF2AED847}"/>
    <cellStyle name="40% - Accent1 2 2 3 6" xfId="9190" xr:uid="{D45DAFC4-E93B-47E2-8551-DFF955BD3C98}"/>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24404" xr:uid="{B1C74B4E-7513-4642-864B-01DFEFF5A0D2}"/>
    <cellStyle name="40% - Accent1 2 2 4 2 2 3" xfId="32838" xr:uid="{088230B6-A10D-4CB5-A0B6-FB18AAFBFC49}"/>
    <cellStyle name="40% - Accent1 2 2 4 2 2 4" xfId="15966" xr:uid="{F82C0292-23F5-4105-8833-BF2A41CB0202}"/>
    <cellStyle name="40% - Accent1 2 2 4 2 3" xfId="20186" xr:uid="{84432D2E-7396-4DA1-81F2-42EA0C239B48}"/>
    <cellStyle name="40% - Accent1 2 2 4 2 4" xfId="28621" xr:uid="{73484958-D72C-4FA5-9C33-1DA4E1986F5D}"/>
    <cellStyle name="40% - Accent1 2 2 4 2 5" xfId="11748" xr:uid="{497A1C65-E180-4AC1-9B51-B9C52A98FC69}"/>
    <cellStyle name="40% - Accent1 2 2 4 3" xfId="5382" xr:uid="{00000000-0005-0000-0000-0000DF030000}"/>
    <cellStyle name="40% - Accent1 2 2 4 3 2" xfId="22259" xr:uid="{0BF670A8-B704-421B-98B4-98CC93CF9163}"/>
    <cellStyle name="40% - Accent1 2 2 4 3 3" xfId="30693" xr:uid="{5E1BBC6A-C9D8-4EFE-8D49-B97F77CECDA7}"/>
    <cellStyle name="40% - Accent1 2 2 4 3 4" xfId="13821" xr:uid="{232B6C09-C951-41B5-89F7-46BFDF828B61}"/>
    <cellStyle name="40% - Accent1 2 2 4 4" xfId="18041" xr:uid="{AC84D8CA-494A-454A-9A35-8D07A90CBFD4}"/>
    <cellStyle name="40% - Accent1 2 2 4 5" xfId="26476" xr:uid="{C188BF37-A737-498D-BE8F-A777A028543C}"/>
    <cellStyle name="40% - Accent1 2 2 4 6" xfId="9603" xr:uid="{06DCE1BE-A174-4458-B291-CD00E8C5DCD6}"/>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24817" xr:uid="{A35F073B-5F77-4BC9-AEF4-2B28197FAA68}"/>
    <cellStyle name="40% - Accent1 2 2 5 2 2 3" xfId="33251" xr:uid="{18515353-9459-4D57-9F14-6C648E32C627}"/>
    <cellStyle name="40% - Accent1 2 2 5 2 2 4" xfId="16379" xr:uid="{A55FDADA-7BCA-40C3-A3FC-4B4C74830982}"/>
    <cellStyle name="40% - Accent1 2 2 5 2 3" xfId="20599" xr:uid="{6C8FA8AE-7693-4BFA-B6F1-F9E2A28EC8EB}"/>
    <cellStyle name="40% - Accent1 2 2 5 2 4" xfId="29034" xr:uid="{B50D24C2-3AE1-49B9-ACF2-AD31FAFAE563}"/>
    <cellStyle name="40% - Accent1 2 2 5 2 5" xfId="12161" xr:uid="{AB86C0FB-FE31-4178-93CA-71836ADE7138}"/>
    <cellStyle name="40% - Accent1 2 2 5 3" xfId="5795" xr:uid="{00000000-0005-0000-0000-0000E3030000}"/>
    <cellStyle name="40% - Accent1 2 2 5 3 2" xfId="22672" xr:uid="{35FF9FB6-668E-4BCE-8E31-817B7D75658A}"/>
    <cellStyle name="40% - Accent1 2 2 5 3 3" xfId="31106" xr:uid="{2B286D6D-D2C1-4A31-9319-7C77B7D2F305}"/>
    <cellStyle name="40% - Accent1 2 2 5 3 4" xfId="14234" xr:uid="{DEBB466B-DF49-419B-97F6-30FA7FDD039E}"/>
    <cellStyle name="40% - Accent1 2 2 5 4" xfId="18454" xr:uid="{5C0B4903-C878-4E73-AA24-DC96F3EFCFE6}"/>
    <cellStyle name="40% - Accent1 2 2 5 5" xfId="26889" xr:uid="{04711D08-D1A6-450E-9A88-07523FCFA2C4}"/>
    <cellStyle name="40% - Accent1 2 2 5 6" xfId="10016" xr:uid="{6AD0A08C-9FE4-427C-8516-66609CDC0B66}"/>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25230" xr:uid="{2F89D922-E6EC-4BCA-86CC-D9EA4B49F75A}"/>
    <cellStyle name="40% - Accent1 2 2 6 2 2 3" xfId="33664" xr:uid="{890FBBF7-9FE7-49C7-A48C-6B182330FB0C}"/>
    <cellStyle name="40% - Accent1 2 2 6 2 2 4" xfId="16792" xr:uid="{DF6D784C-C136-4675-B6D5-344E71BC6B35}"/>
    <cellStyle name="40% - Accent1 2 2 6 2 3" xfId="21012" xr:uid="{22F7BEB6-BC8F-4821-8DC3-B628936DB5D8}"/>
    <cellStyle name="40% - Accent1 2 2 6 2 4" xfId="29447" xr:uid="{0B223D3B-186A-4C54-A242-15CE31BBC870}"/>
    <cellStyle name="40% - Accent1 2 2 6 2 5" xfId="12574" xr:uid="{E56C5480-FD90-47FE-A1CB-3499A754D4B5}"/>
    <cellStyle name="40% - Accent1 2 2 6 3" xfId="6208" xr:uid="{00000000-0005-0000-0000-0000E7030000}"/>
    <cellStyle name="40% - Accent1 2 2 6 3 2" xfId="23085" xr:uid="{A0BD2A5F-BF6C-422F-B513-AB5155FDAF15}"/>
    <cellStyle name="40% - Accent1 2 2 6 3 3" xfId="31519" xr:uid="{E247989F-C243-4A38-92F7-6904736C9440}"/>
    <cellStyle name="40% - Accent1 2 2 6 3 4" xfId="14647" xr:uid="{0D509C54-4BC6-4089-991D-BABD37630179}"/>
    <cellStyle name="40% - Accent1 2 2 6 4" xfId="18867" xr:uid="{52126C03-5C71-4B10-A592-2E9EEB169457}"/>
    <cellStyle name="40% - Accent1 2 2 6 5" xfId="27302" xr:uid="{809147D2-581B-441D-8A9C-8A9257D87AD8}"/>
    <cellStyle name="40% - Accent1 2 2 6 6" xfId="10429" xr:uid="{90AD4126-D9FD-46DB-94C8-B6C892D73511}"/>
    <cellStyle name="40% - Accent1 2 2 7" xfId="2314" xr:uid="{00000000-0005-0000-0000-0000E8030000}"/>
    <cellStyle name="40% - Accent1 2 2 7 2" xfId="6621" xr:uid="{00000000-0005-0000-0000-0000E9030000}"/>
    <cellStyle name="40% - Accent1 2 2 7 2 2" xfId="23498" xr:uid="{9560798F-706F-48E3-8992-659D30C3AE21}"/>
    <cellStyle name="40% - Accent1 2 2 7 2 3" xfId="31932" xr:uid="{AB6895E5-EC23-491E-8CAA-6A0171E4706B}"/>
    <cellStyle name="40% - Accent1 2 2 7 2 4" xfId="15060" xr:uid="{9768A85E-42E1-46D0-BA27-DE7615A95829}"/>
    <cellStyle name="40% - Accent1 2 2 7 3" xfId="19280" xr:uid="{CF00136A-25B0-45EB-8178-FC2AF3B308AA}"/>
    <cellStyle name="40% - Accent1 2 2 7 4" xfId="27715" xr:uid="{388F76C9-AA07-4560-98A2-4D8688DFD4BB}"/>
    <cellStyle name="40% - Accent1 2 2 7 5" xfId="10842" xr:uid="{512EB60F-F2EF-468B-856A-38949D6054B0}"/>
    <cellStyle name="40% - Accent1 2 2 8" xfId="4555" xr:uid="{00000000-0005-0000-0000-0000EA030000}"/>
    <cellStyle name="40% - Accent1 2 2 8 2" xfId="21432" xr:uid="{CF06A946-B01D-4DAB-ACBA-75DC03A1B54C}"/>
    <cellStyle name="40% - Accent1 2 2 8 3" xfId="29866" xr:uid="{AF6FFFCB-44F6-4874-B76D-00C1556E92D2}"/>
    <cellStyle name="40% - Accent1 2 2 8 4" xfId="12994" xr:uid="{41E8A949-09D5-4044-8195-C3612F29BBC7}"/>
    <cellStyle name="40% - Accent1 2 2 9" xfId="17214" xr:uid="{86B32B09-CCB4-453C-A82D-45F87C7EE72E}"/>
    <cellStyle name="40% - Accent1 2 3" xfId="53" xr:uid="{00000000-0005-0000-0000-0000EB030000}"/>
    <cellStyle name="40% - Accent1 2 3 10" xfId="8778" xr:uid="{41599971-2871-4143-AE98-34EA3326EE32}"/>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23993" xr:uid="{41A413D1-B5A6-4C0D-B029-A815534122C7}"/>
    <cellStyle name="40% - Accent1 2 3 2 2 2 3" xfId="32427" xr:uid="{22030833-1DC4-48BE-90B9-89ECDAA69016}"/>
    <cellStyle name="40% - Accent1 2 3 2 2 2 4" xfId="15555" xr:uid="{AB0E544F-5362-43E8-A8EA-20AE1303BC36}"/>
    <cellStyle name="40% - Accent1 2 3 2 2 3" xfId="19775" xr:uid="{E25E5583-89D6-4A99-9D70-AD836EDCE7AB}"/>
    <cellStyle name="40% - Accent1 2 3 2 2 4" xfId="28210" xr:uid="{14FAF7D1-B0BC-4468-91C3-D9D27BF8DA58}"/>
    <cellStyle name="40% - Accent1 2 3 2 2 5" xfId="11337" xr:uid="{1896528B-97A4-47DC-83E5-D12264E966CC}"/>
    <cellStyle name="40% - Accent1 2 3 2 3" xfId="4971" xr:uid="{00000000-0005-0000-0000-0000EF030000}"/>
    <cellStyle name="40% - Accent1 2 3 2 3 2" xfId="21848" xr:uid="{E2AEFAE1-255E-4557-8B65-51C12AC66BA4}"/>
    <cellStyle name="40% - Accent1 2 3 2 3 3" xfId="30282" xr:uid="{3D114C8F-0696-492A-86AE-579AA56F01AA}"/>
    <cellStyle name="40% - Accent1 2 3 2 3 4" xfId="13410" xr:uid="{D70C098B-407B-4AC9-906C-3377A0A98844}"/>
    <cellStyle name="40% - Accent1 2 3 2 4" xfId="17630" xr:uid="{E92E107D-2C14-4F0E-8D65-AFE568CD1C1C}"/>
    <cellStyle name="40% - Accent1 2 3 2 5" xfId="26065" xr:uid="{C47551A1-5AD2-4569-B963-09977C39DEA7}"/>
    <cellStyle name="40% - Accent1 2 3 2 6" xfId="9192" xr:uid="{6B2E4197-A2D3-49AB-B971-4191EFA5C213}"/>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24406" xr:uid="{0BF45159-FC22-4C25-A3C5-850A7962445B}"/>
    <cellStyle name="40% - Accent1 2 3 3 2 2 3" xfId="32840" xr:uid="{EF8D6357-85A6-4C36-B2A5-4339B68FE83A}"/>
    <cellStyle name="40% - Accent1 2 3 3 2 2 4" xfId="15968" xr:uid="{0705DC3A-7437-4258-B63F-02A6567DF9D5}"/>
    <cellStyle name="40% - Accent1 2 3 3 2 3" xfId="20188" xr:uid="{F0F64415-AD02-4F80-9115-2B02781110DF}"/>
    <cellStyle name="40% - Accent1 2 3 3 2 4" xfId="28623" xr:uid="{8381858D-A962-4679-BBA0-6EDD3B8AA180}"/>
    <cellStyle name="40% - Accent1 2 3 3 2 5" xfId="11750" xr:uid="{93AA2ED3-2D99-4BFC-9B50-B475F2BED8AE}"/>
    <cellStyle name="40% - Accent1 2 3 3 3" xfId="5384" xr:uid="{00000000-0005-0000-0000-0000F3030000}"/>
    <cellStyle name="40% - Accent1 2 3 3 3 2" xfId="22261" xr:uid="{84A36BEC-B713-4CBB-A7A1-702F724B4395}"/>
    <cellStyle name="40% - Accent1 2 3 3 3 3" xfId="30695" xr:uid="{8D06A7B4-F69F-49C7-8CDF-625DA45068B0}"/>
    <cellStyle name="40% - Accent1 2 3 3 3 4" xfId="13823" xr:uid="{C84EBCBF-00EC-4BA4-A6B8-2FDFCB728C7D}"/>
    <cellStyle name="40% - Accent1 2 3 3 4" xfId="18043" xr:uid="{E85CE98D-B0E5-47E8-A1F3-47996D7F16F4}"/>
    <cellStyle name="40% - Accent1 2 3 3 5" xfId="26478" xr:uid="{825C8549-3529-4099-B692-3F508DF6819F}"/>
    <cellStyle name="40% - Accent1 2 3 3 6" xfId="9605" xr:uid="{95F69FA5-F62A-4E8E-9DBF-0469F6C78A0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24819" xr:uid="{C8690B65-9D3B-4D26-81A8-342E83A2C78C}"/>
    <cellStyle name="40% - Accent1 2 3 4 2 2 3" xfId="33253" xr:uid="{AE165092-E475-4188-B3BD-48809AC1A714}"/>
    <cellStyle name="40% - Accent1 2 3 4 2 2 4" xfId="16381" xr:uid="{3809337C-B1DA-4A33-B9CA-B88F9D47D879}"/>
    <cellStyle name="40% - Accent1 2 3 4 2 3" xfId="20601" xr:uid="{A4B25C55-72DE-47A7-AB5D-133CDB1760CF}"/>
    <cellStyle name="40% - Accent1 2 3 4 2 4" xfId="29036" xr:uid="{B85E490E-20B9-48FD-8433-424A31CFD2B9}"/>
    <cellStyle name="40% - Accent1 2 3 4 2 5" xfId="12163" xr:uid="{132DBDB6-E031-47D1-AC00-24D7EF639929}"/>
    <cellStyle name="40% - Accent1 2 3 4 3" xfId="5797" xr:uid="{00000000-0005-0000-0000-0000F7030000}"/>
    <cellStyle name="40% - Accent1 2 3 4 3 2" xfId="22674" xr:uid="{7F600E08-937E-4473-BC4C-3BB89043E60A}"/>
    <cellStyle name="40% - Accent1 2 3 4 3 3" xfId="31108" xr:uid="{B190F3C3-B12F-4CC0-BB8F-EAC52DD9545D}"/>
    <cellStyle name="40% - Accent1 2 3 4 3 4" xfId="14236" xr:uid="{B10E9777-E844-4A93-98FD-A183AF812A6E}"/>
    <cellStyle name="40% - Accent1 2 3 4 4" xfId="18456" xr:uid="{B6427BDD-6CEB-4C2C-80E5-DCB87E4766C5}"/>
    <cellStyle name="40% - Accent1 2 3 4 5" xfId="26891" xr:uid="{DFB13ABB-1397-4D0D-AE39-0964C48D9045}"/>
    <cellStyle name="40% - Accent1 2 3 4 6" xfId="10018" xr:uid="{B65036CD-E377-45D1-A317-3128ED925673}"/>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25232" xr:uid="{3EA1FEE3-2AA2-4686-9305-2E8107253FFC}"/>
    <cellStyle name="40% - Accent1 2 3 5 2 2 3" xfId="33666" xr:uid="{0B325FE3-AB7B-411F-B8A3-790D68BB636C}"/>
    <cellStyle name="40% - Accent1 2 3 5 2 2 4" xfId="16794" xr:uid="{3F3E02A9-FCB5-4058-8803-7FD7426ABF54}"/>
    <cellStyle name="40% - Accent1 2 3 5 2 3" xfId="21014" xr:uid="{AD3E02A3-5923-491E-971D-13D307432EA0}"/>
    <cellStyle name="40% - Accent1 2 3 5 2 4" xfId="29449" xr:uid="{5ECD9452-FB92-48C5-A053-4554A56929D3}"/>
    <cellStyle name="40% - Accent1 2 3 5 2 5" xfId="12576" xr:uid="{5224D9BA-7E30-42CF-8724-A6346B741347}"/>
    <cellStyle name="40% - Accent1 2 3 5 3" xfId="6210" xr:uid="{00000000-0005-0000-0000-0000FB030000}"/>
    <cellStyle name="40% - Accent1 2 3 5 3 2" xfId="23087" xr:uid="{A9D7BDD1-13FE-4FA7-AE10-65791BF52598}"/>
    <cellStyle name="40% - Accent1 2 3 5 3 3" xfId="31521" xr:uid="{56F3440A-FDB0-48B5-96F0-84C8961A184F}"/>
    <cellStyle name="40% - Accent1 2 3 5 3 4" xfId="14649" xr:uid="{984E8871-9006-4CF8-8769-69A7D3200866}"/>
    <cellStyle name="40% - Accent1 2 3 5 4" xfId="18869" xr:uid="{9FE03935-4405-4040-9BB4-FCC8BCA04528}"/>
    <cellStyle name="40% - Accent1 2 3 5 5" xfId="27304" xr:uid="{697BB711-C8A9-4A31-B4D8-4876B4D01E5C}"/>
    <cellStyle name="40% - Accent1 2 3 5 6" xfId="10431" xr:uid="{FB46F542-41DD-4EC9-B368-871788CA7BB0}"/>
    <cellStyle name="40% - Accent1 2 3 6" xfId="2316" xr:uid="{00000000-0005-0000-0000-0000FC030000}"/>
    <cellStyle name="40% - Accent1 2 3 6 2" xfId="6623" xr:uid="{00000000-0005-0000-0000-0000FD030000}"/>
    <cellStyle name="40% - Accent1 2 3 6 2 2" xfId="23500" xr:uid="{8F3E4C69-68AE-479A-86F8-835440FD8DA4}"/>
    <cellStyle name="40% - Accent1 2 3 6 2 3" xfId="31934" xr:uid="{8F36E107-F57A-40A0-869C-A3DED478344A}"/>
    <cellStyle name="40% - Accent1 2 3 6 2 4" xfId="15062" xr:uid="{65083F65-FF06-401C-A4E7-23475A6D508B}"/>
    <cellStyle name="40% - Accent1 2 3 6 3" xfId="19282" xr:uid="{83E7A957-CCFA-4A49-8F6A-598EC32F76D9}"/>
    <cellStyle name="40% - Accent1 2 3 6 4" xfId="27717" xr:uid="{55CEE1BF-37A6-4A76-97AC-337E9CA7677E}"/>
    <cellStyle name="40% - Accent1 2 3 6 5" xfId="10844" xr:uid="{CC8F8016-D1E5-4917-8863-68146CE338B5}"/>
    <cellStyle name="40% - Accent1 2 3 7" xfId="4557" xr:uid="{00000000-0005-0000-0000-0000FE030000}"/>
    <cellStyle name="40% - Accent1 2 3 7 2" xfId="21434" xr:uid="{59F82BFE-94F5-4BF7-AC7D-3584FBC257E2}"/>
    <cellStyle name="40% - Accent1 2 3 7 3" xfId="29868" xr:uid="{37918A61-5B14-4A37-87BE-9C72C96F8B4A}"/>
    <cellStyle name="40% - Accent1 2 3 7 4" xfId="12996" xr:uid="{E14A9E0F-D1B9-4256-B68E-5F50D944AC30}"/>
    <cellStyle name="40% - Accent1 2 3 8" xfId="17216" xr:uid="{FC25D770-A010-451D-AED4-88CDCAF40996}"/>
    <cellStyle name="40% - Accent1 2 3 9" xfId="25651" xr:uid="{1E645D88-C11B-4D47-8E34-6858889809BB}"/>
    <cellStyle name="40% - Accent1 2 4" xfId="619" xr:uid="{00000000-0005-0000-0000-0000FF030000}"/>
    <cellStyle name="40% - Accent1 2 4 2" xfId="2890" xr:uid="{00000000-0005-0000-0000-000000040000}"/>
    <cellStyle name="40% - Accent1 2 4 2 2" xfId="7113" xr:uid="{00000000-0005-0000-0000-000001040000}"/>
    <cellStyle name="40% - Accent1 2 4 2 2 2" xfId="23990" xr:uid="{CE046398-7AEF-4DA2-AF07-EF713FB1683C}"/>
    <cellStyle name="40% - Accent1 2 4 2 2 3" xfId="32424" xr:uid="{DD118FDB-33CD-4ED6-8994-6E534B18E55E}"/>
    <cellStyle name="40% - Accent1 2 4 2 2 4" xfId="15552" xr:uid="{32FDE51C-6740-4EC3-AFE4-DB9FA4F1E6E3}"/>
    <cellStyle name="40% - Accent1 2 4 2 3" xfId="19772" xr:uid="{80D5316F-E5FB-4080-A004-8D27474BB019}"/>
    <cellStyle name="40% - Accent1 2 4 2 4" xfId="28207" xr:uid="{0C134A47-D506-4572-BF13-A23EB18BD95E}"/>
    <cellStyle name="40% - Accent1 2 4 2 5" xfId="11334" xr:uid="{DE8EF6F0-35C5-4A7A-AF74-5B975DE55220}"/>
    <cellStyle name="40% - Accent1 2 4 3" xfId="4968" xr:uid="{00000000-0005-0000-0000-000002040000}"/>
    <cellStyle name="40% - Accent1 2 4 3 2" xfId="21845" xr:uid="{739D57A1-AB58-438B-855E-1558B277D1A2}"/>
    <cellStyle name="40% - Accent1 2 4 3 3" xfId="30279" xr:uid="{FE2879D9-2913-45A2-A08E-2777D5F824D9}"/>
    <cellStyle name="40% - Accent1 2 4 3 4" xfId="13407" xr:uid="{D7073B2F-6FB7-4335-A774-BB214818234A}"/>
    <cellStyle name="40% - Accent1 2 4 4" xfId="17627" xr:uid="{5C1305A4-A5D4-429E-BCA8-BC5400610AEB}"/>
    <cellStyle name="40% - Accent1 2 4 5" xfId="26062" xr:uid="{0CE2FD40-D0B5-42ED-9007-4F17B1E66118}"/>
    <cellStyle name="40% - Accent1 2 4 6" xfId="9189" xr:uid="{D847900D-42AE-4B66-8BE4-F8090F9FB7BC}"/>
    <cellStyle name="40% - Accent1 2 5" xfId="1072" xr:uid="{00000000-0005-0000-0000-000003040000}"/>
    <cellStyle name="40% - Accent1 2 5 2" xfId="3303" xr:uid="{00000000-0005-0000-0000-000004040000}"/>
    <cellStyle name="40% - Accent1 2 5 2 2" xfId="7526" xr:uid="{00000000-0005-0000-0000-000005040000}"/>
    <cellStyle name="40% - Accent1 2 5 2 2 2" xfId="24403" xr:uid="{001CBE2F-763F-4183-A30F-9D060E724FC0}"/>
    <cellStyle name="40% - Accent1 2 5 2 2 3" xfId="32837" xr:uid="{FF34B3EA-3689-4FB3-87F7-243F187B909C}"/>
    <cellStyle name="40% - Accent1 2 5 2 2 4" xfId="15965" xr:uid="{602B833B-1E9D-4059-8CEE-CE53FE15BC1A}"/>
    <cellStyle name="40% - Accent1 2 5 2 3" xfId="20185" xr:uid="{75CBD6C3-F739-41DF-BBFA-2C1E5C8892AC}"/>
    <cellStyle name="40% - Accent1 2 5 2 4" xfId="28620" xr:uid="{76F5A536-BE6C-46E1-91D0-9633A53CE276}"/>
    <cellStyle name="40% - Accent1 2 5 2 5" xfId="11747" xr:uid="{6F15FDEB-0732-4023-B7CD-4845CE3D0B4C}"/>
    <cellStyle name="40% - Accent1 2 5 3" xfId="5381" xr:uid="{00000000-0005-0000-0000-000006040000}"/>
    <cellStyle name="40% - Accent1 2 5 3 2" xfId="22258" xr:uid="{F4D88847-3344-4151-B17D-4BF7092D4DFD}"/>
    <cellStyle name="40% - Accent1 2 5 3 3" xfId="30692" xr:uid="{097CAA0B-0802-45BD-8701-85F19B199785}"/>
    <cellStyle name="40% - Accent1 2 5 3 4" xfId="13820" xr:uid="{FEE9E883-0B6F-4B7D-8BF3-661C5280A3A0}"/>
    <cellStyle name="40% - Accent1 2 5 4" xfId="18040" xr:uid="{FEC4F93C-84FF-4C77-B4F5-31CC91A0DD77}"/>
    <cellStyle name="40% - Accent1 2 5 5" xfId="26475" xr:uid="{9192B84F-72D9-44F9-83DD-F7E861A38323}"/>
    <cellStyle name="40% - Accent1 2 5 6" xfId="9602" xr:uid="{4E7B6704-8484-45B9-A87F-E7377D9492C9}"/>
    <cellStyle name="40% - Accent1 2 6" xfId="1486" xr:uid="{00000000-0005-0000-0000-000007040000}"/>
    <cellStyle name="40% - Accent1 2 6 2" xfId="3716" xr:uid="{00000000-0005-0000-0000-000008040000}"/>
    <cellStyle name="40% - Accent1 2 6 2 2" xfId="7939" xr:uid="{00000000-0005-0000-0000-000009040000}"/>
    <cellStyle name="40% - Accent1 2 6 2 2 2" xfId="24816" xr:uid="{B4C6629E-273B-46FC-983E-C39676E0074B}"/>
    <cellStyle name="40% - Accent1 2 6 2 2 3" xfId="33250" xr:uid="{EB8F7DD2-36B9-45AF-BA75-749B73AF993C}"/>
    <cellStyle name="40% - Accent1 2 6 2 2 4" xfId="16378" xr:uid="{4C38CC61-AF00-442D-9C31-FD741FFC65E1}"/>
    <cellStyle name="40% - Accent1 2 6 2 3" xfId="20598" xr:uid="{0CDDF660-8C11-4D29-BD67-EF9FAAC5CF99}"/>
    <cellStyle name="40% - Accent1 2 6 2 4" xfId="29033" xr:uid="{1BFD6631-83D7-45D6-80AC-9CE5ACCE5C1E}"/>
    <cellStyle name="40% - Accent1 2 6 2 5" xfId="12160" xr:uid="{90CA61EA-D315-4C16-A062-0E526910E8C6}"/>
    <cellStyle name="40% - Accent1 2 6 3" xfId="5794" xr:uid="{00000000-0005-0000-0000-00000A040000}"/>
    <cellStyle name="40% - Accent1 2 6 3 2" xfId="22671" xr:uid="{75C4F693-6D29-41EF-B45C-006D261EF6C1}"/>
    <cellStyle name="40% - Accent1 2 6 3 3" xfId="31105" xr:uid="{D7CC99C7-70DD-4CF8-9CF6-E6951AFC5B70}"/>
    <cellStyle name="40% - Accent1 2 6 3 4" xfId="14233" xr:uid="{3DF0582F-0394-4B0B-8FC0-7A4A52F9D4F4}"/>
    <cellStyle name="40% - Accent1 2 6 4" xfId="18453" xr:uid="{E5568F71-EC00-4812-8ADF-1FE92BBB91F9}"/>
    <cellStyle name="40% - Accent1 2 6 5" xfId="26888" xr:uid="{418BDD41-913E-45D0-9371-DEB92B047AB4}"/>
    <cellStyle name="40% - Accent1 2 6 6" xfId="10015" xr:uid="{A5ABDC36-93D9-4802-BA93-05202624B201}"/>
    <cellStyle name="40% - Accent1 2 7" xfId="1900" xr:uid="{00000000-0005-0000-0000-00000B040000}"/>
    <cellStyle name="40% - Accent1 2 7 2" xfId="4129" xr:uid="{00000000-0005-0000-0000-00000C040000}"/>
    <cellStyle name="40% - Accent1 2 7 2 2" xfId="8352" xr:uid="{00000000-0005-0000-0000-00000D040000}"/>
    <cellStyle name="40% - Accent1 2 7 2 2 2" xfId="25229" xr:uid="{8063BE80-CFB8-4DAA-AEDE-AC28B312AD36}"/>
    <cellStyle name="40% - Accent1 2 7 2 2 3" xfId="33663" xr:uid="{436268D8-3E0E-4717-ADB0-B7D06D268740}"/>
    <cellStyle name="40% - Accent1 2 7 2 2 4" xfId="16791" xr:uid="{27520EC9-8DBA-4161-834F-FD3AD8B21FDB}"/>
    <cellStyle name="40% - Accent1 2 7 2 3" xfId="21011" xr:uid="{9C7FD1C2-33C3-4098-BAA4-1104A7A9339F}"/>
    <cellStyle name="40% - Accent1 2 7 2 4" xfId="29446" xr:uid="{1C32FCE1-978B-45F7-99CE-832F92907E70}"/>
    <cellStyle name="40% - Accent1 2 7 2 5" xfId="12573" xr:uid="{7D2895CB-4886-4697-ACAD-22D3154DBE0B}"/>
    <cellStyle name="40% - Accent1 2 7 3" xfId="6207" xr:uid="{00000000-0005-0000-0000-00000E040000}"/>
    <cellStyle name="40% - Accent1 2 7 3 2" xfId="23084" xr:uid="{2FEFBC0C-1411-48F1-B7FE-DADAB6E5BD53}"/>
    <cellStyle name="40% - Accent1 2 7 3 3" xfId="31518" xr:uid="{1A4FF90C-5ED4-4405-8CF6-8C1B54F8CCC9}"/>
    <cellStyle name="40% - Accent1 2 7 3 4" xfId="14646" xr:uid="{2F0897C8-4DF7-473B-B37F-E5614CE340D4}"/>
    <cellStyle name="40% - Accent1 2 7 4" xfId="18866" xr:uid="{4C562321-B4C9-4B83-BC21-380D05C4414E}"/>
    <cellStyle name="40% - Accent1 2 7 5" xfId="27301" xr:uid="{722498BF-4BF3-414A-9F27-343769C563D7}"/>
    <cellStyle name="40% - Accent1 2 7 6" xfId="10428" xr:uid="{71CC27DE-4090-4F82-97A2-A5CCC5EC6AD7}"/>
    <cellStyle name="40% - Accent1 2 8" xfId="2313" xr:uid="{00000000-0005-0000-0000-00000F040000}"/>
    <cellStyle name="40% - Accent1 2 8 2" xfId="6620" xr:uid="{00000000-0005-0000-0000-000010040000}"/>
    <cellStyle name="40% - Accent1 2 8 2 2" xfId="23497" xr:uid="{BE26F731-E052-4E36-B626-46772B9BDFDC}"/>
    <cellStyle name="40% - Accent1 2 8 2 3" xfId="31931" xr:uid="{C4B54AA1-BBFE-436D-B3D6-84E79B4E5038}"/>
    <cellStyle name="40% - Accent1 2 8 2 4" xfId="15059" xr:uid="{7D8E8D12-F829-4610-96D9-BBFDD0EF228D}"/>
    <cellStyle name="40% - Accent1 2 8 3" xfId="19279" xr:uid="{0DFCE5DA-2E0F-46CA-95CD-3BAA93EA6875}"/>
    <cellStyle name="40% - Accent1 2 8 4" xfId="27714" xr:uid="{DA9A4ADF-ECB0-464B-8241-21743F5DB718}"/>
    <cellStyle name="40% - Accent1 2 8 5" xfId="10841" xr:uid="{DAAC5DB3-BB41-46EA-9E1D-061772715312}"/>
    <cellStyle name="40% - Accent1 2 9" xfId="4554" xr:uid="{00000000-0005-0000-0000-000011040000}"/>
    <cellStyle name="40% - Accent1 2 9 2" xfId="21431" xr:uid="{90790C49-046F-4934-8D1B-B80FA0755E79}"/>
    <cellStyle name="40% - Accent1 2 9 3" xfId="29865" xr:uid="{11D00651-828C-4549-B3CA-DD718C57E9FA}"/>
    <cellStyle name="40% - Accent1 2 9 4" xfId="12993" xr:uid="{5B02FA5F-D919-4637-B96F-01A31FBDE5BF}"/>
    <cellStyle name="40% - Accent1 3" xfId="54" xr:uid="{00000000-0005-0000-0000-000012040000}"/>
    <cellStyle name="40% - Accent1 3 10" xfId="25652" xr:uid="{D82C8E09-24E2-4D7C-830F-C94ED72B5ED3}"/>
    <cellStyle name="40% - Accent1 3 11" xfId="8779" xr:uid="{1D2B8DB0-6B68-4BFD-873D-517573ABB3B9}"/>
    <cellStyle name="40% - Accent1 3 2" xfId="55" xr:uid="{00000000-0005-0000-0000-000013040000}"/>
    <cellStyle name="40% - Accent1 3 2 10" xfId="8780" xr:uid="{564DD56C-58AB-44CB-B3A1-9D5FF235A2E4}"/>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23995" xr:uid="{6FBA2F92-1424-4314-B0B1-38E1879F7231}"/>
    <cellStyle name="40% - Accent1 3 2 2 2 2 3" xfId="32429" xr:uid="{EACED7FF-D81D-43B3-9308-05779B1CECBA}"/>
    <cellStyle name="40% - Accent1 3 2 2 2 2 4" xfId="15557" xr:uid="{746F75F6-8B80-4705-B80A-CE13FD4B6167}"/>
    <cellStyle name="40% - Accent1 3 2 2 2 3" xfId="19777" xr:uid="{DB6C89AB-77F6-4163-B8E9-7BBFFAFF609E}"/>
    <cellStyle name="40% - Accent1 3 2 2 2 4" xfId="28212" xr:uid="{36FC9D49-EB6E-457D-A0C2-783225831353}"/>
    <cellStyle name="40% - Accent1 3 2 2 2 5" xfId="11339" xr:uid="{3109049E-DCA8-4D80-B3B3-9F4726503775}"/>
    <cellStyle name="40% - Accent1 3 2 2 3" xfId="4973" xr:uid="{00000000-0005-0000-0000-000017040000}"/>
    <cellStyle name="40% - Accent1 3 2 2 3 2" xfId="21850" xr:uid="{22F581E7-45F9-4FE2-A220-5098C26FF0F8}"/>
    <cellStyle name="40% - Accent1 3 2 2 3 3" xfId="30284" xr:uid="{3361D733-649E-44F0-B723-D0A5428C45DD}"/>
    <cellStyle name="40% - Accent1 3 2 2 3 4" xfId="13412" xr:uid="{8B7C40CB-7A5D-4D41-AB90-72B6A772B0D1}"/>
    <cellStyle name="40% - Accent1 3 2 2 4" xfId="17632" xr:uid="{6AF7ADF4-8290-4918-A667-B9A44998C187}"/>
    <cellStyle name="40% - Accent1 3 2 2 5" xfId="26067" xr:uid="{7A954F14-B7A7-4085-8773-B412C2D625FE}"/>
    <cellStyle name="40% - Accent1 3 2 2 6" xfId="9194" xr:uid="{3C0B3793-9B65-437D-9563-7CF9F4397138}"/>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24408" xr:uid="{874C19CB-129A-4103-9FBE-8DDDA16130B1}"/>
    <cellStyle name="40% - Accent1 3 2 3 2 2 3" xfId="32842" xr:uid="{1E196947-5D7C-49FF-8BA5-A58E42FF6ECD}"/>
    <cellStyle name="40% - Accent1 3 2 3 2 2 4" xfId="15970" xr:uid="{D4CBE09A-246D-4DAE-ADF4-6D8E023E8361}"/>
    <cellStyle name="40% - Accent1 3 2 3 2 3" xfId="20190" xr:uid="{833A55AC-FF41-42D6-A5D0-23F38243369B}"/>
    <cellStyle name="40% - Accent1 3 2 3 2 4" xfId="28625" xr:uid="{ECF194F8-90EC-43BB-BA12-2B6EA9B566D0}"/>
    <cellStyle name="40% - Accent1 3 2 3 2 5" xfId="11752" xr:uid="{5E6C271D-8AC5-4D0F-8701-E0D855AC74A8}"/>
    <cellStyle name="40% - Accent1 3 2 3 3" xfId="5386" xr:uid="{00000000-0005-0000-0000-00001B040000}"/>
    <cellStyle name="40% - Accent1 3 2 3 3 2" xfId="22263" xr:uid="{594F4E5B-342F-4D8C-9A21-7CB883F8134F}"/>
    <cellStyle name="40% - Accent1 3 2 3 3 3" xfId="30697" xr:uid="{B1B984CF-3D79-4C86-9BA6-6BD865D14063}"/>
    <cellStyle name="40% - Accent1 3 2 3 3 4" xfId="13825" xr:uid="{9FB96D3C-297D-4E28-ABB0-DABAEAB1FC90}"/>
    <cellStyle name="40% - Accent1 3 2 3 4" xfId="18045" xr:uid="{0E0C7C31-C486-4131-A6F8-707BCDA152BD}"/>
    <cellStyle name="40% - Accent1 3 2 3 5" xfId="26480" xr:uid="{ECC8327D-3035-4B7F-915C-81C467B3A1D5}"/>
    <cellStyle name="40% - Accent1 3 2 3 6" xfId="9607" xr:uid="{08240ADC-B4D3-4338-A530-20EFE1108C86}"/>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24821" xr:uid="{B0998C21-8F11-4E04-AA95-42AB5A86C6B9}"/>
    <cellStyle name="40% - Accent1 3 2 4 2 2 3" xfId="33255" xr:uid="{162FB828-8538-4FCF-9A62-70A590C9E298}"/>
    <cellStyle name="40% - Accent1 3 2 4 2 2 4" xfId="16383" xr:uid="{00C1F0B2-4E60-4D8D-A5F2-1682DE8B4A9C}"/>
    <cellStyle name="40% - Accent1 3 2 4 2 3" xfId="20603" xr:uid="{6A0B0020-F399-47EE-8515-E1CB9C64B506}"/>
    <cellStyle name="40% - Accent1 3 2 4 2 4" xfId="29038" xr:uid="{C324B303-EFC8-4C9C-B044-694B6F27B629}"/>
    <cellStyle name="40% - Accent1 3 2 4 2 5" xfId="12165" xr:uid="{E8FE693D-2E8C-417F-954B-BCF748FBD81B}"/>
    <cellStyle name="40% - Accent1 3 2 4 3" xfId="5799" xr:uid="{00000000-0005-0000-0000-00001F040000}"/>
    <cellStyle name="40% - Accent1 3 2 4 3 2" xfId="22676" xr:uid="{9B710862-8A4E-48E2-A22A-C38FEDEDAD89}"/>
    <cellStyle name="40% - Accent1 3 2 4 3 3" xfId="31110" xr:uid="{D7F52A5F-8F1C-4048-945A-53397A18E165}"/>
    <cellStyle name="40% - Accent1 3 2 4 3 4" xfId="14238" xr:uid="{8DA65872-D58C-45F6-A197-1883A2986219}"/>
    <cellStyle name="40% - Accent1 3 2 4 4" xfId="18458" xr:uid="{FC56B3A0-3219-4DB4-9B6C-D117B79DC1FE}"/>
    <cellStyle name="40% - Accent1 3 2 4 5" xfId="26893" xr:uid="{322E567F-C369-494D-8DA0-E7B37922C5AE}"/>
    <cellStyle name="40% - Accent1 3 2 4 6" xfId="10020" xr:uid="{C5072DE7-1572-445B-B12D-2B5307941D9F}"/>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25234" xr:uid="{8BFDCDF6-9BCB-4908-A124-932693585633}"/>
    <cellStyle name="40% - Accent1 3 2 5 2 2 3" xfId="33668" xr:uid="{EF24F334-15D9-4F3A-AF3F-8EA9318F99F5}"/>
    <cellStyle name="40% - Accent1 3 2 5 2 2 4" xfId="16796" xr:uid="{18D457AE-84B9-403D-A9C0-C81D4D5BB736}"/>
    <cellStyle name="40% - Accent1 3 2 5 2 3" xfId="21016" xr:uid="{85EE8138-196B-42F8-A633-5A35962A98BC}"/>
    <cellStyle name="40% - Accent1 3 2 5 2 4" xfId="29451" xr:uid="{ABE13FDC-EBA6-4AF3-8753-F8FBE7B9EF3E}"/>
    <cellStyle name="40% - Accent1 3 2 5 2 5" xfId="12578" xr:uid="{9EBD0F1A-808B-4079-A8D2-0DC34DE5F484}"/>
    <cellStyle name="40% - Accent1 3 2 5 3" xfId="6212" xr:uid="{00000000-0005-0000-0000-000023040000}"/>
    <cellStyle name="40% - Accent1 3 2 5 3 2" xfId="23089" xr:uid="{02C0AD3C-A65B-463A-8FC0-7BEA5DF98415}"/>
    <cellStyle name="40% - Accent1 3 2 5 3 3" xfId="31523" xr:uid="{71CFD089-FAD5-410C-AF96-90A8278A9FCB}"/>
    <cellStyle name="40% - Accent1 3 2 5 3 4" xfId="14651" xr:uid="{87EFFA18-2C3F-4570-90E1-4EA0B7EA284F}"/>
    <cellStyle name="40% - Accent1 3 2 5 4" xfId="18871" xr:uid="{26C14309-0A82-4923-846C-EE4AF9B56F4D}"/>
    <cellStyle name="40% - Accent1 3 2 5 5" xfId="27306" xr:uid="{88D01C1E-D79F-4845-AA95-031D86EB9C36}"/>
    <cellStyle name="40% - Accent1 3 2 5 6" xfId="10433" xr:uid="{533FD8EE-6F6B-49FA-A40E-C7BFDBD3E849}"/>
    <cellStyle name="40% - Accent1 3 2 6" xfId="2318" xr:uid="{00000000-0005-0000-0000-000024040000}"/>
    <cellStyle name="40% - Accent1 3 2 6 2" xfId="6625" xr:uid="{00000000-0005-0000-0000-000025040000}"/>
    <cellStyle name="40% - Accent1 3 2 6 2 2" xfId="23502" xr:uid="{24027A7E-8E3C-431F-BD65-2471BBC944C5}"/>
    <cellStyle name="40% - Accent1 3 2 6 2 3" xfId="31936" xr:uid="{0C809B1D-9DDE-405C-91F7-71304BD99CEF}"/>
    <cellStyle name="40% - Accent1 3 2 6 2 4" xfId="15064" xr:uid="{06719072-A02D-4D5A-9449-7E68C1D7B761}"/>
    <cellStyle name="40% - Accent1 3 2 6 3" xfId="19284" xr:uid="{06C12130-B7CE-4C13-AE5D-237F03559E4B}"/>
    <cellStyle name="40% - Accent1 3 2 6 4" xfId="27719" xr:uid="{10081FA9-870A-416D-86C4-3475D59A13F8}"/>
    <cellStyle name="40% - Accent1 3 2 6 5" xfId="10846" xr:uid="{8F62CE23-3185-46EC-955E-2E7D88B36D6B}"/>
    <cellStyle name="40% - Accent1 3 2 7" xfId="4559" xr:uid="{00000000-0005-0000-0000-000026040000}"/>
    <cellStyle name="40% - Accent1 3 2 7 2" xfId="21436" xr:uid="{A683EEA6-CDF8-4AA9-B2E6-3953A75823C5}"/>
    <cellStyle name="40% - Accent1 3 2 7 3" xfId="29870" xr:uid="{49023871-02A9-4785-A991-12F79481B5D3}"/>
    <cellStyle name="40% - Accent1 3 2 7 4" xfId="12998" xr:uid="{564E6870-16E1-4ED5-A0E0-30F78C67E3CB}"/>
    <cellStyle name="40% - Accent1 3 2 8" xfId="17218" xr:uid="{4220C1F6-7E7D-4D47-8820-65A89AE60F27}"/>
    <cellStyle name="40% - Accent1 3 2 9" xfId="25653" xr:uid="{77CA3B11-AEE8-4E09-B201-409A5C8DA5CE}"/>
    <cellStyle name="40% - Accent1 3 3" xfId="623" xr:uid="{00000000-0005-0000-0000-000027040000}"/>
    <cellStyle name="40% - Accent1 3 3 2" xfId="2894" xr:uid="{00000000-0005-0000-0000-000028040000}"/>
    <cellStyle name="40% - Accent1 3 3 2 2" xfId="7117" xr:uid="{00000000-0005-0000-0000-000029040000}"/>
    <cellStyle name="40% - Accent1 3 3 2 2 2" xfId="23994" xr:uid="{63124113-AEAD-42C5-90F7-1F9BC7B2C881}"/>
    <cellStyle name="40% - Accent1 3 3 2 2 3" xfId="32428" xr:uid="{995399D6-FE06-4355-9DE8-59C86E755F2B}"/>
    <cellStyle name="40% - Accent1 3 3 2 2 4" xfId="15556" xr:uid="{0C4B3FFD-17E1-4288-9106-67182DA75326}"/>
    <cellStyle name="40% - Accent1 3 3 2 3" xfId="19776" xr:uid="{6749DCE0-0829-452D-A61D-6349ECCCE87A}"/>
    <cellStyle name="40% - Accent1 3 3 2 4" xfId="28211" xr:uid="{32816517-54A6-42DE-B511-7AB3FB241F96}"/>
    <cellStyle name="40% - Accent1 3 3 2 5" xfId="11338" xr:uid="{01AD7F96-B2EC-40A1-AEB3-BE1220E5A448}"/>
    <cellStyle name="40% - Accent1 3 3 3" xfId="4972" xr:uid="{00000000-0005-0000-0000-00002A040000}"/>
    <cellStyle name="40% - Accent1 3 3 3 2" xfId="21849" xr:uid="{C17BE4E0-D84C-40C2-A8D7-CD00C6A0A3F8}"/>
    <cellStyle name="40% - Accent1 3 3 3 3" xfId="30283" xr:uid="{10074B5A-7EF3-451B-A116-EC9F5A26F47C}"/>
    <cellStyle name="40% - Accent1 3 3 3 4" xfId="13411" xr:uid="{7EA17FCC-78FD-4912-B7AB-2DDAE97997EC}"/>
    <cellStyle name="40% - Accent1 3 3 4" xfId="17631" xr:uid="{CA227136-711E-4915-A4AB-694D71DC471C}"/>
    <cellStyle name="40% - Accent1 3 3 5" xfId="26066" xr:uid="{069E9398-F101-4452-9F9F-B4D3261DEB4A}"/>
    <cellStyle name="40% - Accent1 3 3 6" xfId="9193" xr:uid="{6E784FBF-9B7B-4523-9392-FCF428D4BBFF}"/>
    <cellStyle name="40% - Accent1 3 4" xfId="1076" xr:uid="{00000000-0005-0000-0000-00002B040000}"/>
    <cellStyle name="40% - Accent1 3 4 2" xfId="3307" xr:uid="{00000000-0005-0000-0000-00002C040000}"/>
    <cellStyle name="40% - Accent1 3 4 2 2" xfId="7530" xr:uid="{00000000-0005-0000-0000-00002D040000}"/>
    <cellStyle name="40% - Accent1 3 4 2 2 2" xfId="24407" xr:uid="{98563BF5-9733-4B33-9D0E-5D7E79C51659}"/>
    <cellStyle name="40% - Accent1 3 4 2 2 3" xfId="32841" xr:uid="{CCBA9A62-42DF-40FA-95CA-ECF3EFAFB74B}"/>
    <cellStyle name="40% - Accent1 3 4 2 2 4" xfId="15969" xr:uid="{BC6A7B9E-A8D0-4F48-ABF3-5758FBD1EE94}"/>
    <cellStyle name="40% - Accent1 3 4 2 3" xfId="20189" xr:uid="{14F5A409-B53E-4E37-B011-215E3194457F}"/>
    <cellStyle name="40% - Accent1 3 4 2 4" xfId="28624" xr:uid="{8ADC0E27-D93E-47FD-B708-56F81977A874}"/>
    <cellStyle name="40% - Accent1 3 4 2 5" xfId="11751" xr:uid="{BF68CB7E-CF2F-4156-B691-60E007B9DCA8}"/>
    <cellStyle name="40% - Accent1 3 4 3" xfId="5385" xr:uid="{00000000-0005-0000-0000-00002E040000}"/>
    <cellStyle name="40% - Accent1 3 4 3 2" xfId="22262" xr:uid="{D75A85C9-D009-4F01-9873-8FABB79DC0CD}"/>
    <cellStyle name="40% - Accent1 3 4 3 3" xfId="30696" xr:uid="{C7188152-AB7A-46DA-A089-21C64EAD1AD9}"/>
    <cellStyle name="40% - Accent1 3 4 3 4" xfId="13824" xr:uid="{686B807B-1C02-4830-BC75-EE3429020019}"/>
    <cellStyle name="40% - Accent1 3 4 4" xfId="18044" xr:uid="{1C4EF53D-0EC8-4D55-93D5-86ADA32E26F4}"/>
    <cellStyle name="40% - Accent1 3 4 5" xfId="26479" xr:uid="{7132BEC9-6642-41AC-84A5-11997E4D06BC}"/>
    <cellStyle name="40% - Accent1 3 4 6" xfId="9606" xr:uid="{1B5B5765-1EF2-4E58-AED5-3C8678696430}"/>
    <cellStyle name="40% - Accent1 3 5" xfId="1490" xr:uid="{00000000-0005-0000-0000-00002F040000}"/>
    <cellStyle name="40% - Accent1 3 5 2" xfId="3720" xr:uid="{00000000-0005-0000-0000-000030040000}"/>
    <cellStyle name="40% - Accent1 3 5 2 2" xfId="7943" xr:uid="{00000000-0005-0000-0000-000031040000}"/>
    <cellStyle name="40% - Accent1 3 5 2 2 2" xfId="24820" xr:uid="{A4537A7D-3C3F-4085-B41A-B68C3DA4726E}"/>
    <cellStyle name="40% - Accent1 3 5 2 2 3" xfId="33254" xr:uid="{F552C077-05B6-48DA-AEC8-589BB6A23AA1}"/>
    <cellStyle name="40% - Accent1 3 5 2 2 4" xfId="16382" xr:uid="{1E15D3C0-F5FF-40CD-8058-B737129ED3BE}"/>
    <cellStyle name="40% - Accent1 3 5 2 3" xfId="20602" xr:uid="{CE0606DF-5EA1-4E89-9F92-DF6E2028EEB2}"/>
    <cellStyle name="40% - Accent1 3 5 2 4" xfId="29037" xr:uid="{77CBAED2-F1F8-45D5-9CA6-44F2392B4502}"/>
    <cellStyle name="40% - Accent1 3 5 2 5" xfId="12164" xr:uid="{3EF6BFC9-2C6A-4877-A004-CF6063BA8F42}"/>
    <cellStyle name="40% - Accent1 3 5 3" xfId="5798" xr:uid="{00000000-0005-0000-0000-000032040000}"/>
    <cellStyle name="40% - Accent1 3 5 3 2" xfId="22675" xr:uid="{659AFF6D-DBE3-4FE6-BD00-C05512DB9153}"/>
    <cellStyle name="40% - Accent1 3 5 3 3" xfId="31109" xr:uid="{49062601-B822-47A2-B085-E671BA9D9333}"/>
    <cellStyle name="40% - Accent1 3 5 3 4" xfId="14237" xr:uid="{79BC8132-8794-4CEA-B6A3-92AB02CABAEC}"/>
    <cellStyle name="40% - Accent1 3 5 4" xfId="18457" xr:uid="{F9F9E9F9-FB7B-4142-9859-E94E877286A4}"/>
    <cellStyle name="40% - Accent1 3 5 5" xfId="26892" xr:uid="{33DC24CA-90F2-48F3-BF16-CE2D89B8017F}"/>
    <cellStyle name="40% - Accent1 3 5 6" xfId="10019" xr:uid="{6E30F189-0A59-4148-9CDE-08D3608D5C7C}"/>
    <cellStyle name="40% - Accent1 3 6" xfId="1904" xr:uid="{00000000-0005-0000-0000-000033040000}"/>
    <cellStyle name="40% - Accent1 3 6 2" xfId="4133" xr:uid="{00000000-0005-0000-0000-000034040000}"/>
    <cellStyle name="40% - Accent1 3 6 2 2" xfId="8356" xr:uid="{00000000-0005-0000-0000-000035040000}"/>
    <cellStyle name="40% - Accent1 3 6 2 2 2" xfId="25233" xr:uid="{AF47243D-D585-4369-A97D-E0AEDD287091}"/>
    <cellStyle name="40% - Accent1 3 6 2 2 3" xfId="33667" xr:uid="{4A3F9DD3-8922-4DC0-AB32-CFE27796B774}"/>
    <cellStyle name="40% - Accent1 3 6 2 2 4" xfId="16795" xr:uid="{FDBB1C3F-1CA4-414E-9054-DA3709AF4B18}"/>
    <cellStyle name="40% - Accent1 3 6 2 3" xfId="21015" xr:uid="{0AC42939-859C-4DFC-BFF1-16D7851B8705}"/>
    <cellStyle name="40% - Accent1 3 6 2 4" xfId="29450" xr:uid="{0431C53C-23A0-4812-AF69-818E6D9434A9}"/>
    <cellStyle name="40% - Accent1 3 6 2 5" xfId="12577" xr:uid="{97127BF3-E982-4754-9D28-2EB4A08F7E63}"/>
    <cellStyle name="40% - Accent1 3 6 3" xfId="6211" xr:uid="{00000000-0005-0000-0000-000036040000}"/>
    <cellStyle name="40% - Accent1 3 6 3 2" xfId="23088" xr:uid="{41D1F3A4-BD9A-40CB-BCC1-C85D1A9EB7EA}"/>
    <cellStyle name="40% - Accent1 3 6 3 3" xfId="31522" xr:uid="{F7864C9C-8FEC-4B1A-878F-09BE05A22AB6}"/>
    <cellStyle name="40% - Accent1 3 6 3 4" xfId="14650" xr:uid="{9CFA6E5E-C662-41F3-B9A4-DC84F140B8CE}"/>
    <cellStyle name="40% - Accent1 3 6 4" xfId="18870" xr:uid="{56B5ED4F-6F2B-4682-B339-DC6AF93D2C3B}"/>
    <cellStyle name="40% - Accent1 3 6 5" xfId="27305" xr:uid="{9CBAEC71-020B-43D5-BACF-05BAE33A7939}"/>
    <cellStyle name="40% - Accent1 3 6 6" xfId="10432" xr:uid="{67F9FD45-E330-491E-8503-7702A18FC27B}"/>
    <cellStyle name="40% - Accent1 3 7" xfId="2317" xr:uid="{00000000-0005-0000-0000-000037040000}"/>
    <cellStyle name="40% - Accent1 3 7 2" xfId="6624" xr:uid="{00000000-0005-0000-0000-000038040000}"/>
    <cellStyle name="40% - Accent1 3 7 2 2" xfId="23501" xr:uid="{55E36DBB-EA4C-4218-8B20-85F16405A525}"/>
    <cellStyle name="40% - Accent1 3 7 2 3" xfId="31935" xr:uid="{51C176D1-173E-4EA2-AF78-739831FE21B5}"/>
    <cellStyle name="40% - Accent1 3 7 2 4" xfId="15063" xr:uid="{60D8F927-14CD-4478-8818-1AB647DD0615}"/>
    <cellStyle name="40% - Accent1 3 7 3" xfId="19283" xr:uid="{A79C0634-C691-4BDD-94BE-BF2704C862A7}"/>
    <cellStyle name="40% - Accent1 3 7 4" xfId="27718" xr:uid="{4D9D781E-B5B3-4435-88CB-1F8D1CCD44EC}"/>
    <cellStyle name="40% - Accent1 3 7 5" xfId="10845" xr:uid="{68E0A0E9-329F-4E77-B1EC-C08FF8007D45}"/>
    <cellStyle name="40% - Accent1 3 8" xfId="4558" xr:uid="{00000000-0005-0000-0000-000039040000}"/>
    <cellStyle name="40% - Accent1 3 8 2" xfId="21435" xr:uid="{7942FE96-90B1-438E-988B-469322EE9F75}"/>
    <cellStyle name="40% - Accent1 3 8 3" xfId="29869" xr:uid="{C4795EA8-8A73-4589-B318-4913145F33EF}"/>
    <cellStyle name="40% - Accent1 3 8 4" xfId="12997" xr:uid="{13C3401F-FB39-4B6A-9DDC-9DEFACC21B7C}"/>
    <cellStyle name="40% - Accent1 3 9" xfId="17217" xr:uid="{D7F7BE1F-D100-4C23-900E-A7105B5738A5}"/>
    <cellStyle name="40% - Accent1 4" xfId="56" xr:uid="{00000000-0005-0000-0000-00003A040000}"/>
    <cellStyle name="40% - Accent1 4 10" xfId="8781" xr:uid="{62410A55-A103-4F15-AD8C-B95E1721B891}"/>
    <cellStyle name="40% - Accent1 4 2" xfId="625" xr:uid="{00000000-0005-0000-0000-00003B040000}"/>
    <cellStyle name="40% - Accent1 4 2 2" xfId="2896" xr:uid="{00000000-0005-0000-0000-00003C040000}"/>
    <cellStyle name="40% - Accent1 4 2 2 2" xfId="7119" xr:uid="{00000000-0005-0000-0000-00003D040000}"/>
    <cellStyle name="40% - Accent1 4 2 2 2 2" xfId="23996" xr:uid="{6626E6E1-BC85-4BAE-AB49-66D0844D19C8}"/>
    <cellStyle name="40% - Accent1 4 2 2 2 3" xfId="32430" xr:uid="{1D5136E3-73E7-4376-893F-2AC63F4C926B}"/>
    <cellStyle name="40% - Accent1 4 2 2 2 4" xfId="15558" xr:uid="{06935E2C-F9A0-49F6-8AD3-5C399FB5B639}"/>
    <cellStyle name="40% - Accent1 4 2 2 3" xfId="19778" xr:uid="{47E672EA-E688-4482-A574-A465A5504E55}"/>
    <cellStyle name="40% - Accent1 4 2 2 4" xfId="28213" xr:uid="{B22FC070-8B34-42F2-8A47-2038E9B2E4D8}"/>
    <cellStyle name="40% - Accent1 4 2 2 5" xfId="11340" xr:uid="{A097BA5F-1C9C-47E0-879B-A12C38C0B035}"/>
    <cellStyle name="40% - Accent1 4 2 3" xfId="4974" xr:uid="{00000000-0005-0000-0000-00003E040000}"/>
    <cellStyle name="40% - Accent1 4 2 3 2" xfId="21851" xr:uid="{75E4788E-50B9-4686-8680-691EC087017D}"/>
    <cellStyle name="40% - Accent1 4 2 3 3" xfId="30285" xr:uid="{896376E5-EFDE-4F52-A980-771DC2FC6095}"/>
    <cellStyle name="40% - Accent1 4 2 3 4" xfId="13413" xr:uid="{5036C192-6944-4220-8BD2-45515E7AFBA8}"/>
    <cellStyle name="40% - Accent1 4 2 4" xfId="17633" xr:uid="{C95A98FD-ADEB-487B-BB78-43EAB5A890F5}"/>
    <cellStyle name="40% - Accent1 4 2 5" xfId="26068" xr:uid="{4967F4B6-1420-4D20-A984-5669F3A768C0}"/>
    <cellStyle name="40% - Accent1 4 2 6" xfId="9195" xr:uid="{09D6A8DB-D9E3-4F45-A066-1CD8F1DE09F9}"/>
    <cellStyle name="40% - Accent1 4 3" xfId="1078" xr:uid="{00000000-0005-0000-0000-00003F040000}"/>
    <cellStyle name="40% - Accent1 4 3 2" xfId="3309" xr:uid="{00000000-0005-0000-0000-000040040000}"/>
    <cellStyle name="40% - Accent1 4 3 2 2" xfId="7532" xr:uid="{00000000-0005-0000-0000-000041040000}"/>
    <cellStyle name="40% - Accent1 4 3 2 2 2" xfId="24409" xr:uid="{E1DD6C73-D58A-4991-8FBD-EF2115F5FF45}"/>
    <cellStyle name="40% - Accent1 4 3 2 2 3" xfId="32843" xr:uid="{E1219876-72E3-4311-BC00-835E6CB3CB10}"/>
    <cellStyle name="40% - Accent1 4 3 2 2 4" xfId="15971" xr:uid="{D6EDCDE4-3BCE-4B64-ABDC-E1E73A684B0C}"/>
    <cellStyle name="40% - Accent1 4 3 2 3" xfId="20191" xr:uid="{5AB0FB9A-6CF0-4673-99BC-E2F3158D4D4E}"/>
    <cellStyle name="40% - Accent1 4 3 2 4" xfId="28626" xr:uid="{A7EF3B81-920F-4E4F-A58D-79477A3EC55C}"/>
    <cellStyle name="40% - Accent1 4 3 2 5" xfId="11753" xr:uid="{5B895FC1-5D77-42BF-84E4-3E64283EAB0F}"/>
    <cellStyle name="40% - Accent1 4 3 3" xfId="5387" xr:uid="{00000000-0005-0000-0000-000042040000}"/>
    <cellStyle name="40% - Accent1 4 3 3 2" xfId="22264" xr:uid="{754B7138-241D-4274-A4A5-9497BBD13493}"/>
    <cellStyle name="40% - Accent1 4 3 3 3" xfId="30698" xr:uid="{DC750B7A-6B6B-443D-96B2-4EE914CF973A}"/>
    <cellStyle name="40% - Accent1 4 3 3 4" xfId="13826" xr:uid="{3F8F1A32-8E68-47CF-AAE9-95CC259B34B8}"/>
    <cellStyle name="40% - Accent1 4 3 4" xfId="18046" xr:uid="{9069CE55-4DA4-4BC8-B18A-B9801E367B88}"/>
    <cellStyle name="40% - Accent1 4 3 5" xfId="26481" xr:uid="{01EC310B-19F9-4EDC-A074-0BECDBBF1E8C}"/>
    <cellStyle name="40% - Accent1 4 3 6" xfId="9608" xr:uid="{88B2F0AA-B9C2-4FE6-A22C-6C29CE220600}"/>
    <cellStyle name="40% - Accent1 4 4" xfId="1492" xr:uid="{00000000-0005-0000-0000-000043040000}"/>
    <cellStyle name="40% - Accent1 4 4 2" xfId="3722" xr:uid="{00000000-0005-0000-0000-000044040000}"/>
    <cellStyle name="40% - Accent1 4 4 2 2" xfId="7945" xr:uid="{00000000-0005-0000-0000-000045040000}"/>
    <cellStyle name="40% - Accent1 4 4 2 2 2" xfId="24822" xr:uid="{F2F93D89-4AE0-466B-9276-DFBEE26A5B95}"/>
    <cellStyle name="40% - Accent1 4 4 2 2 3" xfId="33256" xr:uid="{B8300526-877D-4226-A446-E8E29A8A0D08}"/>
    <cellStyle name="40% - Accent1 4 4 2 2 4" xfId="16384" xr:uid="{CAE861B8-9DC7-42B9-8020-C477C8AB43C9}"/>
    <cellStyle name="40% - Accent1 4 4 2 3" xfId="20604" xr:uid="{9B4BDE1B-9E94-4DF1-88B3-3DDAB90BA1FC}"/>
    <cellStyle name="40% - Accent1 4 4 2 4" xfId="29039" xr:uid="{10E2A97B-FD61-43CE-960D-1AED57EB4C41}"/>
    <cellStyle name="40% - Accent1 4 4 2 5" xfId="12166" xr:uid="{CF1569F9-F948-4431-A043-C0EB8CF71818}"/>
    <cellStyle name="40% - Accent1 4 4 3" xfId="5800" xr:uid="{00000000-0005-0000-0000-000046040000}"/>
    <cellStyle name="40% - Accent1 4 4 3 2" xfId="22677" xr:uid="{DAB1C9B2-FBF1-4749-93F5-80979241F3A6}"/>
    <cellStyle name="40% - Accent1 4 4 3 3" xfId="31111" xr:uid="{22B331ED-1C94-4BE4-BB67-1B24401F2DD2}"/>
    <cellStyle name="40% - Accent1 4 4 3 4" xfId="14239" xr:uid="{9C3B7FBE-BEB3-4B44-ABA2-5CF8389908B6}"/>
    <cellStyle name="40% - Accent1 4 4 4" xfId="18459" xr:uid="{03A47548-A990-49BC-9C77-783A881BBBD0}"/>
    <cellStyle name="40% - Accent1 4 4 5" xfId="26894" xr:uid="{80C17805-903D-4EB6-A57F-CC6501DC44A4}"/>
    <cellStyle name="40% - Accent1 4 4 6" xfId="10021" xr:uid="{3F00E49B-E2B0-474E-9BC0-E7FBC5EB307E}"/>
    <cellStyle name="40% - Accent1 4 5" xfId="1906" xr:uid="{00000000-0005-0000-0000-000047040000}"/>
    <cellStyle name="40% - Accent1 4 5 2" xfId="4135" xr:uid="{00000000-0005-0000-0000-000048040000}"/>
    <cellStyle name="40% - Accent1 4 5 2 2" xfId="8358" xr:uid="{00000000-0005-0000-0000-000049040000}"/>
    <cellStyle name="40% - Accent1 4 5 2 2 2" xfId="25235" xr:uid="{E68DB2D1-3A01-486C-AB45-D88BBE557934}"/>
    <cellStyle name="40% - Accent1 4 5 2 2 3" xfId="33669" xr:uid="{A4BBF757-3AFD-48B0-B4E9-B66583FE0293}"/>
    <cellStyle name="40% - Accent1 4 5 2 2 4" xfId="16797" xr:uid="{484580BF-4742-42BE-AD3B-CB4041CCACA9}"/>
    <cellStyle name="40% - Accent1 4 5 2 3" xfId="21017" xr:uid="{27EACABB-7C7F-471A-A7A2-5B93D000B28C}"/>
    <cellStyle name="40% - Accent1 4 5 2 4" xfId="29452" xr:uid="{E469CDF3-5962-4835-8B55-94C80A6BFCF7}"/>
    <cellStyle name="40% - Accent1 4 5 2 5" xfId="12579" xr:uid="{69FE5CD0-9094-4797-9D20-BD0D44013611}"/>
    <cellStyle name="40% - Accent1 4 5 3" xfId="6213" xr:uid="{00000000-0005-0000-0000-00004A040000}"/>
    <cellStyle name="40% - Accent1 4 5 3 2" xfId="23090" xr:uid="{6F770B6B-82E2-484D-959C-5CA6BDC143E2}"/>
    <cellStyle name="40% - Accent1 4 5 3 3" xfId="31524" xr:uid="{0C2456FE-267D-4F9F-9E1E-78E0E0298620}"/>
    <cellStyle name="40% - Accent1 4 5 3 4" xfId="14652" xr:uid="{60EBE1C1-ACAA-4A66-A93B-3F4DE0DA411B}"/>
    <cellStyle name="40% - Accent1 4 5 4" xfId="18872" xr:uid="{8046EB0E-1B97-4EBD-9BCE-2149B89A9962}"/>
    <cellStyle name="40% - Accent1 4 5 5" xfId="27307" xr:uid="{71276FD9-3DA2-4958-B582-EB0BD2F3D7EE}"/>
    <cellStyle name="40% - Accent1 4 5 6" xfId="10434" xr:uid="{A53947DC-EFA4-4B16-95C7-31FDFECD4BA6}"/>
    <cellStyle name="40% - Accent1 4 6" xfId="2319" xr:uid="{00000000-0005-0000-0000-00004B040000}"/>
    <cellStyle name="40% - Accent1 4 6 2" xfId="6626" xr:uid="{00000000-0005-0000-0000-00004C040000}"/>
    <cellStyle name="40% - Accent1 4 6 2 2" xfId="23503" xr:uid="{862033B8-847C-45D1-898F-5DE5C933E7A1}"/>
    <cellStyle name="40% - Accent1 4 6 2 3" xfId="31937" xr:uid="{403DADF5-346A-4F83-91B3-10D385D1B480}"/>
    <cellStyle name="40% - Accent1 4 6 2 4" xfId="15065" xr:uid="{30574797-083F-48B4-AD99-522325B79339}"/>
    <cellStyle name="40% - Accent1 4 6 3" xfId="19285" xr:uid="{52E5FD11-1798-4151-9ED7-BDD3FDBE4B4D}"/>
    <cellStyle name="40% - Accent1 4 6 4" xfId="27720" xr:uid="{EF6E5538-FB3C-4770-A714-7F06DFF05FE5}"/>
    <cellStyle name="40% - Accent1 4 6 5" xfId="10847" xr:uid="{BD63BB83-6043-49B3-80DD-C3F57E229D2F}"/>
    <cellStyle name="40% - Accent1 4 7" xfId="4560" xr:uid="{00000000-0005-0000-0000-00004D040000}"/>
    <cellStyle name="40% - Accent1 4 7 2" xfId="21437" xr:uid="{37D6C39B-4C6B-42CE-955B-300AD4DFE2F2}"/>
    <cellStyle name="40% - Accent1 4 7 3" xfId="29871" xr:uid="{333B7EF6-3213-47FB-BA68-E4A769CA69B6}"/>
    <cellStyle name="40% - Accent1 4 7 4" xfId="12999" xr:uid="{EB8938C6-E71C-4F10-93CD-AC01BBB46490}"/>
    <cellStyle name="40% - Accent1 4 8" xfId="17219" xr:uid="{1F44565E-CBBE-491B-97FB-E97694B8617C}"/>
    <cellStyle name="40% - Accent1 4 9" xfId="25654" xr:uid="{5B5660C6-2F88-4FDD-A576-7FBDF51DECCB}"/>
    <cellStyle name="40% - Accent1 5" xfId="618" xr:uid="{00000000-0005-0000-0000-00004E040000}"/>
    <cellStyle name="40% - Accent1 5 2" xfId="2889" xr:uid="{00000000-0005-0000-0000-00004F040000}"/>
    <cellStyle name="40% - Accent1 5 2 2" xfId="7112" xr:uid="{00000000-0005-0000-0000-000050040000}"/>
    <cellStyle name="40% - Accent1 5 2 2 2" xfId="23989" xr:uid="{1ABCF245-C82B-4383-9E6C-B580F54C5190}"/>
    <cellStyle name="40% - Accent1 5 2 2 3" xfId="32423" xr:uid="{51F59496-A8CB-4C6B-97ED-8E77E09E9F4D}"/>
    <cellStyle name="40% - Accent1 5 2 2 4" xfId="15551" xr:uid="{343E3D62-59D7-4180-BFE0-2A9C689E48BC}"/>
    <cellStyle name="40% - Accent1 5 2 3" xfId="19771" xr:uid="{FAF8B371-F14C-448B-9D56-911D8EFF993F}"/>
    <cellStyle name="40% - Accent1 5 2 4" xfId="28206" xr:uid="{63EA3A49-528B-4B10-986D-9CD4CAA80506}"/>
    <cellStyle name="40% - Accent1 5 2 5" xfId="11333" xr:uid="{3C6BAE9F-2593-471F-B8A1-FBC46DDB5260}"/>
    <cellStyle name="40% - Accent1 5 3" xfId="4967" xr:uid="{00000000-0005-0000-0000-000051040000}"/>
    <cellStyle name="40% - Accent1 5 3 2" xfId="21844" xr:uid="{7787C140-A6AB-4F80-B7C2-86007DC30626}"/>
    <cellStyle name="40% - Accent1 5 3 3" xfId="30278" xr:uid="{4B29A5FB-CF95-488B-8B4E-682ED7EDD752}"/>
    <cellStyle name="40% - Accent1 5 3 4" xfId="13406" xr:uid="{B3200654-45AA-433C-B630-8309A8120641}"/>
    <cellStyle name="40% - Accent1 5 4" xfId="17626" xr:uid="{397F2559-1F1E-4CFC-92A2-AEF6D7362E66}"/>
    <cellStyle name="40% - Accent1 5 5" xfId="26061" xr:uid="{A3C27F30-FA46-49F4-8E05-7FB2E47364D7}"/>
    <cellStyle name="40% - Accent1 5 6" xfId="9188" xr:uid="{24D2005C-9587-4BAF-B640-CB2F7626A80D}"/>
    <cellStyle name="40% - Accent1 6" xfId="1071" xr:uid="{00000000-0005-0000-0000-000052040000}"/>
    <cellStyle name="40% - Accent1 6 2" xfId="3302" xr:uid="{00000000-0005-0000-0000-000053040000}"/>
    <cellStyle name="40% - Accent1 6 2 2" xfId="7525" xr:uid="{00000000-0005-0000-0000-000054040000}"/>
    <cellStyle name="40% - Accent1 6 2 2 2" xfId="24402" xr:uid="{C78B9C2A-8FA9-4E93-8279-AF0AEC9170C6}"/>
    <cellStyle name="40% - Accent1 6 2 2 3" xfId="32836" xr:uid="{7D42FE58-143B-4468-BF17-CBDD9D55CB07}"/>
    <cellStyle name="40% - Accent1 6 2 2 4" xfId="15964" xr:uid="{63FCDAD9-0CA1-40BB-ABD3-6211E7781527}"/>
    <cellStyle name="40% - Accent1 6 2 3" xfId="20184" xr:uid="{8DB0B913-A48F-462E-BCB6-3B2D3BC98FAA}"/>
    <cellStyle name="40% - Accent1 6 2 4" xfId="28619" xr:uid="{6F7D13DE-6AEB-41DA-8F6C-7D3DE1864B91}"/>
    <cellStyle name="40% - Accent1 6 2 5" xfId="11746" xr:uid="{A6257802-DA31-4FBF-AEB8-AF949AC7C24D}"/>
    <cellStyle name="40% - Accent1 6 3" xfId="5380" xr:uid="{00000000-0005-0000-0000-000055040000}"/>
    <cellStyle name="40% - Accent1 6 3 2" xfId="22257" xr:uid="{2029B758-D78D-4538-B1FB-E6E4F465A616}"/>
    <cellStyle name="40% - Accent1 6 3 3" xfId="30691" xr:uid="{0AECF6EA-E21A-457B-A6CA-B8FC3EB714A0}"/>
    <cellStyle name="40% - Accent1 6 3 4" xfId="13819" xr:uid="{370D1E8E-4B2A-41AC-BFB2-0AA52DC70063}"/>
    <cellStyle name="40% - Accent1 6 4" xfId="18039" xr:uid="{1F7DE068-2786-4B95-AD0E-6C345560306A}"/>
    <cellStyle name="40% - Accent1 6 5" xfId="26474" xr:uid="{4A6452C7-471A-44D9-9D9C-167494CA6AD6}"/>
    <cellStyle name="40% - Accent1 6 6" xfId="9601" xr:uid="{FCC29B1A-9FAF-4859-8215-8FFC3C16F797}"/>
    <cellStyle name="40% - Accent1 7" xfId="1485" xr:uid="{00000000-0005-0000-0000-000056040000}"/>
    <cellStyle name="40% - Accent1 7 2" xfId="3715" xr:uid="{00000000-0005-0000-0000-000057040000}"/>
    <cellStyle name="40% - Accent1 7 2 2" xfId="7938" xr:uid="{00000000-0005-0000-0000-000058040000}"/>
    <cellStyle name="40% - Accent1 7 2 2 2" xfId="24815" xr:uid="{95962A66-0D55-4199-BB04-B726CCB90048}"/>
    <cellStyle name="40% - Accent1 7 2 2 3" xfId="33249" xr:uid="{1B080A84-CBDB-4D43-ABC5-24BCA62F3625}"/>
    <cellStyle name="40% - Accent1 7 2 2 4" xfId="16377" xr:uid="{3BBD97A8-757F-43B4-949B-04798EA37D12}"/>
    <cellStyle name="40% - Accent1 7 2 3" xfId="20597" xr:uid="{280D5973-55FC-4BD5-9462-2C3CBB953A91}"/>
    <cellStyle name="40% - Accent1 7 2 4" xfId="29032" xr:uid="{E7DADEEB-EAD4-49A8-B284-9254A640FD3D}"/>
    <cellStyle name="40% - Accent1 7 2 5" xfId="12159" xr:uid="{654C391E-5342-4F24-A7C2-FDFB91CA8F62}"/>
    <cellStyle name="40% - Accent1 7 3" xfId="5793" xr:uid="{00000000-0005-0000-0000-000059040000}"/>
    <cellStyle name="40% - Accent1 7 3 2" xfId="22670" xr:uid="{D12F2CD2-3456-4C5F-B083-12CFFD35E51E}"/>
    <cellStyle name="40% - Accent1 7 3 3" xfId="31104" xr:uid="{1123B6A6-FB7A-4AF9-9CBF-0EB31ED6B327}"/>
    <cellStyle name="40% - Accent1 7 3 4" xfId="14232" xr:uid="{F8311BAF-F3E0-42BE-9CD6-CE87BAAD6389}"/>
    <cellStyle name="40% - Accent1 7 4" xfId="18452" xr:uid="{741DFB4E-6049-4AE8-805B-96F1E38268F2}"/>
    <cellStyle name="40% - Accent1 7 5" xfId="26887" xr:uid="{D720DD69-3AAC-41C1-AFFC-74E499200647}"/>
    <cellStyle name="40% - Accent1 7 6" xfId="10014" xr:uid="{66CE9C1B-C90A-4BF8-8E9D-5D821DDDDD24}"/>
    <cellStyle name="40% - Accent1 8" xfId="1899" xr:uid="{00000000-0005-0000-0000-00005A040000}"/>
    <cellStyle name="40% - Accent1 8 2" xfId="4128" xr:uid="{00000000-0005-0000-0000-00005B040000}"/>
    <cellStyle name="40% - Accent1 8 2 2" xfId="8351" xr:uid="{00000000-0005-0000-0000-00005C040000}"/>
    <cellStyle name="40% - Accent1 8 2 2 2" xfId="25228" xr:uid="{E3D132FE-38D2-4529-9ADA-D501B75E3842}"/>
    <cellStyle name="40% - Accent1 8 2 2 3" xfId="33662" xr:uid="{A59FBD31-18C4-41B0-93D4-0A1B079D3AF5}"/>
    <cellStyle name="40% - Accent1 8 2 2 4" xfId="16790" xr:uid="{A637E554-3D8B-4C58-89D6-539ECE14BDFA}"/>
    <cellStyle name="40% - Accent1 8 2 3" xfId="21010" xr:uid="{540DF978-F0BE-4EAE-8942-80B73212F5FA}"/>
    <cellStyle name="40% - Accent1 8 2 4" xfId="29445" xr:uid="{ADD04C96-10A9-47CD-BBB4-EFC39967F217}"/>
    <cellStyle name="40% - Accent1 8 2 5" xfId="12572" xr:uid="{7D29464A-F6E1-4E04-B7FE-34047ED93BE0}"/>
    <cellStyle name="40% - Accent1 8 3" xfId="6206" xr:uid="{00000000-0005-0000-0000-00005D040000}"/>
    <cellStyle name="40% - Accent1 8 3 2" xfId="23083" xr:uid="{A43A7A0C-EB0A-40E7-9D15-962B0908DCAB}"/>
    <cellStyle name="40% - Accent1 8 3 3" xfId="31517" xr:uid="{14933714-9017-46A6-853F-64F4FC116822}"/>
    <cellStyle name="40% - Accent1 8 3 4" xfId="14645" xr:uid="{4BA8F32C-9579-4EDC-9653-AF08DE125336}"/>
    <cellStyle name="40% - Accent1 8 4" xfId="18865" xr:uid="{0233B5FE-07DE-40E3-AEF0-DAA13D9EFFDE}"/>
    <cellStyle name="40% - Accent1 8 5" xfId="27300" xr:uid="{7AE65540-1E9F-46CE-939A-E53A382CA83C}"/>
    <cellStyle name="40% - Accent1 8 6" xfId="10427" xr:uid="{F678FDEC-6DD7-4D8C-845A-979FE3F75E97}"/>
    <cellStyle name="40% - Accent1 9" xfId="2312" xr:uid="{00000000-0005-0000-0000-00005E040000}"/>
    <cellStyle name="40% - Accent1 9 2" xfId="6619" xr:uid="{00000000-0005-0000-0000-00005F040000}"/>
    <cellStyle name="40% - Accent1 9 2 2" xfId="23496" xr:uid="{1FFD6B9C-EFBA-4BF5-B244-293B99598D63}"/>
    <cellStyle name="40% - Accent1 9 2 3" xfId="31930" xr:uid="{A7A0A5D9-22A8-441F-9079-7FA032020568}"/>
    <cellStyle name="40% - Accent1 9 2 4" xfId="15058" xr:uid="{789E1ED4-EA7A-46AE-B8F1-B1E23FD67651}"/>
    <cellStyle name="40% - Accent1 9 3" xfId="19278" xr:uid="{CD76763F-4469-47A1-84FC-E5D71B822BE5}"/>
    <cellStyle name="40% - Accent1 9 4" xfId="27713" xr:uid="{434AF999-D3F2-4B24-8D6E-2014C82E9BC0}"/>
    <cellStyle name="40% - Accent1 9 5" xfId="10840" xr:uid="{CC4296BC-CC7E-4927-9CA2-A8F107F015F3}"/>
    <cellStyle name="40% - Accent2" xfId="57" builtinId="35" customBuiltin="1"/>
    <cellStyle name="40% - Accent2 10" xfId="4561" xr:uid="{00000000-0005-0000-0000-000061040000}"/>
    <cellStyle name="40% - Accent2 10 2" xfId="21438" xr:uid="{B35D4749-3534-4B93-8B6B-B9B4A5018906}"/>
    <cellStyle name="40% - Accent2 10 3" xfId="29872" xr:uid="{1D0AC9C6-9F17-493C-A412-4FCA4C286A26}"/>
    <cellStyle name="40% - Accent2 10 4" xfId="13000" xr:uid="{BF29B575-D1E2-48BF-BF92-6FE42867B96F}"/>
    <cellStyle name="40% - Accent2 11" xfId="17220" xr:uid="{DB3F09C0-22EB-4D16-8C22-21EBE7D0B7DF}"/>
    <cellStyle name="40% - Accent2 12" xfId="25655" xr:uid="{57A11A7E-D7E8-4C74-A223-AE7380741891}"/>
    <cellStyle name="40% - Accent2 13" xfId="8782" xr:uid="{DD1D0F82-F1F9-4D58-B6B7-81F493EFE848}"/>
    <cellStyle name="40% - Accent2 2" xfId="58" xr:uid="{00000000-0005-0000-0000-000062040000}"/>
    <cellStyle name="40% - Accent2 2 10" xfId="17221" xr:uid="{EA625AC2-A386-443D-B04D-64EC3FE15E71}"/>
    <cellStyle name="40% - Accent2 2 11" xfId="25656" xr:uid="{7F7B8526-CA67-4370-A14A-FB19083B7E30}"/>
    <cellStyle name="40% - Accent2 2 12" xfId="8783" xr:uid="{207D3B6B-3D5F-4D52-ACCE-F7C60DF735C5}"/>
    <cellStyle name="40% - Accent2 2 2" xfId="59" xr:uid="{00000000-0005-0000-0000-000063040000}"/>
    <cellStyle name="40% - Accent2 2 2 10" xfId="25657" xr:uid="{00FA1582-77A9-48CD-AF1E-8648BF71CBF7}"/>
    <cellStyle name="40% - Accent2 2 2 11" xfId="8784" xr:uid="{CF2E85C0-0120-4E45-954E-6877239D1FE5}"/>
    <cellStyle name="40% - Accent2 2 2 2" xfId="60" xr:uid="{00000000-0005-0000-0000-000064040000}"/>
    <cellStyle name="40% - Accent2 2 2 2 10" xfId="8785" xr:uid="{96897550-8A91-4CF0-A53B-1188A96C220D}"/>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24000" xr:uid="{AC0EEF96-2ACF-4B63-BFA3-3FAB3A6218A9}"/>
    <cellStyle name="40% - Accent2 2 2 2 2 2 2 3" xfId="32434" xr:uid="{0AF8D8E9-202C-46A3-B500-3DC4188C98C4}"/>
    <cellStyle name="40% - Accent2 2 2 2 2 2 2 4" xfId="15562" xr:uid="{0BF86031-0421-4DD6-8249-C9D98A79DBA8}"/>
    <cellStyle name="40% - Accent2 2 2 2 2 2 3" xfId="19782" xr:uid="{6058F117-BCBC-4764-BB7C-778513FABAA9}"/>
    <cellStyle name="40% - Accent2 2 2 2 2 2 4" xfId="28217" xr:uid="{DED7E556-D4AF-4A7B-BF1B-6C59EE51A99D}"/>
    <cellStyle name="40% - Accent2 2 2 2 2 2 5" xfId="11344" xr:uid="{FF78F3FC-FBD6-4688-BF92-361FA918A16C}"/>
    <cellStyle name="40% - Accent2 2 2 2 2 3" xfId="4978" xr:uid="{00000000-0005-0000-0000-000068040000}"/>
    <cellStyle name="40% - Accent2 2 2 2 2 3 2" xfId="21855" xr:uid="{08CA518D-16F1-42D5-94BC-E43E8736BDCA}"/>
    <cellStyle name="40% - Accent2 2 2 2 2 3 3" xfId="30289" xr:uid="{B55306BB-873F-4762-BEC1-290B50F139A4}"/>
    <cellStyle name="40% - Accent2 2 2 2 2 3 4" xfId="13417" xr:uid="{83B78176-070C-45E7-963B-F20FF8B6ECF6}"/>
    <cellStyle name="40% - Accent2 2 2 2 2 4" xfId="17637" xr:uid="{A97C0677-00B1-434D-A6C0-4ED4D28FF235}"/>
    <cellStyle name="40% - Accent2 2 2 2 2 5" xfId="26072" xr:uid="{1A209DC6-414C-4534-B27D-86D71A47D8CA}"/>
    <cellStyle name="40% - Accent2 2 2 2 2 6" xfId="9199" xr:uid="{0E532146-B79B-4C83-8FBE-6E90AA7021EA}"/>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24413" xr:uid="{0773DC5E-0F10-4388-9DA7-1CC82DB6E899}"/>
    <cellStyle name="40% - Accent2 2 2 2 3 2 2 3" xfId="32847" xr:uid="{F95C0744-80C4-4C0B-9B37-23067469E1C1}"/>
    <cellStyle name="40% - Accent2 2 2 2 3 2 2 4" xfId="15975" xr:uid="{0B316390-A0ED-4973-B101-DCCAFB068273}"/>
    <cellStyle name="40% - Accent2 2 2 2 3 2 3" xfId="20195" xr:uid="{4C3CFAB3-ADDA-46CF-8B8D-E8815CCB854B}"/>
    <cellStyle name="40% - Accent2 2 2 2 3 2 4" xfId="28630" xr:uid="{3708EAB5-5D67-4901-A901-7C63A75A8BF9}"/>
    <cellStyle name="40% - Accent2 2 2 2 3 2 5" xfId="11757" xr:uid="{F65FB92F-A46E-45B1-B94B-F71F7BF6A553}"/>
    <cellStyle name="40% - Accent2 2 2 2 3 3" xfId="5391" xr:uid="{00000000-0005-0000-0000-00006C040000}"/>
    <cellStyle name="40% - Accent2 2 2 2 3 3 2" xfId="22268" xr:uid="{E4535CEC-981F-4150-B097-60121130F7F2}"/>
    <cellStyle name="40% - Accent2 2 2 2 3 3 3" xfId="30702" xr:uid="{C55A49F7-7D02-4D47-9BD5-D628C7BF424E}"/>
    <cellStyle name="40% - Accent2 2 2 2 3 3 4" xfId="13830" xr:uid="{B8A4DCAC-2F15-4AD5-AADF-4DD68A6BDC1F}"/>
    <cellStyle name="40% - Accent2 2 2 2 3 4" xfId="18050" xr:uid="{C46A944F-3A67-4823-8919-57F49C3939F4}"/>
    <cellStyle name="40% - Accent2 2 2 2 3 5" xfId="26485" xr:uid="{0B321A2C-17AD-4FAA-958F-2AF3EB21973C}"/>
    <cellStyle name="40% - Accent2 2 2 2 3 6" xfId="9612" xr:uid="{646D0A4D-9159-4264-8C61-1B508B8674E8}"/>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24826" xr:uid="{045DD0F9-F269-4DE6-95C7-B227B02CB1A1}"/>
    <cellStyle name="40% - Accent2 2 2 2 4 2 2 3" xfId="33260" xr:uid="{1E5D7650-0038-4FC9-8AE6-0360654C3046}"/>
    <cellStyle name="40% - Accent2 2 2 2 4 2 2 4" xfId="16388" xr:uid="{8CA8E200-A762-4A2F-B922-F8D09B114AB3}"/>
    <cellStyle name="40% - Accent2 2 2 2 4 2 3" xfId="20608" xr:uid="{73ACF396-A4CA-4659-A1DC-3C608493505C}"/>
    <cellStyle name="40% - Accent2 2 2 2 4 2 4" xfId="29043" xr:uid="{E13D1118-D442-4DC9-993D-EEEB59A80A04}"/>
    <cellStyle name="40% - Accent2 2 2 2 4 2 5" xfId="12170" xr:uid="{7447A0F7-10C2-4DEC-A2F1-DCD8E67A80BA}"/>
    <cellStyle name="40% - Accent2 2 2 2 4 3" xfId="5804" xr:uid="{00000000-0005-0000-0000-000070040000}"/>
    <cellStyle name="40% - Accent2 2 2 2 4 3 2" xfId="22681" xr:uid="{46D7565C-33DD-4E03-96A7-64019432021C}"/>
    <cellStyle name="40% - Accent2 2 2 2 4 3 3" xfId="31115" xr:uid="{2AAF6450-ADEF-4107-AA22-C084B76E4F9E}"/>
    <cellStyle name="40% - Accent2 2 2 2 4 3 4" xfId="14243" xr:uid="{418D5B1B-97EE-4C48-9D2C-8F04555893E8}"/>
    <cellStyle name="40% - Accent2 2 2 2 4 4" xfId="18463" xr:uid="{837F0A36-434F-4773-834B-F5860EFD5FC1}"/>
    <cellStyle name="40% - Accent2 2 2 2 4 5" xfId="26898" xr:uid="{7B1B79D4-BF02-41F1-B635-41157D7CB0D7}"/>
    <cellStyle name="40% - Accent2 2 2 2 4 6" xfId="10025" xr:uid="{64D33A9B-E694-4806-A5D6-ABA402326B99}"/>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25239" xr:uid="{1DA73E56-4FF1-4007-9346-B2A5233A568D}"/>
    <cellStyle name="40% - Accent2 2 2 2 5 2 2 3" xfId="33673" xr:uid="{065B97EF-DAAA-4DC2-800F-21F5C6A9A720}"/>
    <cellStyle name="40% - Accent2 2 2 2 5 2 2 4" xfId="16801" xr:uid="{9935CD64-FED1-4F63-93EA-9725BDE09365}"/>
    <cellStyle name="40% - Accent2 2 2 2 5 2 3" xfId="21021" xr:uid="{E56AF564-D68F-438A-8DA8-0DF9501FE7ED}"/>
    <cellStyle name="40% - Accent2 2 2 2 5 2 4" xfId="29456" xr:uid="{C8E20895-C0C6-4FE0-8C3E-E88ADB9AE810}"/>
    <cellStyle name="40% - Accent2 2 2 2 5 2 5" xfId="12583" xr:uid="{AB4B4692-9416-4769-A3CD-DCAB07F0405B}"/>
    <cellStyle name="40% - Accent2 2 2 2 5 3" xfId="6217" xr:uid="{00000000-0005-0000-0000-000074040000}"/>
    <cellStyle name="40% - Accent2 2 2 2 5 3 2" xfId="23094" xr:uid="{C791164E-26AD-4026-B3EE-FD4E3D0F8508}"/>
    <cellStyle name="40% - Accent2 2 2 2 5 3 3" xfId="31528" xr:uid="{F8C95B7A-A264-40A7-9151-992DAAB3D65F}"/>
    <cellStyle name="40% - Accent2 2 2 2 5 3 4" xfId="14656" xr:uid="{224C2325-93A4-4811-AABA-E8B1E536F28A}"/>
    <cellStyle name="40% - Accent2 2 2 2 5 4" xfId="18876" xr:uid="{69044305-50F4-4992-A92D-5A4B1AAA4DCF}"/>
    <cellStyle name="40% - Accent2 2 2 2 5 5" xfId="27311" xr:uid="{6BE96CDC-3F8B-4407-AC86-CA027A51C55B}"/>
    <cellStyle name="40% - Accent2 2 2 2 5 6" xfId="10438" xr:uid="{4B4331A0-5B7F-435F-926D-295E1D2396F4}"/>
    <cellStyle name="40% - Accent2 2 2 2 6" xfId="2323" xr:uid="{00000000-0005-0000-0000-000075040000}"/>
    <cellStyle name="40% - Accent2 2 2 2 6 2" xfId="6630" xr:uid="{00000000-0005-0000-0000-000076040000}"/>
    <cellStyle name="40% - Accent2 2 2 2 6 2 2" xfId="23507" xr:uid="{24909406-5EA6-4EE1-A1D5-943227A667EA}"/>
    <cellStyle name="40% - Accent2 2 2 2 6 2 3" xfId="31941" xr:uid="{6BFEE8E0-0948-4873-98E0-06C445AC8F2F}"/>
    <cellStyle name="40% - Accent2 2 2 2 6 2 4" xfId="15069" xr:uid="{5C3A9056-F080-48B9-B3A4-B38FA33DB7D4}"/>
    <cellStyle name="40% - Accent2 2 2 2 6 3" xfId="19289" xr:uid="{8B92426C-1ACA-4DBF-AD4F-61950515C419}"/>
    <cellStyle name="40% - Accent2 2 2 2 6 4" xfId="27724" xr:uid="{1299D013-9DC0-4EC6-9711-5494ED958F63}"/>
    <cellStyle name="40% - Accent2 2 2 2 6 5" xfId="10851" xr:uid="{92146886-4D61-4784-813A-85DDA8369EDB}"/>
    <cellStyle name="40% - Accent2 2 2 2 7" xfId="4564" xr:uid="{00000000-0005-0000-0000-000077040000}"/>
    <cellStyle name="40% - Accent2 2 2 2 7 2" xfId="21441" xr:uid="{D2BFFF7F-A378-47EC-BC19-542BBFEE87BE}"/>
    <cellStyle name="40% - Accent2 2 2 2 7 3" xfId="29875" xr:uid="{25BC677A-A677-4FD9-9C7A-3C73E6774809}"/>
    <cellStyle name="40% - Accent2 2 2 2 7 4" xfId="13003" xr:uid="{01C8DFFC-2076-4A1C-8097-FBD436B527DF}"/>
    <cellStyle name="40% - Accent2 2 2 2 8" xfId="17223" xr:uid="{5D417F4E-0784-48B2-BAEE-541E111DC115}"/>
    <cellStyle name="40% - Accent2 2 2 2 9" xfId="25658" xr:uid="{C2040910-A402-42C5-9780-C6A481B2948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23999" xr:uid="{B2072A8F-B7FD-4DAA-B8AB-64F51E8F9E6F}"/>
    <cellStyle name="40% - Accent2 2 2 3 2 2 3" xfId="32433" xr:uid="{9FA36AA1-C703-4E4A-8197-36DC4E42FA46}"/>
    <cellStyle name="40% - Accent2 2 2 3 2 2 4" xfId="15561" xr:uid="{6A82DCC8-BF4A-4ED2-922F-4D329405FC79}"/>
    <cellStyle name="40% - Accent2 2 2 3 2 3" xfId="19781" xr:uid="{2E9D5DF2-38ED-4072-A592-F2CCA4D16B5B}"/>
    <cellStyle name="40% - Accent2 2 2 3 2 4" xfId="28216" xr:uid="{E2A87406-EC28-4A53-8D5F-A87D3BBA9117}"/>
    <cellStyle name="40% - Accent2 2 2 3 2 5" xfId="11343" xr:uid="{F1AEDA78-DA8D-4CBD-99F0-E0F9C71571D5}"/>
    <cellStyle name="40% - Accent2 2 2 3 3" xfId="4977" xr:uid="{00000000-0005-0000-0000-00007B040000}"/>
    <cellStyle name="40% - Accent2 2 2 3 3 2" xfId="21854" xr:uid="{1BB856D1-A5E8-4F3F-BEA5-085BED0BDE5D}"/>
    <cellStyle name="40% - Accent2 2 2 3 3 3" xfId="30288" xr:uid="{4D164FCD-F6F9-4A9E-8F66-1C8CB06E1A60}"/>
    <cellStyle name="40% - Accent2 2 2 3 3 4" xfId="13416" xr:uid="{6E48AD97-A0B9-4F60-94B0-EE3336D2633D}"/>
    <cellStyle name="40% - Accent2 2 2 3 4" xfId="17636" xr:uid="{FDEAE3DB-3153-45DA-9055-0CAD99D8CCF4}"/>
    <cellStyle name="40% - Accent2 2 2 3 5" xfId="26071" xr:uid="{4BECC481-0DEF-4B04-BD29-88B184ABD210}"/>
    <cellStyle name="40% - Accent2 2 2 3 6" xfId="9198" xr:uid="{589AE913-FAEB-479A-93A2-21BE1046959F}"/>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24412" xr:uid="{F520C02B-7EEC-487A-A6E3-D643EAD54448}"/>
    <cellStyle name="40% - Accent2 2 2 4 2 2 3" xfId="32846" xr:uid="{298BE639-6FEA-4D40-93CE-35DF3061BE54}"/>
    <cellStyle name="40% - Accent2 2 2 4 2 2 4" xfId="15974" xr:uid="{31F9F370-D915-4ECF-8014-3B8FC50A1EF6}"/>
    <cellStyle name="40% - Accent2 2 2 4 2 3" xfId="20194" xr:uid="{18145DF7-2D8A-4581-9963-7CB37124FF43}"/>
    <cellStyle name="40% - Accent2 2 2 4 2 4" xfId="28629" xr:uid="{5D866089-807F-489F-B60F-45FA56CFFD15}"/>
    <cellStyle name="40% - Accent2 2 2 4 2 5" xfId="11756" xr:uid="{0A0C65C8-0DCC-45F9-8FA1-542FE5B169A8}"/>
    <cellStyle name="40% - Accent2 2 2 4 3" xfId="5390" xr:uid="{00000000-0005-0000-0000-00007F040000}"/>
    <cellStyle name="40% - Accent2 2 2 4 3 2" xfId="22267" xr:uid="{3B5C45B5-2DCD-46CF-856B-32036C4E7249}"/>
    <cellStyle name="40% - Accent2 2 2 4 3 3" xfId="30701" xr:uid="{C82A1B4A-0A7A-489A-AA3D-C556235D41CD}"/>
    <cellStyle name="40% - Accent2 2 2 4 3 4" xfId="13829" xr:uid="{EB9E3A17-E8E6-4587-BE83-770AF9C049A9}"/>
    <cellStyle name="40% - Accent2 2 2 4 4" xfId="18049" xr:uid="{CBA80E79-345B-40C2-A83A-5A5EF7E8A5E1}"/>
    <cellStyle name="40% - Accent2 2 2 4 5" xfId="26484" xr:uid="{C352A913-820A-4FC2-9FDB-ED701E8C5456}"/>
    <cellStyle name="40% - Accent2 2 2 4 6" xfId="9611" xr:uid="{5FF03FAA-BEDE-40FF-9850-4EF7AB4AE121}"/>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24825" xr:uid="{81F0240C-30EA-4B32-B021-7226338B90D2}"/>
    <cellStyle name="40% - Accent2 2 2 5 2 2 3" xfId="33259" xr:uid="{355A4065-B45E-4013-8721-9C8192D4CD41}"/>
    <cellStyle name="40% - Accent2 2 2 5 2 2 4" xfId="16387" xr:uid="{A0E92B09-C568-4BF4-BD60-9B63651D389B}"/>
    <cellStyle name="40% - Accent2 2 2 5 2 3" xfId="20607" xr:uid="{FD8D4F7D-70F9-4D91-BCC4-6FDBE291C112}"/>
    <cellStyle name="40% - Accent2 2 2 5 2 4" xfId="29042" xr:uid="{46F503BB-7D20-4278-95E6-FF04BBACEC8E}"/>
    <cellStyle name="40% - Accent2 2 2 5 2 5" xfId="12169" xr:uid="{09EC80B9-2095-472B-AC3E-C1154E2EC515}"/>
    <cellStyle name="40% - Accent2 2 2 5 3" xfId="5803" xr:uid="{00000000-0005-0000-0000-000083040000}"/>
    <cellStyle name="40% - Accent2 2 2 5 3 2" xfId="22680" xr:uid="{B0729B1A-08A7-488E-93FF-54E24BF9B3F2}"/>
    <cellStyle name="40% - Accent2 2 2 5 3 3" xfId="31114" xr:uid="{9811F2D6-6EF7-4FF6-AEFA-4E5B30D7A9E0}"/>
    <cellStyle name="40% - Accent2 2 2 5 3 4" xfId="14242" xr:uid="{8CCCFB18-0A1A-4529-8F04-CBECA7C2E98A}"/>
    <cellStyle name="40% - Accent2 2 2 5 4" xfId="18462" xr:uid="{DAA8AE78-ADC0-4CAB-83FE-DA631277905A}"/>
    <cellStyle name="40% - Accent2 2 2 5 5" xfId="26897" xr:uid="{017F8110-3A73-498A-B96D-41F1873306E2}"/>
    <cellStyle name="40% - Accent2 2 2 5 6" xfId="10024" xr:uid="{26D2EA98-7AC7-42CC-BAC1-9EB8D14C09CB}"/>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25238" xr:uid="{47611DC6-2455-45B4-AAE2-FC2911A214B9}"/>
    <cellStyle name="40% - Accent2 2 2 6 2 2 3" xfId="33672" xr:uid="{ECB27ED6-7F67-480E-8358-5E2F6B7EEB6B}"/>
    <cellStyle name="40% - Accent2 2 2 6 2 2 4" xfId="16800" xr:uid="{36A2BA7A-9CDB-48C8-A93E-164D5D917EB1}"/>
    <cellStyle name="40% - Accent2 2 2 6 2 3" xfId="21020" xr:uid="{423CF708-593E-47E5-9A81-1FD77C5D5AF8}"/>
    <cellStyle name="40% - Accent2 2 2 6 2 4" xfId="29455" xr:uid="{DD6EA502-0E59-4B05-B526-01DE84E7DA0E}"/>
    <cellStyle name="40% - Accent2 2 2 6 2 5" xfId="12582" xr:uid="{01063382-25AF-4E42-BA81-8C827DD8EB25}"/>
    <cellStyle name="40% - Accent2 2 2 6 3" xfId="6216" xr:uid="{00000000-0005-0000-0000-000087040000}"/>
    <cellStyle name="40% - Accent2 2 2 6 3 2" xfId="23093" xr:uid="{F4FD7622-6189-4565-92E9-C3073D86C6EF}"/>
    <cellStyle name="40% - Accent2 2 2 6 3 3" xfId="31527" xr:uid="{7AB39AC0-07E9-4275-A82A-47FE0E783731}"/>
    <cellStyle name="40% - Accent2 2 2 6 3 4" xfId="14655" xr:uid="{6430A07B-250A-4EEB-BD30-F86BBE4DFBE3}"/>
    <cellStyle name="40% - Accent2 2 2 6 4" xfId="18875" xr:uid="{9EA9E9C3-13FD-43AA-AC4A-19F7315A5339}"/>
    <cellStyle name="40% - Accent2 2 2 6 5" xfId="27310" xr:uid="{816A0ED8-AD3F-4543-AFD0-276A73B953A2}"/>
    <cellStyle name="40% - Accent2 2 2 6 6" xfId="10437" xr:uid="{5DF24D53-4816-415C-A4C6-E6BF3B07E572}"/>
    <cellStyle name="40% - Accent2 2 2 7" xfId="2322" xr:uid="{00000000-0005-0000-0000-000088040000}"/>
    <cellStyle name="40% - Accent2 2 2 7 2" xfId="6629" xr:uid="{00000000-0005-0000-0000-000089040000}"/>
    <cellStyle name="40% - Accent2 2 2 7 2 2" xfId="23506" xr:uid="{8CC121FA-85FF-412B-BDAD-72E9F116727D}"/>
    <cellStyle name="40% - Accent2 2 2 7 2 3" xfId="31940" xr:uid="{94981F26-10F6-42FD-BCC0-014BC7D5A492}"/>
    <cellStyle name="40% - Accent2 2 2 7 2 4" xfId="15068" xr:uid="{90998112-7697-4CA9-8F9A-2A0AEFA736F9}"/>
    <cellStyle name="40% - Accent2 2 2 7 3" xfId="19288" xr:uid="{8CBA9884-74D1-48BD-9381-AF74C9AD3019}"/>
    <cellStyle name="40% - Accent2 2 2 7 4" xfId="27723" xr:uid="{DEE17229-9F39-4069-B3B3-6964889512BA}"/>
    <cellStyle name="40% - Accent2 2 2 7 5" xfId="10850" xr:uid="{673B7A45-9321-4485-A86C-8B542E4C4727}"/>
    <cellStyle name="40% - Accent2 2 2 8" xfId="4563" xr:uid="{00000000-0005-0000-0000-00008A040000}"/>
    <cellStyle name="40% - Accent2 2 2 8 2" xfId="21440" xr:uid="{C9B96FC6-7D38-46E9-A41B-A299830EC96E}"/>
    <cellStyle name="40% - Accent2 2 2 8 3" xfId="29874" xr:uid="{93A77314-E0BA-4738-88DE-7684EF5AC735}"/>
    <cellStyle name="40% - Accent2 2 2 8 4" xfId="13002" xr:uid="{BD25432F-43D7-49D0-A42A-B71A65A29BEE}"/>
    <cellStyle name="40% - Accent2 2 2 9" xfId="17222" xr:uid="{5EA9DD6E-5E4D-4FA0-B492-0369A031E828}"/>
    <cellStyle name="40% - Accent2 2 3" xfId="61" xr:uid="{00000000-0005-0000-0000-00008B040000}"/>
    <cellStyle name="40% - Accent2 2 3 10" xfId="8786" xr:uid="{D24AA714-245B-4CDF-986D-8C71D0D8750A}"/>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24001" xr:uid="{C58598AA-7B21-4454-AB6A-3E8FAF957146}"/>
    <cellStyle name="40% - Accent2 2 3 2 2 2 3" xfId="32435" xr:uid="{6DF077FB-F6FD-4B86-8B44-2E60BA199D69}"/>
    <cellStyle name="40% - Accent2 2 3 2 2 2 4" xfId="15563" xr:uid="{2DC943A6-631E-404F-8DD6-3463E5F75294}"/>
    <cellStyle name="40% - Accent2 2 3 2 2 3" xfId="19783" xr:uid="{3278D9D1-2EA9-4CFE-87D0-C291D4259B2B}"/>
    <cellStyle name="40% - Accent2 2 3 2 2 4" xfId="28218" xr:uid="{845742F1-AC69-47D9-A919-3E07DA231CED}"/>
    <cellStyle name="40% - Accent2 2 3 2 2 5" xfId="11345" xr:uid="{5F88E7E9-2DCB-4A9E-9B8C-109CA5E67030}"/>
    <cellStyle name="40% - Accent2 2 3 2 3" xfId="4979" xr:uid="{00000000-0005-0000-0000-00008F040000}"/>
    <cellStyle name="40% - Accent2 2 3 2 3 2" xfId="21856" xr:uid="{1B94CF47-BA9D-49A3-86B6-5E5800002C1F}"/>
    <cellStyle name="40% - Accent2 2 3 2 3 3" xfId="30290" xr:uid="{B2C03FD1-3893-4223-B804-ED15552C955B}"/>
    <cellStyle name="40% - Accent2 2 3 2 3 4" xfId="13418" xr:uid="{34F410A7-6CF3-4280-B9CA-3BB37F9729C5}"/>
    <cellStyle name="40% - Accent2 2 3 2 4" xfId="17638" xr:uid="{AB46012E-957F-441A-9A46-63D44D75D0D9}"/>
    <cellStyle name="40% - Accent2 2 3 2 5" xfId="26073" xr:uid="{48845D6A-5554-4E18-BC74-FFB5E939D0A7}"/>
    <cellStyle name="40% - Accent2 2 3 2 6" xfId="9200" xr:uid="{2024C350-C9AE-4D13-8F86-3F8855C86054}"/>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24414" xr:uid="{65A42275-5718-4557-B018-C61E27D0188C}"/>
    <cellStyle name="40% - Accent2 2 3 3 2 2 3" xfId="32848" xr:uid="{8EF29028-01D7-4BDE-A245-BD0865640C96}"/>
    <cellStyle name="40% - Accent2 2 3 3 2 2 4" xfId="15976" xr:uid="{D0DE77C1-CC11-4690-8A50-5BCB190B6078}"/>
    <cellStyle name="40% - Accent2 2 3 3 2 3" xfId="20196" xr:uid="{5C7E8BB1-4C15-40FD-AD64-72AE5B9226BE}"/>
    <cellStyle name="40% - Accent2 2 3 3 2 4" xfId="28631" xr:uid="{DEA8150D-40EF-4E6A-A6A2-2B110BD742C1}"/>
    <cellStyle name="40% - Accent2 2 3 3 2 5" xfId="11758" xr:uid="{D9A8E232-706A-437C-930D-272E79AD4A91}"/>
    <cellStyle name="40% - Accent2 2 3 3 3" xfId="5392" xr:uid="{00000000-0005-0000-0000-000093040000}"/>
    <cellStyle name="40% - Accent2 2 3 3 3 2" xfId="22269" xr:uid="{7A5464D6-351B-4D60-833E-B9C094D712F6}"/>
    <cellStyle name="40% - Accent2 2 3 3 3 3" xfId="30703" xr:uid="{10BF6F5E-E4AB-407C-9387-0285370607AB}"/>
    <cellStyle name="40% - Accent2 2 3 3 3 4" xfId="13831" xr:uid="{7B5DEBBE-48D7-4B67-9BBE-49ABD4762C37}"/>
    <cellStyle name="40% - Accent2 2 3 3 4" xfId="18051" xr:uid="{003F6D4F-7923-408C-BDD3-9C8A6E131CF3}"/>
    <cellStyle name="40% - Accent2 2 3 3 5" xfId="26486" xr:uid="{8E663410-03AB-4A55-B9BF-FE7C5F2127C3}"/>
    <cellStyle name="40% - Accent2 2 3 3 6" xfId="9613" xr:uid="{39A7D856-22D7-412A-8D3D-4079B217A1E3}"/>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24827" xr:uid="{12A17EA2-4196-468C-9786-DDD6E8C21760}"/>
    <cellStyle name="40% - Accent2 2 3 4 2 2 3" xfId="33261" xr:uid="{E607FA3F-FC98-47B9-A375-F62BB2BBF03E}"/>
    <cellStyle name="40% - Accent2 2 3 4 2 2 4" xfId="16389" xr:uid="{D2CB1EB9-3A17-436E-8A98-F92619D2A165}"/>
    <cellStyle name="40% - Accent2 2 3 4 2 3" xfId="20609" xr:uid="{51B02C31-3905-483B-A8FC-E69F55CB8A49}"/>
    <cellStyle name="40% - Accent2 2 3 4 2 4" xfId="29044" xr:uid="{BB610BA7-6361-42A5-98E9-0D8EE734E822}"/>
    <cellStyle name="40% - Accent2 2 3 4 2 5" xfId="12171" xr:uid="{AEAF296A-3305-4015-B2E5-05AD4965A607}"/>
    <cellStyle name="40% - Accent2 2 3 4 3" xfId="5805" xr:uid="{00000000-0005-0000-0000-000097040000}"/>
    <cellStyle name="40% - Accent2 2 3 4 3 2" xfId="22682" xr:uid="{7B7D82BB-54C3-4236-8CE4-E0FCD6505419}"/>
    <cellStyle name="40% - Accent2 2 3 4 3 3" xfId="31116" xr:uid="{E8E676B1-E3C2-4D2D-92DF-3822FE79DED1}"/>
    <cellStyle name="40% - Accent2 2 3 4 3 4" xfId="14244" xr:uid="{9D21AA38-69D6-441C-ACC9-DC6C170DC179}"/>
    <cellStyle name="40% - Accent2 2 3 4 4" xfId="18464" xr:uid="{BA89AD6F-79AD-409C-AC74-28DFA0A558AB}"/>
    <cellStyle name="40% - Accent2 2 3 4 5" xfId="26899" xr:uid="{BD56F991-8D8D-4EBE-BF3B-D5D3D14ED9CF}"/>
    <cellStyle name="40% - Accent2 2 3 4 6" xfId="10026" xr:uid="{EC634CDB-239E-4E32-9FC3-506DD7C805A4}"/>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25240" xr:uid="{48D23DBE-46C3-4912-8F11-6784BB37D0FE}"/>
    <cellStyle name="40% - Accent2 2 3 5 2 2 3" xfId="33674" xr:uid="{3EDEE4D5-6319-438D-9392-9F60B6E0A8FF}"/>
    <cellStyle name="40% - Accent2 2 3 5 2 2 4" xfId="16802" xr:uid="{B1894DD5-AD85-44F6-8E07-B45F820FFF4A}"/>
    <cellStyle name="40% - Accent2 2 3 5 2 3" xfId="21022" xr:uid="{04C3B120-2FD7-4D78-84E2-62BCDCE98150}"/>
    <cellStyle name="40% - Accent2 2 3 5 2 4" xfId="29457" xr:uid="{BDC2FC68-4218-4612-A379-018A0813819A}"/>
    <cellStyle name="40% - Accent2 2 3 5 2 5" xfId="12584" xr:uid="{BB2FB998-BD53-4FD1-B11A-9161EC76BB74}"/>
    <cellStyle name="40% - Accent2 2 3 5 3" xfId="6218" xr:uid="{00000000-0005-0000-0000-00009B040000}"/>
    <cellStyle name="40% - Accent2 2 3 5 3 2" xfId="23095" xr:uid="{05453348-FDED-4A6A-A0FE-1A7D4FDEAB1A}"/>
    <cellStyle name="40% - Accent2 2 3 5 3 3" xfId="31529" xr:uid="{E5E9A8A4-A5A1-4A29-B058-772E5FB0FB8F}"/>
    <cellStyle name="40% - Accent2 2 3 5 3 4" xfId="14657" xr:uid="{08C27038-6CF0-4BD5-A5A7-1F91C53A4DA2}"/>
    <cellStyle name="40% - Accent2 2 3 5 4" xfId="18877" xr:uid="{889077C7-E0EB-40C3-BA22-98E6A18C6614}"/>
    <cellStyle name="40% - Accent2 2 3 5 5" xfId="27312" xr:uid="{B4961BC2-7B01-47C2-8345-4155408A2EF3}"/>
    <cellStyle name="40% - Accent2 2 3 5 6" xfId="10439" xr:uid="{87EC80F5-0618-49A9-9303-A833215B5ACC}"/>
    <cellStyle name="40% - Accent2 2 3 6" xfId="2324" xr:uid="{00000000-0005-0000-0000-00009C040000}"/>
    <cellStyle name="40% - Accent2 2 3 6 2" xfId="6631" xr:uid="{00000000-0005-0000-0000-00009D040000}"/>
    <cellStyle name="40% - Accent2 2 3 6 2 2" xfId="23508" xr:uid="{6370D1C7-4AFB-4B65-B469-8BFFC03EC953}"/>
    <cellStyle name="40% - Accent2 2 3 6 2 3" xfId="31942" xr:uid="{8DAD4BB1-312B-4AFD-BA59-43FC42AC33DF}"/>
    <cellStyle name="40% - Accent2 2 3 6 2 4" xfId="15070" xr:uid="{40AD1A62-88FF-45EE-A9A6-3E30213D0819}"/>
    <cellStyle name="40% - Accent2 2 3 6 3" xfId="19290" xr:uid="{28527361-55E8-4B13-852F-0EF1C2EC1CF6}"/>
    <cellStyle name="40% - Accent2 2 3 6 4" xfId="27725" xr:uid="{97582398-52AB-4E12-9F6C-E96B3FB27192}"/>
    <cellStyle name="40% - Accent2 2 3 6 5" xfId="10852" xr:uid="{F34DEAF5-F8FD-44E1-BE62-10601F39C6A1}"/>
    <cellStyle name="40% - Accent2 2 3 7" xfId="4565" xr:uid="{00000000-0005-0000-0000-00009E040000}"/>
    <cellStyle name="40% - Accent2 2 3 7 2" xfId="21442" xr:uid="{FB9196CA-6A9B-4A47-B8C4-35794E78FF19}"/>
    <cellStyle name="40% - Accent2 2 3 7 3" xfId="29876" xr:uid="{AE284C91-4AFC-4429-9EF2-FF6C115AF6D9}"/>
    <cellStyle name="40% - Accent2 2 3 7 4" xfId="13004" xr:uid="{A42F46C8-0407-4631-9EF2-704B3566FE69}"/>
    <cellStyle name="40% - Accent2 2 3 8" xfId="17224" xr:uid="{D9065240-8716-461D-9FA2-A8EA61297939}"/>
    <cellStyle name="40% - Accent2 2 3 9" xfId="25659" xr:uid="{5C579C72-A401-4CBE-8ED5-1A268AC0AFC9}"/>
    <cellStyle name="40% - Accent2 2 4" xfId="627" xr:uid="{00000000-0005-0000-0000-00009F040000}"/>
    <cellStyle name="40% - Accent2 2 4 2" xfId="2898" xr:uid="{00000000-0005-0000-0000-0000A0040000}"/>
    <cellStyle name="40% - Accent2 2 4 2 2" xfId="7121" xr:uid="{00000000-0005-0000-0000-0000A1040000}"/>
    <cellStyle name="40% - Accent2 2 4 2 2 2" xfId="23998" xr:uid="{4399B285-7DBE-41C4-9035-F2AC24C48087}"/>
    <cellStyle name="40% - Accent2 2 4 2 2 3" xfId="32432" xr:uid="{284DE0DA-6066-494A-910F-36A495FD6F54}"/>
    <cellStyle name="40% - Accent2 2 4 2 2 4" xfId="15560" xr:uid="{016B2D7C-E87D-4EDA-AD7C-D5D7450AFBDA}"/>
    <cellStyle name="40% - Accent2 2 4 2 3" xfId="19780" xr:uid="{4BEAEADF-2CD9-44A7-814F-E97EA5D65CEE}"/>
    <cellStyle name="40% - Accent2 2 4 2 4" xfId="28215" xr:uid="{3ADC345A-6145-47F6-AEFA-5484516E5131}"/>
    <cellStyle name="40% - Accent2 2 4 2 5" xfId="11342" xr:uid="{523C18ED-B086-4768-968F-D09BDF21A0C8}"/>
    <cellStyle name="40% - Accent2 2 4 3" xfId="4976" xr:uid="{00000000-0005-0000-0000-0000A2040000}"/>
    <cellStyle name="40% - Accent2 2 4 3 2" xfId="21853" xr:uid="{D98E3E75-AE04-44FA-B44F-4CEEE75A3AC6}"/>
    <cellStyle name="40% - Accent2 2 4 3 3" xfId="30287" xr:uid="{56ECF6F9-779F-4EED-870D-2EA1940CEED5}"/>
    <cellStyle name="40% - Accent2 2 4 3 4" xfId="13415" xr:uid="{3C214EB8-3A1A-4CA1-BD4B-4D089356C6FC}"/>
    <cellStyle name="40% - Accent2 2 4 4" xfId="17635" xr:uid="{E9486041-9695-462E-9C14-763C39B394DA}"/>
    <cellStyle name="40% - Accent2 2 4 5" xfId="26070" xr:uid="{822410C0-7CB5-4B8A-9B62-66405154EB6E}"/>
    <cellStyle name="40% - Accent2 2 4 6" xfId="9197" xr:uid="{06F2476F-49A5-42B9-B798-D2A84A0F8810}"/>
    <cellStyle name="40% - Accent2 2 5" xfId="1080" xr:uid="{00000000-0005-0000-0000-0000A3040000}"/>
    <cellStyle name="40% - Accent2 2 5 2" xfId="3311" xr:uid="{00000000-0005-0000-0000-0000A4040000}"/>
    <cellStyle name="40% - Accent2 2 5 2 2" xfId="7534" xr:uid="{00000000-0005-0000-0000-0000A5040000}"/>
    <cellStyle name="40% - Accent2 2 5 2 2 2" xfId="24411" xr:uid="{A81AA338-39DE-49F0-BEEA-C68A4E6D860A}"/>
    <cellStyle name="40% - Accent2 2 5 2 2 3" xfId="32845" xr:uid="{51795749-F900-4B37-BC68-D2EC55870BD1}"/>
    <cellStyle name="40% - Accent2 2 5 2 2 4" xfId="15973" xr:uid="{EE9B50AF-3E90-43FD-B00A-8DB0DC3DDE50}"/>
    <cellStyle name="40% - Accent2 2 5 2 3" xfId="20193" xr:uid="{47045C37-527D-4A54-AD4E-FEED48F34432}"/>
    <cellStyle name="40% - Accent2 2 5 2 4" xfId="28628" xr:uid="{E09E9BDA-55D7-4292-8C62-B188401B4CDD}"/>
    <cellStyle name="40% - Accent2 2 5 2 5" xfId="11755" xr:uid="{CE4EA71D-7DAA-4675-B807-8697AD72614E}"/>
    <cellStyle name="40% - Accent2 2 5 3" xfId="5389" xr:uid="{00000000-0005-0000-0000-0000A6040000}"/>
    <cellStyle name="40% - Accent2 2 5 3 2" xfId="22266" xr:uid="{214FE72F-2447-4562-837E-375D5736EA71}"/>
    <cellStyle name="40% - Accent2 2 5 3 3" xfId="30700" xr:uid="{8F3F0EBC-EED3-4A5C-A612-A4181D0F7E7C}"/>
    <cellStyle name="40% - Accent2 2 5 3 4" xfId="13828" xr:uid="{0E84EB95-62AE-4DB6-A86E-99C4E817F26C}"/>
    <cellStyle name="40% - Accent2 2 5 4" xfId="18048" xr:uid="{1EAB35A2-4F75-42F4-8C63-0F9DE6AFB491}"/>
    <cellStyle name="40% - Accent2 2 5 5" xfId="26483" xr:uid="{3E3969F2-A03C-4436-A1D3-8EF0625E5ED8}"/>
    <cellStyle name="40% - Accent2 2 5 6" xfId="9610" xr:uid="{FB387393-2459-41F9-A1A9-204E8346BCFE}"/>
    <cellStyle name="40% - Accent2 2 6" xfId="1494" xr:uid="{00000000-0005-0000-0000-0000A7040000}"/>
    <cellStyle name="40% - Accent2 2 6 2" xfId="3724" xr:uid="{00000000-0005-0000-0000-0000A8040000}"/>
    <cellStyle name="40% - Accent2 2 6 2 2" xfId="7947" xr:uid="{00000000-0005-0000-0000-0000A9040000}"/>
    <cellStyle name="40% - Accent2 2 6 2 2 2" xfId="24824" xr:uid="{37B529FC-F008-4729-91DF-7190DC89A630}"/>
    <cellStyle name="40% - Accent2 2 6 2 2 3" xfId="33258" xr:uid="{215C8B67-F50F-4F81-98EA-03A8EE6A8D95}"/>
    <cellStyle name="40% - Accent2 2 6 2 2 4" xfId="16386" xr:uid="{D5F9B3C3-54FF-4CEB-A36E-92B1A0601F1B}"/>
    <cellStyle name="40% - Accent2 2 6 2 3" xfId="20606" xr:uid="{2964D602-1DE7-4B8A-906D-AD3362800E25}"/>
    <cellStyle name="40% - Accent2 2 6 2 4" xfId="29041" xr:uid="{7988EE28-AA7A-4F1D-B23D-9B54075FE926}"/>
    <cellStyle name="40% - Accent2 2 6 2 5" xfId="12168" xr:uid="{331CE4B3-95C7-43A6-8B5C-A3970690D18B}"/>
    <cellStyle name="40% - Accent2 2 6 3" xfId="5802" xr:uid="{00000000-0005-0000-0000-0000AA040000}"/>
    <cellStyle name="40% - Accent2 2 6 3 2" xfId="22679" xr:uid="{9B626702-0E9D-46B9-8022-F0E2F5105A46}"/>
    <cellStyle name="40% - Accent2 2 6 3 3" xfId="31113" xr:uid="{5A14D05C-7C2E-4015-93B0-D59CC2AA2FEB}"/>
    <cellStyle name="40% - Accent2 2 6 3 4" xfId="14241" xr:uid="{16C1C1CF-5EC6-4D0B-A5B0-3490736481E0}"/>
    <cellStyle name="40% - Accent2 2 6 4" xfId="18461" xr:uid="{A77BEE0D-3736-476E-BDFD-EC20E4042AEF}"/>
    <cellStyle name="40% - Accent2 2 6 5" xfId="26896" xr:uid="{ACDB3A9C-8070-4896-A2D4-0C849A60EEEF}"/>
    <cellStyle name="40% - Accent2 2 6 6" xfId="10023" xr:uid="{D8A4B56B-9492-4514-96A4-EAE1F8E0F629}"/>
    <cellStyle name="40% - Accent2 2 7" xfId="1908" xr:uid="{00000000-0005-0000-0000-0000AB040000}"/>
    <cellStyle name="40% - Accent2 2 7 2" xfId="4137" xr:uid="{00000000-0005-0000-0000-0000AC040000}"/>
    <cellStyle name="40% - Accent2 2 7 2 2" xfId="8360" xr:uid="{00000000-0005-0000-0000-0000AD040000}"/>
    <cellStyle name="40% - Accent2 2 7 2 2 2" xfId="25237" xr:uid="{7DE8A731-4A45-4265-895D-BBCFF9BB62C8}"/>
    <cellStyle name="40% - Accent2 2 7 2 2 3" xfId="33671" xr:uid="{4DDCF010-0DA2-4A1A-82F7-F03C3B50AC5E}"/>
    <cellStyle name="40% - Accent2 2 7 2 2 4" xfId="16799" xr:uid="{D56C34AA-FC19-4B1E-903F-00A31572F9EB}"/>
    <cellStyle name="40% - Accent2 2 7 2 3" xfId="21019" xr:uid="{F977BAE3-AB9C-448C-A9ED-79DA9193E84D}"/>
    <cellStyle name="40% - Accent2 2 7 2 4" xfId="29454" xr:uid="{9282F453-5B3C-4CB5-B181-F530DD817C94}"/>
    <cellStyle name="40% - Accent2 2 7 2 5" xfId="12581" xr:uid="{3D9773A8-EAE9-4117-82C5-4E56831AFD3C}"/>
    <cellStyle name="40% - Accent2 2 7 3" xfId="6215" xr:uid="{00000000-0005-0000-0000-0000AE040000}"/>
    <cellStyle name="40% - Accent2 2 7 3 2" xfId="23092" xr:uid="{FDB1FE56-C3F8-4C02-9B72-621340B7033F}"/>
    <cellStyle name="40% - Accent2 2 7 3 3" xfId="31526" xr:uid="{59594188-E146-4158-9C31-AD74CA4D359F}"/>
    <cellStyle name="40% - Accent2 2 7 3 4" xfId="14654" xr:uid="{2C5DEA87-D500-482F-8657-CDAFC90EAE87}"/>
    <cellStyle name="40% - Accent2 2 7 4" xfId="18874" xr:uid="{1BE894C6-5A80-4CED-891E-FA0553109DD5}"/>
    <cellStyle name="40% - Accent2 2 7 5" xfId="27309" xr:uid="{E3112FE2-978C-490E-B24C-543C3EFCC04B}"/>
    <cellStyle name="40% - Accent2 2 7 6" xfId="10436" xr:uid="{13690F46-7DEC-4C6D-B642-CA9DA6FCC66F}"/>
    <cellStyle name="40% - Accent2 2 8" xfId="2321" xr:uid="{00000000-0005-0000-0000-0000AF040000}"/>
    <cellStyle name="40% - Accent2 2 8 2" xfId="6628" xr:uid="{00000000-0005-0000-0000-0000B0040000}"/>
    <cellStyle name="40% - Accent2 2 8 2 2" xfId="23505" xr:uid="{56381A77-362B-474E-B246-0EF559615AEA}"/>
    <cellStyle name="40% - Accent2 2 8 2 3" xfId="31939" xr:uid="{3B83AEB1-E730-48BE-88CA-5F2F8887E1CD}"/>
    <cellStyle name="40% - Accent2 2 8 2 4" xfId="15067" xr:uid="{83119E2D-5EC5-4EC8-8428-0CBF2DA86B2C}"/>
    <cellStyle name="40% - Accent2 2 8 3" xfId="19287" xr:uid="{5B6CC622-98CF-4610-90C9-30C32462F20C}"/>
    <cellStyle name="40% - Accent2 2 8 4" xfId="27722" xr:uid="{C188A6AF-5D88-4D24-A654-45381E238E81}"/>
    <cellStyle name="40% - Accent2 2 8 5" xfId="10849" xr:uid="{6AE31593-47A4-4C8A-8F46-116D4009D5D2}"/>
    <cellStyle name="40% - Accent2 2 9" xfId="4562" xr:uid="{00000000-0005-0000-0000-0000B1040000}"/>
    <cellStyle name="40% - Accent2 2 9 2" xfId="21439" xr:uid="{77D9686C-9E03-4DB2-8B49-53B1782CA7EE}"/>
    <cellStyle name="40% - Accent2 2 9 3" xfId="29873" xr:uid="{93835214-984A-41BE-9A7C-50C26A928A15}"/>
    <cellStyle name="40% - Accent2 2 9 4" xfId="13001" xr:uid="{4410F91B-AC92-4FDF-8A63-01E28601F856}"/>
    <cellStyle name="40% - Accent2 3" xfId="62" xr:uid="{00000000-0005-0000-0000-0000B2040000}"/>
    <cellStyle name="40% - Accent2 3 10" xfId="25660" xr:uid="{FA2BD0F1-3EC8-43DF-9494-6157F7D42445}"/>
    <cellStyle name="40% - Accent2 3 11" xfId="8787" xr:uid="{9139F14B-46D5-4D74-A045-97261506295A}"/>
    <cellStyle name="40% - Accent2 3 2" xfId="63" xr:uid="{00000000-0005-0000-0000-0000B3040000}"/>
    <cellStyle name="40% - Accent2 3 2 10" xfId="8788" xr:uid="{32D43512-59C6-4967-AE55-25B23A869A1D}"/>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24003" xr:uid="{E2329B69-234F-4C34-9BF5-20CE804E7912}"/>
    <cellStyle name="40% - Accent2 3 2 2 2 2 3" xfId="32437" xr:uid="{7D57E574-30BD-4C51-B266-C3BC9D2AC712}"/>
    <cellStyle name="40% - Accent2 3 2 2 2 2 4" xfId="15565" xr:uid="{70AC8EDC-00B2-401A-906F-9E6E6B7CA161}"/>
    <cellStyle name="40% - Accent2 3 2 2 2 3" xfId="19785" xr:uid="{D695C1A7-D626-4EF6-A37A-7DE44472E6CC}"/>
    <cellStyle name="40% - Accent2 3 2 2 2 4" xfId="28220" xr:uid="{84539194-3673-4848-90D5-78E4C66C553C}"/>
    <cellStyle name="40% - Accent2 3 2 2 2 5" xfId="11347" xr:uid="{1C41FB65-65AC-4CEE-8E9A-2443084DCBEA}"/>
    <cellStyle name="40% - Accent2 3 2 2 3" xfId="4981" xr:uid="{00000000-0005-0000-0000-0000B7040000}"/>
    <cellStyle name="40% - Accent2 3 2 2 3 2" xfId="21858" xr:uid="{83E01143-23CA-4E89-BD13-BC62B7F67EF2}"/>
    <cellStyle name="40% - Accent2 3 2 2 3 3" xfId="30292" xr:uid="{7BC05418-DBAE-483D-BCD2-B79373C69C8C}"/>
    <cellStyle name="40% - Accent2 3 2 2 3 4" xfId="13420" xr:uid="{59D4AFE0-1AF9-488C-BA05-E05788B38968}"/>
    <cellStyle name="40% - Accent2 3 2 2 4" xfId="17640" xr:uid="{3588C21C-BA8A-4B95-86E3-6BC120765706}"/>
    <cellStyle name="40% - Accent2 3 2 2 5" xfId="26075" xr:uid="{9420974F-CE80-483F-A134-1EB6F21EBF90}"/>
    <cellStyle name="40% - Accent2 3 2 2 6" xfId="9202" xr:uid="{B02C9FC6-55DF-4637-AC29-B94DEA0083ED}"/>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24416" xr:uid="{B6F6AA90-7F27-40C2-9AFF-0B6FB7796900}"/>
    <cellStyle name="40% - Accent2 3 2 3 2 2 3" xfId="32850" xr:uid="{7419683A-17CD-4E80-89FF-9BE14EC771A9}"/>
    <cellStyle name="40% - Accent2 3 2 3 2 2 4" xfId="15978" xr:uid="{78C28840-7212-479E-96E4-F935535E0990}"/>
    <cellStyle name="40% - Accent2 3 2 3 2 3" xfId="20198" xr:uid="{CD52ED0C-CCF5-4904-9F78-229FA400A241}"/>
    <cellStyle name="40% - Accent2 3 2 3 2 4" xfId="28633" xr:uid="{53B1392F-D25B-47AB-BC07-47981F56CC53}"/>
    <cellStyle name="40% - Accent2 3 2 3 2 5" xfId="11760" xr:uid="{A28A024C-96DD-41A4-8E40-4B7F43C41152}"/>
    <cellStyle name="40% - Accent2 3 2 3 3" xfId="5394" xr:uid="{00000000-0005-0000-0000-0000BB040000}"/>
    <cellStyle name="40% - Accent2 3 2 3 3 2" xfId="22271" xr:uid="{92325042-6C70-45A9-8405-4ECE077D2059}"/>
    <cellStyle name="40% - Accent2 3 2 3 3 3" xfId="30705" xr:uid="{B68DBAAE-5AE5-472B-8FBC-9F6D02560A10}"/>
    <cellStyle name="40% - Accent2 3 2 3 3 4" xfId="13833" xr:uid="{4E9F3AFC-8658-48E8-B3A0-E668C82AEFBC}"/>
    <cellStyle name="40% - Accent2 3 2 3 4" xfId="18053" xr:uid="{B63DEC5F-AA8F-42CE-9873-A9B37B05F18D}"/>
    <cellStyle name="40% - Accent2 3 2 3 5" xfId="26488" xr:uid="{1A7B49BB-B2BE-4241-AB47-5BC9C17DD4ED}"/>
    <cellStyle name="40% - Accent2 3 2 3 6" xfId="9615" xr:uid="{FFA817CA-6F98-4061-A174-02F2BDBCE9D8}"/>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24829" xr:uid="{E8200CE6-0CA7-4573-B2AB-7BD043DC978E}"/>
    <cellStyle name="40% - Accent2 3 2 4 2 2 3" xfId="33263" xr:uid="{9148608F-6EA8-42ED-AE47-787C68E0BF0D}"/>
    <cellStyle name="40% - Accent2 3 2 4 2 2 4" xfId="16391" xr:uid="{146E333F-D365-49B0-B6EC-6AE214349031}"/>
    <cellStyle name="40% - Accent2 3 2 4 2 3" xfId="20611" xr:uid="{1172C355-8213-48F6-9F09-6AF52034B2EC}"/>
    <cellStyle name="40% - Accent2 3 2 4 2 4" xfId="29046" xr:uid="{EADF9213-197A-4D10-8E7B-98FD40BF2580}"/>
    <cellStyle name="40% - Accent2 3 2 4 2 5" xfId="12173" xr:uid="{D7E95B28-7240-41B8-88AE-D2B0D10C3FD8}"/>
    <cellStyle name="40% - Accent2 3 2 4 3" xfId="5807" xr:uid="{00000000-0005-0000-0000-0000BF040000}"/>
    <cellStyle name="40% - Accent2 3 2 4 3 2" xfId="22684" xr:uid="{6352FD1E-FF64-469C-8CBD-2AB55CCA755D}"/>
    <cellStyle name="40% - Accent2 3 2 4 3 3" xfId="31118" xr:uid="{2FDA71D5-B9E9-4A7F-8187-2754C042D190}"/>
    <cellStyle name="40% - Accent2 3 2 4 3 4" xfId="14246" xr:uid="{7B7B005E-51BE-450A-A3EA-C5DA95244109}"/>
    <cellStyle name="40% - Accent2 3 2 4 4" xfId="18466" xr:uid="{320F69F7-8ABE-48DC-A9DA-94F485221C6E}"/>
    <cellStyle name="40% - Accent2 3 2 4 5" xfId="26901" xr:uid="{AF9B9699-2723-4250-9230-C2197478F1EC}"/>
    <cellStyle name="40% - Accent2 3 2 4 6" xfId="10028" xr:uid="{B9E6BD84-5B1B-4F15-8E0B-B90F1823DFAD}"/>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25242" xr:uid="{D85F3429-BBC2-48DD-A2E0-467E079F20F8}"/>
    <cellStyle name="40% - Accent2 3 2 5 2 2 3" xfId="33676" xr:uid="{4CF1F125-0BEE-4BA3-A616-35ADD09BFF24}"/>
    <cellStyle name="40% - Accent2 3 2 5 2 2 4" xfId="16804" xr:uid="{23CF5AC9-1C1F-4C00-A283-3BDAA0333ADD}"/>
    <cellStyle name="40% - Accent2 3 2 5 2 3" xfId="21024" xr:uid="{CB1347A6-410F-4CC2-94E6-9C3ADB47D95C}"/>
    <cellStyle name="40% - Accent2 3 2 5 2 4" xfId="29459" xr:uid="{945CE6D2-14B5-43F8-AE0A-D0A72BD4E364}"/>
    <cellStyle name="40% - Accent2 3 2 5 2 5" xfId="12586" xr:uid="{6352B7F2-16D5-443A-8716-8BFEB1A8323B}"/>
    <cellStyle name="40% - Accent2 3 2 5 3" xfId="6220" xr:uid="{00000000-0005-0000-0000-0000C3040000}"/>
    <cellStyle name="40% - Accent2 3 2 5 3 2" xfId="23097" xr:uid="{8426CE44-BA35-49B1-9EF6-3FF963008E01}"/>
    <cellStyle name="40% - Accent2 3 2 5 3 3" xfId="31531" xr:uid="{4D3A8E8D-A624-472A-A587-A9574E89DE89}"/>
    <cellStyle name="40% - Accent2 3 2 5 3 4" xfId="14659" xr:uid="{167E8881-B6EC-40BF-A7E8-9F8AEC780C99}"/>
    <cellStyle name="40% - Accent2 3 2 5 4" xfId="18879" xr:uid="{387B44D6-9A7A-4590-AB4D-7C3C5A4A7D8F}"/>
    <cellStyle name="40% - Accent2 3 2 5 5" xfId="27314" xr:uid="{74E3A1D1-B4A4-4A5D-95D1-789B8B4AA7C2}"/>
    <cellStyle name="40% - Accent2 3 2 5 6" xfId="10441" xr:uid="{BCD37527-1123-4AB5-93C0-D38C71105C15}"/>
    <cellStyle name="40% - Accent2 3 2 6" xfId="2326" xr:uid="{00000000-0005-0000-0000-0000C4040000}"/>
    <cellStyle name="40% - Accent2 3 2 6 2" xfId="6633" xr:uid="{00000000-0005-0000-0000-0000C5040000}"/>
    <cellStyle name="40% - Accent2 3 2 6 2 2" xfId="23510" xr:uid="{17FB7FB2-A25E-48B9-89B3-B8912686E3AC}"/>
    <cellStyle name="40% - Accent2 3 2 6 2 3" xfId="31944" xr:uid="{F2D55204-F868-4210-ADC7-4A8E1F2EE372}"/>
    <cellStyle name="40% - Accent2 3 2 6 2 4" xfId="15072" xr:uid="{84638DD5-DCBE-4106-96AC-158F71BD099A}"/>
    <cellStyle name="40% - Accent2 3 2 6 3" xfId="19292" xr:uid="{B466EC35-0BC5-4ECA-9B6A-E6590CEB666A}"/>
    <cellStyle name="40% - Accent2 3 2 6 4" xfId="27727" xr:uid="{D53FBFF0-8EA6-4310-AB1A-8D1E32F4835A}"/>
    <cellStyle name="40% - Accent2 3 2 6 5" xfId="10854" xr:uid="{6B3D1912-C93D-4E1F-917A-6FAD2D1BB800}"/>
    <cellStyle name="40% - Accent2 3 2 7" xfId="4567" xr:uid="{00000000-0005-0000-0000-0000C6040000}"/>
    <cellStyle name="40% - Accent2 3 2 7 2" xfId="21444" xr:uid="{2ACC58DD-1E0F-43ED-B27F-7DF8891DFCDD}"/>
    <cellStyle name="40% - Accent2 3 2 7 3" xfId="29878" xr:uid="{EE731654-4E44-4473-8481-7C84A6EEFDE9}"/>
    <cellStyle name="40% - Accent2 3 2 7 4" xfId="13006" xr:uid="{4B325543-C455-4F97-81D1-29A9642F24C2}"/>
    <cellStyle name="40% - Accent2 3 2 8" xfId="17226" xr:uid="{E7C03914-42EF-4D5F-9E76-FEFF7A7C05AD}"/>
    <cellStyle name="40% - Accent2 3 2 9" xfId="25661" xr:uid="{33D404DF-F161-49DF-9399-1502D29F5CE0}"/>
    <cellStyle name="40% - Accent2 3 3" xfId="631" xr:uid="{00000000-0005-0000-0000-0000C7040000}"/>
    <cellStyle name="40% - Accent2 3 3 2" xfId="2902" xr:uid="{00000000-0005-0000-0000-0000C8040000}"/>
    <cellStyle name="40% - Accent2 3 3 2 2" xfId="7125" xr:uid="{00000000-0005-0000-0000-0000C9040000}"/>
    <cellStyle name="40% - Accent2 3 3 2 2 2" xfId="24002" xr:uid="{9C21ECD6-C23E-4C01-BAF9-17C42D2D92D9}"/>
    <cellStyle name="40% - Accent2 3 3 2 2 3" xfId="32436" xr:uid="{2AF38ECB-6746-4537-9868-2AB28A1C5734}"/>
    <cellStyle name="40% - Accent2 3 3 2 2 4" xfId="15564" xr:uid="{CF793ADD-4186-4ACD-9843-9531F45EC3E6}"/>
    <cellStyle name="40% - Accent2 3 3 2 3" xfId="19784" xr:uid="{3FCAE695-B5AC-489C-8E29-7A379EBD3FC4}"/>
    <cellStyle name="40% - Accent2 3 3 2 4" xfId="28219" xr:uid="{F26DAD6D-B367-44EF-BB94-9B0E87C639B1}"/>
    <cellStyle name="40% - Accent2 3 3 2 5" xfId="11346" xr:uid="{17C2B2CA-4086-4223-927E-6EF569539FF5}"/>
    <cellStyle name="40% - Accent2 3 3 3" xfId="4980" xr:uid="{00000000-0005-0000-0000-0000CA040000}"/>
    <cellStyle name="40% - Accent2 3 3 3 2" xfId="21857" xr:uid="{A26F2918-8EC1-4455-9D33-FB9C4D7937E7}"/>
    <cellStyle name="40% - Accent2 3 3 3 3" xfId="30291" xr:uid="{1F0514B4-A64C-411C-B648-64112616FDB1}"/>
    <cellStyle name="40% - Accent2 3 3 3 4" xfId="13419" xr:uid="{A1016625-68A6-49DC-908A-800BC1C21350}"/>
    <cellStyle name="40% - Accent2 3 3 4" xfId="17639" xr:uid="{DD497F9A-9AEA-4C98-BFFA-BF97AACA98C8}"/>
    <cellStyle name="40% - Accent2 3 3 5" xfId="26074" xr:uid="{CFF00FB4-809E-4418-A82B-11FB62A52B8B}"/>
    <cellStyle name="40% - Accent2 3 3 6" xfId="9201" xr:uid="{EDACF483-C660-4091-BC12-661086E31E98}"/>
    <cellStyle name="40% - Accent2 3 4" xfId="1084" xr:uid="{00000000-0005-0000-0000-0000CB040000}"/>
    <cellStyle name="40% - Accent2 3 4 2" xfId="3315" xr:uid="{00000000-0005-0000-0000-0000CC040000}"/>
    <cellStyle name="40% - Accent2 3 4 2 2" xfId="7538" xr:uid="{00000000-0005-0000-0000-0000CD040000}"/>
    <cellStyle name="40% - Accent2 3 4 2 2 2" xfId="24415" xr:uid="{BBD8ACDB-0391-444E-8E1F-6D51FDE856BB}"/>
    <cellStyle name="40% - Accent2 3 4 2 2 3" xfId="32849" xr:uid="{5AAD67DA-98C4-41EA-9607-FC705F738007}"/>
    <cellStyle name="40% - Accent2 3 4 2 2 4" xfId="15977" xr:uid="{201C7BF2-DF76-458B-B390-32E04CDF6432}"/>
    <cellStyle name="40% - Accent2 3 4 2 3" xfId="20197" xr:uid="{74957DE6-1CF4-46D2-B4DF-FF323768B43B}"/>
    <cellStyle name="40% - Accent2 3 4 2 4" xfId="28632" xr:uid="{BF79E9AB-1FE0-4768-B7E5-2A1D902368DD}"/>
    <cellStyle name="40% - Accent2 3 4 2 5" xfId="11759" xr:uid="{8B4742E6-FF2A-4FE6-82FB-F604A881E358}"/>
    <cellStyle name="40% - Accent2 3 4 3" xfId="5393" xr:uid="{00000000-0005-0000-0000-0000CE040000}"/>
    <cellStyle name="40% - Accent2 3 4 3 2" xfId="22270" xr:uid="{4DE4F237-A736-44FC-95C5-B3249C953C68}"/>
    <cellStyle name="40% - Accent2 3 4 3 3" xfId="30704" xr:uid="{FA295707-2FEE-49D3-B229-3E2976A928D9}"/>
    <cellStyle name="40% - Accent2 3 4 3 4" xfId="13832" xr:uid="{26BA2B48-0336-467F-9E65-EBCAEBFF5DC2}"/>
    <cellStyle name="40% - Accent2 3 4 4" xfId="18052" xr:uid="{5DDA5F42-FECB-4351-9151-3893CF5E07C6}"/>
    <cellStyle name="40% - Accent2 3 4 5" xfId="26487" xr:uid="{2E6DE93A-7499-40D7-8C83-4F05CF3D4752}"/>
    <cellStyle name="40% - Accent2 3 4 6" xfId="9614" xr:uid="{63C27717-1D22-435E-A7DA-3ECA9C030C1B}"/>
    <cellStyle name="40% - Accent2 3 5" xfId="1498" xr:uid="{00000000-0005-0000-0000-0000CF040000}"/>
    <cellStyle name="40% - Accent2 3 5 2" xfId="3728" xr:uid="{00000000-0005-0000-0000-0000D0040000}"/>
    <cellStyle name="40% - Accent2 3 5 2 2" xfId="7951" xr:uid="{00000000-0005-0000-0000-0000D1040000}"/>
    <cellStyle name="40% - Accent2 3 5 2 2 2" xfId="24828" xr:uid="{6A4505CB-2B6E-4F21-9315-1B3FC43FE634}"/>
    <cellStyle name="40% - Accent2 3 5 2 2 3" xfId="33262" xr:uid="{C8D29E76-E869-4303-8816-EEB64E4AC20D}"/>
    <cellStyle name="40% - Accent2 3 5 2 2 4" xfId="16390" xr:uid="{AB39D043-EAC4-45AB-8210-13A5427BFCEC}"/>
    <cellStyle name="40% - Accent2 3 5 2 3" xfId="20610" xr:uid="{AA488C16-29E5-42FD-965A-373F603A59D8}"/>
    <cellStyle name="40% - Accent2 3 5 2 4" xfId="29045" xr:uid="{B49A241B-B91A-47CE-9EC1-4FF605A17AF4}"/>
    <cellStyle name="40% - Accent2 3 5 2 5" xfId="12172" xr:uid="{CA2F18CE-5695-45D3-BED2-A25A7DC045E1}"/>
    <cellStyle name="40% - Accent2 3 5 3" xfId="5806" xr:uid="{00000000-0005-0000-0000-0000D2040000}"/>
    <cellStyle name="40% - Accent2 3 5 3 2" xfId="22683" xr:uid="{49B0A4EA-3B3E-4960-8DDC-E63D5EB82390}"/>
    <cellStyle name="40% - Accent2 3 5 3 3" xfId="31117" xr:uid="{06F8DAF5-F94C-4759-8357-CCEAE7D952A2}"/>
    <cellStyle name="40% - Accent2 3 5 3 4" xfId="14245" xr:uid="{14C3E793-51C3-4807-A3AF-546062EC3777}"/>
    <cellStyle name="40% - Accent2 3 5 4" xfId="18465" xr:uid="{1901CDA8-5908-466D-B33F-9EE90FA34B35}"/>
    <cellStyle name="40% - Accent2 3 5 5" xfId="26900" xr:uid="{BC0EF687-9B00-46DA-870F-AA0313AAAD46}"/>
    <cellStyle name="40% - Accent2 3 5 6" xfId="10027" xr:uid="{6FF129D5-F7F9-4FDF-8504-899C9E69D566}"/>
    <cellStyle name="40% - Accent2 3 6" xfId="1912" xr:uid="{00000000-0005-0000-0000-0000D3040000}"/>
    <cellStyle name="40% - Accent2 3 6 2" xfId="4141" xr:uid="{00000000-0005-0000-0000-0000D4040000}"/>
    <cellStyle name="40% - Accent2 3 6 2 2" xfId="8364" xr:uid="{00000000-0005-0000-0000-0000D5040000}"/>
    <cellStyle name="40% - Accent2 3 6 2 2 2" xfId="25241" xr:uid="{05F260D6-9428-4171-8477-2A472BF1E60D}"/>
    <cellStyle name="40% - Accent2 3 6 2 2 3" xfId="33675" xr:uid="{AA4CBDF4-4BF1-4D78-A4D1-421430F111CF}"/>
    <cellStyle name="40% - Accent2 3 6 2 2 4" xfId="16803" xr:uid="{56D46796-88E0-4251-A9EF-9194FE9F4732}"/>
    <cellStyle name="40% - Accent2 3 6 2 3" xfId="21023" xr:uid="{BF5C7939-18C4-47FB-9D93-5C858B18DF9A}"/>
    <cellStyle name="40% - Accent2 3 6 2 4" xfId="29458" xr:uid="{AE5C967A-334D-4F3B-A21D-CECBB811C2B4}"/>
    <cellStyle name="40% - Accent2 3 6 2 5" xfId="12585" xr:uid="{AEF73C22-158A-4046-8979-D3784D122137}"/>
    <cellStyle name="40% - Accent2 3 6 3" xfId="6219" xr:uid="{00000000-0005-0000-0000-0000D6040000}"/>
    <cellStyle name="40% - Accent2 3 6 3 2" xfId="23096" xr:uid="{8DBA58FB-F401-40BA-AD2E-BFE37F1992B1}"/>
    <cellStyle name="40% - Accent2 3 6 3 3" xfId="31530" xr:uid="{4277C24C-BA0B-4996-85F4-9BA1D4C9EDD5}"/>
    <cellStyle name="40% - Accent2 3 6 3 4" xfId="14658" xr:uid="{0281B47B-178C-45D4-9121-CF2E5D3F8B60}"/>
    <cellStyle name="40% - Accent2 3 6 4" xfId="18878" xr:uid="{5B86EC2B-5BE2-4834-ACFA-4C8425475107}"/>
    <cellStyle name="40% - Accent2 3 6 5" xfId="27313" xr:uid="{04FC33F3-5FBC-42D5-96D8-0C9728577715}"/>
    <cellStyle name="40% - Accent2 3 6 6" xfId="10440" xr:uid="{5636EE59-6730-49D3-80B8-C63BEE82CBA8}"/>
    <cellStyle name="40% - Accent2 3 7" xfId="2325" xr:uid="{00000000-0005-0000-0000-0000D7040000}"/>
    <cellStyle name="40% - Accent2 3 7 2" xfId="6632" xr:uid="{00000000-0005-0000-0000-0000D8040000}"/>
    <cellStyle name="40% - Accent2 3 7 2 2" xfId="23509" xr:uid="{002D1F78-1416-4F11-A99C-2DEE5ADEDB29}"/>
    <cellStyle name="40% - Accent2 3 7 2 3" xfId="31943" xr:uid="{45ABA71B-3044-4D26-840B-26F7D2022A69}"/>
    <cellStyle name="40% - Accent2 3 7 2 4" xfId="15071" xr:uid="{37D8F9AE-2F38-4329-BEDD-8594327D3837}"/>
    <cellStyle name="40% - Accent2 3 7 3" xfId="19291" xr:uid="{79624EF9-4A2B-40CE-BB82-2DF35E927D5C}"/>
    <cellStyle name="40% - Accent2 3 7 4" xfId="27726" xr:uid="{7449BEDB-9F4F-442D-A5A2-677C3457561A}"/>
    <cellStyle name="40% - Accent2 3 7 5" xfId="10853" xr:uid="{01C786B9-7FBA-4019-A37B-DA73F0C3ADD5}"/>
    <cellStyle name="40% - Accent2 3 8" xfId="4566" xr:uid="{00000000-0005-0000-0000-0000D9040000}"/>
    <cellStyle name="40% - Accent2 3 8 2" xfId="21443" xr:uid="{965DD3CA-E6A3-4E22-961D-0BCE7FBE49E7}"/>
    <cellStyle name="40% - Accent2 3 8 3" xfId="29877" xr:uid="{4148FAFF-2EAC-4EF7-A6EB-06D4AC7C3C83}"/>
    <cellStyle name="40% - Accent2 3 8 4" xfId="13005" xr:uid="{9DD05562-7B67-467E-B848-B72FAF837E6A}"/>
    <cellStyle name="40% - Accent2 3 9" xfId="17225" xr:uid="{0F14D0C8-D362-4AC5-9E2C-581F62D647A3}"/>
    <cellStyle name="40% - Accent2 4" xfId="64" xr:uid="{00000000-0005-0000-0000-0000DA040000}"/>
    <cellStyle name="40% - Accent2 4 10" xfId="8789" xr:uid="{0E8D203D-B245-4B68-B8C5-9331FF11B204}"/>
    <cellStyle name="40% - Accent2 4 2" xfId="633" xr:uid="{00000000-0005-0000-0000-0000DB040000}"/>
    <cellStyle name="40% - Accent2 4 2 2" xfId="2904" xr:uid="{00000000-0005-0000-0000-0000DC040000}"/>
    <cellStyle name="40% - Accent2 4 2 2 2" xfId="7127" xr:uid="{00000000-0005-0000-0000-0000DD040000}"/>
    <cellStyle name="40% - Accent2 4 2 2 2 2" xfId="24004" xr:uid="{41BD5FDB-1351-4356-8251-1EB991DAED20}"/>
    <cellStyle name="40% - Accent2 4 2 2 2 3" xfId="32438" xr:uid="{08DA0664-F233-466D-9B43-F5E4B852B2F2}"/>
    <cellStyle name="40% - Accent2 4 2 2 2 4" xfId="15566" xr:uid="{2D0CCF3C-3A67-40F5-9143-97023B0A236E}"/>
    <cellStyle name="40% - Accent2 4 2 2 3" xfId="19786" xr:uid="{13DB698B-E2AB-4C0A-846B-139CBCD190B6}"/>
    <cellStyle name="40% - Accent2 4 2 2 4" xfId="28221" xr:uid="{7712642D-9F3F-4D3D-A4B0-4917C18535BF}"/>
    <cellStyle name="40% - Accent2 4 2 2 5" xfId="11348" xr:uid="{1C89AC8F-7389-449F-822E-96CE735C42D9}"/>
    <cellStyle name="40% - Accent2 4 2 3" xfId="4982" xr:uid="{00000000-0005-0000-0000-0000DE040000}"/>
    <cellStyle name="40% - Accent2 4 2 3 2" xfId="21859" xr:uid="{C4FBC62B-EE19-4EBC-BB8A-B5560A4DCCC2}"/>
    <cellStyle name="40% - Accent2 4 2 3 3" xfId="30293" xr:uid="{10C7A5C1-BED1-4794-9297-395CFB269CEE}"/>
    <cellStyle name="40% - Accent2 4 2 3 4" xfId="13421" xr:uid="{50806A04-8EA0-424F-B3D2-1A5FD28A211F}"/>
    <cellStyle name="40% - Accent2 4 2 4" xfId="17641" xr:uid="{A4472DE7-D048-4485-B5A9-31063FB56D7A}"/>
    <cellStyle name="40% - Accent2 4 2 5" xfId="26076" xr:uid="{C7EA6823-6FEC-4EF2-B9E8-3A884F90C0B8}"/>
    <cellStyle name="40% - Accent2 4 2 6" xfId="9203" xr:uid="{70E8C45E-BEA0-4E86-B77E-90FDF636F057}"/>
    <cellStyle name="40% - Accent2 4 3" xfId="1086" xr:uid="{00000000-0005-0000-0000-0000DF040000}"/>
    <cellStyle name="40% - Accent2 4 3 2" xfId="3317" xr:uid="{00000000-0005-0000-0000-0000E0040000}"/>
    <cellStyle name="40% - Accent2 4 3 2 2" xfId="7540" xr:uid="{00000000-0005-0000-0000-0000E1040000}"/>
    <cellStyle name="40% - Accent2 4 3 2 2 2" xfId="24417" xr:uid="{19EFFA3F-AC7C-4053-B1DE-4373D49FD3E8}"/>
    <cellStyle name="40% - Accent2 4 3 2 2 3" xfId="32851" xr:uid="{DD30D8EF-7EEB-4736-AFA7-D97E843F1F60}"/>
    <cellStyle name="40% - Accent2 4 3 2 2 4" xfId="15979" xr:uid="{CC3A795D-BE3E-47A5-86AA-6C0FF8A69297}"/>
    <cellStyle name="40% - Accent2 4 3 2 3" xfId="20199" xr:uid="{A2F38BB9-76C7-4C55-B500-9EB166D03A97}"/>
    <cellStyle name="40% - Accent2 4 3 2 4" xfId="28634" xr:uid="{D425E977-2E09-43D5-A039-C6EEDC9597B4}"/>
    <cellStyle name="40% - Accent2 4 3 2 5" xfId="11761" xr:uid="{6DA6CBCD-E88E-4B3B-B88D-5D48B42FDC27}"/>
    <cellStyle name="40% - Accent2 4 3 3" xfId="5395" xr:uid="{00000000-0005-0000-0000-0000E2040000}"/>
    <cellStyle name="40% - Accent2 4 3 3 2" xfId="22272" xr:uid="{3897D0D4-4057-4998-96CE-831D9122292F}"/>
    <cellStyle name="40% - Accent2 4 3 3 3" xfId="30706" xr:uid="{B67D77C8-9636-40A9-B7BA-B657EF1BBCD0}"/>
    <cellStyle name="40% - Accent2 4 3 3 4" xfId="13834" xr:uid="{852C2272-E6FD-4308-8E82-68C73F5DBACD}"/>
    <cellStyle name="40% - Accent2 4 3 4" xfId="18054" xr:uid="{145022CD-4CED-4583-B9E4-49124B6078DE}"/>
    <cellStyle name="40% - Accent2 4 3 5" xfId="26489" xr:uid="{A07D97D1-60FB-4374-9DED-AE36917F74F3}"/>
    <cellStyle name="40% - Accent2 4 3 6" xfId="9616" xr:uid="{A69F7477-2E72-472C-B699-CF3667CC0F73}"/>
    <cellStyle name="40% - Accent2 4 4" xfId="1500" xr:uid="{00000000-0005-0000-0000-0000E3040000}"/>
    <cellStyle name="40% - Accent2 4 4 2" xfId="3730" xr:uid="{00000000-0005-0000-0000-0000E4040000}"/>
    <cellStyle name="40% - Accent2 4 4 2 2" xfId="7953" xr:uid="{00000000-0005-0000-0000-0000E5040000}"/>
    <cellStyle name="40% - Accent2 4 4 2 2 2" xfId="24830" xr:uid="{B13EF8A4-D0D4-4517-8A67-FE17E0BC336C}"/>
    <cellStyle name="40% - Accent2 4 4 2 2 3" xfId="33264" xr:uid="{9D596881-E8F5-4782-A42D-3697AF0B31E7}"/>
    <cellStyle name="40% - Accent2 4 4 2 2 4" xfId="16392" xr:uid="{72ED44E1-3EBB-4A82-AD36-AE7A7B547BC2}"/>
    <cellStyle name="40% - Accent2 4 4 2 3" xfId="20612" xr:uid="{569EC026-568F-464A-92BF-8A509C123041}"/>
    <cellStyle name="40% - Accent2 4 4 2 4" xfId="29047" xr:uid="{75DAED9D-B5AA-4AAB-A24D-CD05D0E3AC2B}"/>
    <cellStyle name="40% - Accent2 4 4 2 5" xfId="12174" xr:uid="{7F271C96-0E9D-498A-8D1B-AD2C2465D5BD}"/>
    <cellStyle name="40% - Accent2 4 4 3" xfId="5808" xr:uid="{00000000-0005-0000-0000-0000E6040000}"/>
    <cellStyle name="40% - Accent2 4 4 3 2" xfId="22685" xr:uid="{21DB949C-D0AF-446A-80F9-FC79B6111E06}"/>
    <cellStyle name="40% - Accent2 4 4 3 3" xfId="31119" xr:uid="{0B69BC3F-CE00-49CE-915F-D2B5589236AF}"/>
    <cellStyle name="40% - Accent2 4 4 3 4" xfId="14247" xr:uid="{D81F6FAD-8B75-408A-9D2F-457C7FAC1AA6}"/>
    <cellStyle name="40% - Accent2 4 4 4" xfId="18467" xr:uid="{A8605706-27C3-4F4D-87E2-5A2B6CB4C66F}"/>
    <cellStyle name="40% - Accent2 4 4 5" xfId="26902" xr:uid="{955C37C2-5A52-40BB-A248-72264EF09FD0}"/>
    <cellStyle name="40% - Accent2 4 4 6" xfId="10029" xr:uid="{2CCBB008-3B3A-4A76-832C-1AB6D6752C6A}"/>
    <cellStyle name="40% - Accent2 4 5" xfId="1914" xr:uid="{00000000-0005-0000-0000-0000E7040000}"/>
    <cellStyle name="40% - Accent2 4 5 2" xfId="4143" xr:uid="{00000000-0005-0000-0000-0000E8040000}"/>
    <cellStyle name="40% - Accent2 4 5 2 2" xfId="8366" xr:uid="{00000000-0005-0000-0000-0000E9040000}"/>
    <cellStyle name="40% - Accent2 4 5 2 2 2" xfId="25243" xr:uid="{FAC635CF-9CC6-4AD1-8DBE-F14CC74E9960}"/>
    <cellStyle name="40% - Accent2 4 5 2 2 3" xfId="33677" xr:uid="{471F32A2-E159-45E5-BFFD-805AFF72278F}"/>
    <cellStyle name="40% - Accent2 4 5 2 2 4" xfId="16805" xr:uid="{9DC353D3-5CA2-4543-A538-A40D4C9BFB2A}"/>
    <cellStyle name="40% - Accent2 4 5 2 3" xfId="21025" xr:uid="{6275806F-BA99-44B3-A668-840D468F4B72}"/>
    <cellStyle name="40% - Accent2 4 5 2 4" xfId="29460" xr:uid="{39BD9F05-9C31-43F8-BD32-456C6FE6BAC0}"/>
    <cellStyle name="40% - Accent2 4 5 2 5" xfId="12587" xr:uid="{AEB6E567-EAF2-4722-8AFD-DE942D07DEEE}"/>
    <cellStyle name="40% - Accent2 4 5 3" xfId="6221" xr:uid="{00000000-0005-0000-0000-0000EA040000}"/>
    <cellStyle name="40% - Accent2 4 5 3 2" xfId="23098" xr:uid="{01D18AF9-6578-42F1-8736-E0E5444854A6}"/>
    <cellStyle name="40% - Accent2 4 5 3 3" xfId="31532" xr:uid="{E720E2E9-4224-4C67-9D00-3B28CAB0C93F}"/>
    <cellStyle name="40% - Accent2 4 5 3 4" xfId="14660" xr:uid="{3707378D-362F-498A-BEA3-524410A6E02F}"/>
    <cellStyle name="40% - Accent2 4 5 4" xfId="18880" xr:uid="{98693560-59DF-4D2B-8A72-586D70DEC1D8}"/>
    <cellStyle name="40% - Accent2 4 5 5" xfId="27315" xr:uid="{C067255C-A5F8-46E4-9DB7-294AED94BBCD}"/>
    <cellStyle name="40% - Accent2 4 5 6" xfId="10442" xr:uid="{96957B68-2BEB-447B-BF48-8ADE11310CD3}"/>
    <cellStyle name="40% - Accent2 4 6" xfId="2327" xr:uid="{00000000-0005-0000-0000-0000EB040000}"/>
    <cellStyle name="40% - Accent2 4 6 2" xfId="6634" xr:uid="{00000000-0005-0000-0000-0000EC040000}"/>
    <cellStyle name="40% - Accent2 4 6 2 2" xfId="23511" xr:uid="{8F34EAEB-AC39-49DA-9F10-015390A9D7E7}"/>
    <cellStyle name="40% - Accent2 4 6 2 3" xfId="31945" xr:uid="{060DB2DB-6243-40DE-885D-0882090D17C8}"/>
    <cellStyle name="40% - Accent2 4 6 2 4" xfId="15073" xr:uid="{98C4323F-7AD2-4949-9C02-1F9B6B08909F}"/>
    <cellStyle name="40% - Accent2 4 6 3" xfId="19293" xr:uid="{4C5BB93D-A1EF-4E2C-B40B-21BA729F2E52}"/>
    <cellStyle name="40% - Accent2 4 6 4" xfId="27728" xr:uid="{68EDE375-1F32-4E45-822E-418691B44F90}"/>
    <cellStyle name="40% - Accent2 4 6 5" xfId="10855" xr:uid="{4FAA3D9F-0510-4558-B6D9-FB7E20C417A7}"/>
    <cellStyle name="40% - Accent2 4 7" xfId="4568" xr:uid="{00000000-0005-0000-0000-0000ED040000}"/>
    <cellStyle name="40% - Accent2 4 7 2" xfId="21445" xr:uid="{8CF2FAED-B33B-46D3-A445-4AC1455AC90E}"/>
    <cellStyle name="40% - Accent2 4 7 3" xfId="29879" xr:uid="{6F05265F-82E0-4EC1-87B8-115759AFE463}"/>
    <cellStyle name="40% - Accent2 4 7 4" xfId="13007" xr:uid="{CD7159FA-93EA-4634-8063-9390F3C654DB}"/>
    <cellStyle name="40% - Accent2 4 8" xfId="17227" xr:uid="{C21F911A-E25E-4C7D-82A6-AD86F2EBEE25}"/>
    <cellStyle name="40% - Accent2 4 9" xfId="25662" xr:uid="{21CC50A8-D13A-444C-ABAA-F207A60C6487}"/>
    <cellStyle name="40% - Accent2 5" xfId="626" xr:uid="{00000000-0005-0000-0000-0000EE040000}"/>
    <cellStyle name="40% - Accent2 5 2" xfId="2897" xr:uid="{00000000-0005-0000-0000-0000EF040000}"/>
    <cellStyle name="40% - Accent2 5 2 2" xfId="7120" xr:uid="{00000000-0005-0000-0000-0000F0040000}"/>
    <cellStyle name="40% - Accent2 5 2 2 2" xfId="23997" xr:uid="{80980D98-6AD5-4C5D-A52A-E61A59C0D099}"/>
    <cellStyle name="40% - Accent2 5 2 2 3" xfId="32431" xr:uid="{4ED36E72-9AEA-4856-9688-668988966D68}"/>
    <cellStyle name="40% - Accent2 5 2 2 4" xfId="15559" xr:uid="{94E17E3A-BCD5-43F2-9059-EA48B0D39CF8}"/>
    <cellStyle name="40% - Accent2 5 2 3" xfId="19779" xr:uid="{52279D60-5006-4C8B-8A10-5CAB6EC1BE1F}"/>
    <cellStyle name="40% - Accent2 5 2 4" xfId="28214" xr:uid="{125FF637-95C8-4D20-8496-1C99CCBC4604}"/>
    <cellStyle name="40% - Accent2 5 2 5" xfId="11341" xr:uid="{2EB3D514-8779-4DDB-82CC-97903CAA5242}"/>
    <cellStyle name="40% - Accent2 5 3" xfId="4975" xr:uid="{00000000-0005-0000-0000-0000F1040000}"/>
    <cellStyle name="40% - Accent2 5 3 2" xfId="21852" xr:uid="{EDD5F7C0-FCF1-402B-BF72-237E51F0ED70}"/>
    <cellStyle name="40% - Accent2 5 3 3" xfId="30286" xr:uid="{CC0C28C2-4CB5-41D3-A357-390F4E76EFE8}"/>
    <cellStyle name="40% - Accent2 5 3 4" xfId="13414" xr:uid="{84574E29-7B76-447E-8BE4-2C349ECB8C8B}"/>
    <cellStyle name="40% - Accent2 5 4" xfId="17634" xr:uid="{505DBF90-D167-4653-8122-56F1E6F762FC}"/>
    <cellStyle name="40% - Accent2 5 5" xfId="26069" xr:uid="{F8569EB6-3F75-4009-853E-85C0CB3A7BEA}"/>
    <cellStyle name="40% - Accent2 5 6" xfId="9196" xr:uid="{3B770D55-0967-4324-80D9-9CD1DAC168D8}"/>
    <cellStyle name="40% - Accent2 6" xfId="1079" xr:uid="{00000000-0005-0000-0000-0000F2040000}"/>
    <cellStyle name="40% - Accent2 6 2" xfId="3310" xr:uid="{00000000-0005-0000-0000-0000F3040000}"/>
    <cellStyle name="40% - Accent2 6 2 2" xfId="7533" xr:uid="{00000000-0005-0000-0000-0000F4040000}"/>
    <cellStyle name="40% - Accent2 6 2 2 2" xfId="24410" xr:uid="{A6DA7BA8-B427-4408-B801-1BF607EFFA2D}"/>
    <cellStyle name="40% - Accent2 6 2 2 3" xfId="32844" xr:uid="{6CA1F3CE-D01C-4AB0-AAB2-906A4F2C7542}"/>
    <cellStyle name="40% - Accent2 6 2 2 4" xfId="15972" xr:uid="{A4CE8D7C-ED13-461D-8B35-C0B15ADF3A1C}"/>
    <cellStyle name="40% - Accent2 6 2 3" xfId="20192" xr:uid="{879AC61E-80D9-441D-9B38-EB7B544C1DAB}"/>
    <cellStyle name="40% - Accent2 6 2 4" xfId="28627" xr:uid="{2765F51D-A376-4F9D-A55B-3398551500BD}"/>
    <cellStyle name="40% - Accent2 6 2 5" xfId="11754" xr:uid="{D781E9A1-6AF9-4DFF-9D36-6BE5C552B5F9}"/>
    <cellStyle name="40% - Accent2 6 3" xfId="5388" xr:uid="{00000000-0005-0000-0000-0000F5040000}"/>
    <cellStyle name="40% - Accent2 6 3 2" xfId="22265" xr:uid="{538707A1-BD17-4EFA-9AF5-F100EC3ADA06}"/>
    <cellStyle name="40% - Accent2 6 3 3" xfId="30699" xr:uid="{762CF306-124B-4F7C-B845-2876CA6CAE61}"/>
    <cellStyle name="40% - Accent2 6 3 4" xfId="13827" xr:uid="{73791FD2-5CEB-49B9-93FB-09C09F7F6C9A}"/>
    <cellStyle name="40% - Accent2 6 4" xfId="18047" xr:uid="{AE346893-01F5-4C91-8BD2-322FDAFFA76E}"/>
    <cellStyle name="40% - Accent2 6 5" xfId="26482" xr:uid="{56970C7B-44D5-44B5-8FC9-9E00769B0A69}"/>
    <cellStyle name="40% - Accent2 6 6" xfId="9609" xr:uid="{6BDBE884-F3F3-4190-BD4D-C4A9BA38C2EB}"/>
    <cellStyle name="40% - Accent2 7" xfId="1493" xr:uid="{00000000-0005-0000-0000-0000F6040000}"/>
    <cellStyle name="40% - Accent2 7 2" xfId="3723" xr:uid="{00000000-0005-0000-0000-0000F7040000}"/>
    <cellStyle name="40% - Accent2 7 2 2" xfId="7946" xr:uid="{00000000-0005-0000-0000-0000F8040000}"/>
    <cellStyle name="40% - Accent2 7 2 2 2" xfId="24823" xr:uid="{C72E0E1D-87E5-46F6-A1D1-6EF750E3162B}"/>
    <cellStyle name="40% - Accent2 7 2 2 3" xfId="33257" xr:uid="{2FDCBDE0-7A4A-401D-9E98-F627C620D474}"/>
    <cellStyle name="40% - Accent2 7 2 2 4" xfId="16385" xr:uid="{F6E13E92-F94A-47AF-8C02-1F97440CB68B}"/>
    <cellStyle name="40% - Accent2 7 2 3" xfId="20605" xr:uid="{96448DD9-8E26-498B-9F3E-A00CFA7CA10C}"/>
    <cellStyle name="40% - Accent2 7 2 4" xfId="29040" xr:uid="{18712754-F653-4FF8-B514-F524569A751A}"/>
    <cellStyle name="40% - Accent2 7 2 5" xfId="12167" xr:uid="{BD04E8E1-A77C-45CE-B152-6D4A113D9589}"/>
    <cellStyle name="40% - Accent2 7 3" xfId="5801" xr:uid="{00000000-0005-0000-0000-0000F9040000}"/>
    <cellStyle name="40% - Accent2 7 3 2" xfId="22678" xr:uid="{A904DE02-EBB9-4BE3-937A-02210F5F60E0}"/>
    <cellStyle name="40% - Accent2 7 3 3" xfId="31112" xr:uid="{043F31BF-D234-434D-B356-50B657C44490}"/>
    <cellStyle name="40% - Accent2 7 3 4" xfId="14240" xr:uid="{9DC9C0EF-77BF-4537-940B-918FCEF14D6D}"/>
    <cellStyle name="40% - Accent2 7 4" xfId="18460" xr:uid="{77190F26-6DA2-41E3-B07D-352605D882F7}"/>
    <cellStyle name="40% - Accent2 7 5" xfId="26895" xr:uid="{D5F2DB1B-2149-4AEB-B33F-969A19821414}"/>
    <cellStyle name="40% - Accent2 7 6" xfId="10022" xr:uid="{C0C5CC28-B17D-44B6-90DC-FD5BA7B0CBA1}"/>
    <cellStyle name="40% - Accent2 8" xfId="1907" xr:uid="{00000000-0005-0000-0000-0000FA040000}"/>
    <cellStyle name="40% - Accent2 8 2" xfId="4136" xr:uid="{00000000-0005-0000-0000-0000FB040000}"/>
    <cellStyle name="40% - Accent2 8 2 2" xfId="8359" xr:uid="{00000000-0005-0000-0000-0000FC040000}"/>
    <cellStyle name="40% - Accent2 8 2 2 2" xfId="25236" xr:uid="{5DD903F6-AB98-4988-8048-E020C238A94E}"/>
    <cellStyle name="40% - Accent2 8 2 2 3" xfId="33670" xr:uid="{287F360F-57DA-4D7E-915D-149D4B5811FE}"/>
    <cellStyle name="40% - Accent2 8 2 2 4" xfId="16798" xr:uid="{DA6C0D7B-0463-4974-80DC-AE529263899D}"/>
    <cellStyle name="40% - Accent2 8 2 3" xfId="21018" xr:uid="{A31433BA-9251-4FAE-9653-D1E50A9BD4D6}"/>
    <cellStyle name="40% - Accent2 8 2 4" xfId="29453" xr:uid="{BC03B76A-3104-4A60-8B59-C361ECE6AE24}"/>
    <cellStyle name="40% - Accent2 8 2 5" xfId="12580" xr:uid="{77E7C0B5-738D-475D-AB48-208A0059092F}"/>
    <cellStyle name="40% - Accent2 8 3" xfId="6214" xr:uid="{00000000-0005-0000-0000-0000FD040000}"/>
    <cellStyle name="40% - Accent2 8 3 2" xfId="23091" xr:uid="{1C08C883-BBFC-4D47-9E0B-16479DFFC823}"/>
    <cellStyle name="40% - Accent2 8 3 3" xfId="31525" xr:uid="{395D7364-7251-45AA-98F7-5C59FECE2038}"/>
    <cellStyle name="40% - Accent2 8 3 4" xfId="14653" xr:uid="{816281CC-0310-4FCA-9278-537B4CB8E53A}"/>
    <cellStyle name="40% - Accent2 8 4" xfId="18873" xr:uid="{9236E09A-57EB-40A3-8BF8-676AB68A232A}"/>
    <cellStyle name="40% - Accent2 8 5" xfId="27308" xr:uid="{6BB8CA88-60C0-4362-A131-234AD9485FB9}"/>
    <cellStyle name="40% - Accent2 8 6" xfId="10435" xr:uid="{73359932-B685-48A5-8491-2A4C4F13325F}"/>
    <cellStyle name="40% - Accent2 9" xfId="2320" xr:uid="{00000000-0005-0000-0000-0000FE040000}"/>
    <cellStyle name="40% - Accent2 9 2" xfId="6627" xr:uid="{00000000-0005-0000-0000-0000FF040000}"/>
    <cellStyle name="40% - Accent2 9 2 2" xfId="23504" xr:uid="{8BAC0591-72B0-40E0-BAD1-DAA37CCCA9D3}"/>
    <cellStyle name="40% - Accent2 9 2 3" xfId="31938" xr:uid="{2FCE1F3D-47C4-4436-A098-D0FC772A6091}"/>
    <cellStyle name="40% - Accent2 9 2 4" xfId="15066" xr:uid="{B2B8E6F9-FA24-4ED6-A943-8042E251B5DB}"/>
    <cellStyle name="40% - Accent2 9 3" xfId="19286" xr:uid="{8BD19C21-DB7C-4FF7-9E5C-5C3A6A2640D0}"/>
    <cellStyle name="40% - Accent2 9 4" xfId="27721" xr:uid="{E80B6FC8-EC04-43B9-99E4-C574042C3129}"/>
    <cellStyle name="40% - Accent2 9 5" xfId="10848" xr:uid="{CC9BBF05-C69B-43F8-A942-A86C1BFDF167}"/>
    <cellStyle name="40% - Accent3" xfId="65" builtinId="39" customBuiltin="1"/>
    <cellStyle name="40% - Accent3 10" xfId="4569" xr:uid="{00000000-0005-0000-0000-000001050000}"/>
    <cellStyle name="40% - Accent3 10 2" xfId="21446" xr:uid="{2E1F5187-C3D5-4B7B-98A0-C45A1813BF20}"/>
    <cellStyle name="40% - Accent3 10 3" xfId="29880" xr:uid="{F061ECE8-D0F3-4D14-ABF8-0598BD685AE1}"/>
    <cellStyle name="40% - Accent3 10 4" xfId="13008" xr:uid="{20C20FAA-C54C-4050-8C27-7DB7255C5E3D}"/>
    <cellStyle name="40% - Accent3 11" xfId="17228" xr:uid="{11BD662E-E0A7-413E-A0A0-FB92AFF23A03}"/>
    <cellStyle name="40% - Accent3 12" xfId="25663" xr:uid="{74E9A89A-BE8C-4BC6-9967-3A5C794B9EA7}"/>
    <cellStyle name="40% - Accent3 13" xfId="8790" xr:uid="{4DEE23A3-3772-4825-82E7-D14D259E61CF}"/>
    <cellStyle name="40% - Accent3 2" xfId="66" xr:uid="{00000000-0005-0000-0000-000002050000}"/>
    <cellStyle name="40% - Accent3 2 10" xfId="17229" xr:uid="{C0D444C2-A7E9-4E89-B852-4979BBF3C355}"/>
    <cellStyle name="40% - Accent3 2 11" xfId="25664" xr:uid="{1D0518E2-DD05-4A82-B8A3-98F45F9D7306}"/>
    <cellStyle name="40% - Accent3 2 12" xfId="8791" xr:uid="{6AC0E969-3A17-45C0-8D63-B17BB475933E}"/>
    <cellStyle name="40% - Accent3 2 2" xfId="67" xr:uid="{00000000-0005-0000-0000-000003050000}"/>
    <cellStyle name="40% - Accent3 2 2 10" xfId="25665" xr:uid="{59463520-32FC-433A-B0BA-E865F8B8FE5C}"/>
    <cellStyle name="40% - Accent3 2 2 11" xfId="8792" xr:uid="{CA3595F6-922D-49C8-89E6-9509E5AB9E39}"/>
    <cellStyle name="40% - Accent3 2 2 2" xfId="68" xr:uid="{00000000-0005-0000-0000-000004050000}"/>
    <cellStyle name="40% - Accent3 2 2 2 10" xfId="8793" xr:uid="{7904A303-7240-47D5-9929-C03DDC00C9AC}"/>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24008" xr:uid="{90D7DDDC-011E-42D8-9CEB-BD9F4289BE75}"/>
    <cellStyle name="40% - Accent3 2 2 2 2 2 2 3" xfId="32442" xr:uid="{6ADA0447-D4DA-43A3-85C1-EA4FEB06425B}"/>
    <cellStyle name="40% - Accent3 2 2 2 2 2 2 4" xfId="15570" xr:uid="{82A17078-03D7-450F-8975-CAD365161082}"/>
    <cellStyle name="40% - Accent3 2 2 2 2 2 3" xfId="19790" xr:uid="{35B0B3A8-1E9D-469D-8B72-C8348288F03C}"/>
    <cellStyle name="40% - Accent3 2 2 2 2 2 4" xfId="28225" xr:uid="{91BBC6A9-4BFA-4E72-878D-49951730C385}"/>
    <cellStyle name="40% - Accent3 2 2 2 2 2 5" xfId="11352" xr:uid="{C3E8AC54-02F6-47A7-8D0E-A34F5CE1E8A2}"/>
    <cellStyle name="40% - Accent3 2 2 2 2 3" xfId="4986" xr:uid="{00000000-0005-0000-0000-000008050000}"/>
    <cellStyle name="40% - Accent3 2 2 2 2 3 2" xfId="21863" xr:uid="{1073D3CE-9233-4D6F-A9C1-F2924E4CF35F}"/>
    <cellStyle name="40% - Accent3 2 2 2 2 3 3" xfId="30297" xr:uid="{E7D9B95D-02FB-46A1-8094-E2D486B909FD}"/>
    <cellStyle name="40% - Accent3 2 2 2 2 3 4" xfId="13425" xr:uid="{5179C267-084A-49B9-AED8-8C9CF9B2FE7E}"/>
    <cellStyle name="40% - Accent3 2 2 2 2 4" xfId="17645" xr:uid="{8A0BEC93-5114-4AD3-8519-AEFEBD0B7A1F}"/>
    <cellStyle name="40% - Accent3 2 2 2 2 5" xfId="26080" xr:uid="{4538BA79-7839-4A58-A786-E8D5F70980E7}"/>
    <cellStyle name="40% - Accent3 2 2 2 2 6" xfId="9207" xr:uid="{02F217A2-8A63-463E-8A4D-0802A76ED945}"/>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24421" xr:uid="{05139DE4-8B5F-4307-BF87-D0DE3025F35F}"/>
    <cellStyle name="40% - Accent3 2 2 2 3 2 2 3" xfId="32855" xr:uid="{D7583434-3E3C-457D-A8A7-8181AAE03B6D}"/>
    <cellStyle name="40% - Accent3 2 2 2 3 2 2 4" xfId="15983" xr:uid="{C70EE8E4-5DD7-4872-B1E0-ABCFA9C4FAF5}"/>
    <cellStyle name="40% - Accent3 2 2 2 3 2 3" xfId="20203" xr:uid="{B87B4204-40E3-4CD8-BBEF-6F53BA559517}"/>
    <cellStyle name="40% - Accent3 2 2 2 3 2 4" xfId="28638" xr:uid="{2C356737-B85E-4471-B35F-2F3AA61D762D}"/>
    <cellStyle name="40% - Accent3 2 2 2 3 2 5" xfId="11765" xr:uid="{A723CA58-DC64-411D-81C5-08789FB3D6CB}"/>
    <cellStyle name="40% - Accent3 2 2 2 3 3" xfId="5399" xr:uid="{00000000-0005-0000-0000-00000C050000}"/>
    <cellStyle name="40% - Accent3 2 2 2 3 3 2" xfId="22276" xr:uid="{360C78EE-4A15-4122-9737-F05857501A6D}"/>
    <cellStyle name="40% - Accent3 2 2 2 3 3 3" xfId="30710" xr:uid="{D021397C-A614-4BC6-80A6-552A8877E466}"/>
    <cellStyle name="40% - Accent3 2 2 2 3 3 4" xfId="13838" xr:uid="{91923270-25F3-4963-B878-06496DA3D7DE}"/>
    <cellStyle name="40% - Accent3 2 2 2 3 4" xfId="18058" xr:uid="{9AF45541-3FBA-4D23-8573-7A1CD430F197}"/>
    <cellStyle name="40% - Accent3 2 2 2 3 5" xfId="26493" xr:uid="{AA9F1946-1F7D-4051-81C0-BF2495B01C95}"/>
    <cellStyle name="40% - Accent3 2 2 2 3 6" xfId="9620" xr:uid="{760418CC-9553-4FBA-8888-748E733EC106}"/>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24834" xr:uid="{F7E9F153-795C-49CE-B743-37714B5A50E2}"/>
    <cellStyle name="40% - Accent3 2 2 2 4 2 2 3" xfId="33268" xr:uid="{AB773759-CBB2-4E4D-8AE7-BD34C18E3835}"/>
    <cellStyle name="40% - Accent3 2 2 2 4 2 2 4" xfId="16396" xr:uid="{8FF70AB2-873C-454E-9A06-84BEE057C945}"/>
    <cellStyle name="40% - Accent3 2 2 2 4 2 3" xfId="20616" xr:uid="{33C2A6D6-106A-4C59-97A8-D64703CC32B4}"/>
    <cellStyle name="40% - Accent3 2 2 2 4 2 4" xfId="29051" xr:uid="{3B865EAC-6293-4CAA-B088-676BD38DAECA}"/>
    <cellStyle name="40% - Accent3 2 2 2 4 2 5" xfId="12178" xr:uid="{BE099DEC-6BF4-4AE6-82D5-E8C1BF4B0064}"/>
    <cellStyle name="40% - Accent3 2 2 2 4 3" xfId="5812" xr:uid="{00000000-0005-0000-0000-000010050000}"/>
    <cellStyle name="40% - Accent3 2 2 2 4 3 2" xfId="22689" xr:uid="{9E82DE13-0F43-4846-97EC-E89A1FD88248}"/>
    <cellStyle name="40% - Accent3 2 2 2 4 3 3" xfId="31123" xr:uid="{C58EF4B8-5E33-4CC8-AB57-595811FDC7DD}"/>
    <cellStyle name="40% - Accent3 2 2 2 4 3 4" xfId="14251" xr:uid="{1EDBE7D3-4D2E-4DAB-BC2F-D14A51F48D92}"/>
    <cellStyle name="40% - Accent3 2 2 2 4 4" xfId="18471" xr:uid="{25144719-66F7-4B08-807A-9B9C33490079}"/>
    <cellStyle name="40% - Accent3 2 2 2 4 5" xfId="26906" xr:uid="{5FA84647-1B1A-4451-A1E7-D834A5E733D4}"/>
    <cellStyle name="40% - Accent3 2 2 2 4 6" xfId="10033" xr:uid="{5D8325BD-5C26-4F11-AD64-58899F353173}"/>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25247" xr:uid="{7703A44F-7F94-4717-B4F2-B9FEF5DBAB99}"/>
    <cellStyle name="40% - Accent3 2 2 2 5 2 2 3" xfId="33681" xr:uid="{5FF24BA6-1C0B-426B-BD4C-97F3A4216A68}"/>
    <cellStyle name="40% - Accent3 2 2 2 5 2 2 4" xfId="16809" xr:uid="{14B2D01A-995E-4B5D-A329-8664312DFB7E}"/>
    <cellStyle name="40% - Accent3 2 2 2 5 2 3" xfId="21029" xr:uid="{671F2262-7B91-422A-8A84-F18F6DE3C7C6}"/>
    <cellStyle name="40% - Accent3 2 2 2 5 2 4" xfId="29464" xr:uid="{D9FAF38F-39EF-4CAA-A035-454A07380256}"/>
    <cellStyle name="40% - Accent3 2 2 2 5 2 5" xfId="12591" xr:uid="{128D9962-EA76-4591-9E9E-3A8BBE94BAA8}"/>
    <cellStyle name="40% - Accent3 2 2 2 5 3" xfId="6225" xr:uid="{00000000-0005-0000-0000-000014050000}"/>
    <cellStyle name="40% - Accent3 2 2 2 5 3 2" xfId="23102" xr:uid="{DDDCA31A-A7F7-45D3-AC38-41CAE17A2D21}"/>
    <cellStyle name="40% - Accent3 2 2 2 5 3 3" xfId="31536" xr:uid="{9230FC64-71D6-4D15-8903-77987248B8A6}"/>
    <cellStyle name="40% - Accent3 2 2 2 5 3 4" xfId="14664" xr:uid="{C10E268C-2C35-459A-BEDE-B9706D69426A}"/>
    <cellStyle name="40% - Accent3 2 2 2 5 4" xfId="18884" xr:uid="{0928AA61-E379-4D37-A510-7477B5E705E0}"/>
    <cellStyle name="40% - Accent3 2 2 2 5 5" xfId="27319" xr:uid="{7B3654B7-3637-4DB8-A2A5-CB09C8FF36F4}"/>
    <cellStyle name="40% - Accent3 2 2 2 5 6" xfId="10446" xr:uid="{1E0C2792-E67E-4BE2-A5AC-DF20EA11BEC1}"/>
    <cellStyle name="40% - Accent3 2 2 2 6" xfId="2331" xr:uid="{00000000-0005-0000-0000-000015050000}"/>
    <cellStyle name="40% - Accent3 2 2 2 6 2" xfId="6638" xr:uid="{00000000-0005-0000-0000-000016050000}"/>
    <cellStyle name="40% - Accent3 2 2 2 6 2 2" xfId="23515" xr:uid="{B685909E-3B00-404A-8EC9-BD9572374802}"/>
    <cellStyle name="40% - Accent3 2 2 2 6 2 3" xfId="31949" xr:uid="{603E8886-26E3-4EFB-8B63-8B863CD0620E}"/>
    <cellStyle name="40% - Accent3 2 2 2 6 2 4" xfId="15077" xr:uid="{F4F100EF-5690-49E9-BD15-591DEE207632}"/>
    <cellStyle name="40% - Accent3 2 2 2 6 3" xfId="19297" xr:uid="{D3B8BA51-493E-4230-A87C-063CCC2348CD}"/>
    <cellStyle name="40% - Accent3 2 2 2 6 4" xfId="27732" xr:uid="{099F9443-1C41-4FA8-8191-1980EC722A65}"/>
    <cellStyle name="40% - Accent3 2 2 2 6 5" xfId="10859" xr:uid="{01F2E3D9-C7C0-4B9F-AAC6-FB49BF877C0B}"/>
    <cellStyle name="40% - Accent3 2 2 2 7" xfId="4572" xr:uid="{00000000-0005-0000-0000-000017050000}"/>
    <cellStyle name="40% - Accent3 2 2 2 7 2" xfId="21449" xr:uid="{20A6CF97-60FC-4FC0-B3C9-6C3CAAF20C72}"/>
    <cellStyle name="40% - Accent3 2 2 2 7 3" xfId="29883" xr:uid="{1F4136AD-A432-4F1E-A6BD-B7C0D8118779}"/>
    <cellStyle name="40% - Accent3 2 2 2 7 4" xfId="13011" xr:uid="{2E981888-5560-464C-8348-0B565DD176CF}"/>
    <cellStyle name="40% - Accent3 2 2 2 8" xfId="17231" xr:uid="{83436F33-1FCD-4DEC-A242-C5DE9645510C}"/>
    <cellStyle name="40% - Accent3 2 2 2 9" xfId="25666" xr:uid="{D7D9B865-6D7E-4240-BF4B-36307908CAE5}"/>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24007" xr:uid="{E4FA3912-55E7-46A8-98E5-E36357D3CD26}"/>
    <cellStyle name="40% - Accent3 2 2 3 2 2 3" xfId="32441" xr:uid="{BF4B39C1-BCA7-4531-B83B-454D7D3B3F71}"/>
    <cellStyle name="40% - Accent3 2 2 3 2 2 4" xfId="15569" xr:uid="{7BD5C9CC-C959-4093-BE68-AFF9FF0DD42B}"/>
    <cellStyle name="40% - Accent3 2 2 3 2 3" xfId="19789" xr:uid="{4D640253-BB56-43A1-8C78-CAF0A6744D52}"/>
    <cellStyle name="40% - Accent3 2 2 3 2 4" xfId="28224" xr:uid="{F11E6811-454B-4882-ABED-46F2BD52582A}"/>
    <cellStyle name="40% - Accent3 2 2 3 2 5" xfId="11351" xr:uid="{6DFEAD5F-E98B-4D60-B5DF-3D705DB9C589}"/>
    <cellStyle name="40% - Accent3 2 2 3 3" xfId="4985" xr:uid="{00000000-0005-0000-0000-00001B050000}"/>
    <cellStyle name="40% - Accent3 2 2 3 3 2" xfId="21862" xr:uid="{9258ED8B-F78A-4608-A16E-277C12BF929E}"/>
    <cellStyle name="40% - Accent3 2 2 3 3 3" xfId="30296" xr:uid="{C92143AF-15D6-4A8F-B9D7-7E1AA37B634F}"/>
    <cellStyle name="40% - Accent3 2 2 3 3 4" xfId="13424" xr:uid="{9467EB99-DB57-4401-86DB-6E640EC502C4}"/>
    <cellStyle name="40% - Accent3 2 2 3 4" xfId="17644" xr:uid="{45FB966C-8AE4-4626-908D-541BD04DB452}"/>
    <cellStyle name="40% - Accent3 2 2 3 5" xfId="26079" xr:uid="{9A108E5F-E951-481B-B8CE-3FDC5CEAE762}"/>
    <cellStyle name="40% - Accent3 2 2 3 6" xfId="9206" xr:uid="{F3D18391-DF60-45F1-94BA-378257B06A8F}"/>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24420" xr:uid="{AE7D1C12-3F79-4C9E-92BE-89373D8FDDED}"/>
    <cellStyle name="40% - Accent3 2 2 4 2 2 3" xfId="32854" xr:uid="{AAA2C33F-83F0-4C14-A880-A6AD69022964}"/>
    <cellStyle name="40% - Accent3 2 2 4 2 2 4" xfId="15982" xr:uid="{15B11CFC-B73C-41E8-9F7B-E278B3AFB391}"/>
    <cellStyle name="40% - Accent3 2 2 4 2 3" xfId="20202" xr:uid="{4D094043-78F4-4C95-BDE8-5A12014B81B5}"/>
    <cellStyle name="40% - Accent3 2 2 4 2 4" xfId="28637" xr:uid="{3D820C1B-5EC3-4FF0-A8C4-9794B3080B94}"/>
    <cellStyle name="40% - Accent3 2 2 4 2 5" xfId="11764" xr:uid="{4F66FBC9-D48D-41ED-AD1A-14A08C1BC911}"/>
    <cellStyle name="40% - Accent3 2 2 4 3" xfId="5398" xr:uid="{00000000-0005-0000-0000-00001F050000}"/>
    <cellStyle name="40% - Accent3 2 2 4 3 2" xfId="22275" xr:uid="{53B0AD80-C2B2-4037-BBB5-262267145A35}"/>
    <cellStyle name="40% - Accent3 2 2 4 3 3" xfId="30709" xr:uid="{6DB369F2-822F-4AAC-BE68-E7964DB633BF}"/>
    <cellStyle name="40% - Accent3 2 2 4 3 4" xfId="13837" xr:uid="{E43168FA-197E-492B-952C-54C95099D265}"/>
    <cellStyle name="40% - Accent3 2 2 4 4" xfId="18057" xr:uid="{B5C51137-18FD-44E5-8F04-757EBCF7EB08}"/>
    <cellStyle name="40% - Accent3 2 2 4 5" xfId="26492" xr:uid="{F2B26B17-8A9E-4488-939A-134FC1234748}"/>
    <cellStyle name="40% - Accent3 2 2 4 6" xfId="9619" xr:uid="{540F15A8-D73D-4066-918D-306197841F1A}"/>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24833" xr:uid="{CCD03701-6DF3-4803-994E-A0B122C4A6BD}"/>
    <cellStyle name="40% - Accent3 2 2 5 2 2 3" xfId="33267" xr:uid="{9ECDC035-7ACF-4543-A88A-FD756556ED27}"/>
    <cellStyle name="40% - Accent3 2 2 5 2 2 4" xfId="16395" xr:uid="{E0B6F5AC-0FCD-4579-8030-CBA6AF623CEA}"/>
    <cellStyle name="40% - Accent3 2 2 5 2 3" xfId="20615" xr:uid="{74108E01-4846-4340-A451-25CC894F7B2E}"/>
    <cellStyle name="40% - Accent3 2 2 5 2 4" xfId="29050" xr:uid="{C032A477-E2C6-4F16-B67A-6AFC588573FA}"/>
    <cellStyle name="40% - Accent3 2 2 5 2 5" xfId="12177" xr:uid="{DD669169-94DE-46B0-99E8-C560C83F3BC7}"/>
    <cellStyle name="40% - Accent3 2 2 5 3" xfId="5811" xr:uid="{00000000-0005-0000-0000-000023050000}"/>
    <cellStyle name="40% - Accent3 2 2 5 3 2" xfId="22688" xr:uid="{989F695B-952C-4ACE-9CA3-A18A5158C952}"/>
    <cellStyle name="40% - Accent3 2 2 5 3 3" xfId="31122" xr:uid="{8CCD97C5-E535-4002-A378-20B3346D5F4E}"/>
    <cellStyle name="40% - Accent3 2 2 5 3 4" xfId="14250" xr:uid="{9C81B7D7-69C1-4B35-AC93-7C913B5047F8}"/>
    <cellStyle name="40% - Accent3 2 2 5 4" xfId="18470" xr:uid="{91554C78-2046-4A0E-BC0F-5294529E104E}"/>
    <cellStyle name="40% - Accent3 2 2 5 5" xfId="26905" xr:uid="{4529DD56-A4A9-462A-AEBB-DA516C96C1FA}"/>
    <cellStyle name="40% - Accent3 2 2 5 6" xfId="10032" xr:uid="{3D83FF12-A095-4A1A-A92A-92BAB1772FCF}"/>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25246" xr:uid="{CC4980D9-2FFB-4B76-ABE5-381602D2A8EE}"/>
    <cellStyle name="40% - Accent3 2 2 6 2 2 3" xfId="33680" xr:uid="{14BC925F-0D09-436F-874C-F618297445E1}"/>
    <cellStyle name="40% - Accent3 2 2 6 2 2 4" xfId="16808" xr:uid="{D97C9F2F-7F8F-4D9F-A675-CC31ADA0E60D}"/>
    <cellStyle name="40% - Accent3 2 2 6 2 3" xfId="21028" xr:uid="{9C679E6C-C1FB-4560-A10B-57955E1EF757}"/>
    <cellStyle name="40% - Accent3 2 2 6 2 4" xfId="29463" xr:uid="{B03E1A91-8B6F-4DEE-A29A-820F45AE4A59}"/>
    <cellStyle name="40% - Accent3 2 2 6 2 5" xfId="12590" xr:uid="{2E7AB0C9-CC1F-4CF6-9DAE-9D7B3A26D127}"/>
    <cellStyle name="40% - Accent3 2 2 6 3" xfId="6224" xr:uid="{00000000-0005-0000-0000-000027050000}"/>
    <cellStyle name="40% - Accent3 2 2 6 3 2" xfId="23101" xr:uid="{6B7EAC89-6888-4A33-B0BF-3F3810EE42E2}"/>
    <cellStyle name="40% - Accent3 2 2 6 3 3" xfId="31535" xr:uid="{353E1E8F-3FC6-4B91-965E-2F4F7637C891}"/>
    <cellStyle name="40% - Accent3 2 2 6 3 4" xfId="14663" xr:uid="{08BACAE0-39A0-489A-A974-3D9C7C467E02}"/>
    <cellStyle name="40% - Accent3 2 2 6 4" xfId="18883" xr:uid="{4EBB3A17-0DB5-489B-BF3D-AE10EBA72163}"/>
    <cellStyle name="40% - Accent3 2 2 6 5" xfId="27318" xr:uid="{BB8B7C5E-3D83-4650-9BFD-7ABF50FB6201}"/>
    <cellStyle name="40% - Accent3 2 2 6 6" xfId="10445" xr:uid="{C6AAB4F7-E06B-4D71-A7B8-F51A0B7AACF9}"/>
    <cellStyle name="40% - Accent3 2 2 7" xfId="2330" xr:uid="{00000000-0005-0000-0000-000028050000}"/>
    <cellStyle name="40% - Accent3 2 2 7 2" xfId="6637" xr:uid="{00000000-0005-0000-0000-000029050000}"/>
    <cellStyle name="40% - Accent3 2 2 7 2 2" xfId="23514" xr:uid="{4C3D5624-CEC0-4DFE-BAC8-DDED9D723775}"/>
    <cellStyle name="40% - Accent3 2 2 7 2 3" xfId="31948" xr:uid="{984FF3A1-2B8E-428C-AE08-B33F05AFAB73}"/>
    <cellStyle name="40% - Accent3 2 2 7 2 4" xfId="15076" xr:uid="{7870E18B-8548-4911-9443-6C8E2A8C5CD6}"/>
    <cellStyle name="40% - Accent3 2 2 7 3" xfId="19296" xr:uid="{2FFDB65C-A966-4481-9B9C-99EC615EBFBE}"/>
    <cellStyle name="40% - Accent3 2 2 7 4" xfId="27731" xr:uid="{85C6915A-10E0-4B9F-ABFA-F465D3944629}"/>
    <cellStyle name="40% - Accent3 2 2 7 5" xfId="10858" xr:uid="{5C5BE8A7-78AC-4DE8-8F7D-D4B78A263069}"/>
    <cellStyle name="40% - Accent3 2 2 8" xfId="4571" xr:uid="{00000000-0005-0000-0000-00002A050000}"/>
    <cellStyle name="40% - Accent3 2 2 8 2" xfId="21448" xr:uid="{6C031F1E-CF69-41CE-A3D5-190E779DA2B8}"/>
    <cellStyle name="40% - Accent3 2 2 8 3" xfId="29882" xr:uid="{9358FBD7-F3B1-4333-AA5A-0082BE1080CA}"/>
    <cellStyle name="40% - Accent3 2 2 8 4" xfId="13010" xr:uid="{5EB8A29D-85B1-4856-BB53-E2A4226C5E1E}"/>
    <cellStyle name="40% - Accent3 2 2 9" xfId="17230" xr:uid="{229F304A-587F-4F2A-BCD0-57E3354320F1}"/>
    <cellStyle name="40% - Accent3 2 3" xfId="69" xr:uid="{00000000-0005-0000-0000-00002B050000}"/>
    <cellStyle name="40% - Accent3 2 3 10" xfId="8794" xr:uid="{49C1C7A2-95EC-4AA7-B4B7-0A6CA2E94AEC}"/>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24009" xr:uid="{5D6B7237-0D7A-47E9-9A0B-B39FA71A0B21}"/>
    <cellStyle name="40% - Accent3 2 3 2 2 2 3" xfId="32443" xr:uid="{4DF82506-CCCB-4ADE-A988-E198FF02A5BC}"/>
    <cellStyle name="40% - Accent3 2 3 2 2 2 4" xfId="15571" xr:uid="{D4B6D0A1-105D-4BDB-804D-E4E0D42FB799}"/>
    <cellStyle name="40% - Accent3 2 3 2 2 3" xfId="19791" xr:uid="{5DFF3CE8-7A4F-4A87-9DA4-C660FF503609}"/>
    <cellStyle name="40% - Accent3 2 3 2 2 4" xfId="28226" xr:uid="{5772982A-087E-456E-9333-1B85A88240F4}"/>
    <cellStyle name="40% - Accent3 2 3 2 2 5" xfId="11353" xr:uid="{50FE503A-C1C6-4C87-B3EB-DFE3EF066BC1}"/>
    <cellStyle name="40% - Accent3 2 3 2 3" xfId="4987" xr:uid="{00000000-0005-0000-0000-00002F050000}"/>
    <cellStyle name="40% - Accent3 2 3 2 3 2" xfId="21864" xr:uid="{AC3D94E1-A1CA-40BC-806C-A1A22E7BAAC6}"/>
    <cellStyle name="40% - Accent3 2 3 2 3 3" xfId="30298" xr:uid="{D8A396D9-C45A-4CE1-98DD-CC1E6667FC71}"/>
    <cellStyle name="40% - Accent3 2 3 2 3 4" xfId="13426" xr:uid="{9D774001-E543-445D-8701-D71E9D1E1C82}"/>
    <cellStyle name="40% - Accent3 2 3 2 4" xfId="17646" xr:uid="{55E44CCE-B06F-4B89-9B12-3004879C7D0D}"/>
    <cellStyle name="40% - Accent3 2 3 2 5" xfId="26081" xr:uid="{D2B7F551-C56C-4B47-AA9D-1278DD47CA10}"/>
    <cellStyle name="40% - Accent3 2 3 2 6" xfId="9208" xr:uid="{94177CC0-0562-4E41-BC82-17DBF4162812}"/>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24422" xr:uid="{7D54D9C5-21E2-481E-A19B-3B17D0AD4BB9}"/>
    <cellStyle name="40% - Accent3 2 3 3 2 2 3" xfId="32856" xr:uid="{C66E2FFF-D067-4522-B30E-ECA316AFEF17}"/>
    <cellStyle name="40% - Accent3 2 3 3 2 2 4" xfId="15984" xr:uid="{89E4A95B-A2DA-462D-9403-015DF69EF637}"/>
    <cellStyle name="40% - Accent3 2 3 3 2 3" xfId="20204" xr:uid="{BE0583F6-2186-44D9-A806-FC0A3168B73C}"/>
    <cellStyle name="40% - Accent3 2 3 3 2 4" xfId="28639" xr:uid="{E79D7641-79AC-44FF-9F9E-51F015D02A47}"/>
    <cellStyle name="40% - Accent3 2 3 3 2 5" xfId="11766" xr:uid="{150B0613-BC53-4869-B94B-6354E1FD2B0C}"/>
    <cellStyle name="40% - Accent3 2 3 3 3" xfId="5400" xr:uid="{00000000-0005-0000-0000-000033050000}"/>
    <cellStyle name="40% - Accent3 2 3 3 3 2" xfId="22277" xr:uid="{4E6ED9BE-6104-416C-A529-8362061EB114}"/>
    <cellStyle name="40% - Accent3 2 3 3 3 3" xfId="30711" xr:uid="{1CD71A87-6EF6-41F4-8C6E-220699F7EF85}"/>
    <cellStyle name="40% - Accent3 2 3 3 3 4" xfId="13839" xr:uid="{97955F2F-5F54-4EBA-8CE2-2F9094A1C616}"/>
    <cellStyle name="40% - Accent3 2 3 3 4" xfId="18059" xr:uid="{6AE314E5-9970-4FE0-A2A1-A9890865E2C0}"/>
    <cellStyle name="40% - Accent3 2 3 3 5" xfId="26494" xr:uid="{E54B8AE2-2FB9-463C-BC27-406A50C9E316}"/>
    <cellStyle name="40% - Accent3 2 3 3 6" xfId="9621" xr:uid="{D9886BCD-5BD4-450C-844B-2B53A96CD305}"/>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24835" xr:uid="{A9ACC96B-6816-46CC-874C-BC8CF6DBE9C8}"/>
    <cellStyle name="40% - Accent3 2 3 4 2 2 3" xfId="33269" xr:uid="{860A6089-0106-4545-A083-650B1A0E7EEB}"/>
    <cellStyle name="40% - Accent3 2 3 4 2 2 4" xfId="16397" xr:uid="{BD401820-9756-463F-876D-8D4DF2291B39}"/>
    <cellStyle name="40% - Accent3 2 3 4 2 3" xfId="20617" xr:uid="{57EA1F85-CA1C-4937-8AFC-EE3E251AE40F}"/>
    <cellStyle name="40% - Accent3 2 3 4 2 4" xfId="29052" xr:uid="{AA517743-AA43-47E2-BC1B-B771FF4CDB7C}"/>
    <cellStyle name="40% - Accent3 2 3 4 2 5" xfId="12179" xr:uid="{582A0147-658D-4961-BDD9-A66BF5DC2AD1}"/>
    <cellStyle name="40% - Accent3 2 3 4 3" xfId="5813" xr:uid="{00000000-0005-0000-0000-000037050000}"/>
    <cellStyle name="40% - Accent3 2 3 4 3 2" xfId="22690" xr:uid="{01FC7BD4-29BA-4132-BA94-FF4E67BAFB67}"/>
    <cellStyle name="40% - Accent3 2 3 4 3 3" xfId="31124" xr:uid="{D8D1AD76-B9AE-45B5-8365-8C522710513A}"/>
    <cellStyle name="40% - Accent3 2 3 4 3 4" xfId="14252" xr:uid="{5E0A311A-725A-4615-8E22-DF28FC61AD33}"/>
    <cellStyle name="40% - Accent3 2 3 4 4" xfId="18472" xr:uid="{758FB9D2-88FA-413B-B5E0-B4B9EE20B33D}"/>
    <cellStyle name="40% - Accent3 2 3 4 5" xfId="26907" xr:uid="{72264840-7A48-4BCD-A5AF-19CD729C752B}"/>
    <cellStyle name="40% - Accent3 2 3 4 6" xfId="10034" xr:uid="{32499CBE-5128-40A9-8F31-4A6EA44CF4F7}"/>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25248" xr:uid="{413F0355-D5EE-4292-BD2F-8C3E27A79824}"/>
    <cellStyle name="40% - Accent3 2 3 5 2 2 3" xfId="33682" xr:uid="{5C9CD0C3-C224-4D7D-825C-EC941592D481}"/>
    <cellStyle name="40% - Accent3 2 3 5 2 2 4" xfId="16810" xr:uid="{C762C52A-A6CF-4AE8-BB27-769228E97609}"/>
    <cellStyle name="40% - Accent3 2 3 5 2 3" xfId="21030" xr:uid="{AEC1EF52-E07E-4979-81FA-589F358EF0E2}"/>
    <cellStyle name="40% - Accent3 2 3 5 2 4" xfId="29465" xr:uid="{A14A1657-A36D-40B4-8E31-07B37097BD2B}"/>
    <cellStyle name="40% - Accent3 2 3 5 2 5" xfId="12592" xr:uid="{92665722-D517-4F0A-BE91-EA9DEB63AAA8}"/>
    <cellStyle name="40% - Accent3 2 3 5 3" xfId="6226" xr:uid="{00000000-0005-0000-0000-00003B050000}"/>
    <cellStyle name="40% - Accent3 2 3 5 3 2" xfId="23103" xr:uid="{5806E830-40AC-450C-AC26-96845B7E0F27}"/>
    <cellStyle name="40% - Accent3 2 3 5 3 3" xfId="31537" xr:uid="{061F3F3D-EDDA-43EC-A0AF-EBE5778FD4CD}"/>
    <cellStyle name="40% - Accent3 2 3 5 3 4" xfId="14665" xr:uid="{79B09234-3514-4A61-AEB3-E7378457A30A}"/>
    <cellStyle name="40% - Accent3 2 3 5 4" xfId="18885" xr:uid="{B437CC45-60B8-419F-86C8-B3089F68EE40}"/>
    <cellStyle name="40% - Accent3 2 3 5 5" xfId="27320" xr:uid="{DA5DE99A-A571-4690-9E98-16239F612067}"/>
    <cellStyle name="40% - Accent3 2 3 5 6" xfId="10447" xr:uid="{288AF118-CCDA-4C6D-87C6-B3CCA03C5E9F}"/>
    <cellStyle name="40% - Accent3 2 3 6" xfId="2332" xr:uid="{00000000-0005-0000-0000-00003C050000}"/>
    <cellStyle name="40% - Accent3 2 3 6 2" xfId="6639" xr:uid="{00000000-0005-0000-0000-00003D050000}"/>
    <cellStyle name="40% - Accent3 2 3 6 2 2" xfId="23516" xr:uid="{6D62253C-4015-4CE3-9B38-245284B96356}"/>
    <cellStyle name="40% - Accent3 2 3 6 2 3" xfId="31950" xr:uid="{01C861B7-69E3-4B41-B8F3-0C024DD68ADF}"/>
    <cellStyle name="40% - Accent3 2 3 6 2 4" xfId="15078" xr:uid="{01FD71DA-8266-47F6-9C37-96A2E68C7C38}"/>
    <cellStyle name="40% - Accent3 2 3 6 3" xfId="19298" xr:uid="{93DE02F1-096E-47EC-AE57-17D3AB47EC02}"/>
    <cellStyle name="40% - Accent3 2 3 6 4" xfId="27733" xr:uid="{A98AC333-C017-4B95-BFB0-71FD38A5DDEA}"/>
    <cellStyle name="40% - Accent3 2 3 6 5" xfId="10860" xr:uid="{AC79F6BC-ED05-4131-BE19-BE16B3DDD3A1}"/>
    <cellStyle name="40% - Accent3 2 3 7" xfId="4573" xr:uid="{00000000-0005-0000-0000-00003E050000}"/>
    <cellStyle name="40% - Accent3 2 3 7 2" xfId="21450" xr:uid="{116B6F70-36A0-4413-95A7-856CEBB35966}"/>
    <cellStyle name="40% - Accent3 2 3 7 3" xfId="29884" xr:uid="{BE76E38F-E2C8-46DE-8356-12489A1A3889}"/>
    <cellStyle name="40% - Accent3 2 3 7 4" xfId="13012" xr:uid="{8E782D68-9832-4BC9-B17F-7B4E841E4F92}"/>
    <cellStyle name="40% - Accent3 2 3 8" xfId="17232" xr:uid="{7539E01D-EF3A-47E5-83F4-9891003C80BF}"/>
    <cellStyle name="40% - Accent3 2 3 9" xfId="25667" xr:uid="{6FA86C19-D512-4E55-8B1D-AEF9D7E91DD6}"/>
    <cellStyle name="40% - Accent3 2 4" xfId="635" xr:uid="{00000000-0005-0000-0000-00003F050000}"/>
    <cellStyle name="40% - Accent3 2 4 2" xfId="2906" xr:uid="{00000000-0005-0000-0000-000040050000}"/>
    <cellStyle name="40% - Accent3 2 4 2 2" xfId="7129" xr:uid="{00000000-0005-0000-0000-000041050000}"/>
    <cellStyle name="40% - Accent3 2 4 2 2 2" xfId="24006" xr:uid="{D613A520-FC48-4F78-8824-3C260E029FEE}"/>
    <cellStyle name="40% - Accent3 2 4 2 2 3" xfId="32440" xr:uid="{9C396496-FA1D-4136-BFAE-7EAC0542C795}"/>
    <cellStyle name="40% - Accent3 2 4 2 2 4" xfId="15568" xr:uid="{05266BE2-2DB9-4677-9FF5-CBEF87A3BDCA}"/>
    <cellStyle name="40% - Accent3 2 4 2 3" xfId="19788" xr:uid="{C58D74FE-AFE9-40C8-B2FC-3E0CD12553CA}"/>
    <cellStyle name="40% - Accent3 2 4 2 4" xfId="28223" xr:uid="{9A2A42F7-0D35-4E5A-A2AE-49BB945F71A6}"/>
    <cellStyle name="40% - Accent3 2 4 2 5" xfId="11350" xr:uid="{3EF0F466-A3FC-469B-917A-32061FD93EC4}"/>
    <cellStyle name="40% - Accent3 2 4 3" xfId="4984" xr:uid="{00000000-0005-0000-0000-000042050000}"/>
    <cellStyle name="40% - Accent3 2 4 3 2" xfId="21861" xr:uid="{5D0A01B4-CC4B-4201-83FE-13ADA475CB06}"/>
    <cellStyle name="40% - Accent3 2 4 3 3" xfId="30295" xr:uid="{71C1A78E-7ACA-4538-AEFA-44AF7BD6A29C}"/>
    <cellStyle name="40% - Accent3 2 4 3 4" xfId="13423" xr:uid="{46A04F1A-EC35-48C0-BC17-2C24639B8829}"/>
    <cellStyle name="40% - Accent3 2 4 4" xfId="17643" xr:uid="{115513D0-5DA1-4957-9040-274AE94432F9}"/>
    <cellStyle name="40% - Accent3 2 4 5" xfId="26078" xr:uid="{AF05016C-3908-4178-B055-D5BCE8109C8C}"/>
    <cellStyle name="40% - Accent3 2 4 6" xfId="9205" xr:uid="{CC91C89E-8BA1-4A92-A1A0-102FEF67CBDF}"/>
    <cellStyle name="40% - Accent3 2 5" xfId="1088" xr:uid="{00000000-0005-0000-0000-000043050000}"/>
    <cellStyle name="40% - Accent3 2 5 2" xfId="3319" xr:uid="{00000000-0005-0000-0000-000044050000}"/>
    <cellStyle name="40% - Accent3 2 5 2 2" xfId="7542" xr:uid="{00000000-0005-0000-0000-000045050000}"/>
    <cellStyle name="40% - Accent3 2 5 2 2 2" xfId="24419" xr:uid="{F10E5417-8BB9-40D0-AE55-2154DA668E01}"/>
    <cellStyle name="40% - Accent3 2 5 2 2 3" xfId="32853" xr:uid="{30C372B8-BA90-4B84-9833-CD9606ECD277}"/>
    <cellStyle name="40% - Accent3 2 5 2 2 4" xfId="15981" xr:uid="{46E21AA9-43DC-4A6E-A6E7-306DC15970AE}"/>
    <cellStyle name="40% - Accent3 2 5 2 3" xfId="20201" xr:uid="{FF70E1D0-6ED8-4455-ADAF-94762D0E7D9C}"/>
    <cellStyle name="40% - Accent3 2 5 2 4" xfId="28636" xr:uid="{69C3C95C-B02C-4E30-BF95-CD390D27867F}"/>
    <cellStyle name="40% - Accent3 2 5 2 5" xfId="11763" xr:uid="{92027A95-B6D3-4018-896B-6EED9FECBF23}"/>
    <cellStyle name="40% - Accent3 2 5 3" xfId="5397" xr:uid="{00000000-0005-0000-0000-000046050000}"/>
    <cellStyle name="40% - Accent3 2 5 3 2" xfId="22274" xr:uid="{9324AF82-EEAC-4507-B25F-3E064E1C9FBD}"/>
    <cellStyle name="40% - Accent3 2 5 3 3" xfId="30708" xr:uid="{11995ABE-61B9-41D0-9F3C-3593BD90C638}"/>
    <cellStyle name="40% - Accent3 2 5 3 4" xfId="13836" xr:uid="{1060B8AD-075C-449F-8CBA-447F57941D18}"/>
    <cellStyle name="40% - Accent3 2 5 4" xfId="18056" xr:uid="{48688C14-DA96-4CB4-9374-75EE1B60CBC5}"/>
    <cellStyle name="40% - Accent3 2 5 5" xfId="26491" xr:uid="{F66D77F2-DDEB-460F-8EAA-54B255DE5089}"/>
    <cellStyle name="40% - Accent3 2 5 6" xfId="9618" xr:uid="{B9757C98-7CEC-4951-9AD1-6B3D9DE61646}"/>
    <cellStyle name="40% - Accent3 2 6" xfId="1502" xr:uid="{00000000-0005-0000-0000-000047050000}"/>
    <cellStyle name="40% - Accent3 2 6 2" xfId="3732" xr:uid="{00000000-0005-0000-0000-000048050000}"/>
    <cellStyle name="40% - Accent3 2 6 2 2" xfId="7955" xr:uid="{00000000-0005-0000-0000-000049050000}"/>
    <cellStyle name="40% - Accent3 2 6 2 2 2" xfId="24832" xr:uid="{36D0AA33-20A6-4B50-9B02-C6A1B71A25DE}"/>
    <cellStyle name="40% - Accent3 2 6 2 2 3" xfId="33266" xr:uid="{4BD6A1D0-A90E-4809-982E-7EA4BD9334B6}"/>
    <cellStyle name="40% - Accent3 2 6 2 2 4" xfId="16394" xr:uid="{2EFB141E-5F52-440C-B3AB-D6CFF555BB84}"/>
    <cellStyle name="40% - Accent3 2 6 2 3" xfId="20614" xr:uid="{F50CCDC8-5806-4997-9BBD-E97172F020D3}"/>
    <cellStyle name="40% - Accent3 2 6 2 4" xfId="29049" xr:uid="{86FAC18C-2FC4-48D8-BAFA-6B5F4EE3240F}"/>
    <cellStyle name="40% - Accent3 2 6 2 5" xfId="12176" xr:uid="{C81097E7-5B8B-48CC-8C6B-724D40DC5A7A}"/>
    <cellStyle name="40% - Accent3 2 6 3" xfId="5810" xr:uid="{00000000-0005-0000-0000-00004A050000}"/>
    <cellStyle name="40% - Accent3 2 6 3 2" xfId="22687" xr:uid="{C31B0A3D-ECF1-4692-A189-7D93F37CE5B4}"/>
    <cellStyle name="40% - Accent3 2 6 3 3" xfId="31121" xr:uid="{168BF76A-54E2-4EB5-877A-9AF2970C6EC9}"/>
    <cellStyle name="40% - Accent3 2 6 3 4" xfId="14249" xr:uid="{BD944A69-F951-4118-8FCF-340386119D29}"/>
    <cellStyle name="40% - Accent3 2 6 4" xfId="18469" xr:uid="{EB0AE793-8654-4D90-AE93-5EAE0947085F}"/>
    <cellStyle name="40% - Accent3 2 6 5" xfId="26904" xr:uid="{5840946A-94DA-4941-9029-DA72EC0534E5}"/>
    <cellStyle name="40% - Accent3 2 6 6" xfId="10031" xr:uid="{DDDC24D6-887C-4E1C-B38B-AD488318A733}"/>
    <cellStyle name="40% - Accent3 2 7" xfId="1916" xr:uid="{00000000-0005-0000-0000-00004B050000}"/>
    <cellStyle name="40% - Accent3 2 7 2" xfId="4145" xr:uid="{00000000-0005-0000-0000-00004C050000}"/>
    <cellStyle name="40% - Accent3 2 7 2 2" xfId="8368" xr:uid="{00000000-0005-0000-0000-00004D050000}"/>
    <cellStyle name="40% - Accent3 2 7 2 2 2" xfId="25245" xr:uid="{AE2EFBF1-9B89-4E1F-B607-339C5F7A7B84}"/>
    <cellStyle name="40% - Accent3 2 7 2 2 3" xfId="33679" xr:uid="{350DBD41-EF17-42A8-A5EE-2D684CC5F5D3}"/>
    <cellStyle name="40% - Accent3 2 7 2 2 4" xfId="16807" xr:uid="{B3F9F9EC-DD48-40C4-935E-3C94876DFED7}"/>
    <cellStyle name="40% - Accent3 2 7 2 3" xfId="21027" xr:uid="{ECE6FD78-EA32-48BA-8274-A0B6D1458EB9}"/>
    <cellStyle name="40% - Accent3 2 7 2 4" xfId="29462" xr:uid="{C9A1730D-EB09-412D-BDF2-C892ADE2DA99}"/>
    <cellStyle name="40% - Accent3 2 7 2 5" xfId="12589" xr:uid="{8C6E272E-013A-446D-BEE2-C980AE46FE96}"/>
    <cellStyle name="40% - Accent3 2 7 3" xfId="6223" xr:uid="{00000000-0005-0000-0000-00004E050000}"/>
    <cellStyle name="40% - Accent3 2 7 3 2" xfId="23100" xr:uid="{C595D7FB-4B74-4DA9-AE3E-FD3A50B03A8E}"/>
    <cellStyle name="40% - Accent3 2 7 3 3" xfId="31534" xr:uid="{C906F1AC-427A-4D27-A5A0-683DCA22DF35}"/>
    <cellStyle name="40% - Accent3 2 7 3 4" xfId="14662" xr:uid="{E236509E-EC35-4A6E-B266-5DF46630DB1C}"/>
    <cellStyle name="40% - Accent3 2 7 4" xfId="18882" xr:uid="{82068D86-5739-408D-B956-B50107F1CFED}"/>
    <cellStyle name="40% - Accent3 2 7 5" xfId="27317" xr:uid="{58C4E539-B264-4ABB-B5B6-FECFB94011D5}"/>
    <cellStyle name="40% - Accent3 2 7 6" xfId="10444" xr:uid="{7EC3ABD6-218E-4C8D-A6BE-4F552B2A0A31}"/>
    <cellStyle name="40% - Accent3 2 8" xfId="2329" xr:uid="{00000000-0005-0000-0000-00004F050000}"/>
    <cellStyle name="40% - Accent3 2 8 2" xfId="6636" xr:uid="{00000000-0005-0000-0000-000050050000}"/>
    <cellStyle name="40% - Accent3 2 8 2 2" xfId="23513" xr:uid="{314D84FE-1A9F-4E3F-94D2-AB5B2E7182A4}"/>
    <cellStyle name="40% - Accent3 2 8 2 3" xfId="31947" xr:uid="{10300230-7A04-46BE-8527-FFEF7BFCED08}"/>
    <cellStyle name="40% - Accent3 2 8 2 4" xfId="15075" xr:uid="{B6CFAA13-C4D4-4602-A0B3-7F9678310AFA}"/>
    <cellStyle name="40% - Accent3 2 8 3" xfId="19295" xr:uid="{15EC7618-DCC9-4547-A2A8-71E6D6940671}"/>
    <cellStyle name="40% - Accent3 2 8 4" xfId="27730" xr:uid="{0A02F92F-F1E5-4F07-AA2B-7EA19B9CA92F}"/>
    <cellStyle name="40% - Accent3 2 8 5" xfId="10857" xr:uid="{795C7BFB-47DC-42F3-9D3B-4DB734E9C37F}"/>
    <cellStyle name="40% - Accent3 2 9" xfId="4570" xr:uid="{00000000-0005-0000-0000-000051050000}"/>
    <cellStyle name="40% - Accent3 2 9 2" xfId="21447" xr:uid="{5A5E86AD-5D0C-4C52-9A2E-9F726F9EA48C}"/>
    <cellStyle name="40% - Accent3 2 9 3" xfId="29881" xr:uid="{0BD8A58A-5157-403E-A17E-46114B923613}"/>
    <cellStyle name="40% - Accent3 2 9 4" xfId="13009" xr:uid="{7EC38844-72AE-43BF-95B3-37E74E3EECC2}"/>
    <cellStyle name="40% - Accent3 3" xfId="70" xr:uid="{00000000-0005-0000-0000-000052050000}"/>
    <cellStyle name="40% - Accent3 3 10" xfId="25668" xr:uid="{2E52FDFE-11A9-42FC-9FEF-EB1B7F55424A}"/>
    <cellStyle name="40% - Accent3 3 11" xfId="8795" xr:uid="{B26C422A-1CFD-4DD8-AAD2-3A9C5CCEE293}"/>
    <cellStyle name="40% - Accent3 3 2" xfId="71" xr:uid="{00000000-0005-0000-0000-000053050000}"/>
    <cellStyle name="40% - Accent3 3 2 10" xfId="8796" xr:uid="{05C91140-74C6-4A6C-A18D-067052439BFF}"/>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24011" xr:uid="{A4EA4A98-4DC6-427A-9E28-96A56BA17DCD}"/>
    <cellStyle name="40% - Accent3 3 2 2 2 2 3" xfId="32445" xr:uid="{048C74B7-EFB2-4E6B-A319-FE5262C30891}"/>
    <cellStyle name="40% - Accent3 3 2 2 2 2 4" xfId="15573" xr:uid="{77D89877-41DD-4AB5-9D1C-5F66FFB71926}"/>
    <cellStyle name="40% - Accent3 3 2 2 2 3" xfId="19793" xr:uid="{4069F55B-1B9D-477F-8A57-A88902CC2050}"/>
    <cellStyle name="40% - Accent3 3 2 2 2 4" xfId="28228" xr:uid="{2C6C466D-D4C9-4810-AA52-7224794F4810}"/>
    <cellStyle name="40% - Accent3 3 2 2 2 5" xfId="11355" xr:uid="{1723539D-CDB9-4257-93C8-8BDF609FF176}"/>
    <cellStyle name="40% - Accent3 3 2 2 3" xfId="4989" xr:uid="{00000000-0005-0000-0000-000057050000}"/>
    <cellStyle name="40% - Accent3 3 2 2 3 2" xfId="21866" xr:uid="{8C3CA685-169D-4B2E-8200-61177E15AA8B}"/>
    <cellStyle name="40% - Accent3 3 2 2 3 3" xfId="30300" xr:uid="{000E1ECF-E1A8-452E-AA4C-CEF1C949780B}"/>
    <cellStyle name="40% - Accent3 3 2 2 3 4" xfId="13428" xr:uid="{3B03D96C-3ADE-4753-931E-CF15EA1837AC}"/>
    <cellStyle name="40% - Accent3 3 2 2 4" xfId="17648" xr:uid="{8B1F8BE0-C66E-4C60-8077-7DEE077BAEC2}"/>
    <cellStyle name="40% - Accent3 3 2 2 5" xfId="26083" xr:uid="{F6AEFAC1-6CED-4084-B729-3E64ACAA48C4}"/>
    <cellStyle name="40% - Accent3 3 2 2 6" xfId="9210" xr:uid="{8C179BE0-5D1B-42E2-8001-3C68DD4FA20D}"/>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24424" xr:uid="{5E8B3221-43A7-4825-8288-A2E2350F0DF4}"/>
    <cellStyle name="40% - Accent3 3 2 3 2 2 3" xfId="32858" xr:uid="{CECB8208-B87E-4240-ACE0-02D1B87AF61E}"/>
    <cellStyle name="40% - Accent3 3 2 3 2 2 4" xfId="15986" xr:uid="{1725AE4B-17CF-4655-822A-321EDE4FE418}"/>
    <cellStyle name="40% - Accent3 3 2 3 2 3" xfId="20206" xr:uid="{2230FAAF-2E93-40CE-8703-6A69C6663D0E}"/>
    <cellStyle name="40% - Accent3 3 2 3 2 4" xfId="28641" xr:uid="{37507E9E-03B4-40EC-A9DF-E6161486D010}"/>
    <cellStyle name="40% - Accent3 3 2 3 2 5" xfId="11768" xr:uid="{EA969DC4-1DDC-4922-9700-790CB9F20AD8}"/>
    <cellStyle name="40% - Accent3 3 2 3 3" xfId="5402" xr:uid="{00000000-0005-0000-0000-00005B050000}"/>
    <cellStyle name="40% - Accent3 3 2 3 3 2" xfId="22279" xr:uid="{BF069D8E-72A0-4118-8175-02041A8A8B12}"/>
    <cellStyle name="40% - Accent3 3 2 3 3 3" xfId="30713" xr:uid="{D7E74F04-ED6A-4D9C-AF29-F2EB994CEF07}"/>
    <cellStyle name="40% - Accent3 3 2 3 3 4" xfId="13841" xr:uid="{6EEAB1CE-5695-41E4-B308-A683191F2089}"/>
    <cellStyle name="40% - Accent3 3 2 3 4" xfId="18061" xr:uid="{A21A0C67-51D3-4926-B17B-6D1CE1513083}"/>
    <cellStyle name="40% - Accent3 3 2 3 5" xfId="26496" xr:uid="{3EDD2885-FF44-44D4-8ABD-B456EE380182}"/>
    <cellStyle name="40% - Accent3 3 2 3 6" xfId="9623" xr:uid="{E4C207F3-5320-45FD-A1F3-96840E59AB8B}"/>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24837" xr:uid="{CFC6DBE3-654B-4CFA-895C-75129CA31CAA}"/>
    <cellStyle name="40% - Accent3 3 2 4 2 2 3" xfId="33271" xr:uid="{860938CE-744E-4160-8F6C-7DF6BB16E04F}"/>
    <cellStyle name="40% - Accent3 3 2 4 2 2 4" xfId="16399" xr:uid="{7730E2B7-25AB-4E2E-AA9D-FFD46BB36608}"/>
    <cellStyle name="40% - Accent3 3 2 4 2 3" xfId="20619" xr:uid="{4A30B252-B822-44D9-9512-EBAF3F74EB5D}"/>
    <cellStyle name="40% - Accent3 3 2 4 2 4" xfId="29054" xr:uid="{0F4CA9F2-B83F-4849-864A-82209F1B7505}"/>
    <cellStyle name="40% - Accent3 3 2 4 2 5" xfId="12181" xr:uid="{48EBEF6E-5BD6-4BB7-9B9F-91CA0470BFAF}"/>
    <cellStyle name="40% - Accent3 3 2 4 3" xfId="5815" xr:uid="{00000000-0005-0000-0000-00005F050000}"/>
    <cellStyle name="40% - Accent3 3 2 4 3 2" xfId="22692" xr:uid="{6A0A777F-DE85-42A8-AB75-7DCCF77015E1}"/>
    <cellStyle name="40% - Accent3 3 2 4 3 3" xfId="31126" xr:uid="{4A4F748E-6184-4CDA-99FB-61BDFF768E81}"/>
    <cellStyle name="40% - Accent3 3 2 4 3 4" xfId="14254" xr:uid="{FB2240E1-AE9B-46F0-9077-44EFAF74CD0B}"/>
    <cellStyle name="40% - Accent3 3 2 4 4" xfId="18474" xr:uid="{F013F5C1-083B-44DD-9886-081A95A65FA2}"/>
    <cellStyle name="40% - Accent3 3 2 4 5" xfId="26909" xr:uid="{91BF2912-5FD6-4E96-921F-E0ABC9ED72E8}"/>
    <cellStyle name="40% - Accent3 3 2 4 6" xfId="10036" xr:uid="{92C77562-0DC7-4F0D-B16F-11CB198B873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25250" xr:uid="{5F3F63C0-5D00-4406-BBC6-7EFAD814F599}"/>
    <cellStyle name="40% - Accent3 3 2 5 2 2 3" xfId="33684" xr:uid="{3D7E48E4-9AD6-468B-9605-05776A947558}"/>
    <cellStyle name="40% - Accent3 3 2 5 2 2 4" xfId="16812" xr:uid="{BF094E4F-6B95-4163-AE91-48158ECDEA59}"/>
    <cellStyle name="40% - Accent3 3 2 5 2 3" xfId="21032" xr:uid="{46F8F19F-48FF-4C89-95E3-6265B1F61340}"/>
    <cellStyle name="40% - Accent3 3 2 5 2 4" xfId="29467" xr:uid="{FDB525E5-0F59-4616-9680-14B238D16BEE}"/>
    <cellStyle name="40% - Accent3 3 2 5 2 5" xfId="12594" xr:uid="{DC310F37-1FB6-4FC2-8DF2-CDAF57ADEC74}"/>
    <cellStyle name="40% - Accent3 3 2 5 3" xfId="6228" xr:uid="{00000000-0005-0000-0000-000063050000}"/>
    <cellStyle name="40% - Accent3 3 2 5 3 2" xfId="23105" xr:uid="{AA1DBB79-241F-4159-8695-9221B47AF3FA}"/>
    <cellStyle name="40% - Accent3 3 2 5 3 3" xfId="31539" xr:uid="{D10271A9-CA61-4804-A328-4A17A76AB9AB}"/>
    <cellStyle name="40% - Accent3 3 2 5 3 4" xfId="14667" xr:uid="{0BA9A89C-3D77-46FB-B960-531AC6C198C7}"/>
    <cellStyle name="40% - Accent3 3 2 5 4" xfId="18887" xr:uid="{D3ABC4D1-4D73-4D94-9D5D-E65960FB3103}"/>
    <cellStyle name="40% - Accent3 3 2 5 5" xfId="27322" xr:uid="{413E301F-042A-440B-A604-4B9923BEF269}"/>
    <cellStyle name="40% - Accent3 3 2 5 6" xfId="10449" xr:uid="{C1D1D05C-E356-456F-8293-6E31643A4059}"/>
    <cellStyle name="40% - Accent3 3 2 6" xfId="2334" xr:uid="{00000000-0005-0000-0000-000064050000}"/>
    <cellStyle name="40% - Accent3 3 2 6 2" xfId="6641" xr:uid="{00000000-0005-0000-0000-000065050000}"/>
    <cellStyle name="40% - Accent3 3 2 6 2 2" xfId="23518" xr:uid="{65974E75-5403-463D-BFBF-7753C36C7872}"/>
    <cellStyle name="40% - Accent3 3 2 6 2 3" xfId="31952" xr:uid="{C4E7EE5A-5F18-4D06-B0E5-C08B0834F3DE}"/>
    <cellStyle name="40% - Accent3 3 2 6 2 4" xfId="15080" xr:uid="{A051F041-2586-46B0-B69C-D9F1B50CA00D}"/>
    <cellStyle name="40% - Accent3 3 2 6 3" xfId="19300" xr:uid="{8930CB88-EDB1-4C96-A46D-826A6E9C7556}"/>
    <cellStyle name="40% - Accent3 3 2 6 4" xfId="27735" xr:uid="{E00222D3-50C2-4B2B-AA35-C4842C610D37}"/>
    <cellStyle name="40% - Accent3 3 2 6 5" xfId="10862" xr:uid="{EC10FD9A-3DA2-4611-8F17-AAED39CAA19B}"/>
    <cellStyle name="40% - Accent3 3 2 7" xfId="4575" xr:uid="{00000000-0005-0000-0000-000066050000}"/>
    <cellStyle name="40% - Accent3 3 2 7 2" xfId="21452" xr:uid="{E419B03D-33EC-4A0B-9756-68A54184058C}"/>
    <cellStyle name="40% - Accent3 3 2 7 3" xfId="29886" xr:uid="{76F40A0D-3E78-4753-879C-B8B089E079AB}"/>
    <cellStyle name="40% - Accent3 3 2 7 4" xfId="13014" xr:uid="{806B69DF-CBBC-4FBC-B755-56AFFB4EFE15}"/>
    <cellStyle name="40% - Accent3 3 2 8" xfId="17234" xr:uid="{4FF705AF-091A-45B3-8EA8-F532589EA7B9}"/>
    <cellStyle name="40% - Accent3 3 2 9" xfId="25669" xr:uid="{CDC6772F-1522-49CA-AEF3-71BC4142BC99}"/>
    <cellStyle name="40% - Accent3 3 3" xfId="639" xr:uid="{00000000-0005-0000-0000-000067050000}"/>
    <cellStyle name="40% - Accent3 3 3 2" xfId="2910" xr:uid="{00000000-0005-0000-0000-000068050000}"/>
    <cellStyle name="40% - Accent3 3 3 2 2" xfId="7133" xr:uid="{00000000-0005-0000-0000-000069050000}"/>
    <cellStyle name="40% - Accent3 3 3 2 2 2" xfId="24010" xr:uid="{CC511E1F-2790-4023-845C-816E1AE102AC}"/>
    <cellStyle name="40% - Accent3 3 3 2 2 3" xfId="32444" xr:uid="{81C0F90C-2AC9-4D2D-AC65-73C5706CAFCE}"/>
    <cellStyle name="40% - Accent3 3 3 2 2 4" xfId="15572" xr:uid="{D272CCB1-D8C6-4646-BCAA-CD12FB055A7F}"/>
    <cellStyle name="40% - Accent3 3 3 2 3" xfId="19792" xr:uid="{967A1969-3985-47CF-8590-7E0BF6D13160}"/>
    <cellStyle name="40% - Accent3 3 3 2 4" xfId="28227" xr:uid="{63A0E3EB-B10C-44F5-917D-382034C878F8}"/>
    <cellStyle name="40% - Accent3 3 3 2 5" xfId="11354" xr:uid="{41E03446-379D-43EF-930D-18F16CFC26BB}"/>
    <cellStyle name="40% - Accent3 3 3 3" xfId="4988" xr:uid="{00000000-0005-0000-0000-00006A050000}"/>
    <cellStyle name="40% - Accent3 3 3 3 2" xfId="21865" xr:uid="{17E6B3AB-7B86-4EB5-9C7B-72E93F558689}"/>
    <cellStyle name="40% - Accent3 3 3 3 3" xfId="30299" xr:uid="{F49CE673-BB8D-47CA-9BBC-E1D9350934C0}"/>
    <cellStyle name="40% - Accent3 3 3 3 4" xfId="13427" xr:uid="{D8D8D4C3-B260-4854-A938-C89D7C7587DF}"/>
    <cellStyle name="40% - Accent3 3 3 4" xfId="17647" xr:uid="{362D64F6-8CB8-48EB-8288-ABA8956711C2}"/>
    <cellStyle name="40% - Accent3 3 3 5" xfId="26082" xr:uid="{975013C3-4197-4AEA-A747-9FC676B7FFB3}"/>
    <cellStyle name="40% - Accent3 3 3 6" xfId="9209" xr:uid="{82D195E1-F063-4C78-BAE5-8613DC652045}"/>
    <cellStyle name="40% - Accent3 3 4" xfId="1092" xr:uid="{00000000-0005-0000-0000-00006B050000}"/>
    <cellStyle name="40% - Accent3 3 4 2" xfId="3323" xr:uid="{00000000-0005-0000-0000-00006C050000}"/>
    <cellStyle name="40% - Accent3 3 4 2 2" xfId="7546" xr:uid="{00000000-0005-0000-0000-00006D050000}"/>
    <cellStyle name="40% - Accent3 3 4 2 2 2" xfId="24423" xr:uid="{0B08E15D-3FAE-4B2C-B4DB-C3BDEF966F28}"/>
    <cellStyle name="40% - Accent3 3 4 2 2 3" xfId="32857" xr:uid="{11155AAB-F1AF-4C28-B4D1-D8D337849716}"/>
    <cellStyle name="40% - Accent3 3 4 2 2 4" xfId="15985" xr:uid="{73902EEB-8165-427F-AD9D-DA9994C73BC0}"/>
    <cellStyle name="40% - Accent3 3 4 2 3" xfId="20205" xr:uid="{33EBACE9-D969-4330-B9E1-8075FCDAB0AA}"/>
    <cellStyle name="40% - Accent3 3 4 2 4" xfId="28640" xr:uid="{B6FAA824-9E57-4E19-8E6B-991D034092F4}"/>
    <cellStyle name="40% - Accent3 3 4 2 5" xfId="11767" xr:uid="{8C90E87A-9D58-4E0B-BD26-948FCAA2013B}"/>
    <cellStyle name="40% - Accent3 3 4 3" xfId="5401" xr:uid="{00000000-0005-0000-0000-00006E050000}"/>
    <cellStyle name="40% - Accent3 3 4 3 2" xfId="22278" xr:uid="{8B4F9567-5742-4391-89ED-10CE2BC69557}"/>
    <cellStyle name="40% - Accent3 3 4 3 3" xfId="30712" xr:uid="{28DA84EA-73CF-4595-985E-A7F25DD07422}"/>
    <cellStyle name="40% - Accent3 3 4 3 4" xfId="13840" xr:uid="{E81F0DF3-9B44-48A3-A796-C0EF454E117A}"/>
    <cellStyle name="40% - Accent3 3 4 4" xfId="18060" xr:uid="{A9B3D8D9-DE7A-4588-8F48-DA6A32F64419}"/>
    <cellStyle name="40% - Accent3 3 4 5" xfId="26495" xr:uid="{0F24F0EA-844E-4D3D-93FE-28B0D4BD75F7}"/>
    <cellStyle name="40% - Accent3 3 4 6" xfId="9622" xr:uid="{7AABDD27-093B-4322-AA92-0FED72022F2D}"/>
    <cellStyle name="40% - Accent3 3 5" xfId="1506" xr:uid="{00000000-0005-0000-0000-00006F050000}"/>
    <cellStyle name="40% - Accent3 3 5 2" xfId="3736" xr:uid="{00000000-0005-0000-0000-000070050000}"/>
    <cellStyle name="40% - Accent3 3 5 2 2" xfId="7959" xr:uid="{00000000-0005-0000-0000-000071050000}"/>
    <cellStyle name="40% - Accent3 3 5 2 2 2" xfId="24836" xr:uid="{87DDC5A0-4CB1-45FC-899C-8F735B9F2BC3}"/>
    <cellStyle name="40% - Accent3 3 5 2 2 3" xfId="33270" xr:uid="{5EE82D98-3FD2-4047-9A32-800D8B7DB504}"/>
    <cellStyle name="40% - Accent3 3 5 2 2 4" xfId="16398" xr:uid="{A7945394-B058-4401-83B7-064419B93A2C}"/>
    <cellStyle name="40% - Accent3 3 5 2 3" xfId="20618" xr:uid="{BEA443BC-52DE-4921-9F4D-C2DFF5780BE9}"/>
    <cellStyle name="40% - Accent3 3 5 2 4" xfId="29053" xr:uid="{8E05647C-3E62-4916-97C4-15A17D5F9E0B}"/>
    <cellStyle name="40% - Accent3 3 5 2 5" xfId="12180" xr:uid="{CC54CA96-1489-4346-84F6-9E1B58696304}"/>
    <cellStyle name="40% - Accent3 3 5 3" xfId="5814" xr:uid="{00000000-0005-0000-0000-000072050000}"/>
    <cellStyle name="40% - Accent3 3 5 3 2" xfId="22691" xr:uid="{3FFC6FE4-3295-46C0-87EB-0AE22136D3E1}"/>
    <cellStyle name="40% - Accent3 3 5 3 3" xfId="31125" xr:uid="{D9AA5607-0747-4A59-9112-909E07109C52}"/>
    <cellStyle name="40% - Accent3 3 5 3 4" xfId="14253" xr:uid="{975FBCD7-1332-41B6-AC28-37E516C35196}"/>
    <cellStyle name="40% - Accent3 3 5 4" xfId="18473" xr:uid="{D496D7A1-DDE2-4B89-A035-1CD18AFDF1AE}"/>
    <cellStyle name="40% - Accent3 3 5 5" xfId="26908" xr:uid="{BED49121-3791-462A-9DF9-AADDCB5A92E8}"/>
    <cellStyle name="40% - Accent3 3 5 6" xfId="10035" xr:uid="{1B5C3236-DC7B-4A9A-9723-257FE5C4419A}"/>
    <cellStyle name="40% - Accent3 3 6" xfId="1920" xr:uid="{00000000-0005-0000-0000-000073050000}"/>
    <cellStyle name="40% - Accent3 3 6 2" xfId="4149" xr:uid="{00000000-0005-0000-0000-000074050000}"/>
    <cellStyle name="40% - Accent3 3 6 2 2" xfId="8372" xr:uid="{00000000-0005-0000-0000-000075050000}"/>
    <cellStyle name="40% - Accent3 3 6 2 2 2" xfId="25249" xr:uid="{38BA2338-8BC8-4995-BF7D-89480AB6C89E}"/>
    <cellStyle name="40% - Accent3 3 6 2 2 3" xfId="33683" xr:uid="{C0A78135-6463-4D8B-B687-697E74ABD48B}"/>
    <cellStyle name="40% - Accent3 3 6 2 2 4" xfId="16811" xr:uid="{D1D2FAF0-6A6C-45B6-BECF-4C47B09B95D9}"/>
    <cellStyle name="40% - Accent3 3 6 2 3" xfId="21031" xr:uid="{7E572BB5-BBBF-40B5-BC58-1F8076163B4D}"/>
    <cellStyle name="40% - Accent3 3 6 2 4" xfId="29466" xr:uid="{B09D9A81-4F75-4097-B0F1-C52808906BD8}"/>
    <cellStyle name="40% - Accent3 3 6 2 5" xfId="12593" xr:uid="{E5023732-1E61-4396-977D-93AD021B56D3}"/>
    <cellStyle name="40% - Accent3 3 6 3" xfId="6227" xr:uid="{00000000-0005-0000-0000-000076050000}"/>
    <cellStyle name="40% - Accent3 3 6 3 2" xfId="23104" xr:uid="{677147A4-1BBF-4575-857F-6A6078F5D159}"/>
    <cellStyle name="40% - Accent3 3 6 3 3" xfId="31538" xr:uid="{98CA8049-AD9F-478A-97A4-8F8BB3F4B315}"/>
    <cellStyle name="40% - Accent3 3 6 3 4" xfId="14666" xr:uid="{7EF6AFBE-0326-4304-AA76-27E6E75E0B0E}"/>
    <cellStyle name="40% - Accent3 3 6 4" xfId="18886" xr:uid="{3DE571EF-4778-42CC-9428-16440564D501}"/>
    <cellStyle name="40% - Accent3 3 6 5" xfId="27321" xr:uid="{775A9774-4BA1-4B85-BFB2-8D4C20FBE80E}"/>
    <cellStyle name="40% - Accent3 3 6 6" xfId="10448" xr:uid="{A248FAD1-E05F-4D65-86C8-2D80ACBF2D4E}"/>
    <cellStyle name="40% - Accent3 3 7" xfId="2333" xr:uid="{00000000-0005-0000-0000-000077050000}"/>
    <cellStyle name="40% - Accent3 3 7 2" xfId="6640" xr:uid="{00000000-0005-0000-0000-000078050000}"/>
    <cellStyle name="40% - Accent3 3 7 2 2" xfId="23517" xr:uid="{E07B6245-1713-4671-AC24-149D477D4A95}"/>
    <cellStyle name="40% - Accent3 3 7 2 3" xfId="31951" xr:uid="{21341E8F-166B-41E2-AB68-CE5FC51B1ED7}"/>
    <cellStyle name="40% - Accent3 3 7 2 4" xfId="15079" xr:uid="{9870870F-72EC-46C0-A5A8-1FE00B152E87}"/>
    <cellStyle name="40% - Accent3 3 7 3" xfId="19299" xr:uid="{6348AAD5-92B4-4E61-9191-A4353104BD3A}"/>
    <cellStyle name="40% - Accent3 3 7 4" xfId="27734" xr:uid="{C421D973-69DB-48A1-BB0F-41A4A13BCF7F}"/>
    <cellStyle name="40% - Accent3 3 7 5" xfId="10861" xr:uid="{4AE12CE1-BEE0-4B39-AF74-35392D8DC446}"/>
    <cellStyle name="40% - Accent3 3 8" xfId="4574" xr:uid="{00000000-0005-0000-0000-000079050000}"/>
    <cellStyle name="40% - Accent3 3 8 2" xfId="21451" xr:uid="{7B14D770-19DE-4DE8-9D27-64AA3A734F65}"/>
    <cellStyle name="40% - Accent3 3 8 3" xfId="29885" xr:uid="{84604ECB-AD13-4FD7-9BAA-B9C3E2579DD1}"/>
    <cellStyle name="40% - Accent3 3 8 4" xfId="13013" xr:uid="{5ED60659-8DBF-46D6-B97C-5BD3185FD585}"/>
    <cellStyle name="40% - Accent3 3 9" xfId="17233" xr:uid="{DC642701-9594-478E-840E-F1ADE16E2293}"/>
    <cellStyle name="40% - Accent3 4" xfId="72" xr:uid="{00000000-0005-0000-0000-00007A050000}"/>
    <cellStyle name="40% - Accent3 4 10" xfId="8797" xr:uid="{C6C80EEF-CCC1-477B-8181-635EB84A346B}"/>
    <cellStyle name="40% - Accent3 4 2" xfId="641" xr:uid="{00000000-0005-0000-0000-00007B050000}"/>
    <cellStyle name="40% - Accent3 4 2 2" xfId="2912" xr:uid="{00000000-0005-0000-0000-00007C050000}"/>
    <cellStyle name="40% - Accent3 4 2 2 2" xfId="7135" xr:uid="{00000000-0005-0000-0000-00007D050000}"/>
    <cellStyle name="40% - Accent3 4 2 2 2 2" xfId="24012" xr:uid="{798A7CEA-0E3F-43B1-8C50-AEF2D8E81070}"/>
    <cellStyle name="40% - Accent3 4 2 2 2 3" xfId="32446" xr:uid="{1589A312-BFED-4BBC-BAC5-2A2977A8E089}"/>
    <cellStyle name="40% - Accent3 4 2 2 2 4" xfId="15574" xr:uid="{88998FF3-AEC5-48EF-90A3-3D90952FCC0F}"/>
    <cellStyle name="40% - Accent3 4 2 2 3" xfId="19794" xr:uid="{452107BF-6113-47EE-BAA4-A719AEE5E3F5}"/>
    <cellStyle name="40% - Accent3 4 2 2 4" xfId="28229" xr:uid="{9B6CB9FB-7C20-4EFF-8B85-66240C89079C}"/>
    <cellStyle name="40% - Accent3 4 2 2 5" xfId="11356" xr:uid="{3D717B88-00F7-4167-A08E-3BC72698146C}"/>
    <cellStyle name="40% - Accent3 4 2 3" xfId="4990" xr:uid="{00000000-0005-0000-0000-00007E050000}"/>
    <cellStyle name="40% - Accent3 4 2 3 2" xfId="21867" xr:uid="{AE6D2C54-7366-4C45-B1AD-B5B5E9ECFB66}"/>
    <cellStyle name="40% - Accent3 4 2 3 3" xfId="30301" xr:uid="{B562ED40-24C3-4E5D-855F-FCC990EA8198}"/>
    <cellStyle name="40% - Accent3 4 2 3 4" xfId="13429" xr:uid="{7038BEFA-4DA4-4130-A827-5FF10CC3EE33}"/>
    <cellStyle name="40% - Accent3 4 2 4" xfId="17649" xr:uid="{D5029ED4-DCA4-428E-BA92-B817EF4352D0}"/>
    <cellStyle name="40% - Accent3 4 2 5" xfId="26084" xr:uid="{371F51AD-2C08-465E-9846-C0468FE3BE65}"/>
    <cellStyle name="40% - Accent3 4 2 6" xfId="9211" xr:uid="{5230FA1C-0C7E-4E53-81AE-D0CE456DC38C}"/>
    <cellStyle name="40% - Accent3 4 3" xfId="1094" xr:uid="{00000000-0005-0000-0000-00007F050000}"/>
    <cellStyle name="40% - Accent3 4 3 2" xfId="3325" xr:uid="{00000000-0005-0000-0000-000080050000}"/>
    <cellStyle name="40% - Accent3 4 3 2 2" xfId="7548" xr:uid="{00000000-0005-0000-0000-000081050000}"/>
    <cellStyle name="40% - Accent3 4 3 2 2 2" xfId="24425" xr:uid="{FD859BAD-EEA2-4CEF-BA94-FBB972123548}"/>
    <cellStyle name="40% - Accent3 4 3 2 2 3" xfId="32859" xr:uid="{AEE51205-AAB7-4FE7-B946-0C08ED1A9E66}"/>
    <cellStyle name="40% - Accent3 4 3 2 2 4" xfId="15987" xr:uid="{8E32C33D-5822-402F-8C58-83D4F2FED40F}"/>
    <cellStyle name="40% - Accent3 4 3 2 3" xfId="20207" xr:uid="{529AAA90-4E07-49C8-AC2A-05019D629221}"/>
    <cellStyle name="40% - Accent3 4 3 2 4" xfId="28642" xr:uid="{E89F2C60-273F-4F04-8E3E-45CBD67020FF}"/>
    <cellStyle name="40% - Accent3 4 3 2 5" xfId="11769" xr:uid="{CEB05E59-8BDA-4DD4-81B1-C5DE1AEBB200}"/>
    <cellStyle name="40% - Accent3 4 3 3" xfId="5403" xr:uid="{00000000-0005-0000-0000-000082050000}"/>
    <cellStyle name="40% - Accent3 4 3 3 2" xfId="22280" xr:uid="{585EAE21-F727-4782-ABD2-9062A1A96FB7}"/>
    <cellStyle name="40% - Accent3 4 3 3 3" xfId="30714" xr:uid="{04D65C8E-1957-4257-B27C-4D236DC4DA1F}"/>
    <cellStyle name="40% - Accent3 4 3 3 4" xfId="13842" xr:uid="{ED40C2DA-B952-4BF7-B04F-B834A193FB25}"/>
    <cellStyle name="40% - Accent3 4 3 4" xfId="18062" xr:uid="{EC0D9D9C-D7CC-4EAE-8438-C17D42502E09}"/>
    <cellStyle name="40% - Accent3 4 3 5" xfId="26497" xr:uid="{40A407B7-DDB2-4440-89D6-3BBFC916FBBB}"/>
    <cellStyle name="40% - Accent3 4 3 6" xfId="9624" xr:uid="{78724A5B-1880-4777-9F5F-20A5DBCD606A}"/>
    <cellStyle name="40% - Accent3 4 4" xfId="1508" xr:uid="{00000000-0005-0000-0000-000083050000}"/>
    <cellStyle name="40% - Accent3 4 4 2" xfId="3738" xr:uid="{00000000-0005-0000-0000-000084050000}"/>
    <cellStyle name="40% - Accent3 4 4 2 2" xfId="7961" xr:uid="{00000000-0005-0000-0000-000085050000}"/>
    <cellStyle name="40% - Accent3 4 4 2 2 2" xfId="24838" xr:uid="{095F949F-4459-49C9-8E33-5D4A2B050B45}"/>
    <cellStyle name="40% - Accent3 4 4 2 2 3" xfId="33272" xr:uid="{F95D5186-4F2C-4BB4-BFCB-26E5B5B9102B}"/>
    <cellStyle name="40% - Accent3 4 4 2 2 4" xfId="16400" xr:uid="{F583C368-0ECC-452D-B696-FAA36DBAF07B}"/>
    <cellStyle name="40% - Accent3 4 4 2 3" xfId="20620" xr:uid="{69220F5A-CEB2-46DB-A2AC-F8F2DDEB5A52}"/>
    <cellStyle name="40% - Accent3 4 4 2 4" xfId="29055" xr:uid="{B052A7B4-C240-4434-9F2A-6EAD488375BC}"/>
    <cellStyle name="40% - Accent3 4 4 2 5" xfId="12182" xr:uid="{C142021F-684C-4BFA-BF29-2F55E84F97BB}"/>
    <cellStyle name="40% - Accent3 4 4 3" xfId="5816" xr:uid="{00000000-0005-0000-0000-000086050000}"/>
    <cellStyle name="40% - Accent3 4 4 3 2" xfId="22693" xr:uid="{82818876-97F1-49D5-947B-1E5012591362}"/>
    <cellStyle name="40% - Accent3 4 4 3 3" xfId="31127" xr:uid="{3DAD8EDD-F729-4F53-A016-A7F611660E24}"/>
    <cellStyle name="40% - Accent3 4 4 3 4" xfId="14255" xr:uid="{94A9E75B-C557-4B9B-94AA-B5F91F860649}"/>
    <cellStyle name="40% - Accent3 4 4 4" xfId="18475" xr:uid="{CD7F39E6-18C7-4A23-A041-CF4CA193A07D}"/>
    <cellStyle name="40% - Accent3 4 4 5" xfId="26910" xr:uid="{98CBD50D-02D3-439F-8B75-ABE601B5164B}"/>
    <cellStyle name="40% - Accent3 4 4 6" xfId="10037" xr:uid="{FCF20756-3933-4CDF-94D4-3235780C1ED3}"/>
    <cellStyle name="40% - Accent3 4 5" xfId="1922" xr:uid="{00000000-0005-0000-0000-000087050000}"/>
    <cellStyle name="40% - Accent3 4 5 2" xfId="4151" xr:uid="{00000000-0005-0000-0000-000088050000}"/>
    <cellStyle name="40% - Accent3 4 5 2 2" xfId="8374" xr:uid="{00000000-0005-0000-0000-000089050000}"/>
    <cellStyle name="40% - Accent3 4 5 2 2 2" xfId="25251" xr:uid="{9C311203-8B61-41D0-A166-ABB541304577}"/>
    <cellStyle name="40% - Accent3 4 5 2 2 3" xfId="33685" xr:uid="{CB505825-00F7-49CA-9BB3-4D5E14EDE62F}"/>
    <cellStyle name="40% - Accent3 4 5 2 2 4" xfId="16813" xr:uid="{A7ADED58-2963-4E9E-8F31-A2C1ACCACDE6}"/>
    <cellStyle name="40% - Accent3 4 5 2 3" xfId="21033" xr:uid="{A9FE7BCA-34F2-4CBD-B5E9-D59E7588BF1F}"/>
    <cellStyle name="40% - Accent3 4 5 2 4" xfId="29468" xr:uid="{7D05769B-EC4C-4D66-AC10-2844DEF37E9F}"/>
    <cellStyle name="40% - Accent3 4 5 2 5" xfId="12595" xr:uid="{BB1EDDEE-E9E6-422D-BBE2-FFBF765C7D31}"/>
    <cellStyle name="40% - Accent3 4 5 3" xfId="6229" xr:uid="{00000000-0005-0000-0000-00008A050000}"/>
    <cellStyle name="40% - Accent3 4 5 3 2" xfId="23106" xr:uid="{5DCD53B7-CC9F-44A1-8129-3667CF37FC0F}"/>
    <cellStyle name="40% - Accent3 4 5 3 3" xfId="31540" xr:uid="{D62EBD42-A080-4097-8B1E-20AFAEAF7D59}"/>
    <cellStyle name="40% - Accent3 4 5 3 4" xfId="14668" xr:uid="{313D901C-A226-4DD1-88A3-F0CF76ABB38A}"/>
    <cellStyle name="40% - Accent3 4 5 4" xfId="18888" xr:uid="{F2B92A6E-55C2-473C-954A-289DD1D8B8FB}"/>
    <cellStyle name="40% - Accent3 4 5 5" xfId="27323" xr:uid="{3897A66B-913B-4864-AA83-1F38DD3167D5}"/>
    <cellStyle name="40% - Accent3 4 5 6" xfId="10450" xr:uid="{784C5B31-33EB-47B4-9778-6E1081FF72A8}"/>
    <cellStyle name="40% - Accent3 4 6" xfId="2335" xr:uid="{00000000-0005-0000-0000-00008B050000}"/>
    <cellStyle name="40% - Accent3 4 6 2" xfId="6642" xr:uid="{00000000-0005-0000-0000-00008C050000}"/>
    <cellStyle name="40% - Accent3 4 6 2 2" xfId="23519" xr:uid="{048EC46C-BB6A-462E-9311-95917B517BC6}"/>
    <cellStyle name="40% - Accent3 4 6 2 3" xfId="31953" xr:uid="{A840AB33-E6C9-452E-BE02-74EF4311BECE}"/>
    <cellStyle name="40% - Accent3 4 6 2 4" xfId="15081" xr:uid="{EB6A364E-15FA-498F-B518-1FACEEDF46E9}"/>
    <cellStyle name="40% - Accent3 4 6 3" xfId="19301" xr:uid="{AFC1FF25-B2C7-4D7E-801B-E21DFE1F333C}"/>
    <cellStyle name="40% - Accent3 4 6 4" xfId="27736" xr:uid="{03ADD6F7-E17B-470D-BC05-6F158DD2AFB4}"/>
    <cellStyle name="40% - Accent3 4 6 5" xfId="10863" xr:uid="{DD314157-134D-43D5-A55A-B93D19FCD208}"/>
    <cellStyle name="40% - Accent3 4 7" xfId="4576" xr:uid="{00000000-0005-0000-0000-00008D050000}"/>
    <cellStyle name="40% - Accent3 4 7 2" xfId="21453" xr:uid="{76F45DAE-5934-412B-83CE-D2C4B40A3500}"/>
    <cellStyle name="40% - Accent3 4 7 3" xfId="29887" xr:uid="{67CDB19B-B4A6-4E6A-9C60-734B8D59F7B5}"/>
    <cellStyle name="40% - Accent3 4 7 4" xfId="13015" xr:uid="{AC4B3678-761D-49C3-8865-A7C5632007AF}"/>
    <cellStyle name="40% - Accent3 4 8" xfId="17235" xr:uid="{C1D6658D-E37D-4011-9AFE-C8E72A1D6D4F}"/>
    <cellStyle name="40% - Accent3 4 9" xfId="25670" xr:uid="{9C5763B8-DBDD-4DAA-BC17-AF893D3AB3FA}"/>
    <cellStyle name="40% - Accent3 5" xfId="634" xr:uid="{00000000-0005-0000-0000-00008E050000}"/>
    <cellStyle name="40% - Accent3 5 2" xfId="2905" xr:uid="{00000000-0005-0000-0000-00008F050000}"/>
    <cellStyle name="40% - Accent3 5 2 2" xfId="7128" xr:uid="{00000000-0005-0000-0000-000090050000}"/>
    <cellStyle name="40% - Accent3 5 2 2 2" xfId="24005" xr:uid="{E1A24A3F-0380-48FE-AA81-1F0B502188C5}"/>
    <cellStyle name="40% - Accent3 5 2 2 3" xfId="32439" xr:uid="{8DD9F4F4-23DB-4E5A-B5EA-530963955FE9}"/>
    <cellStyle name="40% - Accent3 5 2 2 4" xfId="15567" xr:uid="{29E294F8-FE72-48D4-B94B-6A2C15088147}"/>
    <cellStyle name="40% - Accent3 5 2 3" xfId="19787" xr:uid="{7DB9A38F-942F-4A3E-ADEB-C82535E95F52}"/>
    <cellStyle name="40% - Accent3 5 2 4" xfId="28222" xr:uid="{B3B1DFEB-7348-439A-A7F0-68D768FD7948}"/>
    <cellStyle name="40% - Accent3 5 2 5" xfId="11349" xr:uid="{C5A6B1CD-5BB6-466A-AEE5-8B44788CFED1}"/>
    <cellStyle name="40% - Accent3 5 3" xfId="4983" xr:uid="{00000000-0005-0000-0000-000091050000}"/>
    <cellStyle name="40% - Accent3 5 3 2" xfId="21860" xr:uid="{82E23812-640C-4384-BCEF-9FE9A68A7EB2}"/>
    <cellStyle name="40% - Accent3 5 3 3" xfId="30294" xr:uid="{81F6C027-9941-4689-8116-309EFE83911C}"/>
    <cellStyle name="40% - Accent3 5 3 4" xfId="13422" xr:uid="{06AD2113-4332-4989-806A-1D006B5D47E6}"/>
    <cellStyle name="40% - Accent3 5 4" xfId="17642" xr:uid="{AE4B352C-B7B4-4641-BFE2-153E3D6CF653}"/>
    <cellStyle name="40% - Accent3 5 5" xfId="26077" xr:uid="{90B21978-D668-413E-9F87-97B35B8C2D24}"/>
    <cellStyle name="40% - Accent3 5 6" xfId="9204" xr:uid="{AD9A3F85-5DAF-4320-8A9E-1934C51F9067}"/>
    <cellStyle name="40% - Accent3 6" xfId="1087" xr:uid="{00000000-0005-0000-0000-000092050000}"/>
    <cellStyle name="40% - Accent3 6 2" xfId="3318" xr:uid="{00000000-0005-0000-0000-000093050000}"/>
    <cellStyle name="40% - Accent3 6 2 2" xfId="7541" xr:uid="{00000000-0005-0000-0000-000094050000}"/>
    <cellStyle name="40% - Accent3 6 2 2 2" xfId="24418" xr:uid="{CB77092C-0E50-4931-B6C9-3E46B1326947}"/>
    <cellStyle name="40% - Accent3 6 2 2 3" xfId="32852" xr:uid="{98E98DF3-5919-43B7-B4DA-57C819D8C7B1}"/>
    <cellStyle name="40% - Accent3 6 2 2 4" xfId="15980" xr:uid="{A5E2A195-582C-4AB6-8160-A0569F1B3F07}"/>
    <cellStyle name="40% - Accent3 6 2 3" xfId="20200" xr:uid="{7FCEFFE5-B7F2-4CF5-8612-056BC52C6698}"/>
    <cellStyle name="40% - Accent3 6 2 4" xfId="28635" xr:uid="{9BAA5844-F621-4EE8-8C91-C163F87B99D7}"/>
    <cellStyle name="40% - Accent3 6 2 5" xfId="11762" xr:uid="{6E1B5BFF-7262-4CC0-8D1F-41F0A8297F5F}"/>
    <cellStyle name="40% - Accent3 6 3" xfId="5396" xr:uid="{00000000-0005-0000-0000-000095050000}"/>
    <cellStyle name="40% - Accent3 6 3 2" xfId="22273" xr:uid="{F8919C3E-A3DA-4D83-B50B-3A2F5D85F73B}"/>
    <cellStyle name="40% - Accent3 6 3 3" xfId="30707" xr:uid="{283883A7-A324-4EA4-AFCB-D2BD30C46C85}"/>
    <cellStyle name="40% - Accent3 6 3 4" xfId="13835" xr:uid="{A8C5AF7A-BF00-4FDD-B507-9E43EA6D5186}"/>
    <cellStyle name="40% - Accent3 6 4" xfId="18055" xr:uid="{1D9C20CF-0E98-4437-B3D7-E6982C55BCB8}"/>
    <cellStyle name="40% - Accent3 6 5" xfId="26490" xr:uid="{77E7B798-BAC4-4498-85A9-0D112CD8094A}"/>
    <cellStyle name="40% - Accent3 6 6" xfId="9617" xr:uid="{024C93A9-8E74-4688-9BE3-6B3AA93143FE}"/>
    <cellStyle name="40% - Accent3 7" xfId="1501" xr:uid="{00000000-0005-0000-0000-000096050000}"/>
    <cellStyle name="40% - Accent3 7 2" xfId="3731" xr:uid="{00000000-0005-0000-0000-000097050000}"/>
    <cellStyle name="40% - Accent3 7 2 2" xfId="7954" xr:uid="{00000000-0005-0000-0000-000098050000}"/>
    <cellStyle name="40% - Accent3 7 2 2 2" xfId="24831" xr:uid="{6286C756-7E2D-4B6A-A57E-42598B2D3F58}"/>
    <cellStyle name="40% - Accent3 7 2 2 3" xfId="33265" xr:uid="{6FFE0956-0D92-4E86-ACBA-B054CFFA2073}"/>
    <cellStyle name="40% - Accent3 7 2 2 4" xfId="16393" xr:uid="{57254956-D1B9-43A9-AA9F-DF0448EE92D3}"/>
    <cellStyle name="40% - Accent3 7 2 3" xfId="20613" xr:uid="{D0827AE2-8458-46B6-80A4-AF769FEBF778}"/>
    <cellStyle name="40% - Accent3 7 2 4" xfId="29048" xr:uid="{0AF01904-C965-43D0-B9EF-B91E5FA69538}"/>
    <cellStyle name="40% - Accent3 7 2 5" xfId="12175" xr:uid="{68C69AB9-8032-4CE5-A568-840D4AECF376}"/>
    <cellStyle name="40% - Accent3 7 3" xfId="5809" xr:uid="{00000000-0005-0000-0000-000099050000}"/>
    <cellStyle name="40% - Accent3 7 3 2" xfId="22686" xr:uid="{0ABB4368-957C-40B2-87A2-A6293FBD4A80}"/>
    <cellStyle name="40% - Accent3 7 3 3" xfId="31120" xr:uid="{10A43E5A-D677-4F8F-9CD2-6F03B8C5A7DF}"/>
    <cellStyle name="40% - Accent3 7 3 4" xfId="14248" xr:uid="{69B18CBC-2983-4115-A4B7-1BD110786D6D}"/>
    <cellStyle name="40% - Accent3 7 4" xfId="18468" xr:uid="{441144C1-9196-4171-BA9A-2974B57FB30D}"/>
    <cellStyle name="40% - Accent3 7 5" xfId="26903" xr:uid="{3E77990D-230F-4505-A8DB-272697FC71F4}"/>
    <cellStyle name="40% - Accent3 7 6" xfId="10030" xr:uid="{2AB215BF-6584-4D2E-9822-C97CF7311AE2}"/>
    <cellStyle name="40% - Accent3 8" xfId="1915" xr:uid="{00000000-0005-0000-0000-00009A050000}"/>
    <cellStyle name="40% - Accent3 8 2" xfId="4144" xr:uid="{00000000-0005-0000-0000-00009B050000}"/>
    <cellStyle name="40% - Accent3 8 2 2" xfId="8367" xr:uid="{00000000-0005-0000-0000-00009C050000}"/>
    <cellStyle name="40% - Accent3 8 2 2 2" xfId="25244" xr:uid="{BD70F36D-6A17-4382-A82D-430D53F6261E}"/>
    <cellStyle name="40% - Accent3 8 2 2 3" xfId="33678" xr:uid="{4560CDB4-2163-4704-A8F7-45980C8E9727}"/>
    <cellStyle name="40% - Accent3 8 2 2 4" xfId="16806" xr:uid="{BA57FA88-08FE-4020-B5C4-4327D63508C8}"/>
    <cellStyle name="40% - Accent3 8 2 3" xfId="21026" xr:uid="{5B17F682-D7D2-443C-AB78-E5AC29B1069B}"/>
    <cellStyle name="40% - Accent3 8 2 4" xfId="29461" xr:uid="{2A19A34E-0A22-4CD4-BE56-586A6C5373EF}"/>
    <cellStyle name="40% - Accent3 8 2 5" xfId="12588" xr:uid="{F83D79A1-ED3A-45AA-9AFC-9A5238EE339D}"/>
    <cellStyle name="40% - Accent3 8 3" xfId="6222" xr:uid="{00000000-0005-0000-0000-00009D050000}"/>
    <cellStyle name="40% - Accent3 8 3 2" xfId="23099" xr:uid="{E73124D2-E0BC-4A52-8CF7-213AA2D4415E}"/>
    <cellStyle name="40% - Accent3 8 3 3" xfId="31533" xr:uid="{4E132A59-774C-4FB3-B30E-AA8A31FB6B9C}"/>
    <cellStyle name="40% - Accent3 8 3 4" xfId="14661" xr:uid="{1933D35A-2E58-475C-B345-E38C5575C493}"/>
    <cellStyle name="40% - Accent3 8 4" xfId="18881" xr:uid="{4830825E-895B-406B-8B8A-D436EC1839AF}"/>
    <cellStyle name="40% - Accent3 8 5" xfId="27316" xr:uid="{7E43C1C9-824D-4419-B977-5E848F8C31C4}"/>
    <cellStyle name="40% - Accent3 8 6" xfId="10443" xr:uid="{23AC9D8D-78A0-43CE-B147-4A821737647B}"/>
    <cellStyle name="40% - Accent3 9" xfId="2328" xr:uid="{00000000-0005-0000-0000-00009E050000}"/>
    <cellStyle name="40% - Accent3 9 2" xfId="6635" xr:uid="{00000000-0005-0000-0000-00009F050000}"/>
    <cellStyle name="40% - Accent3 9 2 2" xfId="23512" xr:uid="{297A5C82-B4EB-4FBF-A48E-46904D9FB7AA}"/>
    <cellStyle name="40% - Accent3 9 2 3" xfId="31946" xr:uid="{EAD058DC-CFD6-4767-9B53-EF00B1B7E08E}"/>
    <cellStyle name="40% - Accent3 9 2 4" xfId="15074" xr:uid="{EA878D2F-0218-4223-878B-626B9757FA99}"/>
    <cellStyle name="40% - Accent3 9 3" xfId="19294" xr:uid="{6D099E4A-F44B-4526-8ABA-78F49568D024}"/>
    <cellStyle name="40% - Accent3 9 4" xfId="27729" xr:uid="{CB111931-3593-4160-9B15-AB2C32D94661}"/>
    <cellStyle name="40% - Accent3 9 5" xfId="10856" xr:uid="{6C398FDE-95D2-4506-99C7-98E5A3D19E41}"/>
    <cellStyle name="40% - Accent4" xfId="73" builtinId="43" customBuiltin="1"/>
    <cellStyle name="40% - Accent4 10" xfId="4577" xr:uid="{00000000-0005-0000-0000-0000A1050000}"/>
    <cellStyle name="40% - Accent4 10 2" xfId="21454" xr:uid="{E114A7BD-8AC5-4241-8CA0-2F6B7A8B79CD}"/>
    <cellStyle name="40% - Accent4 10 3" xfId="29888" xr:uid="{15C20392-021E-46EE-A705-B816CB9F1596}"/>
    <cellStyle name="40% - Accent4 10 4" xfId="13016" xr:uid="{755A0FE8-CAF3-4220-ABA9-1076AAD8FA77}"/>
    <cellStyle name="40% - Accent4 11" xfId="17236" xr:uid="{6993B9B1-2220-454F-BAFB-E9444CF36A91}"/>
    <cellStyle name="40% - Accent4 12" xfId="25671" xr:uid="{4C927577-33BF-4650-BE9B-CAE9CEEA1434}"/>
    <cellStyle name="40% - Accent4 13" xfId="8798" xr:uid="{E752147C-0DE3-44DC-9056-9862771E272A}"/>
    <cellStyle name="40% - Accent4 2" xfId="74" xr:uid="{00000000-0005-0000-0000-0000A2050000}"/>
    <cellStyle name="40% - Accent4 2 10" xfId="17237" xr:uid="{040D0B85-983F-452F-BDE6-4936E8E18A92}"/>
    <cellStyle name="40% - Accent4 2 11" xfId="25672" xr:uid="{2E92BDE6-E0EA-46E7-9828-F5D36202759E}"/>
    <cellStyle name="40% - Accent4 2 12" xfId="8799" xr:uid="{FFF44384-41B9-4C03-8B8C-CAB75E163D09}"/>
    <cellStyle name="40% - Accent4 2 2" xfId="75" xr:uid="{00000000-0005-0000-0000-0000A3050000}"/>
    <cellStyle name="40% - Accent4 2 2 10" xfId="25673" xr:uid="{A05AF405-FEBA-44A6-9DE0-D60AD0BCC9C7}"/>
    <cellStyle name="40% - Accent4 2 2 11" xfId="8800" xr:uid="{F4982712-13FB-453C-9DB3-0C2D964BA04B}"/>
    <cellStyle name="40% - Accent4 2 2 2" xfId="76" xr:uid="{00000000-0005-0000-0000-0000A4050000}"/>
    <cellStyle name="40% - Accent4 2 2 2 10" xfId="8801" xr:uid="{771DDDBD-6241-4E51-A894-CDE1E6F8A3F3}"/>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24016" xr:uid="{D4D3FC07-D3DD-4AF8-BF3D-FFD619ACFA72}"/>
    <cellStyle name="40% - Accent4 2 2 2 2 2 2 3" xfId="32450" xr:uid="{DFB78AC0-6235-42E0-9D24-4CD8CE2CA712}"/>
    <cellStyle name="40% - Accent4 2 2 2 2 2 2 4" xfId="15578" xr:uid="{FA8F0739-A3C3-416C-A12D-A13F02F6DC6A}"/>
    <cellStyle name="40% - Accent4 2 2 2 2 2 3" xfId="19798" xr:uid="{A59B60AD-1782-40C5-93A9-91D42C5CEC0E}"/>
    <cellStyle name="40% - Accent4 2 2 2 2 2 4" xfId="28233" xr:uid="{ADDCB525-9EE9-4F1B-BA2F-1B20B4A5A871}"/>
    <cellStyle name="40% - Accent4 2 2 2 2 2 5" xfId="11360" xr:uid="{36909ADA-6472-4B17-BF2F-47FBC5F0B0D7}"/>
    <cellStyle name="40% - Accent4 2 2 2 2 3" xfId="4994" xr:uid="{00000000-0005-0000-0000-0000A8050000}"/>
    <cellStyle name="40% - Accent4 2 2 2 2 3 2" xfId="21871" xr:uid="{22CF01B7-7D1C-4E1A-B30F-8DD2E03E8B7E}"/>
    <cellStyle name="40% - Accent4 2 2 2 2 3 3" xfId="30305" xr:uid="{7AB6E589-2C2C-40A4-A82D-3E843DF48277}"/>
    <cellStyle name="40% - Accent4 2 2 2 2 3 4" xfId="13433" xr:uid="{AB48A646-B700-4CBF-8C56-3FA5D7AE61DD}"/>
    <cellStyle name="40% - Accent4 2 2 2 2 4" xfId="17653" xr:uid="{169F830D-8078-47B9-9E21-4F16210B6407}"/>
    <cellStyle name="40% - Accent4 2 2 2 2 5" xfId="26088" xr:uid="{62C193EE-F12D-498E-9B66-DE110CE52867}"/>
    <cellStyle name="40% - Accent4 2 2 2 2 6" xfId="9215" xr:uid="{A5F17574-C29F-4570-B2B6-0FF317E1D051}"/>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24429" xr:uid="{31485960-B3B9-445A-A7E9-0C831B8F6650}"/>
    <cellStyle name="40% - Accent4 2 2 2 3 2 2 3" xfId="32863" xr:uid="{1D723765-BC2E-4984-B68F-A6C58DBCD4BA}"/>
    <cellStyle name="40% - Accent4 2 2 2 3 2 2 4" xfId="15991" xr:uid="{F959B25F-7193-4B97-AB76-0A8955FBCF69}"/>
    <cellStyle name="40% - Accent4 2 2 2 3 2 3" xfId="20211" xr:uid="{A3E3D655-8348-406C-A4AC-044E38C27C8D}"/>
    <cellStyle name="40% - Accent4 2 2 2 3 2 4" xfId="28646" xr:uid="{722FF3A0-E94D-4E9E-ABFB-BF31F3F89831}"/>
    <cellStyle name="40% - Accent4 2 2 2 3 2 5" xfId="11773" xr:uid="{9182F531-9C64-41A0-9BE4-EB11D7621240}"/>
    <cellStyle name="40% - Accent4 2 2 2 3 3" xfId="5407" xr:uid="{00000000-0005-0000-0000-0000AC050000}"/>
    <cellStyle name="40% - Accent4 2 2 2 3 3 2" xfId="22284" xr:uid="{A9C8F8B6-F3D0-4D77-A100-0E5D270AAF8C}"/>
    <cellStyle name="40% - Accent4 2 2 2 3 3 3" xfId="30718" xr:uid="{F81F25EB-6D94-4121-979A-FA2B9368ABD1}"/>
    <cellStyle name="40% - Accent4 2 2 2 3 3 4" xfId="13846" xr:uid="{1087A5AA-323A-407D-B74C-74FA565EB158}"/>
    <cellStyle name="40% - Accent4 2 2 2 3 4" xfId="18066" xr:uid="{8597831C-8629-4788-BE9F-966A1FBC76D8}"/>
    <cellStyle name="40% - Accent4 2 2 2 3 5" xfId="26501" xr:uid="{08B5E6FB-616F-4BF7-9EE5-9CEA0BB9FEE9}"/>
    <cellStyle name="40% - Accent4 2 2 2 3 6" xfId="9628" xr:uid="{F2A2A362-190A-4C20-8C37-A69E0D77158C}"/>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24842" xr:uid="{9EC8C257-34CF-4185-B7F4-60E558953AAB}"/>
    <cellStyle name="40% - Accent4 2 2 2 4 2 2 3" xfId="33276" xr:uid="{2881BEA9-3089-4AA2-8B50-090C1CA733C3}"/>
    <cellStyle name="40% - Accent4 2 2 2 4 2 2 4" xfId="16404" xr:uid="{07E9151F-679D-4B53-90CE-C52952E6EC3B}"/>
    <cellStyle name="40% - Accent4 2 2 2 4 2 3" xfId="20624" xr:uid="{CA3EE562-9F27-4D90-9DA4-5D381ED1320C}"/>
    <cellStyle name="40% - Accent4 2 2 2 4 2 4" xfId="29059" xr:uid="{6745B7BC-7203-41AB-868E-3F41710DDFE2}"/>
    <cellStyle name="40% - Accent4 2 2 2 4 2 5" xfId="12186" xr:uid="{4FBCD31E-8473-4496-8D4F-60F82207CC5B}"/>
    <cellStyle name="40% - Accent4 2 2 2 4 3" xfId="5820" xr:uid="{00000000-0005-0000-0000-0000B0050000}"/>
    <cellStyle name="40% - Accent4 2 2 2 4 3 2" xfId="22697" xr:uid="{DEF8B1FE-E387-4DD8-9606-AFFFD12E4699}"/>
    <cellStyle name="40% - Accent4 2 2 2 4 3 3" xfId="31131" xr:uid="{1AF0E930-B8E3-40A4-A2A8-BAB0A0561278}"/>
    <cellStyle name="40% - Accent4 2 2 2 4 3 4" xfId="14259" xr:uid="{D68098E3-794D-41C8-B153-C4774ED54930}"/>
    <cellStyle name="40% - Accent4 2 2 2 4 4" xfId="18479" xr:uid="{9113642A-B89E-4329-8620-8351A0205515}"/>
    <cellStyle name="40% - Accent4 2 2 2 4 5" xfId="26914" xr:uid="{8DCA7C76-60F7-4382-B137-3094F3A55522}"/>
    <cellStyle name="40% - Accent4 2 2 2 4 6" xfId="10041" xr:uid="{565498A1-FC2D-4942-BF3F-D9453124E162}"/>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25255" xr:uid="{940726CA-EA3A-423C-957F-A094ECD6F08E}"/>
    <cellStyle name="40% - Accent4 2 2 2 5 2 2 3" xfId="33689" xr:uid="{97E9F0D7-91F8-42C3-A304-8CE04CF07364}"/>
    <cellStyle name="40% - Accent4 2 2 2 5 2 2 4" xfId="16817" xr:uid="{E541231A-9D54-44B8-A7D5-7747B5A3BB9C}"/>
    <cellStyle name="40% - Accent4 2 2 2 5 2 3" xfId="21037" xr:uid="{3629A71C-779B-4B0D-9BEA-2926677B53A9}"/>
    <cellStyle name="40% - Accent4 2 2 2 5 2 4" xfId="29472" xr:uid="{045CEFDD-3CAC-48F0-A00B-938549EC496D}"/>
    <cellStyle name="40% - Accent4 2 2 2 5 2 5" xfId="12599" xr:uid="{1E42EFF4-DF01-4247-ABDD-AA4E64A11DEC}"/>
    <cellStyle name="40% - Accent4 2 2 2 5 3" xfId="6233" xr:uid="{00000000-0005-0000-0000-0000B4050000}"/>
    <cellStyle name="40% - Accent4 2 2 2 5 3 2" xfId="23110" xr:uid="{B485E85C-ACB6-4B66-87B5-8B74B33C8922}"/>
    <cellStyle name="40% - Accent4 2 2 2 5 3 3" xfId="31544" xr:uid="{B53D1D2F-C4CD-43D9-B3FE-5B8AFA26D04C}"/>
    <cellStyle name="40% - Accent4 2 2 2 5 3 4" xfId="14672" xr:uid="{95074857-90D2-4393-95F3-2B91FC05A397}"/>
    <cellStyle name="40% - Accent4 2 2 2 5 4" xfId="18892" xr:uid="{E92D008E-8195-4D86-9AE8-4692B0F00C3E}"/>
    <cellStyle name="40% - Accent4 2 2 2 5 5" xfId="27327" xr:uid="{4ADB2184-EEDF-4B04-B498-B0568ECB956A}"/>
    <cellStyle name="40% - Accent4 2 2 2 5 6" xfId="10454" xr:uid="{82C518D6-2051-4FDB-9F50-F0EA0909ECF3}"/>
    <cellStyle name="40% - Accent4 2 2 2 6" xfId="2339" xr:uid="{00000000-0005-0000-0000-0000B5050000}"/>
    <cellStyle name="40% - Accent4 2 2 2 6 2" xfId="6646" xr:uid="{00000000-0005-0000-0000-0000B6050000}"/>
    <cellStyle name="40% - Accent4 2 2 2 6 2 2" xfId="23523" xr:uid="{B674B685-25C2-4EF4-B477-DA7096793339}"/>
    <cellStyle name="40% - Accent4 2 2 2 6 2 3" xfId="31957" xr:uid="{BCA2EF59-778D-4503-9501-5EC2E87F4A3E}"/>
    <cellStyle name="40% - Accent4 2 2 2 6 2 4" xfId="15085" xr:uid="{F11ECB14-13F1-44C5-AFAB-F1E8FE5E63D2}"/>
    <cellStyle name="40% - Accent4 2 2 2 6 3" xfId="19305" xr:uid="{738EF735-ECE1-422D-BFFB-2A3153171F3B}"/>
    <cellStyle name="40% - Accent4 2 2 2 6 4" xfId="27740" xr:uid="{2791E801-130A-4350-9A82-F6A4679F89D7}"/>
    <cellStyle name="40% - Accent4 2 2 2 6 5" xfId="10867" xr:uid="{B3878FF8-3695-4087-91D3-D735FE32A766}"/>
    <cellStyle name="40% - Accent4 2 2 2 7" xfId="4580" xr:uid="{00000000-0005-0000-0000-0000B7050000}"/>
    <cellStyle name="40% - Accent4 2 2 2 7 2" xfId="21457" xr:uid="{22F4F74F-B7A4-4873-9859-C51EDD78EF0A}"/>
    <cellStyle name="40% - Accent4 2 2 2 7 3" xfId="29891" xr:uid="{FF05231F-72CD-4A38-9BC7-1025AD65DA09}"/>
    <cellStyle name="40% - Accent4 2 2 2 7 4" xfId="13019" xr:uid="{EE3ACEF8-1A83-435B-956F-26EE1949EA18}"/>
    <cellStyle name="40% - Accent4 2 2 2 8" xfId="17239" xr:uid="{6A07B018-940E-4E68-BB6E-FD4C4B99134F}"/>
    <cellStyle name="40% - Accent4 2 2 2 9" xfId="25674" xr:uid="{4C8FA2B6-7611-47BA-8205-D0A63BB0BB27}"/>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24015" xr:uid="{B002813B-360D-41BD-B55F-CD4F159D6F94}"/>
    <cellStyle name="40% - Accent4 2 2 3 2 2 3" xfId="32449" xr:uid="{CA3191A8-5CAA-4421-93E5-B6B6D68CA88C}"/>
    <cellStyle name="40% - Accent4 2 2 3 2 2 4" xfId="15577" xr:uid="{B2F107F0-26ED-4E03-959B-FBF8D5A7B0C5}"/>
    <cellStyle name="40% - Accent4 2 2 3 2 3" xfId="19797" xr:uid="{E2B8F2C9-376B-4648-BEA7-9C57C8D0138E}"/>
    <cellStyle name="40% - Accent4 2 2 3 2 4" xfId="28232" xr:uid="{15874B29-A783-4BD1-9C5E-0EB82BE5E205}"/>
    <cellStyle name="40% - Accent4 2 2 3 2 5" xfId="11359" xr:uid="{2B67E7EB-27A6-4A76-8E95-6C01230C976D}"/>
    <cellStyle name="40% - Accent4 2 2 3 3" xfId="4993" xr:uid="{00000000-0005-0000-0000-0000BB050000}"/>
    <cellStyle name="40% - Accent4 2 2 3 3 2" xfId="21870" xr:uid="{ECF3143C-1186-4A41-9F80-9E1623DE0B97}"/>
    <cellStyle name="40% - Accent4 2 2 3 3 3" xfId="30304" xr:uid="{AC855DE6-91B3-4231-9B9D-A1F5476E8600}"/>
    <cellStyle name="40% - Accent4 2 2 3 3 4" xfId="13432" xr:uid="{7FC03FC8-0931-4C9F-A0D4-B6B6A594594A}"/>
    <cellStyle name="40% - Accent4 2 2 3 4" xfId="17652" xr:uid="{135CC43A-6F64-4B0E-BE53-FDD15AE51AB8}"/>
    <cellStyle name="40% - Accent4 2 2 3 5" xfId="26087" xr:uid="{A94AFBA2-24C5-4A9E-90A7-98D022AD7D2A}"/>
    <cellStyle name="40% - Accent4 2 2 3 6" xfId="9214" xr:uid="{76A6A7ED-A3CD-4CF9-B92F-891CCBB795C7}"/>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24428" xr:uid="{ED5E883C-DEED-4700-92FC-0959CD531083}"/>
    <cellStyle name="40% - Accent4 2 2 4 2 2 3" xfId="32862" xr:uid="{EFEC03AD-1798-4334-ABEE-E9A0A4056941}"/>
    <cellStyle name="40% - Accent4 2 2 4 2 2 4" xfId="15990" xr:uid="{5D7AC004-DCA1-4297-A774-E61A64208E99}"/>
    <cellStyle name="40% - Accent4 2 2 4 2 3" xfId="20210" xr:uid="{39BE82B3-EBAA-4107-9C39-5C9268AD13B2}"/>
    <cellStyle name="40% - Accent4 2 2 4 2 4" xfId="28645" xr:uid="{D42DA0B6-F3A9-4A3B-AE93-EB446083778F}"/>
    <cellStyle name="40% - Accent4 2 2 4 2 5" xfId="11772" xr:uid="{AC557151-1BD7-42D7-A1D0-53FA198856CC}"/>
    <cellStyle name="40% - Accent4 2 2 4 3" xfId="5406" xr:uid="{00000000-0005-0000-0000-0000BF050000}"/>
    <cellStyle name="40% - Accent4 2 2 4 3 2" xfId="22283" xr:uid="{259D31D5-C6C4-45B7-8631-7C0A8A28CBB3}"/>
    <cellStyle name="40% - Accent4 2 2 4 3 3" xfId="30717" xr:uid="{59CE3F44-B9B6-4CF8-B393-B354E3DD1801}"/>
    <cellStyle name="40% - Accent4 2 2 4 3 4" xfId="13845" xr:uid="{DCB74FEE-EE8E-465E-B65D-EED09A120CFF}"/>
    <cellStyle name="40% - Accent4 2 2 4 4" xfId="18065" xr:uid="{70E026D7-A311-44EA-A078-1BCAF1A7CD34}"/>
    <cellStyle name="40% - Accent4 2 2 4 5" xfId="26500" xr:uid="{AFD9D8C6-372B-4F93-9899-281F6F5664D6}"/>
    <cellStyle name="40% - Accent4 2 2 4 6" xfId="9627" xr:uid="{4997EAFA-45F3-4ADA-8CD9-2F9915137E13}"/>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24841" xr:uid="{01945A22-114F-441E-AEAF-59D2FBA72F85}"/>
    <cellStyle name="40% - Accent4 2 2 5 2 2 3" xfId="33275" xr:uid="{B86AD645-457B-4B20-924D-631EA9EA1055}"/>
    <cellStyle name="40% - Accent4 2 2 5 2 2 4" xfId="16403" xr:uid="{077BF0B2-A941-4D9C-83ED-6635D4D27CCC}"/>
    <cellStyle name="40% - Accent4 2 2 5 2 3" xfId="20623" xr:uid="{49A64F16-6326-4539-A378-EC2F9E629EBE}"/>
    <cellStyle name="40% - Accent4 2 2 5 2 4" xfId="29058" xr:uid="{0F63F0E5-F736-4077-9B82-CBDAE9BBD566}"/>
    <cellStyle name="40% - Accent4 2 2 5 2 5" xfId="12185" xr:uid="{A57B02A1-A016-404C-9D79-E4521E987347}"/>
    <cellStyle name="40% - Accent4 2 2 5 3" xfId="5819" xr:uid="{00000000-0005-0000-0000-0000C3050000}"/>
    <cellStyle name="40% - Accent4 2 2 5 3 2" xfId="22696" xr:uid="{0C7B2E7D-92DB-4F35-AFA9-D2499E93E039}"/>
    <cellStyle name="40% - Accent4 2 2 5 3 3" xfId="31130" xr:uid="{65D38C15-951A-4DE2-AEBB-C757AEFC5966}"/>
    <cellStyle name="40% - Accent4 2 2 5 3 4" xfId="14258" xr:uid="{483B10A9-A724-41DE-A6E3-1EB5825DDC50}"/>
    <cellStyle name="40% - Accent4 2 2 5 4" xfId="18478" xr:uid="{D4335783-C231-43D9-B5AF-D6707C27DEF6}"/>
    <cellStyle name="40% - Accent4 2 2 5 5" xfId="26913" xr:uid="{AC31B299-E897-4CF3-8E23-08D4BD956095}"/>
    <cellStyle name="40% - Accent4 2 2 5 6" xfId="10040" xr:uid="{94295F54-B14C-4C21-A9B8-1470649B1B71}"/>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25254" xr:uid="{27CB3EC4-C279-4953-BCFF-5ED94A8B16F7}"/>
    <cellStyle name="40% - Accent4 2 2 6 2 2 3" xfId="33688" xr:uid="{5B6D9B26-7898-4DC2-8DA2-3AFF63F4AF73}"/>
    <cellStyle name="40% - Accent4 2 2 6 2 2 4" xfId="16816" xr:uid="{539064EE-352F-47C6-83A1-9EAB616EE7F4}"/>
    <cellStyle name="40% - Accent4 2 2 6 2 3" xfId="21036" xr:uid="{D7B3AEE5-D8E2-4947-9EE7-493124669C5E}"/>
    <cellStyle name="40% - Accent4 2 2 6 2 4" xfId="29471" xr:uid="{8D2992E6-4CAC-4F4F-A744-DC289A82ED26}"/>
    <cellStyle name="40% - Accent4 2 2 6 2 5" xfId="12598" xr:uid="{8949881B-F7BE-466F-9944-FF6D96CB079A}"/>
    <cellStyle name="40% - Accent4 2 2 6 3" xfId="6232" xr:uid="{00000000-0005-0000-0000-0000C7050000}"/>
    <cellStyle name="40% - Accent4 2 2 6 3 2" xfId="23109" xr:uid="{ED223AA2-B104-4D04-B751-D59F979B528D}"/>
    <cellStyle name="40% - Accent4 2 2 6 3 3" xfId="31543" xr:uid="{0763C759-17D9-42B5-8FEA-B294F4439D17}"/>
    <cellStyle name="40% - Accent4 2 2 6 3 4" xfId="14671" xr:uid="{E865CA95-EE99-4DD6-966E-58D1B3510659}"/>
    <cellStyle name="40% - Accent4 2 2 6 4" xfId="18891" xr:uid="{88A20281-CCF2-4078-A54D-8BDD652781DE}"/>
    <cellStyle name="40% - Accent4 2 2 6 5" xfId="27326" xr:uid="{1B542BF4-1474-4FD2-8D51-47ADE6F3DC8C}"/>
    <cellStyle name="40% - Accent4 2 2 6 6" xfId="10453" xr:uid="{59565803-687A-4CC1-826A-B9013E88AFF2}"/>
    <cellStyle name="40% - Accent4 2 2 7" xfId="2338" xr:uid="{00000000-0005-0000-0000-0000C8050000}"/>
    <cellStyle name="40% - Accent4 2 2 7 2" xfId="6645" xr:uid="{00000000-0005-0000-0000-0000C9050000}"/>
    <cellStyle name="40% - Accent4 2 2 7 2 2" xfId="23522" xr:uid="{2B752710-A63E-4D0A-BD90-8E2B8D0D8799}"/>
    <cellStyle name="40% - Accent4 2 2 7 2 3" xfId="31956" xr:uid="{2D673A94-D3E0-47AF-AAAA-483DB206850C}"/>
    <cellStyle name="40% - Accent4 2 2 7 2 4" xfId="15084" xr:uid="{E1E28660-AE8B-49F7-88E4-A8F8F4A770BA}"/>
    <cellStyle name="40% - Accent4 2 2 7 3" xfId="19304" xr:uid="{C9898032-C93E-48C3-88CC-2B5CA6B8F532}"/>
    <cellStyle name="40% - Accent4 2 2 7 4" xfId="27739" xr:uid="{05C67FB0-DD62-453F-8BB3-D2A335D3D3C4}"/>
    <cellStyle name="40% - Accent4 2 2 7 5" xfId="10866" xr:uid="{EA25D09F-631C-42B9-8498-2E11A7F43414}"/>
    <cellStyle name="40% - Accent4 2 2 8" xfId="4579" xr:uid="{00000000-0005-0000-0000-0000CA050000}"/>
    <cellStyle name="40% - Accent4 2 2 8 2" xfId="21456" xr:uid="{EC008A68-4C2E-4264-AED0-7ABAD4E60914}"/>
    <cellStyle name="40% - Accent4 2 2 8 3" xfId="29890" xr:uid="{056FE7B0-AC1A-4070-A2B2-19E8A6D17B0E}"/>
    <cellStyle name="40% - Accent4 2 2 8 4" xfId="13018" xr:uid="{145F29A5-2EAB-479D-8090-C8E798A929C6}"/>
    <cellStyle name="40% - Accent4 2 2 9" xfId="17238" xr:uid="{61AFEFE8-63E7-4E24-B6A4-1E9F6294CCF9}"/>
    <cellStyle name="40% - Accent4 2 3" xfId="77" xr:uid="{00000000-0005-0000-0000-0000CB050000}"/>
    <cellStyle name="40% - Accent4 2 3 10" xfId="8802" xr:uid="{CD9E5891-CB37-4B9F-9DE3-E14BF590C1C4}"/>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24017" xr:uid="{C97554C5-AEB5-4E1B-A09F-D965D9D6BA38}"/>
    <cellStyle name="40% - Accent4 2 3 2 2 2 3" xfId="32451" xr:uid="{DDE5F9FA-4BC3-4A84-A5A3-8554BE5FE3CE}"/>
    <cellStyle name="40% - Accent4 2 3 2 2 2 4" xfId="15579" xr:uid="{30CB30FC-59DC-4A57-80DF-1E1FEF7233EC}"/>
    <cellStyle name="40% - Accent4 2 3 2 2 3" xfId="19799" xr:uid="{B1BDA429-42C7-4547-ACFF-E0ACC07C1861}"/>
    <cellStyle name="40% - Accent4 2 3 2 2 4" xfId="28234" xr:uid="{B6F7881D-91C9-464D-9AD9-426A89E74CD5}"/>
    <cellStyle name="40% - Accent4 2 3 2 2 5" xfId="11361" xr:uid="{445A623D-725D-43A6-A649-F703256EFF66}"/>
    <cellStyle name="40% - Accent4 2 3 2 3" xfId="4995" xr:uid="{00000000-0005-0000-0000-0000CF050000}"/>
    <cellStyle name="40% - Accent4 2 3 2 3 2" xfId="21872" xr:uid="{56E701F3-5B83-4A85-A7E0-CF8C7B36E5D8}"/>
    <cellStyle name="40% - Accent4 2 3 2 3 3" xfId="30306" xr:uid="{D30FD36C-528A-44A5-84B6-B39ED1262193}"/>
    <cellStyle name="40% - Accent4 2 3 2 3 4" xfId="13434" xr:uid="{55F77441-6939-4BD4-8056-67FB039B92A3}"/>
    <cellStyle name="40% - Accent4 2 3 2 4" xfId="17654" xr:uid="{23818E8C-CC58-41CF-B6C3-6E1061392762}"/>
    <cellStyle name="40% - Accent4 2 3 2 5" xfId="26089" xr:uid="{D5708C27-1567-4C64-B9F7-F229B8BEB75C}"/>
    <cellStyle name="40% - Accent4 2 3 2 6" xfId="9216" xr:uid="{95AB0D8F-B5D6-4196-AD0C-23A6A46D4A2C}"/>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24430" xr:uid="{C4E510F5-9C49-4071-8C38-87D28BE48913}"/>
    <cellStyle name="40% - Accent4 2 3 3 2 2 3" xfId="32864" xr:uid="{28981A9E-1B00-4C2E-82CE-7C9738C80C1A}"/>
    <cellStyle name="40% - Accent4 2 3 3 2 2 4" xfId="15992" xr:uid="{8AF0B3DE-724C-450B-9306-6691574445CD}"/>
    <cellStyle name="40% - Accent4 2 3 3 2 3" xfId="20212" xr:uid="{C61E4149-1837-4833-B118-E8B0E35BE204}"/>
    <cellStyle name="40% - Accent4 2 3 3 2 4" xfId="28647" xr:uid="{2D73B57A-DFD0-4814-AC87-962DA6C77F9A}"/>
    <cellStyle name="40% - Accent4 2 3 3 2 5" xfId="11774" xr:uid="{26D0A859-919A-410C-BABB-24D7F6272D0D}"/>
    <cellStyle name="40% - Accent4 2 3 3 3" xfId="5408" xr:uid="{00000000-0005-0000-0000-0000D3050000}"/>
    <cellStyle name="40% - Accent4 2 3 3 3 2" xfId="22285" xr:uid="{FBBA93CB-7661-4ED7-A34A-302E9F01A3D0}"/>
    <cellStyle name="40% - Accent4 2 3 3 3 3" xfId="30719" xr:uid="{33CCD0D0-0A8F-4C1F-924F-28C2B78138C1}"/>
    <cellStyle name="40% - Accent4 2 3 3 3 4" xfId="13847" xr:uid="{E7319D51-7D99-4C00-BA23-075E8C98B515}"/>
    <cellStyle name="40% - Accent4 2 3 3 4" xfId="18067" xr:uid="{E7660EEC-25DE-4E48-ACED-2028B301C6A7}"/>
    <cellStyle name="40% - Accent4 2 3 3 5" xfId="26502" xr:uid="{B28EE094-1055-411D-B5DA-CBEA74BD3518}"/>
    <cellStyle name="40% - Accent4 2 3 3 6" xfId="9629" xr:uid="{AB82BDAF-27D3-4134-8C1E-C0053851622F}"/>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24843" xr:uid="{FB89EFA7-EE81-4206-9A41-86D86F3038DA}"/>
    <cellStyle name="40% - Accent4 2 3 4 2 2 3" xfId="33277" xr:uid="{F8E5344A-2058-471A-B4C4-C603258E235C}"/>
    <cellStyle name="40% - Accent4 2 3 4 2 2 4" xfId="16405" xr:uid="{B02A09D4-B1C8-4F9B-A1A3-EF983DE13236}"/>
    <cellStyle name="40% - Accent4 2 3 4 2 3" xfId="20625" xr:uid="{7B0DC9EF-7F69-4E64-99DD-4516B53F4812}"/>
    <cellStyle name="40% - Accent4 2 3 4 2 4" xfId="29060" xr:uid="{F848BF89-52E1-417B-B42B-8BE21247C46D}"/>
    <cellStyle name="40% - Accent4 2 3 4 2 5" xfId="12187" xr:uid="{EFD48A06-C9AD-4B09-A2E3-E808C0B3ACFA}"/>
    <cellStyle name="40% - Accent4 2 3 4 3" xfId="5821" xr:uid="{00000000-0005-0000-0000-0000D7050000}"/>
    <cellStyle name="40% - Accent4 2 3 4 3 2" xfId="22698" xr:uid="{9A938BC9-1B91-4CA9-BF82-3F94C8D7D246}"/>
    <cellStyle name="40% - Accent4 2 3 4 3 3" xfId="31132" xr:uid="{178C71DD-831E-4E7F-A74A-6D7F2129C909}"/>
    <cellStyle name="40% - Accent4 2 3 4 3 4" xfId="14260" xr:uid="{038E294E-E057-4678-B7A5-658FA18700EA}"/>
    <cellStyle name="40% - Accent4 2 3 4 4" xfId="18480" xr:uid="{AFE767BE-F4C9-46CF-BB45-8EF2E7F34232}"/>
    <cellStyle name="40% - Accent4 2 3 4 5" xfId="26915" xr:uid="{56CE6E2D-4E15-4984-9B52-1516B9788BC4}"/>
    <cellStyle name="40% - Accent4 2 3 4 6" xfId="10042" xr:uid="{25AA6D3A-F935-45F1-A5CC-DE5A963EAA18}"/>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25256" xr:uid="{CC095225-F865-44BF-B56F-046585D783E4}"/>
    <cellStyle name="40% - Accent4 2 3 5 2 2 3" xfId="33690" xr:uid="{3B8837AE-AB8E-46FE-B6E8-4FC4EE83C24F}"/>
    <cellStyle name="40% - Accent4 2 3 5 2 2 4" xfId="16818" xr:uid="{CF205BA3-E9DC-4D0C-9095-9D67269C6CD5}"/>
    <cellStyle name="40% - Accent4 2 3 5 2 3" xfId="21038" xr:uid="{261FC225-C6E8-48D6-BDB2-CBE4B9BC629D}"/>
    <cellStyle name="40% - Accent4 2 3 5 2 4" xfId="29473" xr:uid="{64208F9A-0C58-42CF-B25B-845D4A3E208A}"/>
    <cellStyle name="40% - Accent4 2 3 5 2 5" xfId="12600" xr:uid="{E35301F4-66C0-4A46-A565-8395BABD2BCE}"/>
    <cellStyle name="40% - Accent4 2 3 5 3" xfId="6234" xr:uid="{00000000-0005-0000-0000-0000DB050000}"/>
    <cellStyle name="40% - Accent4 2 3 5 3 2" xfId="23111" xr:uid="{FE8EE16F-671E-44C4-9FEE-129F082D95CF}"/>
    <cellStyle name="40% - Accent4 2 3 5 3 3" xfId="31545" xr:uid="{55196BD2-6C47-48ED-86F4-DF610BEBB87D}"/>
    <cellStyle name="40% - Accent4 2 3 5 3 4" xfId="14673" xr:uid="{8CE6DE7E-D20E-4FC1-8A57-17D2EC01ED3D}"/>
    <cellStyle name="40% - Accent4 2 3 5 4" xfId="18893" xr:uid="{BE2F044B-2E0E-4D08-B311-6C022D84CB58}"/>
    <cellStyle name="40% - Accent4 2 3 5 5" xfId="27328" xr:uid="{6D939869-F384-4F69-A8DD-8A287E26F181}"/>
    <cellStyle name="40% - Accent4 2 3 5 6" xfId="10455" xr:uid="{0C8563B3-897C-4036-BBC0-ABBAD6C6AF6B}"/>
    <cellStyle name="40% - Accent4 2 3 6" xfId="2340" xr:uid="{00000000-0005-0000-0000-0000DC050000}"/>
    <cellStyle name="40% - Accent4 2 3 6 2" xfId="6647" xr:uid="{00000000-0005-0000-0000-0000DD050000}"/>
    <cellStyle name="40% - Accent4 2 3 6 2 2" xfId="23524" xr:uid="{5487C791-E865-40A2-8DD5-1B71F5D90F1E}"/>
    <cellStyle name="40% - Accent4 2 3 6 2 3" xfId="31958" xr:uid="{F2F3EF28-CFBE-4EE6-8A8C-5B042EE58DE7}"/>
    <cellStyle name="40% - Accent4 2 3 6 2 4" xfId="15086" xr:uid="{F5421223-7646-465E-A40A-E2553709A7E6}"/>
    <cellStyle name="40% - Accent4 2 3 6 3" xfId="19306" xr:uid="{1F9C9886-03AE-4CAD-AAFF-4CDF7C28B856}"/>
    <cellStyle name="40% - Accent4 2 3 6 4" xfId="27741" xr:uid="{504C5BB1-8969-47A7-8B1D-E59A8B071D72}"/>
    <cellStyle name="40% - Accent4 2 3 6 5" xfId="10868" xr:uid="{1FE263B5-BCE7-4F8C-86B3-CA42B2181C8E}"/>
    <cellStyle name="40% - Accent4 2 3 7" xfId="4581" xr:uid="{00000000-0005-0000-0000-0000DE050000}"/>
    <cellStyle name="40% - Accent4 2 3 7 2" xfId="21458" xr:uid="{1C542BC7-5978-4F3E-8F47-005B97A3D5A5}"/>
    <cellStyle name="40% - Accent4 2 3 7 3" xfId="29892" xr:uid="{3EE25D60-BDA5-4FDA-9CD0-2D519CDC7BBB}"/>
    <cellStyle name="40% - Accent4 2 3 7 4" xfId="13020" xr:uid="{B1688FB3-522C-41FF-8EF3-624658E258AF}"/>
    <cellStyle name="40% - Accent4 2 3 8" xfId="17240" xr:uid="{0D240380-F1E2-4FD3-803A-D3236F68ACD4}"/>
    <cellStyle name="40% - Accent4 2 3 9" xfId="25675" xr:uid="{23282838-2D85-44D8-8FFA-17AAD1981C19}"/>
    <cellStyle name="40% - Accent4 2 4" xfId="643" xr:uid="{00000000-0005-0000-0000-0000DF050000}"/>
    <cellStyle name="40% - Accent4 2 4 2" xfId="2914" xr:uid="{00000000-0005-0000-0000-0000E0050000}"/>
    <cellStyle name="40% - Accent4 2 4 2 2" xfId="7137" xr:uid="{00000000-0005-0000-0000-0000E1050000}"/>
    <cellStyle name="40% - Accent4 2 4 2 2 2" xfId="24014" xr:uid="{06A247EE-F8C6-4468-ABED-0C9025D2973B}"/>
    <cellStyle name="40% - Accent4 2 4 2 2 3" xfId="32448" xr:uid="{3AACABCE-C85A-4BAB-AAA0-E13E27B55CBF}"/>
    <cellStyle name="40% - Accent4 2 4 2 2 4" xfId="15576" xr:uid="{5A26CE24-A3E5-464F-9398-D40B2FBE96DE}"/>
    <cellStyle name="40% - Accent4 2 4 2 3" xfId="19796" xr:uid="{927649C1-8AD1-42DB-BFBE-32A61EBF0F2F}"/>
    <cellStyle name="40% - Accent4 2 4 2 4" xfId="28231" xr:uid="{FCB59AB9-DE13-439C-A5BD-5C5E90831DD6}"/>
    <cellStyle name="40% - Accent4 2 4 2 5" xfId="11358" xr:uid="{32C11BEC-2520-487D-A0B7-B1241FF8809A}"/>
    <cellStyle name="40% - Accent4 2 4 3" xfId="4992" xr:uid="{00000000-0005-0000-0000-0000E2050000}"/>
    <cellStyle name="40% - Accent4 2 4 3 2" xfId="21869" xr:uid="{5415446C-ACC2-4932-8B15-0744136A5FF5}"/>
    <cellStyle name="40% - Accent4 2 4 3 3" xfId="30303" xr:uid="{3B70D84C-5192-4DFE-B3CB-199CE278BC3D}"/>
    <cellStyle name="40% - Accent4 2 4 3 4" xfId="13431" xr:uid="{E21342A9-7B20-4A1F-9008-B9F8968562A0}"/>
    <cellStyle name="40% - Accent4 2 4 4" xfId="17651" xr:uid="{C315F74E-A430-4285-98B0-E5933A23EC95}"/>
    <cellStyle name="40% - Accent4 2 4 5" xfId="26086" xr:uid="{9C663288-1C48-47DD-BCB1-75365DD231EF}"/>
    <cellStyle name="40% - Accent4 2 4 6" xfId="9213" xr:uid="{0AA292EC-255A-4F9B-ACF6-1C84E2D6AC44}"/>
    <cellStyle name="40% - Accent4 2 5" xfId="1096" xr:uid="{00000000-0005-0000-0000-0000E3050000}"/>
    <cellStyle name="40% - Accent4 2 5 2" xfId="3327" xr:uid="{00000000-0005-0000-0000-0000E4050000}"/>
    <cellStyle name="40% - Accent4 2 5 2 2" xfId="7550" xr:uid="{00000000-0005-0000-0000-0000E5050000}"/>
    <cellStyle name="40% - Accent4 2 5 2 2 2" xfId="24427" xr:uid="{518A9F24-39B7-473C-A25E-AB3B1F906C88}"/>
    <cellStyle name="40% - Accent4 2 5 2 2 3" xfId="32861" xr:uid="{CD057B8B-E630-49E5-9165-8835AE3CD30F}"/>
    <cellStyle name="40% - Accent4 2 5 2 2 4" xfId="15989" xr:uid="{AB7886BC-68AE-40DC-A931-F0BF72AAE21B}"/>
    <cellStyle name="40% - Accent4 2 5 2 3" xfId="20209" xr:uid="{C41F4295-A8DA-4FAC-9837-7FF545460AEF}"/>
    <cellStyle name="40% - Accent4 2 5 2 4" xfId="28644" xr:uid="{DF4455EF-C234-43F7-A028-5E9341E57D86}"/>
    <cellStyle name="40% - Accent4 2 5 2 5" xfId="11771" xr:uid="{C35609F1-D176-4A27-8450-3AFAA1695BE8}"/>
    <cellStyle name="40% - Accent4 2 5 3" xfId="5405" xr:uid="{00000000-0005-0000-0000-0000E6050000}"/>
    <cellStyle name="40% - Accent4 2 5 3 2" xfId="22282" xr:uid="{22E8A134-0211-4B36-920D-663B6DF2310A}"/>
    <cellStyle name="40% - Accent4 2 5 3 3" xfId="30716" xr:uid="{1DCAE990-0F0B-44A2-9347-90BD910675C8}"/>
    <cellStyle name="40% - Accent4 2 5 3 4" xfId="13844" xr:uid="{5F6BDA05-C871-48BB-8069-A173D68C93D8}"/>
    <cellStyle name="40% - Accent4 2 5 4" xfId="18064" xr:uid="{EEEF5585-417F-4C2D-B363-823F5D857D23}"/>
    <cellStyle name="40% - Accent4 2 5 5" xfId="26499" xr:uid="{9873410E-7FF3-4A3A-8BC1-3CDEEC289D4A}"/>
    <cellStyle name="40% - Accent4 2 5 6" xfId="9626" xr:uid="{34A4D19D-AA1B-441E-B34F-944D6D4D73EE}"/>
    <cellStyle name="40% - Accent4 2 6" xfId="1510" xr:uid="{00000000-0005-0000-0000-0000E7050000}"/>
    <cellStyle name="40% - Accent4 2 6 2" xfId="3740" xr:uid="{00000000-0005-0000-0000-0000E8050000}"/>
    <cellStyle name="40% - Accent4 2 6 2 2" xfId="7963" xr:uid="{00000000-0005-0000-0000-0000E9050000}"/>
    <cellStyle name="40% - Accent4 2 6 2 2 2" xfId="24840" xr:uid="{F78BE2B1-C154-453A-AD5C-4EC63BB98281}"/>
    <cellStyle name="40% - Accent4 2 6 2 2 3" xfId="33274" xr:uid="{696D6BC7-0745-47A6-BEA2-B2C78EE7EE36}"/>
    <cellStyle name="40% - Accent4 2 6 2 2 4" xfId="16402" xr:uid="{22A144E1-E673-4A1F-81E7-202DBB21AA1B}"/>
    <cellStyle name="40% - Accent4 2 6 2 3" xfId="20622" xr:uid="{304339EB-DED7-4D2D-9181-82A4AD4AD1D5}"/>
    <cellStyle name="40% - Accent4 2 6 2 4" xfId="29057" xr:uid="{DC343E31-AA90-4DFB-8162-BBB9B3E34171}"/>
    <cellStyle name="40% - Accent4 2 6 2 5" xfId="12184" xr:uid="{835FCFC3-EC45-49E3-A005-CB315C228108}"/>
    <cellStyle name="40% - Accent4 2 6 3" xfId="5818" xr:uid="{00000000-0005-0000-0000-0000EA050000}"/>
    <cellStyle name="40% - Accent4 2 6 3 2" xfId="22695" xr:uid="{A0CCD758-E3C5-4655-ABC8-26706C763E08}"/>
    <cellStyle name="40% - Accent4 2 6 3 3" xfId="31129" xr:uid="{E5A3C56D-6F74-4D62-9651-41C8905E2996}"/>
    <cellStyle name="40% - Accent4 2 6 3 4" xfId="14257" xr:uid="{F876FB1F-1D43-4E1D-826C-66404F108BC1}"/>
    <cellStyle name="40% - Accent4 2 6 4" xfId="18477" xr:uid="{5C6A488E-6059-4340-9C6C-266EA69FFBAC}"/>
    <cellStyle name="40% - Accent4 2 6 5" xfId="26912" xr:uid="{69720A75-BBE8-4740-827F-B50F1E79E4E0}"/>
    <cellStyle name="40% - Accent4 2 6 6" xfId="10039" xr:uid="{65E547E6-BC44-46F7-A8A5-832A73E841BD}"/>
    <cellStyle name="40% - Accent4 2 7" xfId="1924" xr:uid="{00000000-0005-0000-0000-0000EB050000}"/>
    <cellStyle name="40% - Accent4 2 7 2" xfId="4153" xr:uid="{00000000-0005-0000-0000-0000EC050000}"/>
    <cellStyle name="40% - Accent4 2 7 2 2" xfId="8376" xr:uid="{00000000-0005-0000-0000-0000ED050000}"/>
    <cellStyle name="40% - Accent4 2 7 2 2 2" xfId="25253" xr:uid="{4AB592B7-E6FE-4F7E-B061-81D5E5EFB9E2}"/>
    <cellStyle name="40% - Accent4 2 7 2 2 3" xfId="33687" xr:uid="{90A3F360-4368-45A2-ADD0-B7DBE81074C3}"/>
    <cellStyle name="40% - Accent4 2 7 2 2 4" xfId="16815" xr:uid="{4537E719-D0EE-4E4A-89B8-DA25FC1F5FAD}"/>
    <cellStyle name="40% - Accent4 2 7 2 3" xfId="21035" xr:uid="{56FCE4F6-69D7-41D0-952F-677A82397407}"/>
    <cellStyle name="40% - Accent4 2 7 2 4" xfId="29470" xr:uid="{B4E86F0C-1008-4B8A-A7F0-655896A80225}"/>
    <cellStyle name="40% - Accent4 2 7 2 5" xfId="12597" xr:uid="{E04319A9-1989-4301-8D95-BA8A1F2CEC16}"/>
    <cellStyle name="40% - Accent4 2 7 3" xfId="6231" xr:uid="{00000000-0005-0000-0000-0000EE050000}"/>
    <cellStyle name="40% - Accent4 2 7 3 2" xfId="23108" xr:uid="{681C5923-E07E-4C25-BDD2-6B334EE8958F}"/>
    <cellStyle name="40% - Accent4 2 7 3 3" xfId="31542" xr:uid="{B26DB62F-4F96-4865-91BD-1DD3678D67DA}"/>
    <cellStyle name="40% - Accent4 2 7 3 4" xfId="14670" xr:uid="{2F372392-9C73-4959-A07A-8488A99629BB}"/>
    <cellStyle name="40% - Accent4 2 7 4" xfId="18890" xr:uid="{7767E292-4F9F-4BB2-8F77-7D2B32880237}"/>
    <cellStyle name="40% - Accent4 2 7 5" xfId="27325" xr:uid="{E9744F85-CDE7-49F0-8177-767559C85D16}"/>
    <cellStyle name="40% - Accent4 2 7 6" xfId="10452" xr:uid="{9ACE6113-81FA-4C70-8B30-09AF1884F75A}"/>
    <cellStyle name="40% - Accent4 2 8" xfId="2337" xr:uid="{00000000-0005-0000-0000-0000EF050000}"/>
    <cellStyle name="40% - Accent4 2 8 2" xfId="6644" xr:uid="{00000000-0005-0000-0000-0000F0050000}"/>
    <cellStyle name="40% - Accent4 2 8 2 2" xfId="23521" xr:uid="{89D43B1B-8620-438B-8D6F-1259F1382439}"/>
    <cellStyle name="40% - Accent4 2 8 2 3" xfId="31955" xr:uid="{1BF75927-C8FA-43A6-83E3-85387009B035}"/>
    <cellStyle name="40% - Accent4 2 8 2 4" xfId="15083" xr:uid="{A60C9B9A-82CD-4CD5-829E-7D00096041AB}"/>
    <cellStyle name="40% - Accent4 2 8 3" xfId="19303" xr:uid="{847C6903-6810-4397-8839-259D18DD96CE}"/>
    <cellStyle name="40% - Accent4 2 8 4" xfId="27738" xr:uid="{E565A487-19B6-402E-B2C7-4F3416F7BFC2}"/>
    <cellStyle name="40% - Accent4 2 8 5" xfId="10865" xr:uid="{29649AD1-7DC1-49E7-A134-D76AB3A92E5B}"/>
    <cellStyle name="40% - Accent4 2 9" xfId="4578" xr:uid="{00000000-0005-0000-0000-0000F1050000}"/>
    <cellStyle name="40% - Accent4 2 9 2" xfId="21455" xr:uid="{89E350CE-24D3-4CAC-AD9B-2CAAA5A500BE}"/>
    <cellStyle name="40% - Accent4 2 9 3" xfId="29889" xr:uid="{E8C9E018-F107-46E5-AA5D-6DBDD260766C}"/>
    <cellStyle name="40% - Accent4 2 9 4" xfId="13017" xr:uid="{01C203AE-91B5-4CF5-A902-44253CAA302F}"/>
    <cellStyle name="40% - Accent4 3" xfId="78" xr:uid="{00000000-0005-0000-0000-0000F2050000}"/>
    <cellStyle name="40% - Accent4 3 10" xfId="25676" xr:uid="{2C64673C-6D26-4D58-A78A-3B4348722EB8}"/>
    <cellStyle name="40% - Accent4 3 11" xfId="8803" xr:uid="{3E88875B-365E-4984-8DC5-8D44C2937859}"/>
    <cellStyle name="40% - Accent4 3 2" xfId="79" xr:uid="{00000000-0005-0000-0000-0000F3050000}"/>
    <cellStyle name="40% - Accent4 3 2 10" xfId="8804" xr:uid="{CC14F953-8365-441B-9E04-50121F712673}"/>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24019" xr:uid="{D0F23E2C-68EA-46B8-B9AE-53C0226EFF89}"/>
    <cellStyle name="40% - Accent4 3 2 2 2 2 3" xfId="32453" xr:uid="{226B5DF4-FBB9-42B8-9F5B-CBE3836DAD7F}"/>
    <cellStyle name="40% - Accent4 3 2 2 2 2 4" xfId="15581" xr:uid="{503699A6-7747-41CD-81A3-2DAE4F2527B6}"/>
    <cellStyle name="40% - Accent4 3 2 2 2 3" xfId="19801" xr:uid="{C3BF4745-3F19-41CC-ABFE-2F56D7A9A39E}"/>
    <cellStyle name="40% - Accent4 3 2 2 2 4" xfId="28236" xr:uid="{4C5BCB8E-9D0F-4FA5-95F1-8FD96EC6BB8A}"/>
    <cellStyle name="40% - Accent4 3 2 2 2 5" xfId="11363" xr:uid="{040A110C-9261-43A5-ACD5-902509032F41}"/>
    <cellStyle name="40% - Accent4 3 2 2 3" xfId="4997" xr:uid="{00000000-0005-0000-0000-0000F7050000}"/>
    <cellStyle name="40% - Accent4 3 2 2 3 2" xfId="21874" xr:uid="{7042CC96-1961-48E9-8D6F-2243E677F01F}"/>
    <cellStyle name="40% - Accent4 3 2 2 3 3" xfId="30308" xr:uid="{65153AA0-119F-4992-AE14-3168DD27E849}"/>
    <cellStyle name="40% - Accent4 3 2 2 3 4" xfId="13436" xr:uid="{EC4FE201-C822-449B-9B2B-5EABBF15A7CF}"/>
    <cellStyle name="40% - Accent4 3 2 2 4" xfId="17656" xr:uid="{EB7DE5C5-5B47-4427-95F0-432349EDAAA5}"/>
    <cellStyle name="40% - Accent4 3 2 2 5" xfId="26091" xr:uid="{3F7280DE-985B-4729-85DA-1E7B1C836252}"/>
    <cellStyle name="40% - Accent4 3 2 2 6" xfId="9218" xr:uid="{A9261743-D366-4B56-A71E-9D5A1E03B9C0}"/>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24432" xr:uid="{24F4AA0A-ABDD-49EA-AE9C-2FE3A6467FB7}"/>
    <cellStyle name="40% - Accent4 3 2 3 2 2 3" xfId="32866" xr:uid="{59CDEAB2-05E0-4EC1-B22B-EC505B31EBB2}"/>
    <cellStyle name="40% - Accent4 3 2 3 2 2 4" xfId="15994" xr:uid="{739C0048-B0A7-478A-8CC1-59AD483F2874}"/>
    <cellStyle name="40% - Accent4 3 2 3 2 3" xfId="20214" xr:uid="{17B4CBB0-220B-4D36-8D2B-38AAD8CB858F}"/>
    <cellStyle name="40% - Accent4 3 2 3 2 4" xfId="28649" xr:uid="{70DF8E59-B3F5-432F-BA42-A4E73C5931FD}"/>
    <cellStyle name="40% - Accent4 3 2 3 2 5" xfId="11776" xr:uid="{7BE1DD19-2D52-4948-B6BB-E3E376D053BF}"/>
    <cellStyle name="40% - Accent4 3 2 3 3" xfId="5410" xr:uid="{00000000-0005-0000-0000-0000FB050000}"/>
    <cellStyle name="40% - Accent4 3 2 3 3 2" xfId="22287" xr:uid="{01D98F96-5C08-4A58-BF4B-374324E29AD2}"/>
    <cellStyle name="40% - Accent4 3 2 3 3 3" xfId="30721" xr:uid="{23D53EED-0D64-4A7F-8FBD-DADA4E5772D1}"/>
    <cellStyle name="40% - Accent4 3 2 3 3 4" xfId="13849" xr:uid="{E6BDB5D2-5067-492E-BD76-81E9617693F0}"/>
    <cellStyle name="40% - Accent4 3 2 3 4" xfId="18069" xr:uid="{AA07147B-2A06-4409-AD37-3D64FB180914}"/>
    <cellStyle name="40% - Accent4 3 2 3 5" xfId="26504" xr:uid="{82165E14-A5AA-49BF-81F6-36B3E4795B8B}"/>
    <cellStyle name="40% - Accent4 3 2 3 6" xfId="9631" xr:uid="{B77405E6-55B1-4461-95E8-B4169FF3DF5D}"/>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24845" xr:uid="{B30D8B78-9BCA-4EDF-AA43-A2D9667A6A11}"/>
    <cellStyle name="40% - Accent4 3 2 4 2 2 3" xfId="33279" xr:uid="{8472C5E6-6928-4FC5-BBA5-B8CD9BD416A2}"/>
    <cellStyle name="40% - Accent4 3 2 4 2 2 4" xfId="16407" xr:uid="{6CBE3375-533A-462F-AB58-2CC7DC601A2A}"/>
    <cellStyle name="40% - Accent4 3 2 4 2 3" xfId="20627" xr:uid="{A2F4C548-6B7A-42F6-A700-DADC2A92F826}"/>
    <cellStyle name="40% - Accent4 3 2 4 2 4" xfId="29062" xr:uid="{52ED8243-041C-49EC-B31E-42CCDBA565E6}"/>
    <cellStyle name="40% - Accent4 3 2 4 2 5" xfId="12189" xr:uid="{E5D473B2-37EF-4228-A5CA-0D8A2167030D}"/>
    <cellStyle name="40% - Accent4 3 2 4 3" xfId="5823" xr:uid="{00000000-0005-0000-0000-0000FF050000}"/>
    <cellStyle name="40% - Accent4 3 2 4 3 2" xfId="22700" xr:uid="{E683B8D4-7F32-4337-9A7F-C195A255B0F8}"/>
    <cellStyle name="40% - Accent4 3 2 4 3 3" xfId="31134" xr:uid="{4753C9B3-50BB-44F5-B258-7A21FD836CC2}"/>
    <cellStyle name="40% - Accent4 3 2 4 3 4" xfId="14262" xr:uid="{52D91F57-2EDD-4AF3-82AE-C131F08D0564}"/>
    <cellStyle name="40% - Accent4 3 2 4 4" xfId="18482" xr:uid="{7CA599A1-53DA-4208-B2D2-F5753D1F6558}"/>
    <cellStyle name="40% - Accent4 3 2 4 5" xfId="26917" xr:uid="{CC2F3A73-ABB8-49D0-9743-137E7FDF4D43}"/>
    <cellStyle name="40% - Accent4 3 2 4 6" xfId="10044" xr:uid="{3693E5BB-C756-4ED4-B04E-886B5D4EB876}"/>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25258" xr:uid="{DAC1D993-470B-4331-A636-E72ED10E7EC4}"/>
    <cellStyle name="40% - Accent4 3 2 5 2 2 3" xfId="33692" xr:uid="{029FD599-F5E9-424C-B480-7887D8ABE4B9}"/>
    <cellStyle name="40% - Accent4 3 2 5 2 2 4" xfId="16820" xr:uid="{E8DAAC1B-2286-4C7D-88B0-8A44D38B00D0}"/>
    <cellStyle name="40% - Accent4 3 2 5 2 3" xfId="21040" xr:uid="{DDE80035-2D46-4585-A6B3-79D3D7B9F172}"/>
    <cellStyle name="40% - Accent4 3 2 5 2 4" xfId="29475" xr:uid="{0E1F58CE-3560-42F0-8FA3-5D103897CECF}"/>
    <cellStyle name="40% - Accent4 3 2 5 2 5" xfId="12602" xr:uid="{B633BF7C-E8C3-43A5-9C66-8088EEFEFF3F}"/>
    <cellStyle name="40% - Accent4 3 2 5 3" xfId="6236" xr:uid="{00000000-0005-0000-0000-000003060000}"/>
    <cellStyle name="40% - Accent4 3 2 5 3 2" xfId="23113" xr:uid="{C0D413DF-0545-4FAB-9888-9F5D34B10BC2}"/>
    <cellStyle name="40% - Accent4 3 2 5 3 3" xfId="31547" xr:uid="{FCA87D5B-5228-4859-AD1D-465A7F3AF3FD}"/>
    <cellStyle name="40% - Accent4 3 2 5 3 4" xfId="14675" xr:uid="{8445A0F3-120E-45D3-AE60-3AD2A6BEE182}"/>
    <cellStyle name="40% - Accent4 3 2 5 4" xfId="18895" xr:uid="{A1E8E4F2-688D-402E-9591-27F112BC844F}"/>
    <cellStyle name="40% - Accent4 3 2 5 5" xfId="27330" xr:uid="{2F4CC7F3-83AD-4B09-A6CA-BF0BCF700990}"/>
    <cellStyle name="40% - Accent4 3 2 5 6" xfId="10457" xr:uid="{D5A75100-A852-4094-9995-C4A582388170}"/>
    <cellStyle name="40% - Accent4 3 2 6" xfId="2342" xr:uid="{00000000-0005-0000-0000-000004060000}"/>
    <cellStyle name="40% - Accent4 3 2 6 2" xfId="6649" xr:uid="{00000000-0005-0000-0000-000005060000}"/>
    <cellStyle name="40% - Accent4 3 2 6 2 2" xfId="23526" xr:uid="{9C0BE748-10FC-480C-B90E-3FBD496D3E51}"/>
    <cellStyle name="40% - Accent4 3 2 6 2 3" xfId="31960" xr:uid="{78852B10-4600-4740-ADDB-916C21CACBD7}"/>
    <cellStyle name="40% - Accent4 3 2 6 2 4" xfId="15088" xr:uid="{FBBD5270-DD03-4721-859E-329C17C81E23}"/>
    <cellStyle name="40% - Accent4 3 2 6 3" xfId="19308" xr:uid="{3B263DBD-BE7A-4C3B-933A-B5DEDC09AFEB}"/>
    <cellStyle name="40% - Accent4 3 2 6 4" xfId="27743" xr:uid="{03269192-12CC-47CA-ACB0-40FACF11620B}"/>
    <cellStyle name="40% - Accent4 3 2 6 5" xfId="10870" xr:uid="{146E1A54-EC76-49E1-A1D3-6B69BAEC1FD1}"/>
    <cellStyle name="40% - Accent4 3 2 7" xfId="4583" xr:uid="{00000000-0005-0000-0000-000006060000}"/>
    <cellStyle name="40% - Accent4 3 2 7 2" xfId="21460" xr:uid="{13471C68-1F4E-477A-AB67-EFBCEBB4C823}"/>
    <cellStyle name="40% - Accent4 3 2 7 3" xfId="29894" xr:uid="{C84787A2-CE4C-4177-A326-80829D6EEBC7}"/>
    <cellStyle name="40% - Accent4 3 2 7 4" xfId="13022" xr:uid="{79947664-8BCE-4236-8743-7C35C2DEA766}"/>
    <cellStyle name="40% - Accent4 3 2 8" xfId="17242" xr:uid="{8832505B-E62B-4869-9B4C-38F27FA95350}"/>
    <cellStyle name="40% - Accent4 3 2 9" xfId="25677" xr:uid="{B7B953E1-834E-4D6B-962B-93B6713F57DB}"/>
    <cellStyle name="40% - Accent4 3 3" xfId="647" xr:uid="{00000000-0005-0000-0000-000007060000}"/>
    <cellStyle name="40% - Accent4 3 3 2" xfId="2918" xr:uid="{00000000-0005-0000-0000-000008060000}"/>
    <cellStyle name="40% - Accent4 3 3 2 2" xfId="7141" xr:uid="{00000000-0005-0000-0000-000009060000}"/>
    <cellStyle name="40% - Accent4 3 3 2 2 2" xfId="24018" xr:uid="{6A371589-CDCB-4F1A-A072-8F0D37877EF9}"/>
    <cellStyle name="40% - Accent4 3 3 2 2 3" xfId="32452" xr:uid="{96DF943B-896B-4EDD-8476-29626910E2A2}"/>
    <cellStyle name="40% - Accent4 3 3 2 2 4" xfId="15580" xr:uid="{96B641B0-402C-483C-BD60-0D2C405BE0C4}"/>
    <cellStyle name="40% - Accent4 3 3 2 3" xfId="19800" xr:uid="{EC1C883C-E9CA-42A9-BAAB-4A5734E08DAE}"/>
    <cellStyle name="40% - Accent4 3 3 2 4" xfId="28235" xr:uid="{F1F21E33-C9C8-45AD-BD4D-F14E57503780}"/>
    <cellStyle name="40% - Accent4 3 3 2 5" xfId="11362" xr:uid="{4929F32E-5763-488D-8304-18B1DF854BD6}"/>
    <cellStyle name="40% - Accent4 3 3 3" xfId="4996" xr:uid="{00000000-0005-0000-0000-00000A060000}"/>
    <cellStyle name="40% - Accent4 3 3 3 2" xfId="21873" xr:uid="{74A47CB5-61F5-4E3B-BA06-36BFADDD7BDD}"/>
    <cellStyle name="40% - Accent4 3 3 3 3" xfId="30307" xr:uid="{A8847520-6F09-47D9-B842-E702306619F3}"/>
    <cellStyle name="40% - Accent4 3 3 3 4" xfId="13435" xr:uid="{2EBEE168-B5DD-4C66-8D59-50372D4144A6}"/>
    <cellStyle name="40% - Accent4 3 3 4" xfId="17655" xr:uid="{363A4CBA-07C6-45F6-A758-F06A798617AC}"/>
    <cellStyle name="40% - Accent4 3 3 5" xfId="26090" xr:uid="{438FC91E-38B5-42CD-86DE-4ECCE31DEF11}"/>
    <cellStyle name="40% - Accent4 3 3 6" xfId="9217" xr:uid="{355888E8-3A16-4C66-BBE3-A4366F1D7C5B}"/>
    <cellStyle name="40% - Accent4 3 4" xfId="1100" xr:uid="{00000000-0005-0000-0000-00000B060000}"/>
    <cellStyle name="40% - Accent4 3 4 2" xfId="3331" xr:uid="{00000000-0005-0000-0000-00000C060000}"/>
    <cellStyle name="40% - Accent4 3 4 2 2" xfId="7554" xr:uid="{00000000-0005-0000-0000-00000D060000}"/>
    <cellStyle name="40% - Accent4 3 4 2 2 2" xfId="24431" xr:uid="{D675F011-E72F-4F90-AEC1-3E43121FE3A3}"/>
    <cellStyle name="40% - Accent4 3 4 2 2 3" xfId="32865" xr:uid="{E17014F7-2CB0-4B11-AF72-EBCF2FC345B2}"/>
    <cellStyle name="40% - Accent4 3 4 2 2 4" xfId="15993" xr:uid="{AAA71190-64F8-4C9B-AAAE-8ADFA04A67B4}"/>
    <cellStyle name="40% - Accent4 3 4 2 3" xfId="20213" xr:uid="{206E5F83-F9F9-4D2C-9E6A-7A94CE6B5429}"/>
    <cellStyle name="40% - Accent4 3 4 2 4" xfId="28648" xr:uid="{B5134C44-9375-4394-9E9C-E460D1B3066B}"/>
    <cellStyle name="40% - Accent4 3 4 2 5" xfId="11775" xr:uid="{66B1E7BB-9C0A-4A7A-A538-7250E5DBF0A2}"/>
    <cellStyle name="40% - Accent4 3 4 3" xfId="5409" xr:uid="{00000000-0005-0000-0000-00000E060000}"/>
    <cellStyle name="40% - Accent4 3 4 3 2" xfId="22286" xr:uid="{3C2AFBD8-F4C5-49A7-A61C-2B54E53C3BAB}"/>
    <cellStyle name="40% - Accent4 3 4 3 3" xfId="30720" xr:uid="{0FACEFBD-D0AC-488C-9306-D3F8AAD28AE0}"/>
    <cellStyle name="40% - Accent4 3 4 3 4" xfId="13848" xr:uid="{5B2C4D96-0D4C-49B0-A661-1FB64380AB1F}"/>
    <cellStyle name="40% - Accent4 3 4 4" xfId="18068" xr:uid="{6FA188CB-887C-4F0E-98F6-93FAC2562CEA}"/>
    <cellStyle name="40% - Accent4 3 4 5" xfId="26503" xr:uid="{AE1BDCCE-D620-4E7B-B8D3-4D016538DC7A}"/>
    <cellStyle name="40% - Accent4 3 4 6" xfId="9630" xr:uid="{D69F93BF-F276-46B9-83AA-29875A6699A6}"/>
    <cellStyle name="40% - Accent4 3 5" xfId="1514" xr:uid="{00000000-0005-0000-0000-00000F060000}"/>
    <cellStyle name="40% - Accent4 3 5 2" xfId="3744" xr:uid="{00000000-0005-0000-0000-000010060000}"/>
    <cellStyle name="40% - Accent4 3 5 2 2" xfId="7967" xr:uid="{00000000-0005-0000-0000-000011060000}"/>
    <cellStyle name="40% - Accent4 3 5 2 2 2" xfId="24844" xr:uid="{10EF2E7E-D4B7-40D4-952D-D1646F1F8C2E}"/>
    <cellStyle name="40% - Accent4 3 5 2 2 3" xfId="33278" xr:uid="{253B33D8-E85E-47AF-A666-ED305150BBFE}"/>
    <cellStyle name="40% - Accent4 3 5 2 2 4" xfId="16406" xr:uid="{8D5E60B7-E735-4F8B-B470-95453405F74D}"/>
    <cellStyle name="40% - Accent4 3 5 2 3" xfId="20626" xr:uid="{B1CB20A8-396D-485D-AC3D-1BF0E080DE31}"/>
    <cellStyle name="40% - Accent4 3 5 2 4" xfId="29061" xr:uid="{822D4811-8593-4072-BF85-43FE2CE329F1}"/>
    <cellStyle name="40% - Accent4 3 5 2 5" xfId="12188" xr:uid="{6E6B2AF4-BFAB-4A4F-B17B-64BB31A5C826}"/>
    <cellStyle name="40% - Accent4 3 5 3" xfId="5822" xr:uid="{00000000-0005-0000-0000-000012060000}"/>
    <cellStyle name="40% - Accent4 3 5 3 2" xfId="22699" xr:uid="{87307A20-8691-436E-B113-28E67204063D}"/>
    <cellStyle name="40% - Accent4 3 5 3 3" xfId="31133" xr:uid="{B9BB9AB6-BEB0-483B-926A-E5FAD4C31760}"/>
    <cellStyle name="40% - Accent4 3 5 3 4" xfId="14261" xr:uid="{B48BB2AA-E7ED-4BC8-BAA6-4E0D22AAE7D8}"/>
    <cellStyle name="40% - Accent4 3 5 4" xfId="18481" xr:uid="{CA667F14-6CAE-48FE-B234-B37B68B990F2}"/>
    <cellStyle name="40% - Accent4 3 5 5" xfId="26916" xr:uid="{13917C3C-E35C-4D33-ACDC-1DE5B71E3221}"/>
    <cellStyle name="40% - Accent4 3 5 6" xfId="10043" xr:uid="{3F70059B-A2D0-4616-9BEA-79B9FB312741}"/>
    <cellStyle name="40% - Accent4 3 6" xfId="1928" xr:uid="{00000000-0005-0000-0000-000013060000}"/>
    <cellStyle name="40% - Accent4 3 6 2" xfId="4157" xr:uid="{00000000-0005-0000-0000-000014060000}"/>
    <cellStyle name="40% - Accent4 3 6 2 2" xfId="8380" xr:uid="{00000000-0005-0000-0000-000015060000}"/>
    <cellStyle name="40% - Accent4 3 6 2 2 2" xfId="25257" xr:uid="{112EFE33-2DF2-42C6-8EF6-FAC3FCF51B37}"/>
    <cellStyle name="40% - Accent4 3 6 2 2 3" xfId="33691" xr:uid="{A750D9AF-CECB-476D-80A5-E2DD94B9DA7B}"/>
    <cellStyle name="40% - Accent4 3 6 2 2 4" xfId="16819" xr:uid="{385748FB-D69D-4057-9D59-EF30D0EF3E38}"/>
    <cellStyle name="40% - Accent4 3 6 2 3" xfId="21039" xr:uid="{F2A7E30E-126A-43FB-8A53-3ABFC4BA7166}"/>
    <cellStyle name="40% - Accent4 3 6 2 4" xfId="29474" xr:uid="{E7F8EA46-0B82-4B53-A1A7-63F9E079C22E}"/>
    <cellStyle name="40% - Accent4 3 6 2 5" xfId="12601" xr:uid="{338768CB-1D21-45BD-AE59-97E078979A8F}"/>
    <cellStyle name="40% - Accent4 3 6 3" xfId="6235" xr:uid="{00000000-0005-0000-0000-000016060000}"/>
    <cellStyle name="40% - Accent4 3 6 3 2" xfId="23112" xr:uid="{E0A9EB85-A97B-4A1B-B6F3-FB65672F6DFC}"/>
    <cellStyle name="40% - Accent4 3 6 3 3" xfId="31546" xr:uid="{B6C0E116-7713-4424-BC85-639B51AF25CC}"/>
    <cellStyle name="40% - Accent4 3 6 3 4" xfId="14674" xr:uid="{F5A7A9FA-518C-418D-907E-81D118DA4CA1}"/>
    <cellStyle name="40% - Accent4 3 6 4" xfId="18894" xr:uid="{024B224E-5E50-42BD-AF0B-3CDC6D63A9FA}"/>
    <cellStyle name="40% - Accent4 3 6 5" xfId="27329" xr:uid="{974C1341-61BA-467A-9D7B-A87F812F3347}"/>
    <cellStyle name="40% - Accent4 3 6 6" xfId="10456" xr:uid="{70466462-E86D-4415-9DB7-CBA9942F51B4}"/>
    <cellStyle name="40% - Accent4 3 7" xfId="2341" xr:uid="{00000000-0005-0000-0000-000017060000}"/>
    <cellStyle name="40% - Accent4 3 7 2" xfId="6648" xr:uid="{00000000-0005-0000-0000-000018060000}"/>
    <cellStyle name="40% - Accent4 3 7 2 2" xfId="23525" xr:uid="{87EBAE92-C900-47A9-A019-26C2421AB26C}"/>
    <cellStyle name="40% - Accent4 3 7 2 3" xfId="31959" xr:uid="{9E7CEEC5-EE4B-4692-8444-89A605F07648}"/>
    <cellStyle name="40% - Accent4 3 7 2 4" xfId="15087" xr:uid="{E84A1740-402B-4A1E-B6B4-AD5B0D874C26}"/>
    <cellStyle name="40% - Accent4 3 7 3" xfId="19307" xr:uid="{49BDF18E-544E-42E6-A8C2-CC8C68F2B35D}"/>
    <cellStyle name="40% - Accent4 3 7 4" xfId="27742" xr:uid="{821999D7-3FE8-4870-8FEE-7453C0FE5D07}"/>
    <cellStyle name="40% - Accent4 3 7 5" xfId="10869" xr:uid="{268A6D76-3043-4321-8340-814EE2136BE2}"/>
    <cellStyle name="40% - Accent4 3 8" xfId="4582" xr:uid="{00000000-0005-0000-0000-000019060000}"/>
    <cellStyle name="40% - Accent4 3 8 2" xfId="21459" xr:uid="{EAA7B7BD-CD40-4368-9FA1-9FCE89636E51}"/>
    <cellStyle name="40% - Accent4 3 8 3" xfId="29893" xr:uid="{DDF39813-7A35-468B-B8FE-7616EE160EB1}"/>
    <cellStyle name="40% - Accent4 3 8 4" xfId="13021" xr:uid="{2D1B68C6-75B5-4BC9-8B4C-22611C0B8FF4}"/>
    <cellStyle name="40% - Accent4 3 9" xfId="17241" xr:uid="{E9DA741C-6370-4808-A365-2625A587C3A6}"/>
    <cellStyle name="40% - Accent4 4" xfId="80" xr:uid="{00000000-0005-0000-0000-00001A060000}"/>
    <cellStyle name="40% - Accent4 4 10" xfId="8805" xr:uid="{D2E765FC-C91B-4789-A1D5-81D3BE9B0225}"/>
    <cellStyle name="40% - Accent4 4 2" xfId="649" xr:uid="{00000000-0005-0000-0000-00001B060000}"/>
    <cellStyle name="40% - Accent4 4 2 2" xfId="2920" xr:uid="{00000000-0005-0000-0000-00001C060000}"/>
    <cellStyle name="40% - Accent4 4 2 2 2" xfId="7143" xr:uid="{00000000-0005-0000-0000-00001D060000}"/>
    <cellStyle name="40% - Accent4 4 2 2 2 2" xfId="24020" xr:uid="{24E45EC2-BE95-4EF9-8479-EB07E867750C}"/>
    <cellStyle name="40% - Accent4 4 2 2 2 3" xfId="32454" xr:uid="{095C1B06-ED04-4E7C-86B2-0C2215FF4F8A}"/>
    <cellStyle name="40% - Accent4 4 2 2 2 4" xfId="15582" xr:uid="{890F264D-7A87-4063-B04F-255026226136}"/>
    <cellStyle name="40% - Accent4 4 2 2 3" xfId="19802" xr:uid="{75CE00A6-AB48-4C4D-AF63-0571BDC82B4A}"/>
    <cellStyle name="40% - Accent4 4 2 2 4" xfId="28237" xr:uid="{7B32D0D7-9368-45BD-BB01-6B0B704BD25D}"/>
    <cellStyle name="40% - Accent4 4 2 2 5" xfId="11364" xr:uid="{4366DC0E-B262-4FF2-8CA2-BCEB9B4846FC}"/>
    <cellStyle name="40% - Accent4 4 2 3" xfId="4998" xr:uid="{00000000-0005-0000-0000-00001E060000}"/>
    <cellStyle name="40% - Accent4 4 2 3 2" xfId="21875" xr:uid="{20582699-3C94-4253-9FCF-86229E5903A9}"/>
    <cellStyle name="40% - Accent4 4 2 3 3" xfId="30309" xr:uid="{255BF447-3136-4F11-82A5-4C9186F27188}"/>
    <cellStyle name="40% - Accent4 4 2 3 4" xfId="13437" xr:uid="{9AF9DDB0-5EDA-4704-A244-F7D98C18F90C}"/>
    <cellStyle name="40% - Accent4 4 2 4" xfId="17657" xr:uid="{B1E184AC-9BF4-4054-BCF2-074E7E6486B5}"/>
    <cellStyle name="40% - Accent4 4 2 5" xfId="26092" xr:uid="{D34B45DA-D086-468C-9E58-E2AE982C6D6C}"/>
    <cellStyle name="40% - Accent4 4 2 6" xfId="9219" xr:uid="{D5F80A38-A7BF-44FD-9A80-C02145004547}"/>
    <cellStyle name="40% - Accent4 4 3" xfId="1102" xr:uid="{00000000-0005-0000-0000-00001F060000}"/>
    <cellStyle name="40% - Accent4 4 3 2" xfId="3333" xr:uid="{00000000-0005-0000-0000-000020060000}"/>
    <cellStyle name="40% - Accent4 4 3 2 2" xfId="7556" xr:uid="{00000000-0005-0000-0000-000021060000}"/>
    <cellStyle name="40% - Accent4 4 3 2 2 2" xfId="24433" xr:uid="{5B01DB73-EF8A-4E62-B89E-5410120BE4DB}"/>
    <cellStyle name="40% - Accent4 4 3 2 2 3" xfId="32867" xr:uid="{EC4C8757-F5BF-40A9-9624-7EA663E72447}"/>
    <cellStyle name="40% - Accent4 4 3 2 2 4" xfId="15995" xr:uid="{2E44B96E-E4AB-460C-8BF5-FC926F3545E1}"/>
    <cellStyle name="40% - Accent4 4 3 2 3" xfId="20215" xr:uid="{5C20E80E-0373-4D78-A351-0103C9F2CD95}"/>
    <cellStyle name="40% - Accent4 4 3 2 4" xfId="28650" xr:uid="{6009BB46-9824-4E8B-A5DC-63F856C6F596}"/>
    <cellStyle name="40% - Accent4 4 3 2 5" xfId="11777" xr:uid="{A2109B0D-7948-4DA4-B874-40AA8E761E2E}"/>
    <cellStyle name="40% - Accent4 4 3 3" xfId="5411" xr:uid="{00000000-0005-0000-0000-000022060000}"/>
    <cellStyle name="40% - Accent4 4 3 3 2" xfId="22288" xr:uid="{1D664E95-5C27-403C-9FE0-F420A3DB74C3}"/>
    <cellStyle name="40% - Accent4 4 3 3 3" xfId="30722" xr:uid="{7BECC683-7A46-4636-8E9B-6B274F2B90DB}"/>
    <cellStyle name="40% - Accent4 4 3 3 4" xfId="13850" xr:uid="{CE75C48E-4322-411D-83DD-E0EE4F30760A}"/>
    <cellStyle name="40% - Accent4 4 3 4" xfId="18070" xr:uid="{FE5239E2-6522-4198-83C2-1F62506D91DF}"/>
    <cellStyle name="40% - Accent4 4 3 5" xfId="26505" xr:uid="{4D6BBE64-C093-4437-810E-DE366EC05207}"/>
    <cellStyle name="40% - Accent4 4 3 6" xfId="9632" xr:uid="{57B16934-5ED5-41F7-B202-DD30BBD1EE4D}"/>
    <cellStyle name="40% - Accent4 4 4" xfId="1516" xr:uid="{00000000-0005-0000-0000-000023060000}"/>
    <cellStyle name="40% - Accent4 4 4 2" xfId="3746" xr:uid="{00000000-0005-0000-0000-000024060000}"/>
    <cellStyle name="40% - Accent4 4 4 2 2" xfId="7969" xr:uid="{00000000-0005-0000-0000-000025060000}"/>
    <cellStyle name="40% - Accent4 4 4 2 2 2" xfId="24846" xr:uid="{2FB5F54E-0984-4D1D-BA55-9F5CCE8F9C87}"/>
    <cellStyle name="40% - Accent4 4 4 2 2 3" xfId="33280" xr:uid="{8F6AD4DE-7739-4333-8C90-7E1373A47221}"/>
    <cellStyle name="40% - Accent4 4 4 2 2 4" xfId="16408" xr:uid="{4D9952F2-1AC8-400D-ADF3-22057583011D}"/>
    <cellStyle name="40% - Accent4 4 4 2 3" xfId="20628" xr:uid="{37BAD5DE-EDE6-42B0-9BC5-7D5290EA7955}"/>
    <cellStyle name="40% - Accent4 4 4 2 4" xfId="29063" xr:uid="{A8B2EE1C-82A6-4431-AEDA-1D1C768F52AD}"/>
    <cellStyle name="40% - Accent4 4 4 2 5" xfId="12190" xr:uid="{4B1B9411-D8FD-46AB-94EC-7DDC6F9DDE7E}"/>
    <cellStyle name="40% - Accent4 4 4 3" xfId="5824" xr:uid="{00000000-0005-0000-0000-000026060000}"/>
    <cellStyle name="40% - Accent4 4 4 3 2" xfId="22701" xr:uid="{CF8853E3-7A73-4D20-A1AD-81C9549109E9}"/>
    <cellStyle name="40% - Accent4 4 4 3 3" xfId="31135" xr:uid="{AA506DA6-BD10-4F2C-8B7D-AD67ED8F0C3C}"/>
    <cellStyle name="40% - Accent4 4 4 3 4" xfId="14263" xr:uid="{C5355216-1951-4B79-A261-192FD32B6876}"/>
    <cellStyle name="40% - Accent4 4 4 4" xfId="18483" xr:uid="{D820D4BB-8F84-4669-9F1C-79A83C96747F}"/>
    <cellStyle name="40% - Accent4 4 4 5" xfId="26918" xr:uid="{B8866301-463E-4CB2-8127-926D7FD5065C}"/>
    <cellStyle name="40% - Accent4 4 4 6" xfId="10045" xr:uid="{68C66D42-75B9-474C-88CC-D4C5AF407537}"/>
    <cellStyle name="40% - Accent4 4 5" xfId="1930" xr:uid="{00000000-0005-0000-0000-000027060000}"/>
    <cellStyle name="40% - Accent4 4 5 2" xfId="4159" xr:uid="{00000000-0005-0000-0000-000028060000}"/>
    <cellStyle name="40% - Accent4 4 5 2 2" xfId="8382" xr:uid="{00000000-0005-0000-0000-000029060000}"/>
    <cellStyle name="40% - Accent4 4 5 2 2 2" xfId="25259" xr:uid="{EC80F906-5B12-413C-9C0D-AC141E9E93A2}"/>
    <cellStyle name="40% - Accent4 4 5 2 2 3" xfId="33693" xr:uid="{38852E01-5925-4543-BCB3-80C7A5FB64E2}"/>
    <cellStyle name="40% - Accent4 4 5 2 2 4" xfId="16821" xr:uid="{9D912DA5-035A-4CB9-A989-D5D6E00B1ADA}"/>
    <cellStyle name="40% - Accent4 4 5 2 3" xfId="21041" xr:uid="{92CBCB99-EF97-4A47-A596-B717E92BC529}"/>
    <cellStyle name="40% - Accent4 4 5 2 4" xfId="29476" xr:uid="{4B7E21D6-A262-42A7-B65A-EE9BF1452A70}"/>
    <cellStyle name="40% - Accent4 4 5 2 5" xfId="12603" xr:uid="{9F56DE61-75E6-4495-97FF-D24E7370D8C5}"/>
    <cellStyle name="40% - Accent4 4 5 3" xfId="6237" xr:uid="{00000000-0005-0000-0000-00002A060000}"/>
    <cellStyle name="40% - Accent4 4 5 3 2" xfId="23114" xr:uid="{9016DF67-4466-4173-B377-2CD6B157B568}"/>
    <cellStyle name="40% - Accent4 4 5 3 3" xfId="31548" xr:uid="{7BFCA419-86D7-475E-B537-7AD70B97074E}"/>
    <cellStyle name="40% - Accent4 4 5 3 4" xfId="14676" xr:uid="{0FE2CF14-626D-4627-B68E-C253DE117699}"/>
    <cellStyle name="40% - Accent4 4 5 4" xfId="18896" xr:uid="{57FAC51E-19A3-4F1F-844A-76A6BB5466FF}"/>
    <cellStyle name="40% - Accent4 4 5 5" xfId="27331" xr:uid="{934A5777-5BFF-4108-83D2-88728A25B76F}"/>
    <cellStyle name="40% - Accent4 4 5 6" xfId="10458" xr:uid="{B5E4EADC-7551-4819-AE9D-89498F3170B7}"/>
    <cellStyle name="40% - Accent4 4 6" xfId="2343" xr:uid="{00000000-0005-0000-0000-00002B060000}"/>
    <cellStyle name="40% - Accent4 4 6 2" xfId="6650" xr:uid="{00000000-0005-0000-0000-00002C060000}"/>
    <cellStyle name="40% - Accent4 4 6 2 2" xfId="23527" xr:uid="{71E66A33-4562-4706-97B4-0369118E2791}"/>
    <cellStyle name="40% - Accent4 4 6 2 3" xfId="31961" xr:uid="{73C1F8E7-1BB2-407A-A852-AE52DE0547E6}"/>
    <cellStyle name="40% - Accent4 4 6 2 4" xfId="15089" xr:uid="{3FAA8D68-F29F-407E-B580-3A344AFE55F2}"/>
    <cellStyle name="40% - Accent4 4 6 3" xfId="19309" xr:uid="{BB339C9B-545E-4655-B316-DB2A78131D8B}"/>
    <cellStyle name="40% - Accent4 4 6 4" xfId="27744" xr:uid="{7FD61890-4353-4420-A6E8-8A9749995D44}"/>
    <cellStyle name="40% - Accent4 4 6 5" xfId="10871" xr:uid="{830B5149-38EC-4324-8AAB-AEA6DB04F135}"/>
    <cellStyle name="40% - Accent4 4 7" xfId="4584" xr:uid="{00000000-0005-0000-0000-00002D060000}"/>
    <cellStyle name="40% - Accent4 4 7 2" xfId="21461" xr:uid="{D4ECBE1E-1E74-4D40-B0C5-4F71719DB737}"/>
    <cellStyle name="40% - Accent4 4 7 3" xfId="29895" xr:uid="{3066A8BE-9182-40CA-B651-BAF1DE1B0F35}"/>
    <cellStyle name="40% - Accent4 4 7 4" xfId="13023" xr:uid="{1C764783-1108-43AE-ABEE-202AA67894D4}"/>
    <cellStyle name="40% - Accent4 4 8" xfId="17243" xr:uid="{690AF26D-BC4E-4039-9933-7577E83D50E9}"/>
    <cellStyle name="40% - Accent4 4 9" xfId="25678" xr:uid="{2BB8816B-AA35-4061-9CB1-C731EF4EC831}"/>
    <cellStyle name="40% - Accent4 5" xfId="642" xr:uid="{00000000-0005-0000-0000-00002E060000}"/>
    <cellStyle name="40% - Accent4 5 2" xfId="2913" xr:uid="{00000000-0005-0000-0000-00002F060000}"/>
    <cellStyle name="40% - Accent4 5 2 2" xfId="7136" xr:uid="{00000000-0005-0000-0000-000030060000}"/>
    <cellStyle name="40% - Accent4 5 2 2 2" xfId="24013" xr:uid="{FA8ACC31-C5F8-4A36-BCD3-75B9383F0108}"/>
    <cellStyle name="40% - Accent4 5 2 2 3" xfId="32447" xr:uid="{86F6C533-F73E-46C8-893D-61AD398EBFB8}"/>
    <cellStyle name="40% - Accent4 5 2 2 4" xfId="15575" xr:uid="{C61FDE60-1E9C-4AE9-B01A-B8EE3750B1F2}"/>
    <cellStyle name="40% - Accent4 5 2 3" xfId="19795" xr:uid="{3604D66F-CCB4-47E5-B8B9-43549043B80A}"/>
    <cellStyle name="40% - Accent4 5 2 4" xfId="28230" xr:uid="{A694E0A7-E123-4209-9F24-574F088E2599}"/>
    <cellStyle name="40% - Accent4 5 2 5" xfId="11357" xr:uid="{8B1F55C5-5DC6-4AB3-952F-58096551A7BD}"/>
    <cellStyle name="40% - Accent4 5 3" xfId="4991" xr:uid="{00000000-0005-0000-0000-000031060000}"/>
    <cellStyle name="40% - Accent4 5 3 2" xfId="21868" xr:uid="{84C78F21-F634-46E3-AAAD-B6B2A5EB6DB8}"/>
    <cellStyle name="40% - Accent4 5 3 3" xfId="30302" xr:uid="{DB6BB710-B8D6-45C7-80EE-E3F8DB06488E}"/>
    <cellStyle name="40% - Accent4 5 3 4" xfId="13430" xr:uid="{5F23B901-E09C-4A7E-8A75-2759C37B4505}"/>
    <cellStyle name="40% - Accent4 5 4" xfId="17650" xr:uid="{DAAB1919-7E26-49E1-981D-78B2E799A3C4}"/>
    <cellStyle name="40% - Accent4 5 5" xfId="26085" xr:uid="{FB28D1EC-37C9-47DB-8801-8D4F8606F56F}"/>
    <cellStyle name="40% - Accent4 5 6" xfId="9212" xr:uid="{2E2CF0EC-2E6F-465D-B787-9FF78683E57A}"/>
    <cellStyle name="40% - Accent4 6" xfId="1095" xr:uid="{00000000-0005-0000-0000-000032060000}"/>
    <cellStyle name="40% - Accent4 6 2" xfId="3326" xr:uid="{00000000-0005-0000-0000-000033060000}"/>
    <cellStyle name="40% - Accent4 6 2 2" xfId="7549" xr:uid="{00000000-0005-0000-0000-000034060000}"/>
    <cellStyle name="40% - Accent4 6 2 2 2" xfId="24426" xr:uid="{1CD3430F-84AF-4BE0-8718-3791B6CE4349}"/>
    <cellStyle name="40% - Accent4 6 2 2 3" xfId="32860" xr:uid="{F89B65AC-2751-48C4-B41B-99F1FDBE4428}"/>
    <cellStyle name="40% - Accent4 6 2 2 4" xfId="15988" xr:uid="{DF4368C3-3781-489B-AFCD-3034EA71C082}"/>
    <cellStyle name="40% - Accent4 6 2 3" xfId="20208" xr:uid="{EDE303A2-D3B5-469B-9C93-51F3959D6232}"/>
    <cellStyle name="40% - Accent4 6 2 4" xfId="28643" xr:uid="{BA57E708-C145-4EF1-8C8E-7589DFD929D0}"/>
    <cellStyle name="40% - Accent4 6 2 5" xfId="11770" xr:uid="{29F58122-74AE-4ECF-9592-1ED6D2E34089}"/>
    <cellStyle name="40% - Accent4 6 3" xfId="5404" xr:uid="{00000000-0005-0000-0000-000035060000}"/>
    <cellStyle name="40% - Accent4 6 3 2" xfId="22281" xr:uid="{622B02BA-3A6C-4635-B898-E61FEF62FBB0}"/>
    <cellStyle name="40% - Accent4 6 3 3" xfId="30715" xr:uid="{0A1A11A3-89D5-4B9F-9C07-1D4F1972909C}"/>
    <cellStyle name="40% - Accent4 6 3 4" xfId="13843" xr:uid="{D12191E4-1135-4C8B-9B65-6C6E837715BC}"/>
    <cellStyle name="40% - Accent4 6 4" xfId="18063" xr:uid="{AA580F03-99D3-4E2D-9E1C-6CFB919810BA}"/>
    <cellStyle name="40% - Accent4 6 5" xfId="26498" xr:uid="{B250EBE6-A2E8-4C13-88C8-1C6CED8E1627}"/>
    <cellStyle name="40% - Accent4 6 6" xfId="9625" xr:uid="{DBC18955-4E84-4402-8D31-501BA3E205C6}"/>
    <cellStyle name="40% - Accent4 7" xfId="1509" xr:uid="{00000000-0005-0000-0000-000036060000}"/>
    <cellStyle name="40% - Accent4 7 2" xfId="3739" xr:uid="{00000000-0005-0000-0000-000037060000}"/>
    <cellStyle name="40% - Accent4 7 2 2" xfId="7962" xr:uid="{00000000-0005-0000-0000-000038060000}"/>
    <cellStyle name="40% - Accent4 7 2 2 2" xfId="24839" xr:uid="{B5150C0A-E55D-4460-BF8D-DE340458B124}"/>
    <cellStyle name="40% - Accent4 7 2 2 3" xfId="33273" xr:uid="{9ED2BD0B-24F9-4315-8F1E-D68E05FA0742}"/>
    <cellStyle name="40% - Accent4 7 2 2 4" xfId="16401" xr:uid="{A18B0EF8-1070-422A-91A1-DBA4522DD3EF}"/>
    <cellStyle name="40% - Accent4 7 2 3" xfId="20621" xr:uid="{3D7B5AC7-13EB-41B2-A4B0-144764A85B32}"/>
    <cellStyle name="40% - Accent4 7 2 4" xfId="29056" xr:uid="{AC7894B9-F254-4246-A594-88A4167E02C5}"/>
    <cellStyle name="40% - Accent4 7 2 5" xfId="12183" xr:uid="{C420762F-BE23-4F2B-8CC5-6F583D61958F}"/>
    <cellStyle name="40% - Accent4 7 3" xfId="5817" xr:uid="{00000000-0005-0000-0000-000039060000}"/>
    <cellStyle name="40% - Accent4 7 3 2" xfId="22694" xr:uid="{290A7106-DCDB-40B4-B881-F19B9D9EBCB5}"/>
    <cellStyle name="40% - Accent4 7 3 3" xfId="31128" xr:uid="{19C9E3C8-84FD-483C-8B24-B0C8BA24A57D}"/>
    <cellStyle name="40% - Accent4 7 3 4" xfId="14256" xr:uid="{9078B878-3512-4CB6-B7E9-FE36D5B7AEB2}"/>
    <cellStyle name="40% - Accent4 7 4" xfId="18476" xr:uid="{BDB329EB-9AC5-4791-9DD4-6AF12F70C252}"/>
    <cellStyle name="40% - Accent4 7 5" xfId="26911" xr:uid="{961F255B-893E-408B-9508-3AC4B97C6AC4}"/>
    <cellStyle name="40% - Accent4 7 6" xfId="10038" xr:uid="{92915801-37CC-42DC-AF80-76AD14383A7C}"/>
    <cellStyle name="40% - Accent4 8" xfId="1923" xr:uid="{00000000-0005-0000-0000-00003A060000}"/>
    <cellStyle name="40% - Accent4 8 2" xfId="4152" xr:uid="{00000000-0005-0000-0000-00003B060000}"/>
    <cellStyle name="40% - Accent4 8 2 2" xfId="8375" xr:uid="{00000000-0005-0000-0000-00003C060000}"/>
    <cellStyle name="40% - Accent4 8 2 2 2" xfId="25252" xr:uid="{D64B7CD1-6C2C-4FFC-A60A-3617852EA64C}"/>
    <cellStyle name="40% - Accent4 8 2 2 3" xfId="33686" xr:uid="{060EA11F-4496-4BC0-9AFD-7A2BA2949229}"/>
    <cellStyle name="40% - Accent4 8 2 2 4" xfId="16814" xr:uid="{A783D713-C869-40A3-8AD7-3A67FA8AF4EC}"/>
    <cellStyle name="40% - Accent4 8 2 3" xfId="21034" xr:uid="{9A653369-879F-440A-93DD-948BA008EDEB}"/>
    <cellStyle name="40% - Accent4 8 2 4" xfId="29469" xr:uid="{660FCF70-8CA7-479C-8213-DA97ADA274C9}"/>
    <cellStyle name="40% - Accent4 8 2 5" xfId="12596" xr:uid="{B21807F1-9547-4A8E-BEE7-1B1CF21292E8}"/>
    <cellStyle name="40% - Accent4 8 3" xfId="6230" xr:uid="{00000000-0005-0000-0000-00003D060000}"/>
    <cellStyle name="40% - Accent4 8 3 2" xfId="23107" xr:uid="{10E2E541-D795-441B-9C31-75F8E2DB1161}"/>
    <cellStyle name="40% - Accent4 8 3 3" xfId="31541" xr:uid="{C497827E-4238-4500-A465-51387FFD05AA}"/>
    <cellStyle name="40% - Accent4 8 3 4" xfId="14669" xr:uid="{3FD2DAF5-9394-490F-9FAB-7F87706BADEB}"/>
    <cellStyle name="40% - Accent4 8 4" xfId="18889" xr:uid="{E5C9DED0-F34E-4FF1-9DDA-61A81249B712}"/>
    <cellStyle name="40% - Accent4 8 5" xfId="27324" xr:uid="{02598D70-E0CE-4AEE-8705-495A84AD20A0}"/>
    <cellStyle name="40% - Accent4 8 6" xfId="10451" xr:uid="{82E32F9B-637D-4ECE-ADDD-97F6AE0E79EC}"/>
    <cellStyle name="40% - Accent4 9" xfId="2336" xr:uid="{00000000-0005-0000-0000-00003E060000}"/>
    <cellStyle name="40% - Accent4 9 2" xfId="6643" xr:uid="{00000000-0005-0000-0000-00003F060000}"/>
    <cellStyle name="40% - Accent4 9 2 2" xfId="23520" xr:uid="{975B88F4-23E2-4B6D-A33A-E2877FA2C27B}"/>
    <cellStyle name="40% - Accent4 9 2 3" xfId="31954" xr:uid="{38A50460-07D2-4C3B-841C-ACCBCCD362BA}"/>
    <cellStyle name="40% - Accent4 9 2 4" xfId="15082" xr:uid="{81F05673-4165-48E7-9650-7C4AD37873AD}"/>
    <cellStyle name="40% - Accent4 9 3" xfId="19302" xr:uid="{F8C31D3B-F568-4FA0-BE84-2D2920E0A38F}"/>
    <cellStyle name="40% - Accent4 9 4" xfId="27737" xr:uid="{D58113C4-4B57-40B0-9F86-F2F57676AA91}"/>
    <cellStyle name="40% - Accent4 9 5" xfId="10864" xr:uid="{2DFD60F5-9948-4E53-A13D-9F792DA8D7D5}"/>
    <cellStyle name="40% - Accent5" xfId="81" builtinId="47" customBuiltin="1"/>
    <cellStyle name="40% - Accent5 10" xfId="4585" xr:uid="{00000000-0005-0000-0000-000041060000}"/>
    <cellStyle name="40% - Accent5 10 2" xfId="21462" xr:uid="{B5BF69ED-61DF-4D1D-8AB6-827BDF854EEA}"/>
    <cellStyle name="40% - Accent5 10 3" xfId="29896" xr:uid="{594BC6FE-972B-4DC7-B9FF-398B35EF6CE1}"/>
    <cellStyle name="40% - Accent5 10 4" xfId="13024" xr:uid="{238BB946-4526-44D7-8141-552948625999}"/>
    <cellStyle name="40% - Accent5 11" xfId="17244" xr:uid="{4EFC2A2C-0EEF-4F0D-9096-55D44858B1FD}"/>
    <cellStyle name="40% - Accent5 12" xfId="25679" xr:uid="{390954B2-5F39-490A-A50B-04FB49DC963C}"/>
    <cellStyle name="40% - Accent5 13" xfId="8806" xr:uid="{132C9D8B-EDD5-4109-BFD9-533367AF989D}"/>
    <cellStyle name="40% - Accent5 2" xfId="82" xr:uid="{00000000-0005-0000-0000-000042060000}"/>
    <cellStyle name="40% - Accent5 2 10" xfId="17245" xr:uid="{BEB9AC6B-7162-48BB-B64E-B02570D960DD}"/>
    <cellStyle name="40% - Accent5 2 11" xfId="25680" xr:uid="{D652BE91-6417-4F70-97BF-ED189670981F}"/>
    <cellStyle name="40% - Accent5 2 12" xfId="8807" xr:uid="{9342239B-F523-4114-877E-06D01CF90820}"/>
    <cellStyle name="40% - Accent5 2 2" xfId="83" xr:uid="{00000000-0005-0000-0000-000043060000}"/>
    <cellStyle name="40% - Accent5 2 2 10" xfId="25681" xr:uid="{90C9771A-B5B0-4797-A5A3-3B0D4708CAFE}"/>
    <cellStyle name="40% - Accent5 2 2 11" xfId="8808" xr:uid="{C5D1AF8C-6C2F-43C5-B0A3-A48AE1F478F8}"/>
    <cellStyle name="40% - Accent5 2 2 2" xfId="84" xr:uid="{00000000-0005-0000-0000-000044060000}"/>
    <cellStyle name="40% - Accent5 2 2 2 10" xfId="8809" xr:uid="{0C935947-FE20-4360-9E72-A3E4D15CDA13}"/>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24024" xr:uid="{A06149B5-93E8-4ADC-BB55-26C7C92C6FD9}"/>
    <cellStyle name="40% - Accent5 2 2 2 2 2 2 3" xfId="32458" xr:uid="{0140791E-4422-4615-BCF8-341D3A467A3F}"/>
    <cellStyle name="40% - Accent5 2 2 2 2 2 2 4" xfId="15586" xr:uid="{5BCA9229-6BE5-4B51-88D2-FB25D30FA2AB}"/>
    <cellStyle name="40% - Accent5 2 2 2 2 2 3" xfId="19806" xr:uid="{7ED87239-A8DD-470A-8E7A-F993B5220522}"/>
    <cellStyle name="40% - Accent5 2 2 2 2 2 4" xfId="28241" xr:uid="{2193267C-265D-4162-B23A-769E29666DAA}"/>
    <cellStyle name="40% - Accent5 2 2 2 2 2 5" xfId="11368" xr:uid="{5E152BF4-01CF-45BB-996E-A9FDCCF786DD}"/>
    <cellStyle name="40% - Accent5 2 2 2 2 3" xfId="5002" xr:uid="{00000000-0005-0000-0000-000048060000}"/>
    <cellStyle name="40% - Accent5 2 2 2 2 3 2" xfId="21879" xr:uid="{954AFCD6-C376-4B35-8224-A34863A9B8BB}"/>
    <cellStyle name="40% - Accent5 2 2 2 2 3 3" xfId="30313" xr:uid="{45009ADC-6245-4099-A3E0-FB598B2BBC93}"/>
    <cellStyle name="40% - Accent5 2 2 2 2 3 4" xfId="13441" xr:uid="{7FC8AF74-9AD3-4733-A6E8-F218EDF6D3AB}"/>
    <cellStyle name="40% - Accent5 2 2 2 2 4" xfId="17661" xr:uid="{E7FC565B-00F6-4EF3-B7DC-98C6C40C249C}"/>
    <cellStyle name="40% - Accent5 2 2 2 2 5" xfId="26096" xr:uid="{E1EE4992-E7B6-4FBF-BE26-B26E9F930627}"/>
    <cellStyle name="40% - Accent5 2 2 2 2 6" xfId="9223" xr:uid="{7AA3C29C-FE06-4F8D-A77D-E2265280AAF6}"/>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24437" xr:uid="{BE55E2B6-7BB7-4A86-B24B-DCCEC17491C3}"/>
    <cellStyle name="40% - Accent5 2 2 2 3 2 2 3" xfId="32871" xr:uid="{2F767CBD-A692-4808-9310-DC5AF3E6C3F3}"/>
    <cellStyle name="40% - Accent5 2 2 2 3 2 2 4" xfId="15999" xr:uid="{ACEDDFD1-4F1A-4933-9D18-101022300744}"/>
    <cellStyle name="40% - Accent5 2 2 2 3 2 3" xfId="20219" xr:uid="{2AEBE0DB-EE60-4847-BE55-02CEE5E74ACF}"/>
    <cellStyle name="40% - Accent5 2 2 2 3 2 4" xfId="28654" xr:uid="{6C3AA177-96FF-4245-90D9-082A3A41755A}"/>
    <cellStyle name="40% - Accent5 2 2 2 3 2 5" xfId="11781" xr:uid="{EECA4E71-6785-4A3A-89DA-CB87010CB5F6}"/>
    <cellStyle name="40% - Accent5 2 2 2 3 3" xfId="5415" xr:uid="{00000000-0005-0000-0000-00004C060000}"/>
    <cellStyle name="40% - Accent5 2 2 2 3 3 2" xfId="22292" xr:uid="{EF1AEA26-F964-4A8B-8D08-FC4E5ACED440}"/>
    <cellStyle name="40% - Accent5 2 2 2 3 3 3" xfId="30726" xr:uid="{315C1A67-77E7-4390-AC62-D2FBB013F255}"/>
    <cellStyle name="40% - Accent5 2 2 2 3 3 4" xfId="13854" xr:uid="{F006F7FB-D15B-4146-BE09-86B1C90C52EC}"/>
    <cellStyle name="40% - Accent5 2 2 2 3 4" xfId="18074" xr:uid="{B30300D7-E061-4B61-A68C-6917E6F27FBD}"/>
    <cellStyle name="40% - Accent5 2 2 2 3 5" xfId="26509" xr:uid="{5E3E814A-BBA5-4F29-8471-D5324FD21EB9}"/>
    <cellStyle name="40% - Accent5 2 2 2 3 6" xfId="9636" xr:uid="{7DFE69EE-8110-49C4-A9D4-E32B8E6523F6}"/>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24850" xr:uid="{3E21649E-8F06-44B9-8837-A74D47BE7038}"/>
    <cellStyle name="40% - Accent5 2 2 2 4 2 2 3" xfId="33284" xr:uid="{F44A3DF3-D771-40E8-BFEC-3ED5404FDAFD}"/>
    <cellStyle name="40% - Accent5 2 2 2 4 2 2 4" xfId="16412" xr:uid="{6FD6A642-77C9-4637-B44E-B29DA85A948C}"/>
    <cellStyle name="40% - Accent5 2 2 2 4 2 3" xfId="20632" xr:uid="{92E9F7E4-BE4F-473B-987C-02A7FABA4D23}"/>
    <cellStyle name="40% - Accent5 2 2 2 4 2 4" xfId="29067" xr:uid="{BEF45EB0-6F39-42AD-BEDD-14144C32A4EA}"/>
    <cellStyle name="40% - Accent5 2 2 2 4 2 5" xfId="12194" xr:uid="{619912BD-58FC-4E55-BB93-B15453F74672}"/>
    <cellStyle name="40% - Accent5 2 2 2 4 3" xfId="5828" xr:uid="{00000000-0005-0000-0000-000050060000}"/>
    <cellStyle name="40% - Accent5 2 2 2 4 3 2" xfId="22705" xr:uid="{874F30C2-F595-4B80-BBA7-279F2E75DD49}"/>
    <cellStyle name="40% - Accent5 2 2 2 4 3 3" xfId="31139" xr:uid="{E5E342B0-B436-4F09-A277-FFF39A9B5D2A}"/>
    <cellStyle name="40% - Accent5 2 2 2 4 3 4" xfId="14267" xr:uid="{91CB960A-AAA0-47A0-BD52-96DF7629A891}"/>
    <cellStyle name="40% - Accent5 2 2 2 4 4" xfId="18487" xr:uid="{BCB5990A-FAE5-402D-8A92-9B7B58E238CB}"/>
    <cellStyle name="40% - Accent5 2 2 2 4 5" xfId="26922" xr:uid="{B7D63AD1-002A-4707-BE3B-8AD431DB7427}"/>
    <cellStyle name="40% - Accent5 2 2 2 4 6" xfId="10049" xr:uid="{A4AD1B1A-7DC5-40A2-9192-51F2E8958D81}"/>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25263" xr:uid="{91D66A04-4183-4C69-86FC-A719B068573D}"/>
    <cellStyle name="40% - Accent5 2 2 2 5 2 2 3" xfId="33697" xr:uid="{193E265C-BFBA-432E-86D6-BCCB21B745DF}"/>
    <cellStyle name="40% - Accent5 2 2 2 5 2 2 4" xfId="16825" xr:uid="{CA6F97F2-2E69-40D5-8169-A182C6313EED}"/>
    <cellStyle name="40% - Accent5 2 2 2 5 2 3" xfId="21045" xr:uid="{A076DD80-8470-452F-9A6F-ECCBF8250771}"/>
    <cellStyle name="40% - Accent5 2 2 2 5 2 4" xfId="29480" xr:uid="{85B8B724-CA82-4DD6-A0C5-C7DCABBFC6C3}"/>
    <cellStyle name="40% - Accent5 2 2 2 5 2 5" xfId="12607" xr:uid="{5632638D-8913-4329-8DF3-4B4F556AEBB2}"/>
    <cellStyle name="40% - Accent5 2 2 2 5 3" xfId="6241" xr:uid="{00000000-0005-0000-0000-000054060000}"/>
    <cellStyle name="40% - Accent5 2 2 2 5 3 2" xfId="23118" xr:uid="{8A812347-6611-435A-9F3C-26C1FDBFCD8E}"/>
    <cellStyle name="40% - Accent5 2 2 2 5 3 3" xfId="31552" xr:uid="{36E373D9-9E36-438F-B8F1-810741A6E81B}"/>
    <cellStyle name="40% - Accent5 2 2 2 5 3 4" xfId="14680" xr:uid="{D4047585-84CE-433C-BEE4-08C8C4AFA732}"/>
    <cellStyle name="40% - Accent5 2 2 2 5 4" xfId="18900" xr:uid="{726EA597-723B-461A-82ED-01F08A0BBA13}"/>
    <cellStyle name="40% - Accent5 2 2 2 5 5" xfId="27335" xr:uid="{09C74988-F567-4096-8F69-7F2A0054A553}"/>
    <cellStyle name="40% - Accent5 2 2 2 5 6" xfId="10462" xr:uid="{07650E59-118B-412F-A700-FF22D020B8E0}"/>
    <cellStyle name="40% - Accent5 2 2 2 6" xfId="2347" xr:uid="{00000000-0005-0000-0000-000055060000}"/>
    <cellStyle name="40% - Accent5 2 2 2 6 2" xfId="6654" xr:uid="{00000000-0005-0000-0000-000056060000}"/>
    <cellStyle name="40% - Accent5 2 2 2 6 2 2" xfId="23531" xr:uid="{F2E2F116-8EDB-44CE-A990-2649C644F3CD}"/>
    <cellStyle name="40% - Accent5 2 2 2 6 2 3" xfId="31965" xr:uid="{0C95BB54-11C6-4A51-9F6E-5B2F7F831F0C}"/>
    <cellStyle name="40% - Accent5 2 2 2 6 2 4" xfId="15093" xr:uid="{F671C82F-EB55-4004-A653-E7B8DAB0A335}"/>
    <cellStyle name="40% - Accent5 2 2 2 6 3" xfId="19313" xr:uid="{7DE5A840-E115-4B54-97DB-2E64FE206375}"/>
    <cellStyle name="40% - Accent5 2 2 2 6 4" xfId="27748" xr:uid="{6422DA5E-203F-4751-AACC-3DB389C4674E}"/>
    <cellStyle name="40% - Accent5 2 2 2 6 5" xfId="10875" xr:uid="{B81FFC5E-7971-4D93-AFFE-107EB6F03B5C}"/>
    <cellStyle name="40% - Accent5 2 2 2 7" xfId="4588" xr:uid="{00000000-0005-0000-0000-000057060000}"/>
    <cellStyle name="40% - Accent5 2 2 2 7 2" xfId="21465" xr:uid="{7708D0B7-4D9F-4646-8B83-ADE9AC3E534D}"/>
    <cellStyle name="40% - Accent5 2 2 2 7 3" xfId="29899" xr:uid="{9646305F-1803-4245-BDD0-2408807BEFEF}"/>
    <cellStyle name="40% - Accent5 2 2 2 7 4" xfId="13027" xr:uid="{54CCFEAE-6BF6-49E7-AC59-CA3D9F040B37}"/>
    <cellStyle name="40% - Accent5 2 2 2 8" xfId="17247" xr:uid="{07F758AD-365B-48F4-9260-A60AD2689F47}"/>
    <cellStyle name="40% - Accent5 2 2 2 9" xfId="25682" xr:uid="{97A43C63-16CB-4724-A7F0-2D23875339FE}"/>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24023" xr:uid="{BFFA03CE-DE10-41BC-95C0-ED1302FC7B4A}"/>
    <cellStyle name="40% - Accent5 2 2 3 2 2 3" xfId="32457" xr:uid="{495484B9-5FD2-4770-BE1C-9019BB2A3D0F}"/>
    <cellStyle name="40% - Accent5 2 2 3 2 2 4" xfId="15585" xr:uid="{F7994920-BDE6-4AB9-819B-2DC14FA59150}"/>
    <cellStyle name="40% - Accent5 2 2 3 2 3" xfId="19805" xr:uid="{2C1FD2F1-EFD8-4B75-BA3E-C187150F747F}"/>
    <cellStyle name="40% - Accent5 2 2 3 2 4" xfId="28240" xr:uid="{F4407DD7-93CB-48DA-919E-A1CFE93D9310}"/>
    <cellStyle name="40% - Accent5 2 2 3 2 5" xfId="11367" xr:uid="{0232BD48-04AA-4313-B4B9-ED1B3C619CA3}"/>
    <cellStyle name="40% - Accent5 2 2 3 3" xfId="5001" xr:uid="{00000000-0005-0000-0000-00005B060000}"/>
    <cellStyle name="40% - Accent5 2 2 3 3 2" xfId="21878" xr:uid="{0E25CE9D-0B82-4FFF-B35D-95F98D91A0DE}"/>
    <cellStyle name="40% - Accent5 2 2 3 3 3" xfId="30312" xr:uid="{2D7AEDC8-09C4-4D34-B9BA-2B6755C252C1}"/>
    <cellStyle name="40% - Accent5 2 2 3 3 4" xfId="13440" xr:uid="{3A871488-0F1A-4016-B45E-83BB988D3683}"/>
    <cellStyle name="40% - Accent5 2 2 3 4" xfId="17660" xr:uid="{6C99D08F-8264-43CB-AD7B-4588D0B9E012}"/>
    <cellStyle name="40% - Accent5 2 2 3 5" xfId="26095" xr:uid="{84B8AB1D-A721-408E-A290-8440096567E3}"/>
    <cellStyle name="40% - Accent5 2 2 3 6" xfId="9222" xr:uid="{DDA63726-DEF8-4F9D-A34B-6670BEAA75A0}"/>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24436" xr:uid="{B7A6E25C-2016-4732-80F7-05687E6D3511}"/>
    <cellStyle name="40% - Accent5 2 2 4 2 2 3" xfId="32870" xr:uid="{A2DF7BAB-B933-4651-9084-30CB52B9501B}"/>
    <cellStyle name="40% - Accent5 2 2 4 2 2 4" xfId="15998" xr:uid="{FC964FD8-D75E-4A10-9B4E-CEAF82E26DE4}"/>
    <cellStyle name="40% - Accent5 2 2 4 2 3" xfId="20218" xr:uid="{228F5F5D-59E1-4B34-A384-4CE1C593AC5F}"/>
    <cellStyle name="40% - Accent5 2 2 4 2 4" xfId="28653" xr:uid="{DB0D4136-3155-45E8-A5A2-7D928E012AE6}"/>
    <cellStyle name="40% - Accent5 2 2 4 2 5" xfId="11780" xr:uid="{02001A5F-B7ED-40A9-9466-AC79B309B2AC}"/>
    <cellStyle name="40% - Accent5 2 2 4 3" xfId="5414" xr:uid="{00000000-0005-0000-0000-00005F060000}"/>
    <cellStyle name="40% - Accent5 2 2 4 3 2" xfId="22291" xr:uid="{3E39E2A0-F6C3-4701-8870-12B4DBCE5EDF}"/>
    <cellStyle name="40% - Accent5 2 2 4 3 3" xfId="30725" xr:uid="{0805B6C4-0E05-4968-A7CF-81FE498E609A}"/>
    <cellStyle name="40% - Accent5 2 2 4 3 4" xfId="13853" xr:uid="{774EBCE2-29F1-4308-8AF6-AD21E20711BC}"/>
    <cellStyle name="40% - Accent5 2 2 4 4" xfId="18073" xr:uid="{AA4AF730-1730-4648-8A1F-511B88F0B857}"/>
    <cellStyle name="40% - Accent5 2 2 4 5" xfId="26508" xr:uid="{99B7A785-D7A4-4374-B70E-26578E79BED6}"/>
    <cellStyle name="40% - Accent5 2 2 4 6" xfId="9635" xr:uid="{BBD458CB-9F20-48CB-97B4-278BD0551306}"/>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24849" xr:uid="{AFA0C500-7989-4904-B288-3BE63979B4A2}"/>
    <cellStyle name="40% - Accent5 2 2 5 2 2 3" xfId="33283" xr:uid="{B30E7960-276A-494F-8F87-67F1A917C9A7}"/>
    <cellStyle name="40% - Accent5 2 2 5 2 2 4" xfId="16411" xr:uid="{690527DC-5786-4C2F-A934-6B69253D8545}"/>
    <cellStyle name="40% - Accent5 2 2 5 2 3" xfId="20631" xr:uid="{9A8973B4-8436-4FF5-92C0-5D0679E8A068}"/>
    <cellStyle name="40% - Accent5 2 2 5 2 4" xfId="29066" xr:uid="{8037383B-54DA-4B8A-B7E4-35A1C0D87666}"/>
    <cellStyle name="40% - Accent5 2 2 5 2 5" xfId="12193" xr:uid="{551DD686-32F4-4BFB-A669-8BB594792CCF}"/>
    <cellStyle name="40% - Accent5 2 2 5 3" xfId="5827" xr:uid="{00000000-0005-0000-0000-000063060000}"/>
    <cellStyle name="40% - Accent5 2 2 5 3 2" xfId="22704" xr:uid="{F0F6F99D-F283-47C6-8590-A87C139DD113}"/>
    <cellStyle name="40% - Accent5 2 2 5 3 3" xfId="31138" xr:uid="{F11A705B-2505-4505-B25C-D0B4525F3C38}"/>
    <cellStyle name="40% - Accent5 2 2 5 3 4" xfId="14266" xr:uid="{7DC49165-AAA2-407A-B6ED-771C92331FCC}"/>
    <cellStyle name="40% - Accent5 2 2 5 4" xfId="18486" xr:uid="{32B67300-AC4E-4696-9454-676A67895363}"/>
    <cellStyle name="40% - Accent5 2 2 5 5" xfId="26921" xr:uid="{02A650AF-3EE2-4C13-8824-D0A01ABC8EDE}"/>
    <cellStyle name="40% - Accent5 2 2 5 6" xfId="10048" xr:uid="{A962F2A9-22A7-4EB9-9069-8859FD9E64D6}"/>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25262" xr:uid="{70FE174A-6340-43E1-B1D2-CEBFF8664F07}"/>
    <cellStyle name="40% - Accent5 2 2 6 2 2 3" xfId="33696" xr:uid="{252402DB-D960-4E91-B579-A842CAF4D392}"/>
    <cellStyle name="40% - Accent5 2 2 6 2 2 4" xfId="16824" xr:uid="{86343EBD-498E-433C-BC0D-BBDC54752992}"/>
    <cellStyle name="40% - Accent5 2 2 6 2 3" xfId="21044" xr:uid="{B81FB8ED-8934-4914-B832-B38E679F6915}"/>
    <cellStyle name="40% - Accent5 2 2 6 2 4" xfId="29479" xr:uid="{84E55038-F7AA-4747-8A54-EC54199C7F5D}"/>
    <cellStyle name="40% - Accent5 2 2 6 2 5" xfId="12606" xr:uid="{C8A80632-DF11-49F8-BCAF-C2664EA2CD1C}"/>
    <cellStyle name="40% - Accent5 2 2 6 3" xfId="6240" xr:uid="{00000000-0005-0000-0000-000067060000}"/>
    <cellStyle name="40% - Accent5 2 2 6 3 2" xfId="23117" xr:uid="{9D5AD1EF-76B8-4D4D-B14A-0B32CEEFAAA3}"/>
    <cellStyle name="40% - Accent5 2 2 6 3 3" xfId="31551" xr:uid="{0853F1D5-0694-4F91-A731-7C8A8FBA7F02}"/>
    <cellStyle name="40% - Accent5 2 2 6 3 4" xfId="14679" xr:uid="{B1F4E805-CF4C-44EC-8BFF-C2BBF3EFC2B8}"/>
    <cellStyle name="40% - Accent5 2 2 6 4" xfId="18899" xr:uid="{805053DD-AD81-465C-8159-8E01830B8162}"/>
    <cellStyle name="40% - Accent5 2 2 6 5" xfId="27334" xr:uid="{8FDD0D5C-8918-4B96-850C-0A4A305F5F1F}"/>
    <cellStyle name="40% - Accent5 2 2 6 6" xfId="10461" xr:uid="{36254E9A-EA02-49DC-9FA3-42800151FE6E}"/>
    <cellStyle name="40% - Accent5 2 2 7" xfId="2346" xr:uid="{00000000-0005-0000-0000-000068060000}"/>
    <cellStyle name="40% - Accent5 2 2 7 2" xfId="6653" xr:uid="{00000000-0005-0000-0000-000069060000}"/>
    <cellStyle name="40% - Accent5 2 2 7 2 2" xfId="23530" xr:uid="{39D12D8D-5C5C-4B74-9231-F30B1980F836}"/>
    <cellStyle name="40% - Accent5 2 2 7 2 3" xfId="31964" xr:uid="{3AE6E2C4-467F-45DE-BF74-2CED2CDD8103}"/>
    <cellStyle name="40% - Accent5 2 2 7 2 4" xfId="15092" xr:uid="{E8948607-2493-47FD-9D9E-760141B731D6}"/>
    <cellStyle name="40% - Accent5 2 2 7 3" xfId="19312" xr:uid="{4850CF0E-BA7D-49DF-A3BB-60AC7D65F73B}"/>
    <cellStyle name="40% - Accent5 2 2 7 4" xfId="27747" xr:uid="{D932FB3B-139E-416C-9AF3-D03E4DF04A4D}"/>
    <cellStyle name="40% - Accent5 2 2 7 5" xfId="10874" xr:uid="{FA6F807A-6F9D-4176-9A32-5D3989ADC729}"/>
    <cellStyle name="40% - Accent5 2 2 8" xfId="4587" xr:uid="{00000000-0005-0000-0000-00006A060000}"/>
    <cellStyle name="40% - Accent5 2 2 8 2" xfId="21464" xr:uid="{50F9828F-4CE2-4783-AF40-34A1EA7D152A}"/>
    <cellStyle name="40% - Accent5 2 2 8 3" xfId="29898" xr:uid="{BC051FDF-360E-4574-9129-AF5F51D03821}"/>
    <cellStyle name="40% - Accent5 2 2 8 4" xfId="13026" xr:uid="{E912AB27-1F8F-415D-9A3E-F94B421EA30B}"/>
    <cellStyle name="40% - Accent5 2 2 9" xfId="17246" xr:uid="{217E7774-FA61-48CC-8C38-37D06A50771A}"/>
    <cellStyle name="40% - Accent5 2 3" xfId="85" xr:uid="{00000000-0005-0000-0000-00006B060000}"/>
    <cellStyle name="40% - Accent5 2 3 10" xfId="8810" xr:uid="{B14F5A5E-4FF1-497A-BC29-FCF6199FA29C}"/>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24025" xr:uid="{9F0F0D5F-4F37-477E-A169-1039CFAA0131}"/>
    <cellStyle name="40% - Accent5 2 3 2 2 2 3" xfId="32459" xr:uid="{5F2427F5-8C38-4F28-8BE4-61AF6AFB45A0}"/>
    <cellStyle name="40% - Accent5 2 3 2 2 2 4" xfId="15587" xr:uid="{CEDD1935-3B65-4E11-A583-3172F45FF683}"/>
    <cellStyle name="40% - Accent5 2 3 2 2 3" xfId="19807" xr:uid="{33139115-E64B-4B42-8A44-C70C06C9F734}"/>
    <cellStyle name="40% - Accent5 2 3 2 2 4" xfId="28242" xr:uid="{5B5C9324-EF31-45D9-872C-F3D1BCC260DD}"/>
    <cellStyle name="40% - Accent5 2 3 2 2 5" xfId="11369" xr:uid="{63FF2877-71CE-446A-AAE9-0F7D51D187AB}"/>
    <cellStyle name="40% - Accent5 2 3 2 3" xfId="5003" xr:uid="{00000000-0005-0000-0000-00006F060000}"/>
    <cellStyle name="40% - Accent5 2 3 2 3 2" xfId="21880" xr:uid="{BB97BFD0-43D6-45DD-A97B-281F488E8078}"/>
    <cellStyle name="40% - Accent5 2 3 2 3 3" xfId="30314" xr:uid="{A17B6E55-E864-4A1E-A9A4-623E03915C53}"/>
    <cellStyle name="40% - Accent5 2 3 2 3 4" xfId="13442" xr:uid="{D58A52A7-491E-4890-8D95-C5A1EF41D6A5}"/>
    <cellStyle name="40% - Accent5 2 3 2 4" xfId="17662" xr:uid="{FFEDEF92-B973-4C77-B5B7-4364B96D06CD}"/>
    <cellStyle name="40% - Accent5 2 3 2 5" xfId="26097" xr:uid="{426F80E0-0A96-4E34-9429-EF6549F5E397}"/>
    <cellStyle name="40% - Accent5 2 3 2 6" xfId="9224" xr:uid="{7815A329-725D-47D5-8DE4-DABC68CD7D74}"/>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24438" xr:uid="{69B4566D-11C6-4EB3-8A04-82FE831EC368}"/>
    <cellStyle name="40% - Accent5 2 3 3 2 2 3" xfId="32872" xr:uid="{09C881A1-6C98-4553-8C07-9B5CC837A28B}"/>
    <cellStyle name="40% - Accent5 2 3 3 2 2 4" xfId="16000" xr:uid="{7F5F320E-EF3D-42F8-958E-B08F62B4E2AD}"/>
    <cellStyle name="40% - Accent5 2 3 3 2 3" xfId="20220" xr:uid="{B5D428E3-66B4-4CA6-AE60-50F726AB9E35}"/>
    <cellStyle name="40% - Accent5 2 3 3 2 4" xfId="28655" xr:uid="{BF867E0C-F4AC-41F8-B577-753D55ACF44F}"/>
    <cellStyle name="40% - Accent5 2 3 3 2 5" xfId="11782" xr:uid="{532AC419-5EA5-4364-9433-4E1387B1F442}"/>
    <cellStyle name="40% - Accent5 2 3 3 3" xfId="5416" xr:uid="{00000000-0005-0000-0000-000073060000}"/>
    <cellStyle name="40% - Accent5 2 3 3 3 2" xfId="22293" xr:uid="{89AE3040-F49D-4829-9E9A-31961AEDE7AF}"/>
    <cellStyle name="40% - Accent5 2 3 3 3 3" xfId="30727" xr:uid="{29A00A4E-0BA8-47AF-9055-9CFEC06B074B}"/>
    <cellStyle name="40% - Accent5 2 3 3 3 4" xfId="13855" xr:uid="{7227656C-9538-4C23-9D17-12CDB7284983}"/>
    <cellStyle name="40% - Accent5 2 3 3 4" xfId="18075" xr:uid="{790D0D1B-F62F-4D15-95A8-DC95AF304111}"/>
    <cellStyle name="40% - Accent5 2 3 3 5" xfId="26510" xr:uid="{5F51976D-7B66-41FD-88A3-FBDA91E5998D}"/>
    <cellStyle name="40% - Accent5 2 3 3 6" xfId="9637" xr:uid="{15C2405C-005B-49EC-B9C8-A37FC78F0436}"/>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24851" xr:uid="{5A35F4B6-16F2-4887-BA25-1877DD6D2C1E}"/>
    <cellStyle name="40% - Accent5 2 3 4 2 2 3" xfId="33285" xr:uid="{6CE52FEA-8DE3-45BE-9B8D-5F0137D7801A}"/>
    <cellStyle name="40% - Accent5 2 3 4 2 2 4" xfId="16413" xr:uid="{C812CD58-2364-43B4-9517-E94B60A365EB}"/>
    <cellStyle name="40% - Accent5 2 3 4 2 3" xfId="20633" xr:uid="{3BBCBA5E-926F-4396-A9D4-7C99D7D27235}"/>
    <cellStyle name="40% - Accent5 2 3 4 2 4" xfId="29068" xr:uid="{6BC47191-F05A-4B30-90EF-F0459AA9B9DA}"/>
    <cellStyle name="40% - Accent5 2 3 4 2 5" xfId="12195" xr:uid="{1D240551-7169-4729-BF1E-CC27F46B1A57}"/>
    <cellStyle name="40% - Accent5 2 3 4 3" xfId="5829" xr:uid="{00000000-0005-0000-0000-000077060000}"/>
    <cellStyle name="40% - Accent5 2 3 4 3 2" xfId="22706" xr:uid="{8EF06607-4F17-479D-AF73-4EC1C413C350}"/>
    <cellStyle name="40% - Accent5 2 3 4 3 3" xfId="31140" xr:uid="{76E1D86D-1858-4409-AC36-4240CC516E3A}"/>
    <cellStyle name="40% - Accent5 2 3 4 3 4" xfId="14268" xr:uid="{632AEF11-507A-40CD-9ACC-C0629D8145FB}"/>
    <cellStyle name="40% - Accent5 2 3 4 4" xfId="18488" xr:uid="{BFF21CD4-777F-4F6B-A90D-8A2415C92797}"/>
    <cellStyle name="40% - Accent5 2 3 4 5" xfId="26923" xr:uid="{930201AA-2DEE-42CA-9EAB-3AA3CF158666}"/>
    <cellStyle name="40% - Accent5 2 3 4 6" xfId="10050" xr:uid="{8409BA28-079E-4383-8460-5D915C766A16}"/>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25264" xr:uid="{6FF7DE69-FAE1-4639-A67E-C3785CEB183B}"/>
    <cellStyle name="40% - Accent5 2 3 5 2 2 3" xfId="33698" xr:uid="{68D12CB7-1529-4EB5-AD93-8B1F975A09B2}"/>
    <cellStyle name="40% - Accent5 2 3 5 2 2 4" xfId="16826" xr:uid="{0FF44FFB-AE18-4B15-A2CB-E8D1C8722058}"/>
    <cellStyle name="40% - Accent5 2 3 5 2 3" xfId="21046" xr:uid="{F99B73BD-8A4A-4B21-A875-73C798012249}"/>
    <cellStyle name="40% - Accent5 2 3 5 2 4" xfId="29481" xr:uid="{6C71FFE5-8F43-4CEA-B42B-F1A3501C9746}"/>
    <cellStyle name="40% - Accent5 2 3 5 2 5" xfId="12608" xr:uid="{A02DFA1B-2DF4-44E6-8998-E6DE01D094AD}"/>
    <cellStyle name="40% - Accent5 2 3 5 3" xfId="6242" xr:uid="{00000000-0005-0000-0000-00007B060000}"/>
    <cellStyle name="40% - Accent5 2 3 5 3 2" xfId="23119" xr:uid="{94A89A71-802F-4F72-9A82-65EC626428AE}"/>
    <cellStyle name="40% - Accent5 2 3 5 3 3" xfId="31553" xr:uid="{CEDA6085-F593-4619-AFDB-72B06311BDF6}"/>
    <cellStyle name="40% - Accent5 2 3 5 3 4" xfId="14681" xr:uid="{5B6AEC80-7F7A-456A-A0DC-70DD1730332D}"/>
    <cellStyle name="40% - Accent5 2 3 5 4" xfId="18901" xr:uid="{E55F2045-74C0-4E55-B0A2-74D7F1FA7BE1}"/>
    <cellStyle name="40% - Accent5 2 3 5 5" xfId="27336" xr:uid="{449C4E82-C059-4CA8-8AFF-F2E97CCE210C}"/>
    <cellStyle name="40% - Accent5 2 3 5 6" xfId="10463" xr:uid="{49785A95-A2AC-4813-9452-1D10FA566F24}"/>
    <cellStyle name="40% - Accent5 2 3 6" xfId="2348" xr:uid="{00000000-0005-0000-0000-00007C060000}"/>
    <cellStyle name="40% - Accent5 2 3 6 2" xfId="6655" xr:uid="{00000000-0005-0000-0000-00007D060000}"/>
    <cellStyle name="40% - Accent5 2 3 6 2 2" xfId="23532" xr:uid="{67BC8CA1-525B-4D9B-9CE2-CF7D488709EC}"/>
    <cellStyle name="40% - Accent5 2 3 6 2 3" xfId="31966" xr:uid="{B3501008-266B-4B51-AB05-A7BD85C63065}"/>
    <cellStyle name="40% - Accent5 2 3 6 2 4" xfId="15094" xr:uid="{3D00042A-A5D6-402B-A7D6-8BF544006CD6}"/>
    <cellStyle name="40% - Accent5 2 3 6 3" xfId="19314" xr:uid="{A43D5DD0-72DF-4BA3-A67A-0AFD20E2BCCD}"/>
    <cellStyle name="40% - Accent5 2 3 6 4" xfId="27749" xr:uid="{CA6E4378-7742-45B7-AD99-478BF7C2A2B4}"/>
    <cellStyle name="40% - Accent5 2 3 6 5" xfId="10876" xr:uid="{C4628C6C-1AD6-4169-868A-66241848C2F2}"/>
    <cellStyle name="40% - Accent5 2 3 7" xfId="4589" xr:uid="{00000000-0005-0000-0000-00007E060000}"/>
    <cellStyle name="40% - Accent5 2 3 7 2" xfId="21466" xr:uid="{CE38A2E9-2D78-4739-A12B-9113412B22B8}"/>
    <cellStyle name="40% - Accent5 2 3 7 3" xfId="29900" xr:uid="{0186FC70-7315-4DE9-BBB7-713DBC014358}"/>
    <cellStyle name="40% - Accent5 2 3 7 4" xfId="13028" xr:uid="{18BFFA25-0488-4EFC-BFDA-9B44AAF4A10C}"/>
    <cellStyle name="40% - Accent5 2 3 8" xfId="17248" xr:uid="{263EBC23-DD0D-48E0-BC78-5B593B3B97F3}"/>
    <cellStyle name="40% - Accent5 2 3 9" xfId="25683" xr:uid="{ED7A265E-CEF6-41E7-8771-0C994C8DC173}"/>
    <cellStyle name="40% - Accent5 2 4" xfId="651" xr:uid="{00000000-0005-0000-0000-00007F060000}"/>
    <cellStyle name="40% - Accent5 2 4 2" xfId="2922" xr:uid="{00000000-0005-0000-0000-000080060000}"/>
    <cellStyle name="40% - Accent5 2 4 2 2" xfId="7145" xr:uid="{00000000-0005-0000-0000-000081060000}"/>
    <cellStyle name="40% - Accent5 2 4 2 2 2" xfId="24022" xr:uid="{97619988-22EF-4480-B0B5-E2CD2BA15769}"/>
    <cellStyle name="40% - Accent5 2 4 2 2 3" xfId="32456" xr:uid="{BBA00855-BEC2-414C-B8AF-63F654312178}"/>
    <cellStyle name="40% - Accent5 2 4 2 2 4" xfId="15584" xr:uid="{6AC218B1-900A-40DB-85D1-55374F26ED67}"/>
    <cellStyle name="40% - Accent5 2 4 2 3" xfId="19804" xr:uid="{90700484-39FE-4322-A723-7194F174097D}"/>
    <cellStyle name="40% - Accent5 2 4 2 4" xfId="28239" xr:uid="{9A4FEFC8-B37D-4A27-BB77-92CACDDA25CA}"/>
    <cellStyle name="40% - Accent5 2 4 2 5" xfId="11366" xr:uid="{DA3FEED6-7CC8-4250-BF10-9F2FF5D04A8B}"/>
    <cellStyle name="40% - Accent5 2 4 3" xfId="5000" xr:uid="{00000000-0005-0000-0000-000082060000}"/>
    <cellStyle name="40% - Accent5 2 4 3 2" xfId="21877" xr:uid="{B3EBF725-329A-48B6-9EB2-4232149863D4}"/>
    <cellStyle name="40% - Accent5 2 4 3 3" xfId="30311" xr:uid="{FD225E91-EDA6-4A8F-AE44-DD45A22A47AA}"/>
    <cellStyle name="40% - Accent5 2 4 3 4" xfId="13439" xr:uid="{635B7769-DF6D-4C7A-A6B1-2C2AC8C786DC}"/>
    <cellStyle name="40% - Accent5 2 4 4" xfId="17659" xr:uid="{B582CAD6-D4F9-4EB0-A1DB-D8DF74AC024B}"/>
    <cellStyle name="40% - Accent5 2 4 5" xfId="26094" xr:uid="{CF2AFD8C-B2EF-4FB7-A195-B9448C4B07D0}"/>
    <cellStyle name="40% - Accent5 2 4 6" xfId="9221" xr:uid="{BCB71EE3-38E5-4A04-A147-9E73828C261E}"/>
    <cellStyle name="40% - Accent5 2 5" xfId="1104" xr:uid="{00000000-0005-0000-0000-000083060000}"/>
    <cellStyle name="40% - Accent5 2 5 2" xfId="3335" xr:uid="{00000000-0005-0000-0000-000084060000}"/>
    <cellStyle name="40% - Accent5 2 5 2 2" xfId="7558" xr:uid="{00000000-0005-0000-0000-000085060000}"/>
    <cellStyle name="40% - Accent5 2 5 2 2 2" xfId="24435" xr:uid="{3246F403-FFDB-4D91-B130-294877DECA3D}"/>
    <cellStyle name="40% - Accent5 2 5 2 2 3" xfId="32869" xr:uid="{D30166B9-B772-4F0C-903F-DBEF76C4F16B}"/>
    <cellStyle name="40% - Accent5 2 5 2 2 4" xfId="15997" xr:uid="{2D437F7F-1E2D-4EDF-AEB9-17467CBDAC82}"/>
    <cellStyle name="40% - Accent5 2 5 2 3" xfId="20217" xr:uid="{90885782-2DBF-4E91-B622-5E70800CD769}"/>
    <cellStyle name="40% - Accent5 2 5 2 4" xfId="28652" xr:uid="{8B33BBF9-0962-4BE3-B567-470CE6BD969B}"/>
    <cellStyle name="40% - Accent5 2 5 2 5" xfId="11779" xr:uid="{2800B630-EC7E-4072-BBB5-63BA95D6CC07}"/>
    <cellStyle name="40% - Accent5 2 5 3" xfId="5413" xr:uid="{00000000-0005-0000-0000-000086060000}"/>
    <cellStyle name="40% - Accent5 2 5 3 2" xfId="22290" xr:uid="{73077405-4224-42D3-8F16-3C9BB9124A67}"/>
    <cellStyle name="40% - Accent5 2 5 3 3" xfId="30724" xr:uid="{2837A6D8-6F37-4E52-8AD9-31B429B5707F}"/>
    <cellStyle name="40% - Accent5 2 5 3 4" xfId="13852" xr:uid="{E9CEF0A7-EE86-496B-A0E5-63CC0AC3F90B}"/>
    <cellStyle name="40% - Accent5 2 5 4" xfId="18072" xr:uid="{755CC918-C6BA-4CF2-B926-499306789CEC}"/>
    <cellStyle name="40% - Accent5 2 5 5" xfId="26507" xr:uid="{C2203D67-4B68-40BA-B498-9440EEDCF2A4}"/>
    <cellStyle name="40% - Accent5 2 5 6" xfId="9634" xr:uid="{FE62A482-4E05-478B-9D9B-5C8F44F59107}"/>
    <cellStyle name="40% - Accent5 2 6" xfId="1518" xr:uid="{00000000-0005-0000-0000-000087060000}"/>
    <cellStyle name="40% - Accent5 2 6 2" xfId="3748" xr:uid="{00000000-0005-0000-0000-000088060000}"/>
    <cellStyle name="40% - Accent5 2 6 2 2" xfId="7971" xr:uid="{00000000-0005-0000-0000-000089060000}"/>
    <cellStyle name="40% - Accent5 2 6 2 2 2" xfId="24848" xr:uid="{72FA5ED5-8427-44B3-A66A-2A1F30D68924}"/>
    <cellStyle name="40% - Accent5 2 6 2 2 3" xfId="33282" xr:uid="{65F61E11-068D-4DA8-BE48-0A0717733F50}"/>
    <cellStyle name="40% - Accent5 2 6 2 2 4" xfId="16410" xr:uid="{DFBAD304-4665-487E-A28E-12B6D28263D0}"/>
    <cellStyle name="40% - Accent5 2 6 2 3" xfId="20630" xr:uid="{CEEEB4A8-E8EE-4B0D-AEF9-70FF13211DB2}"/>
    <cellStyle name="40% - Accent5 2 6 2 4" xfId="29065" xr:uid="{E063D2EC-CADD-4A11-927B-37AC8A6AA56E}"/>
    <cellStyle name="40% - Accent5 2 6 2 5" xfId="12192" xr:uid="{2900316C-BD35-4398-9431-2F4DE472D1A6}"/>
    <cellStyle name="40% - Accent5 2 6 3" xfId="5826" xr:uid="{00000000-0005-0000-0000-00008A060000}"/>
    <cellStyle name="40% - Accent5 2 6 3 2" xfId="22703" xr:uid="{6EBB0878-E3BF-4C80-BCD0-4A19582CAF3F}"/>
    <cellStyle name="40% - Accent5 2 6 3 3" xfId="31137" xr:uid="{BD0409C3-7AE8-4B40-A433-07949CC4FAC2}"/>
    <cellStyle name="40% - Accent5 2 6 3 4" xfId="14265" xr:uid="{A7E81708-1C4A-4A18-9690-15DC6793F575}"/>
    <cellStyle name="40% - Accent5 2 6 4" xfId="18485" xr:uid="{8E262395-3739-4AB4-8D4F-313EEE112B7A}"/>
    <cellStyle name="40% - Accent5 2 6 5" xfId="26920" xr:uid="{842B5789-A33D-492E-8B18-7410DA6FA6EF}"/>
    <cellStyle name="40% - Accent5 2 6 6" xfId="10047" xr:uid="{DCD28169-39EF-46DF-AD2C-FCDCC99CE1ED}"/>
    <cellStyle name="40% - Accent5 2 7" xfId="1932" xr:uid="{00000000-0005-0000-0000-00008B060000}"/>
    <cellStyle name="40% - Accent5 2 7 2" xfId="4161" xr:uid="{00000000-0005-0000-0000-00008C060000}"/>
    <cellStyle name="40% - Accent5 2 7 2 2" xfId="8384" xr:uid="{00000000-0005-0000-0000-00008D060000}"/>
    <cellStyle name="40% - Accent5 2 7 2 2 2" xfId="25261" xr:uid="{1016B6B6-5BF6-4E37-8236-5D9F4D07CBF8}"/>
    <cellStyle name="40% - Accent5 2 7 2 2 3" xfId="33695" xr:uid="{C671B51B-B1D7-458D-BA38-337C8FA94F02}"/>
    <cellStyle name="40% - Accent5 2 7 2 2 4" xfId="16823" xr:uid="{EC685F44-DE07-4D1C-8981-37A36741D151}"/>
    <cellStyle name="40% - Accent5 2 7 2 3" xfId="21043" xr:uid="{58184FD3-B734-4D00-8F60-45D29E857372}"/>
    <cellStyle name="40% - Accent5 2 7 2 4" xfId="29478" xr:uid="{EBB3B85E-2002-4E71-86F1-9CE56839E231}"/>
    <cellStyle name="40% - Accent5 2 7 2 5" xfId="12605" xr:uid="{C642AB4C-A0CA-4BD7-A331-ACBD33546FCF}"/>
    <cellStyle name="40% - Accent5 2 7 3" xfId="6239" xr:uid="{00000000-0005-0000-0000-00008E060000}"/>
    <cellStyle name="40% - Accent5 2 7 3 2" xfId="23116" xr:uid="{F1F41037-2A9E-428C-95BC-6181BEB5D2EB}"/>
    <cellStyle name="40% - Accent5 2 7 3 3" xfId="31550" xr:uid="{159D557D-608A-425F-AED0-DD557B46B46D}"/>
    <cellStyle name="40% - Accent5 2 7 3 4" xfId="14678" xr:uid="{483E80EC-86B7-4F70-AC1A-5706D5AFE848}"/>
    <cellStyle name="40% - Accent5 2 7 4" xfId="18898" xr:uid="{C06B19CE-5AE1-4D36-9B42-6F144E478F85}"/>
    <cellStyle name="40% - Accent5 2 7 5" xfId="27333" xr:uid="{88176EAB-7223-4490-9E82-EC7149FA6B4F}"/>
    <cellStyle name="40% - Accent5 2 7 6" xfId="10460" xr:uid="{A3D19AF5-3DA5-4829-9B88-7A441922DD79}"/>
    <cellStyle name="40% - Accent5 2 8" xfId="2345" xr:uid="{00000000-0005-0000-0000-00008F060000}"/>
    <cellStyle name="40% - Accent5 2 8 2" xfId="6652" xr:uid="{00000000-0005-0000-0000-000090060000}"/>
    <cellStyle name="40% - Accent5 2 8 2 2" xfId="23529" xr:uid="{42EBA07A-2449-41C9-A240-B22A94C65884}"/>
    <cellStyle name="40% - Accent5 2 8 2 3" xfId="31963" xr:uid="{05114928-492B-4CBD-9B2C-C966A6AC26CF}"/>
    <cellStyle name="40% - Accent5 2 8 2 4" xfId="15091" xr:uid="{AF44FA96-6E41-4105-A14E-8335B8D46B68}"/>
    <cellStyle name="40% - Accent5 2 8 3" xfId="19311" xr:uid="{E8C03E74-7966-4046-99BE-2F11045459AA}"/>
    <cellStyle name="40% - Accent5 2 8 4" xfId="27746" xr:uid="{5D671E7D-EE09-4169-8D15-3FC74AB4E367}"/>
    <cellStyle name="40% - Accent5 2 8 5" xfId="10873" xr:uid="{89424B1D-D42C-4222-8EF1-12EC91DAE6FE}"/>
    <cellStyle name="40% - Accent5 2 9" xfId="4586" xr:uid="{00000000-0005-0000-0000-000091060000}"/>
    <cellStyle name="40% - Accent5 2 9 2" xfId="21463" xr:uid="{93483481-CF27-47B1-90A3-82AD867EF65E}"/>
    <cellStyle name="40% - Accent5 2 9 3" xfId="29897" xr:uid="{9EDDD738-B7FD-4106-8822-83A87909F3D4}"/>
    <cellStyle name="40% - Accent5 2 9 4" xfId="13025" xr:uid="{B7B5A881-ED0D-431B-8073-AF81B1F87579}"/>
    <cellStyle name="40% - Accent5 3" xfId="86" xr:uid="{00000000-0005-0000-0000-000092060000}"/>
    <cellStyle name="40% - Accent5 3 10" xfId="25684" xr:uid="{4D9CDA1E-DDC3-4F5F-AF37-06FD609EDEC8}"/>
    <cellStyle name="40% - Accent5 3 11" xfId="8811" xr:uid="{4AA287AF-DC3D-48BC-96DF-33A266FCB8BB}"/>
    <cellStyle name="40% - Accent5 3 2" xfId="87" xr:uid="{00000000-0005-0000-0000-000093060000}"/>
    <cellStyle name="40% - Accent5 3 2 10" xfId="8812" xr:uid="{1069AB82-BCBC-4612-880D-56760A9A933F}"/>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24027" xr:uid="{369FAB23-0AB5-4AEC-94EE-8049D313DA07}"/>
    <cellStyle name="40% - Accent5 3 2 2 2 2 3" xfId="32461" xr:uid="{2F9B99DA-89C8-4270-B762-D35A6854CD16}"/>
    <cellStyle name="40% - Accent5 3 2 2 2 2 4" xfId="15589" xr:uid="{50E73939-AF36-4C7A-8DD4-93B4E40CE368}"/>
    <cellStyle name="40% - Accent5 3 2 2 2 3" xfId="19809" xr:uid="{B3629ED1-BC00-4D37-8E61-97C935647FB1}"/>
    <cellStyle name="40% - Accent5 3 2 2 2 4" xfId="28244" xr:uid="{B0A5F44B-A9D4-4EF1-BBA5-F1CC463CF48C}"/>
    <cellStyle name="40% - Accent5 3 2 2 2 5" xfId="11371" xr:uid="{188C8753-FF0A-4A55-972D-79B8B24EBE65}"/>
    <cellStyle name="40% - Accent5 3 2 2 3" xfId="5005" xr:uid="{00000000-0005-0000-0000-000097060000}"/>
    <cellStyle name="40% - Accent5 3 2 2 3 2" xfId="21882" xr:uid="{8DD330AE-E0DE-45A6-8677-2AA53BFEB728}"/>
    <cellStyle name="40% - Accent5 3 2 2 3 3" xfId="30316" xr:uid="{767F92F8-81E9-4A64-9251-40C21099409C}"/>
    <cellStyle name="40% - Accent5 3 2 2 3 4" xfId="13444" xr:uid="{FA0F3808-1E12-4D90-B402-01CC67744469}"/>
    <cellStyle name="40% - Accent5 3 2 2 4" xfId="17664" xr:uid="{3E08CC4C-B626-4D91-BBCF-D95BC246DE5A}"/>
    <cellStyle name="40% - Accent5 3 2 2 5" xfId="26099" xr:uid="{6F9914A3-7C2D-4804-98C0-A587FCAC9224}"/>
    <cellStyle name="40% - Accent5 3 2 2 6" xfId="9226" xr:uid="{4EBAB514-1F49-45FD-AF54-3E0597A72FC2}"/>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24440" xr:uid="{C239F5EC-F246-447D-9193-65FC0D427350}"/>
    <cellStyle name="40% - Accent5 3 2 3 2 2 3" xfId="32874" xr:uid="{50DDFA27-BF4D-4011-8668-8494E75DDEE3}"/>
    <cellStyle name="40% - Accent5 3 2 3 2 2 4" xfId="16002" xr:uid="{12663D25-A470-447C-AF6E-F57B990C3AB2}"/>
    <cellStyle name="40% - Accent5 3 2 3 2 3" xfId="20222" xr:uid="{018E9AA5-14E0-48EA-99C4-6807E00BA077}"/>
    <cellStyle name="40% - Accent5 3 2 3 2 4" xfId="28657" xr:uid="{09C12CBD-70CC-40A6-9BDB-0296CDEF9FB4}"/>
    <cellStyle name="40% - Accent5 3 2 3 2 5" xfId="11784" xr:uid="{C2D3CDED-9641-423A-AC0D-5B1B80F4AFD2}"/>
    <cellStyle name="40% - Accent5 3 2 3 3" xfId="5418" xr:uid="{00000000-0005-0000-0000-00009B060000}"/>
    <cellStyle name="40% - Accent5 3 2 3 3 2" xfId="22295" xr:uid="{0BAC12E8-6A17-46F6-BB45-1F34267B5E79}"/>
    <cellStyle name="40% - Accent5 3 2 3 3 3" xfId="30729" xr:uid="{004A432D-2A39-485B-A383-DA684056E124}"/>
    <cellStyle name="40% - Accent5 3 2 3 3 4" xfId="13857" xr:uid="{04E66B10-7A16-442E-960B-DA8860367D65}"/>
    <cellStyle name="40% - Accent5 3 2 3 4" xfId="18077" xr:uid="{5591FC56-F4FA-4210-A769-6A35211F0619}"/>
    <cellStyle name="40% - Accent5 3 2 3 5" xfId="26512" xr:uid="{04BAB72A-BCB9-43C1-8352-8435B3C2A06E}"/>
    <cellStyle name="40% - Accent5 3 2 3 6" xfId="9639" xr:uid="{E3A7C4DF-2C96-4D82-B1F6-48EA325FEC5A}"/>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24853" xr:uid="{4C474BDB-C9B4-4BA2-9C55-766E9C66757D}"/>
    <cellStyle name="40% - Accent5 3 2 4 2 2 3" xfId="33287" xr:uid="{972347D9-29DD-44B8-9078-11D077BC7234}"/>
    <cellStyle name="40% - Accent5 3 2 4 2 2 4" xfId="16415" xr:uid="{CFF63C66-5736-433E-83D0-2D869EC03F3F}"/>
    <cellStyle name="40% - Accent5 3 2 4 2 3" xfId="20635" xr:uid="{83E9FBC1-DCB1-44FB-9AD9-E46AE53CA818}"/>
    <cellStyle name="40% - Accent5 3 2 4 2 4" xfId="29070" xr:uid="{31BAF6D8-00E0-49F7-9ED9-0877758D1926}"/>
    <cellStyle name="40% - Accent5 3 2 4 2 5" xfId="12197" xr:uid="{03DD39DE-EC74-4FEA-8150-342432321890}"/>
    <cellStyle name="40% - Accent5 3 2 4 3" xfId="5831" xr:uid="{00000000-0005-0000-0000-00009F060000}"/>
    <cellStyle name="40% - Accent5 3 2 4 3 2" xfId="22708" xr:uid="{654991B5-A13C-4DE3-897A-73DDE77F618A}"/>
    <cellStyle name="40% - Accent5 3 2 4 3 3" xfId="31142" xr:uid="{6600CF3E-3746-40DB-81E5-7591C14D7279}"/>
    <cellStyle name="40% - Accent5 3 2 4 3 4" xfId="14270" xr:uid="{78DE7380-ABFC-4B84-BE74-5B2580097425}"/>
    <cellStyle name="40% - Accent5 3 2 4 4" xfId="18490" xr:uid="{BEA5358D-5F54-4D51-B837-EC6A1DB0A1A9}"/>
    <cellStyle name="40% - Accent5 3 2 4 5" xfId="26925" xr:uid="{0580E95B-4BF9-4C61-A5AA-673AADE7938C}"/>
    <cellStyle name="40% - Accent5 3 2 4 6" xfId="10052" xr:uid="{426A9BC1-A77F-4354-AA1E-AAEF8D618F32}"/>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25266" xr:uid="{B3A3E880-E6E0-4B12-ADDC-BE1EAAEE33B1}"/>
    <cellStyle name="40% - Accent5 3 2 5 2 2 3" xfId="33700" xr:uid="{0D1667F7-B00A-4590-B66D-9EB391C13CDB}"/>
    <cellStyle name="40% - Accent5 3 2 5 2 2 4" xfId="16828" xr:uid="{F9FA924C-2923-4D16-B01C-11BB9D263F50}"/>
    <cellStyle name="40% - Accent5 3 2 5 2 3" xfId="21048" xr:uid="{8361E9DC-2D46-42FF-95EB-42DB8859B0CB}"/>
    <cellStyle name="40% - Accent5 3 2 5 2 4" xfId="29483" xr:uid="{01CAA44C-8C3D-4560-8075-6D72DAB55950}"/>
    <cellStyle name="40% - Accent5 3 2 5 2 5" xfId="12610" xr:uid="{11BC7B37-0A78-4AB7-BA91-4FEEFB235879}"/>
    <cellStyle name="40% - Accent5 3 2 5 3" xfId="6244" xr:uid="{00000000-0005-0000-0000-0000A3060000}"/>
    <cellStyle name="40% - Accent5 3 2 5 3 2" xfId="23121" xr:uid="{13D3343B-0D8F-460F-B454-6DE4878748E7}"/>
    <cellStyle name="40% - Accent5 3 2 5 3 3" xfId="31555" xr:uid="{FF0D9AFC-3281-473C-A350-F24C05587EDF}"/>
    <cellStyle name="40% - Accent5 3 2 5 3 4" xfId="14683" xr:uid="{CAC0A301-F7A5-44F5-BC36-98AE07A6EBD1}"/>
    <cellStyle name="40% - Accent5 3 2 5 4" xfId="18903" xr:uid="{3F88DE46-98A2-4AF6-96DB-B0A257BED8F7}"/>
    <cellStyle name="40% - Accent5 3 2 5 5" xfId="27338" xr:uid="{62BB7D2C-15E6-4119-AB46-6D98A5B5E771}"/>
    <cellStyle name="40% - Accent5 3 2 5 6" xfId="10465" xr:uid="{0045646F-3DC6-46FE-B64A-D6E29252F3B6}"/>
    <cellStyle name="40% - Accent5 3 2 6" xfId="2350" xr:uid="{00000000-0005-0000-0000-0000A4060000}"/>
    <cellStyle name="40% - Accent5 3 2 6 2" xfId="6657" xr:uid="{00000000-0005-0000-0000-0000A5060000}"/>
    <cellStyle name="40% - Accent5 3 2 6 2 2" xfId="23534" xr:uid="{B96B7195-0062-4138-91C3-73270972AC2B}"/>
    <cellStyle name="40% - Accent5 3 2 6 2 3" xfId="31968" xr:uid="{DD2DEBCA-92CF-4864-8562-17E920D092A2}"/>
    <cellStyle name="40% - Accent5 3 2 6 2 4" xfId="15096" xr:uid="{41577205-326A-4F4F-B85D-F085D56BAA21}"/>
    <cellStyle name="40% - Accent5 3 2 6 3" xfId="19316" xr:uid="{7C55963D-2F83-43DC-A890-71F9C3D5CDC8}"/>
    <cellStyle name="40% - Accent5 3 2 6 4" xfId="27751" xr:uid="{1A51435F-81DA-466F-B723-7BDD6476511F}"/>
    <cellStyle name="40% - Accent5 3 2 6 5" xfId="10878" xr:uid="{CA2E3115-A78D-45C8-829A-AA2012FEE3EE}"/>
    <cellStyle name="40% - Accent5 3 2 7" xfId="4591" xr:uid="{00000000-0005-0000-0000-0000A6060000}"/>
    <cellStyle name="40% - Accent5 3 2 7 2" xfId="21468" xr:uid="{9B23B652-5F98-4382-A731-3FA8EF705DF5}"/>
    <cellStyle name="40% - Accent5 3 2 7 3" xfId="29902" xr:uid="{01803BFC-C2D0-422B-A7AA-D7700CF42F58}"/>
    <cellStyle name="40% - Accent5 3 2 7 4" xfId="13030" xr:uid="{7DA9DFFC-4FDB-40A6-B79B-29CA315508F1}"/>
    <cellStyle name="40% - Accent5 3 2 8" xfId="17250" xr:uid="{EE5D3D05-F9E0-45F3-BB58-B44CA8D13B30}"/>
    <cellStyle name="40% - Accent5 3 2 9" xfId="25685" xr:uid="{E006E8EB-C2E7-4639-95D2-7CF3FF10DBFE}"/>
    <cellStyle name="40% - Accent5 3 3" xfId="655" xr:uid="{00000000-0005-0000-0000-0000A7060000}"/>
    <cellStyle name="40% - Accent5 3 3 2" xfId="2926" xr:uid="{00000000-0005-0000-0000-0000A8060000}"/>
    <cellStyle name="40% - Accent5 3 3 2 2" xfId="7149" xr:uid="{00000000-0005-0000-0000-0000A9060000}"/>
    <cellStyle name="40% - Accent5 3 3 2 2 2" xfId="24026" xr:uid="{0805573E-3C8C-476A-87A6-6EB2D4DDC8B0}"/>
    <cellStyle name="40% - Accent5 3 3 2 2 3" xfId="32460" xr:uid="{54E8D322-62FF-48B0-9A89-BA2B8DDB4756}"/>
    <cellStyle name="40% - Accent5 3 3 2 2 4" xfId="15588" xr:uid="{7E42D9B3-9B5E-4505-B987-96B039150845}"/>
    <cellStyle name="40% - Accent5 3 3 2 3" xfId="19808" xr:uid="{BF3AF97B-1425-4B6C-91D3-88659A41EB8B}"/>
    <cellStyle name="40% - Accent5 3 3 2 4" xfId="28243" xr:uid="{4442313A-EAFB-496B-9077-85FF15E6103F}"/>
    <cellStyle name="40% - Accent5 3 3 2 5" xfId="11370" xr:uid="{2E412023-7F3B-43D4-BC8A-64CE216B10E8}"/>
    <cellStyle name="40% - Accent5 3 3 3" xfId="5004" xr:uid="{00000000-0005-0000-0000-0000AA060000}"/>
    <cellStyle name="40% - Accent5 3 3 3 2" xfId="21881" xr:uid="{117E0C3D-2A8F-496F-B72D-C4546894220B}"/>
    <cellStyle name="40% - Accent5 3 3 3 3" xfId="30315" xr:uid="{1D333D62-4276-46F6-B1CD-033D407889E7}"/>
    <cellStyle name="40% - Accent5 3 3 3 4" xfId="13443" xr:uid="{E269635B-A736-4B93-8AC9-4510EDB75EBA}"/>
    <cellStyle name="40% - Accent5 3 3 4" xfId="17663" xr:uid="{EADC1689-4903-409F-87BE-34342085FFD5}"/>
    <cellStyle name="40% - Accent5 3 3 5" xfId="26098" xr:uid="{1445F334-BB91-4CDC-B0E1-32214847390E}"/>
    <cellStyle name="40% - Accent5 3 3 6" xfId="9225" xr:uid="{2EE5917D-BF56-411F-89A6-4EA2E7CB29B4}"/>
    <cellStyle name="40% - Accent5 3 4" xfId="1108" xr:uid="{00000000-0005-0000-0000-0000AB060000}"/>
    <cellStyle name="40% - Accent5 3 4 2" xfId="3339" xr:uid="{00000000-0005-0000-0000-0000AC060000}"/>
    <cellStyle name="40% - Accent5 3 4 2 2" xfId="7562" xr:uid="{00000000-0005-0000-0000-0000AD060000}"/>
    <cellStyle name="40% - Accent5 3 4 2 2 2" xfId="24439" xr:uid="{0B2543C4-5EBE-42D5-A647-145738761B44}"/>
    <cellStyle name="40% - Accent5 3 4 2 2 3" xfId="32873" xr:uid="{111FB2FD-9CDE-4C51-A616-B86492670341}"/>
    <cellStyle name="40% - Accent5 3 4 2 2 4" xfId="16001" xr:uid="{36E1B4F6-1238-49B3-ADCE-45ABD2B5EB44}"/>
    <cellStyle name="40% - Accent5 3 4 2 3" xfId="20221" xr:uid="{D8F8FAC6-5FCB-40DC-9062-DDAA7AEB67A5}"/>
    <cellStyle name="40% - Accent5 3 4 2 4" xfId="28656" xr:uid="{7625378E-3ADF-4235-8D69-0D2AC453BB5F}"/>
    <cellStyle name="40% - Accent5 3 4 2 5" xfId="11783" xr:uid="{533C4898-008E-4B7E-9E88-FC243E5E22CB}"/>
    <cellStyle name="40% - Accent5 3 4 3" xfId="5417" xr:uid="{00000000-0005-0000-0000-0000AE060000}"/>
    <cellStyle name="40% - Accent5 3 4 3 2" xfId="22294" xr:uid="{B46D101C-91D3-47E4-A315-4D76ED184B8D}"/>
    <cellStyle name="40% - Accent5 3 4 3 3" xfId="30728" xr:uid="{91DF5210-6F07-4A6E-9939-33AAD1DF1510}"/>
    <cellStyle name="40% - Accent5 3 4 3 4" xfId="13856" xr:uid="{6E03020F-3395-4A7D-9455-2DDEA727739B}"/>
    <cellStyle name="40% - Accent5 3 4 4" xfId="18076" xr:uid="{A3A99476-5485-4EEA-BFA8-605DC0BBE17E}"/>
    <cellStyle name="40% - Accent5 3 4 5" xfId="26511" xr:uid="{E0BAF857-5CF6-4C6B-846B-6F53DA937FEC}"/>
    <cellStyle name="40% - Accent5 3 4 6" xfId="9638" xr:uid="{0C57F59B-823F-47A6-8C8E-3E7FA25B5634}"/>
    <cellStyle name="40% - Accent5 3 5" xfId="1522" xr:uid="{00000000-0005-0000-0000-0000AF060000}"/>
    <cellStyle name="40% - Accent5 3 5 2" xfId="3752" xr:uid="{00000000-0005-0000-0000-0000B0060000}"/>
    <cellStyle name="40% - Accent5 3 5 2 2" xfId="7975" xr:uid="{00000000-0005-0000-0000-0000B1060000}"/>
    <cellStyle name="40% - Accent5 3 5 2 2 2" xfId="24852" xr:uid="{11487AFF-C384-4C89-8F97-3027AC27AD78}"/>
    <cellStyle name="40% - Accent5 3 5 2 2 3" xfId="33286" xr:uid="{8A68DAF2-8B1C-4A48-A387-5EDF9C00BF36}"/>
    <cellStyle name="40% - Accent5 3 5 2 2 4" xfId="16414" xr:uid="{08B9C0B4-2D49-4BF1-AED1-579CE19479F9}"/>
    <cellStyle name="40% - Accent5 3 5 2 3" xfId="20634" xr:uid="{2721D361-D530-421F-9654-2AC453026727}"/>
    <cellStyle name="40% - Accent5 3 5 2 4" xfId="29069" xr:uid="{A9B94B18-4E4B-4D39-9445-D08873D6E943}"/>
    <cellStyle name="40% - Accent5 3 5 2 5" xfId="12196" xr:uid="{35A123F0-4E19-40AC-8B1F-260425014C20}"/>
    <cellStyle name="40% - Accent5 3 5 3" xfId="5830" xr:uid="{00000000-0005-0000-0000-0000B2060000}"/>
    <cellStyle name="40% - Accent5 3 5 3 2" xfId="22707" xr:uid="{3CCC0909-DEE7-4AB9-989C-B460A88B80C3}"/>
    <cellStyle name="40% - Accent5 3 5 3 3" xfId="31141" xr:uid="{4B38BDD1-0DD3-41C1-AB0E-0842B94BBF1D}"/>
    <cellStyle name="40% - Accent5 3 5 3 4" xfId="14269" xr:uid="{B42C58D7-F52A-41D7-BB58-C027E04D212A}"/>
    <cellStyle name="40% - Accent5 3 5 4" xfId="18489" xr:uid="{E93CDBA0-D6A3-4E9D-910B-FE278E4B4805}"/>
    <cellStyle name="40% - Accent5 3 5 5" xfId="26924" xr:uid="{F3043ADB-CD2F-41DE-8333-EC2D8CD38AC1}"/>
    <cellStyle name="40% - Accent5 3 5 6" xfId="10051" xr:uid="{5AC338BE-2BE7-45E2-8116-9772872D7EB1}"/>
    <cellStyle name="40% - Accent5 3 6" xfId="1936" xr:uid="{00000000-0005-0000-0000-0000B3060000}"/>
    <cellStyle name="40% - Accent5 3 6 2" xfId="4165" xr:uid="{00000000-0005-0000-0000-0000B4060000}"/>
    <cellStyle name="40% - Accent5 3 6 2 2" xfId="8388" xr:uid="{00000000-0005-0000-0000-0000B5060000}"/>
    <cellStyle name="40% - Accent5 3 6 2 2 2" xfId="25265" xr:uid="{D167F1E1-278D-47D4-95EE-59A5F7869DF0}"/>
    <cellStyle name="40% - Accent5 3 6 2 2 3" xfId="33699" xr:uid="{CD523D4F-E781-4275-BBCC-FE6B066709FA}"/>
    <cellStyle name="40% - Accent5 3 6 2 2 4" xfId="16827" xr:uid="{3F4858D3-244A-4A68-AE75-D0BB24864E11}"/>
    <cellStyle name="40% - Accent5 3 6 2 3" xfId="21047" xr:uid="{E3255363-0C4D-4713-8FA5-E0CF6C820613}"/>
    <cellStyle name="40% - Accent5 3 6 2 4" xfId="29482" xr:uid="{B85FA149-7076-4DD1-9189-78745C77D2B8}"/>
    <cellStyle name="40% - Accent5 3 6 2 5" xfId="12609" xr:uid="{5196C4AD-A122-4C7E-A502-A81405644257}"/>
    <cellStyle name="40% - Accent5 3 6 3" xfId="6243" xr:uid="{00000000-0005-0000-0000-0000B6060000}"/>
    <cellStyle name="40% - Accent5 3 6 3 2" xfId="23120" xr:uid="{9B1F1845-A4E6-4427-8155-EB541E8108DD}"/>
    <cellStyle name="40% - Accent5 3 6 3 3" xfId="31554" xr:uid="{287AB04D-5F1D-428F-84EF-2EFACC25B738}"/>
    <cellStyle name="40% - Accent5 3 6 3 4" xfId="14682" xr:uid="{265DEE8C-CC9D-4809-8320-E25ABD1C7F42}"/>
    <cellStyle name="40% - Accent5 3 6 4" xfId="18902" xr:uid="{EB6FB52A-BA46-4EF4-91BE-E3418EBF1245}"/>
    <cellStyle name="40% - Accent5 3 6 5" xfId="27337" xr:uid="{0C92273A-AE20-4F68-AB26-7FA4B98644C0}"/>
    <cellStyle name="40% - Accent5 3 6 6" xfId="10464" xr:uid="{111A374E-A880-4C3E-9046-9981B5FF1F13}"/>
    <cellStyle name="40% - Accent5 3 7" xfId="2349" xr:uid="{00000000-0005-0000-0000-0000B7060000}"/>
    <cellStyle name="40% - Accent5 3 7 2" xfId="6656" xr:uid="{00000000-0005-0000-0000-0000B8060000}"/>
    <cellStyle name="40% - Accent5 3 7 2 2" xfId="23533" xr:uid="{6D03C3D5-AEC9-4C43-B1FF-450C621DD88A}"/>
    <cellStyle name="40% - Accent5 3 7 2 3" xfId="31967" xr:uid="{FEDD3156-4949-4287-8B7B-DD2C3304414D}"/>
    <cellStyle name="40% - Accent5 3 7 2 4" xfId="15095" xr:uid="{00B3F9F8-EB1C-4FAC-8813-189767DB6B36}"/>
    <cellStyle name="40% - Accent5 3 7 3" xfId="19315" xr:uid="{7A7E0B3D-923B-434A-AD64-3A923F964D68}"/>
    <cellStyle name="40% - Accent5 3 7 4" xfId="27750" xr:uid="{608EB20D-49F3-4117-A836-993209C9A867}"/>
    <cellStyle name="40% - Accent5 3 7 5" xfId="10877" xr:uid="{F7397AA9-368B-4E9C-88BF-7586E5529813}"/>
    <cellStyle name="40% - Accent5 3 8" xfId="4590" xr:uid="{00000000-0005-0000-0000-0000B9060000}"/>
    <cellStyle name="40% - Accent5 3 8 2" xfId="21467" xr:uid="{0B8D4B2A-3E39-42C8-8D38-D8CFB15D76A1}"/>
    <cellStyle name="40% - Accent5 3 8 3" xfId="29901" xr:uid="{8E1E11B9-2623-4012-BAAB-303DE1EBBA99}"/>
    <cellStyle name="40% - Accent5 3 8 4" xfId="13029" xr:uid="{41426FB2-3B2B-44E2-93D0-7EB2FE403CD0}"/>
    <cellStyle name="40% - Accent5 3 9" xfId="17249" xr:uid="{F3E8813C-19E4-48A7-8B06-D94C4AC3CFA3}"/>
    <cellStyle name="40% - Accent5 4" xfId="88" xr:uid="{00000000-0005-0000-0000-0000BA060000}"/>
    <cellStyle name="40% - Accent5 4 10" xfId="8813" xr:uid="{448558EA-FFA6-46B4-BF29-D0E263153C12}"/>
    <cellStyle name="40% - Accent5 4 2" xfId="657" xr:uid="{00000000-0005-0000-0000-0000BB060000}"/>
    <cellStyle name="40% - Accent5 4 2 2" xfId="2928" xr:uid="{00000000-0005-0000-0000-0000BC060000}"/>
    <cellStyle name="40% - Accent5 4 2 2 2" xfId="7151" xr:uid="{00000000-0005-0000-0000-0000BD060000}"/>
    <cellStyle name="40% - Accent5 4 2 2 2 2" xfId="24028" xr:uid="{A724C4A5-A190-4CA6-9E3E-B85A41269956}"/>
    <cellStyle name="40% - Accent5 4 2 2 2 3" xfId="32462" xr:uid="{C6D7227E-2214-4939-98FB-44F76A7650F1}"/>
    <cellStyle name="40% - Accent5 4 2 2 2 4" xfId="15590" xr:uid="{3A8CBC62-6C5A-4DB6-A7EE-5E3DA700F718}"/>
    <cellStyle name="40% - Accent5 4 2 2 3" xfId="19810" xr:uid="{B227ADDE-D1A9-417C-B16A-F56AFB70F358}"/>
    <cellStyle name="40% - Accent5 4 2 2 4" xfId="28245" xr:uid="{0E703607-995D-46CF-8DBD-52ABF51795DE}"/>
    <cellStyle name="40% - Accent5 4 2 2 5" xfId="11372" xr:uid="{A9D80C66-C805-4855-B33F-B7D6AFA9B23F}"/>
    <cellStyle name="40% - Accent5 4 2 3" xfId="5006" xr:uid="{00000000-0005-0000-0000-0000BE060000}"/>
    <cellStyle name="40% - Accent5 4 2 3 2" xfId="21883" xr:uid="{20D327A2-627B-4373-87E8-1259598065DD}"/>
    <cellStyle name="40% - Accent5 4 2 3 3" xfId="30317" xr:uid="{F09F0530-1661-48F4-8231-9F146179D12F}"/>
    <cellStyle name="40% - Accent5 4 2 3 4" xfId="13445" xr:uid="{34631651-4B6C-45A1-9EE2-D3D756939FFC}"/>
    <cellStyle name="40% - Accent5 4 2 4" xfId="17665" xr:uid="{D65D0CCE-842F-4E36-8876-AF429088C3A6}"/>
    <cellStyle name="40% - Accent5 4 2 5" xfId="26100" xr:uid="{C016E7BF-3E5D-49D5-8F09-70B30F0EEDCC}"/>
    <cellStyle name="40% - Accent5 4 2 6" xfId="9227" xr:uid="{195BC82C-C705-494B-A270-EAB52F75CC35}"/>
    <cellStyle name="40% - Accent5 4 3" xfId="1110" xr:uid="{00000000-0005-0000-0000-0000BF060000}"/>
    <cellStyle name="40% - Accent5 4 3 2" xfId="3341" xr:uid="{00000000-0005-0000-0000-0000C0060000}"/>
    <cellStyle name="40% - Accent5 4 3 2 2" xfId="7564" xr:uid="{00000000-0005-0000-0000-0000C1060000}"/>
    <cellStyle name="40% - Accent5 4 3 2 2 2" xfId="24441" xr:uid="{0035B963-833D-408C-905E-A31BA57A2899}"/>
    <cellStyle name="40% - Accent5 4 3 2 2 3" xfId="32875" xr:uid="{25B99461-0040-4DF3-9EFD-932456AE432E}"/>
    <cellStyle name="40% - Accent5 4 3 2 2 4" xfId="16003" xr:uid="{69B913C9-D9B8-4660-BFC1-779E1B03A101}"/>
    <cellStyle name="40% - Accent5 4 3 2 3" xfId="20223" xr:uid="{BC9717E4-4A84-4BF6-939A-DAC4EDCCDDB0}"/>
    <cellStyle name="40% - Accent5 4 3 2 4" xfId="28658" xr:uid="{1BB302AC-CE0A-4F80-9DE6-CF502CE98101}"/>
    <cellStyle name="40% - Accent5 4 3 2 5" xfId="11785" xr:uid="{DF64DA1F-4121-4F1C-B3A5-B96B51E9EA49}"/>
    <cellStyle name="40% - Accent5 4 3 3" xfId="5419" xr:uid="{00000000-0005-0000-0000-0000C2060000}"/>
    <cellStyle name="40% - Accent5 4 3 3 2" xfId="22296" xr:uid="{A6C7323B-5D91-43D4-8385-B49F12C9BFB4}"/>
    <cellStyle name="40% - Accent5 4 3 3 3" xfId="30730" xr:uid="{34B68DEE-13FE-4526-83E4-9B6F31217EFD}"/>
    <cellStyle name="40% - Accent5 4 3 3 4" xfId="13858" xr:uid="{CCE8BEB8-BE7D-48A8-A414-77D19EF49FAE}"/>
    <cellStyle name="40% - Accent5 4 3 4" xfId="18078" xr:uid="{87AF0E8D-1F11-49BC-B19C-2A6D1D9773AE}"/>
    <cellStyle name="40% - Accent5 4 3 5" xfId="26513" xr:uid="{6AA1F487-A2F3-4BC7-A3E6-8808DFD63CDE}"/>
    <cellStyle name="40% - Accent5 4 3 6" xfId="9640" xr:uid="{640C04F6-393D-4AA5-ACEA-79C8F479F816}"/>
    <cellStyle name="40% - Accent5 4 4" xfId="1524" xr:uid="{00000000-0005-0000-0000-0000C3060000}"/>
    <cellStyle name="40% - Accent5 4 4 2" xfId="3754" xr:uid="{00000000-0005-0000-0000-0000C4060000}"/>
    <cellStyle name="40% - Accent5 4 4 2 2" xfId="7977" xr:uid="{00000000-0005-0000-0000-0000C5060000}"/>
    <cellStyle name="40% - Accent5 4 4 2 2 2" xfId="24854" xr:uid="{76F7A0BE-64F8-40F3-9546-99E8A280F6CE}"/>
    <cellStyle name="40% - Accent5 4 4 2 2 3" xfId="33288" xr:uid="{E5CDA334-3195-4CFC-9500-C084EA9EBEC7}"/>
    <cellStyle name="40% - Accent5 4 4 2 2 4" xfId="16416" xr:uid="{3DED74C9-E9D7-4705-8BA2-30003DF5F96C}"/>
    <cellStyle name="40% - Accent5 4 4 2 3" xfId="20636" xr:uid="{C6E60C35-69FA-4982-9A1D-AC75E4FA5371}"/>
    <cellStyle name="40% - Accent5 4 4 2 4" xfId="29071" xr:uid="{08D59FDB-6F1A-4C2C-92DF-5B559B653CB5}"/>
    <cellStyle name="40% - Accent5 4 4 2 5" xfId="12198" xr:uid="{27F4735C-C4E7-4B63-AFEF-EC606684D811}"/>
    <cellStyle name="40% - Accent5 4 4 3" xfId="5832" xr:uid="{00000000-0005-0000-0000-0000C6060000}"/>
    <cellStyle name="40% - Accent5 4 4 3 2" xfId="22709" xr:uid="{B3D821E3-0947-435A-AC90-C77AC7122EDA}"/>
    <cellStyle name="40% - Accent5 4 4 3 3" xfId="31143" xr:uid="{5D17EC31-8329-4D9D-860E-FF47A81065BC}"/>
    <cellStyle name="40% - Accent5 4 4 3 4" xfId="14271" xr:uid="{FADB2F9F-2573-4963-9E28-DDDD2529053F}"/>
    <cellStyle name="40% - Accent5 4 4 4" xfId="18491" xr:uid="{2806FB63-601D-455B-8CD3-43CD6682A99C}"/>
    <cellStyle name="40% - Accent5 4 4 5" xfId="26926" xr:uid="{E9A1475E-CA6B-4C58-9C43-107B6103DFD4}"/>
    <cellStyle name="40% - Accent5 4 4 6" xfId="10053" xr:uid="{C03FD591-B58E-402D-B0BC-6ECEEE37A2B2}"/>
    <cellStyle name="40% - Accent5 4 5" xfId="1938" xr:uid="{00000000-0005-0000-0000-0000C7060000}"/>
    <cellStyle name="40% - Accent5 4 5 2" xfId="4167" xr:uid="{00000000-0005-0000-0000-0000C8060000}"/>
    <cellStyle name="40% - Accent5 4 5 2 2" xfId="8390" xr:uid="{00000000-0005-0000-0000-0000C9060000}"/>
    <cellStyle name="40% - Accent5 4 5 2 2 2" xfId="25267" xr:uid="{140134AA-3396-4540-988F-0057B767B24D}"/>
    <cellStyle name="40% - Accent5 4 5 2 2 3" xfId="33701" xr:uid="{BCD65162-A667-4D1C-A6E5-E89AB9599A39}"/>
    <cellStyle name="40% - Accent5 4 5 2 2 4" xfId="16829" xr:uid="{3622FC9F-1A5B-4A4E-887A-A911F92C945E}"/>
    <cellStyle name="40% - Accent5 4 5 2 3" xfId="21049" xr:uid="{2288E21B-72A0-4B8C-8DE9-97AE0749FB8C}"/>
    <cellStyle name="40% - Accent5 4 5 2 4" xfId="29484" xr:uid="{76D58E90-D0EA-425F-8806-1C1375D01AE6}"/>
    <cellStyle name="40% - Accent5 4 5 2 5" xfId="12611" xr:uid="{40E6BEEE-94BF-4599-9858-258A5F53589C}"/>
    <cellStyle name="40% - Accent5 4 5 3" xfId="6245" xr:uid="{00000000-0005-0000-0000-0000CA060000}"/>
    <cellStyle name="40% - Accent5 4 5 3 2" xfId="23122" xr:uid="{1B3B1D48-E81B-4835-A08E-8DCB255AC2B6}"/>
    <cellStyle name="40% - Accent5 4 5 3 3" xfId="31556" xr:uid="{4394264C-608E-4ACA-9B64-1B7360A311E4}"/>
    <cellStyle name="40% - Accent5 4 5 3 4" xfId="14684" xr:uid="{CF95C2C8-A3B6-4863-8D9F-ADE5FFB9BCED}"/>
    <cellStyle name="40% - Accent5 4 5 4" xfId="18904" xr:uid="{76CC884C-23DA-4263-90FD-64CBD15F0A1F}"/>
    <cellStyle name="40% - Accent5 4 5 5" xfId="27339" xr:uid="{31295ECD-A921-4662-B982-648E99DEC561}"/>
    <cellStyle name="40% - Accent5 4 5 6" xfId="10466" xr:uid="{4FC08CED-FE5D-4CA5-A179-F132646D3384}"/>
    <cellStyle name="40% - Accent5 4 6" xfId="2351" xr:uid="{00000000-0005-0000-0000-0000CB060000}"/>
    <cellStyle name="40% - Accent5 4 6 2" xfId="6658" xr:uid="{00000000-0005-0000-0000-0000CC060000}"/>
    <cellStyle name="40% - Accent5 4 6 2 2" xfId="23535" xr:uid="{737F1D2C-BD6B-4690-858C-141EB9EDE171}"/>
    <cellStyle name="40% - Accent5 4 6 2 3" xfId="31969" xr:uid="{F796C0D4-0306-4805-9D85-E581A80BAF7B}"/>
    <cellStyle name="40% - Accent5 4 6 2 4" xfId="15097" xr:uid="{926EF0F6-3033-4028-AE3B-D817DBAF13F1}"/>
    <cellStyle name="40% - Accent5 4 6 3" xfId="19317" xr:uid="{C16DE9E2-1731-4992-A097-0BF1EEA85508}"/>
    <cellStyle name="40% - Accent5 4 6 4" xfId="27752" xr:uid="{AAD2F100-F61E-4ABA-AF55-73E2F610D4C5}"/>
    <cellStyle name="40% - Accent5 4 6 5" xfId="10879" xr:uid="{43A58DA7-F842-48CF-921D-9F2FFB1C3720}"/>
    <cellStyle name="40% - Accent5 4 7" xfId="4592" xr:uid="{00000000-0005-0000-0000-0000CD060000}"/>
    <cellStyle name="40% - Accent5 4 7 2" xfId="21469" xr:uid="{1BCC208E-DB31-464D-9E63-16F63223ABD5}"/>
    <cellStyle name="40% - Accent5 4 7 3" xfId="29903" xr:uid="{C9D52D1B-0938-4C06-BF54-C74015C4C09C}"/>
    <cellStyle name="40% - Accent5 4 7 4" xfId="13031" xr:uid="{A732FAA0-1748-4898-B434-EB1286003D0C}"/>
    <cellStyle name="40% - Accent5 4 8" xfId="17251" xr:uid="{A9D79D2C-25F5-4B80-92D3-4D7B76991708}"/>
    <cellStyle name="40% - Accent5 4 9" xfId="25686" xr:uid="{DE2534E6-4AF2-4CD4-A26D-B032AB691B6B}"/>
    <cellStyle name="40% - Accent5 5" xfId="650" xr:uid="{00000000-0005-0000-0000-0000CE060000}"/>
    <cellStyle name="40% - Accent5 5 2" xfId="2921" xr:uid="{00000000-0005-0000-0000-0000CF060000}"/>
    <cellStyle name="40% - Accent5 5 2 2" xfId="7144" xr:uid="{00000000-0005-0000-0000-0000D0060000}"/>
    <cellStyle name="40% - Accent5 5 2 2 2" xfId="24021" xr:uid="{760194DC-B2F0-47BB-B70E-CF2D9CBF0A41}"/>
    <cellStyle name="40% - Accent5 5 2 2 3" xfId="32455" xr:uid="{743D3A22-A638-433E-83D9-630BA2A51DF6}"/>
    <cellStyle name="40% - Accent5 5 2 2 4" xfId="15583" xr:uid="{DE4891C0-E32B-44CD-A8CC-395469FB451F}"/>
    <cellStyle name="40% - Accent5 5 2 3" xfId="19803" xr:uid="{9F346E98-21E7-4C92-9D64-DB1489180E0E}"/>
    <cellStyle name="40% - Accent5 5 2 4" xfId="28238" xr:uid="{D40310DA-BBE9-4159-A4D3-C814F6F53893}"/>
    <cellStyle name="40% - Accent5 5 2 5" xfId="11365" xr:uid="{C825809B-698C-42E1-BBD3-4ABB4D09F706}"/>
    <cellStyle name="40% - Accent5 5 3" xfId="4999" xr:uid="{00000000-0005-0000-0000-0000D1060000}"/>
    <cellStyle name="40% - Accent5 5 3 2" xfId="21876" xr:uid="{65E76F1E-9CA3-41EE-B353-295636AC990D}"/>
    <cellStyle name="40% - Accent5 5 3 3" xfId="30310" xr:uid="{79791F7E-EB81-42D5-A90F-7BF86D0FAE35}"/>
    <cellStyle name="40% - Accent5 5 3 4" xfId="13438" xr:uid="{6906B04B-1825-4E12-862E-BBB336DCC19D}"/>
    <cellStyle name="40% - Accent5 5 4" xfId="17658" xr:uid="{8800EBA1-C812-4722-B989-EC9DB8026D07}"/>
    <cellStyle name="40% - Accent5 5 5" xfId="26093" xr:uid="{AE08D524-3273-4DED-BFA8-F6E03ACFC624}"/>
    <cellStyle name="40% - Accent5 5 6" xfId="9220" xr:uid="{4DF69145-2D9A-4F46-A4D3-C17E0144495B}"/>
    <cellStyle name="40% - Accent5 6" xfId="1103" xr:uid="{00000000-0005-0000-0000-0000D2060000}"/>
    <cellStyle name="40% - Accent5 6 2" xfId="3334" xr:uid="{00000000-0005-0000-0000-0000D3060000}"/>
    <cellStyle name="40% - Accent5 6 2 2" xfId="7557" xr:uid="{00000000-0005-0000-0000-0000D4060000}"/>
    <cellStyle name="40% - Accent5 6 2 2 2" xfId="24434" xr:uid="{C9A7DF83-0348-450C-92B3-0AC2E9AB366F}"/>
    <cellStyle name="40% - Accent5 6 2 2 3" xfId="32868" xr:uid="{C7286AE8-4816-4A42-A4D3-2C3010B43D15}"/>
    <cellStyle name="40% - Accent5 6 2 2 4" xfId="15996" xr:uid="{FC97A5F0-EE93-49A0-B0DE-42D0054D6257}"/>
    <cellStyle name="40% - Accent5 6 2 3" xfId="20216" xr:uid="{2545DFB7-B080-40DC-B585-7D0F946D2523}"/>
    <cellStyle name="40% - Accent5 6 2 4" xfId="28651" xr:uid="{D9580B9E-C131-4522-AD49-C00DD9F96730}"/>
    <cellStyle name="40% - Accent5 6 2 5" xfId="11778" xr:uid="{E40F32F8-8D01-4565-ABD4-869255815719}"/>
    <cellStyle name="40% - Accent5 6 3" xfId="5412" xr:uid="{00000000-0005-0000-0000-0000D5060000}"/>
    <cellStyle name="40% - Accent5 6 3 2" xfId="22289" xr:uid="{8AC7FFB1-0A2C-441D-BDEE-C6A8164DA1B6}"/>
    <cellStyle name="40% - Accent5 6 3 3" xfId="30723" xr:uid="{0C8A7FE7-1C34-4B54-A9E0-2438DDAA0C53}"/>
    <cellStyle name="40% - Accent5 6 3 4" xfId="13851" xr:uid="{984BD908-7F1E-47D7-B94C-1685F6008D0E}"/>
    <cellStyle name="40% - Accent5 6 4" xfId="18071" xr:uid="{C4799B1E-4810-494C-8504-AFFB6D08E643}"/>
    <cellStyle name="40% - Accent5 6 5" xfId="26506" xr:uid="{5A7EFB1D-BFC4-474B-8AE9-1603DD79340F}"/>
    <cellStyle name="40% - Accent5 6 6" xfId="9633" xr:uid="{E2C49856-42E4-4B73-AD49-2A8B4AC4C4F7}"/>
    <cellStyle name="40% - Accent5 7" xfId="1517" xr:uid="{00000000-0005-0000-0000-0000D6060000}"/>
    <cellStyle name="40% - Accent5 7 2" xfId="3747" xr:uid="{00000000-0005-0000-0000-0000D7060000}"/>
    <cellStyle name="40% - Accent5 7 2 2" xfId="7970" xr:uid="{00000000-0005-0000-0000-0000D8060000}"/>
    <cellStyle name="40% - Accent5 7 2 2 2" xfId="24847" xr:uid="{4FD472A8-ECC7-4D23-B474-1B5773670814}"/>
    <cellStyle name="40% - Accent5 7 2 2 3" xfId="33281" xr:uid="{45F72942-0477-4688-A032-31E2E39CBA7A}"/>
    <cellStyle name="40% - Accent5 7 2 2 4" xfId="16409" xr:uid="{B3E813D7-5AFA-4FD4-931B-E19595960CD3}"/>
    <cellStyle name="40% - Accent5 7 2 3" xfId="20629" xr:uid="{778A81F3-DA6A-45F8-A5D2-A7EAC0631041}"/>
    <cellStyle name="40% - Accent5 7 2 4" xfId="29064" xr:uid="{6CBEF1A7-58D9-47C9-A9AF-3F50E1D278A4}"/>
    <cellStyle name="40% - Accent5 7 2 5" xfId="12191" xr:uid="{D829AE06-046B-4A75-B088-69F115AB9817}"/>
    <cellStyle name="40% - Accent5 7 3" xfId="5825" xr:uid="{00000000-0005-0000-0000-0000D9060000}"/>
    <cellStyle name="40% - Accent5 7 3 2" xfId="22702" xr:uid="{2BE05993-3BAC-47C5-9A93-5A7706A21C7F}"/>
    <cellStyle name="40% - Accent5 7 3 3" xfId="31136" xr:uid="{06FAC0EF-ED08-401A-BF99-185D4964967F}"/>
    <cellStyle name="40% - Accent5 7 3 4" xfId="14264" xr:uid="{F62651FC-EFDD-4FC8-AB55-C420A94FAE16}"/>
    <cellStyle name="40% - Accent5 7 4" xfId="18484" xr:uid="{F58A4D70-385C-4029-A39B-5BC935957D2D}"/>
    <cellStyle name="40% - Accent5 7 5" xfId="26919" xr:uid="{114120D0-DF98-4E5B-8424-DC52F1FB85C9}"/>
    <cellStyle name="40% - Accent5 7 6" xfId="10046" xr:uid="{43287784-CFD0-4E5A-BA48-AA15049AC457}"/>
    <cellStyle name="40% - Accent5 8" xfId="1931" xr:uid="{00000000-0005-0000-0000-0000DA060000}"/>
    <cellStyle name="40% - Accent5 8 2" xfId="4160" xr:uid="{00000000-0005-0000-0000-0000DB060000}"/>
    <cellStyle name="40% - Accent5 8 2 2" xfId="8383" xr:uid="{00000000-0005-0000-0000-0000DC060000}"/>
    <cellStyle name="40% - Accent5 8 2 2 2" xfId="25260" xr:uid="{07A64C17-8788-4FA8-8143-A3522225114C}"/>
    <cellStyle name="40% - Accent5 8 2 2 3" xfId="33694" xr:uid="{5A84F40E-B4E8-4586-8CC3-8545DF6F5545}"/>
    <cellStyle name="40% - Accent5 8 2 2 4" xfId="16822" xr:uid="{C11E79EA-DCF8-4981-9CE9-AD57F01F5978}"/>
    <cellStyle name="40% - Accent5 8 2 3" xfId="21042" xr:uid="{D85ADE2B-7800-4809-AFFF-D1BBB74D9D02}"/>
    <cellStyle name="40% - Accent5 8 2 4" xfId="29477" xr:uid="{642EF76B-AD2A-41CE-A521-601735A18115}"/>
    <cellStyle name="40% - Accent5 8 2 5" xfId="12604" xr:uid="{D69BFF6C-1A5E-42C7-A93F-652364FDB857}"/>
    <cellStyle name="40% - Accent5 8 3" xfId="6238" xr:uid="{00000000-0005-0000-0000-0000DD060000}"/>
    <cellStyle name="40% - Accent5 8 3 2" xfId="23115" xr:uid="{A5F59B4E-5C0D-4CDC-9151-2E5F552D6AD0}"/>
    <cellStyle name="40% - Accent5 8 3 3" xfId="31549" xr:uid="{FA459332-8488-430F-846A-580ABD6C52C3}"/>
    <cellStyle name="40% - Accent5 8 3 4" xfId="14677" xr:uid="{739F067E-2B94-40F6-9DAD-DDA07F5DAD55}"/>
    <cellStyle name="40% - Accent5 8 4" xfId="18897" xr:uid="{EF3204CA-7423-449F-86D7-CE07AAD1798F}"/>
    <cellStyle name="40% - Accent5 8 5" xfId="27332" xr:uid="{08C739EE-C142-491D-9263-EC1C8ACFE97C}"/>
    <cellStyle name="40% - Accent5 8 6" xfId="10459" xr:uid="{5DB5366B-B1DC-44AE-BD88-4BF347387775}"/>
    <cellStyle name="40% - Accent5 9" xfId="2344" xr:uid="{00000000-0005-0000-0000-0000DE060000}"/>
    <cellStyle name="40% - Accent5 9 2" xfId="6651" xr:uid="{00000000-0005-0000-0000-0000DF060000}"/>
    <cellStyle name="40% - Accent5 9 2 2" xfId="23528" xr:uid="{85BE4F20-93B9-4E20-88D7-18FC61CC15B2}"/>
    <cellStyle name="40% - Accent5 9 2 3" xfId="31962" xr:uid="{7A5CEF04-A5C6-43F0-A3C8-CC3E514F92A6}"/>
    <cellStyle name="40% - Accent5 9 2 4" xfId="15090" xr:uid="{DF0B72AC-90C4-45C8-B9C3-4D211E180AB9}"/>
    <cellStyle name="40% - Accent5 9 3" xfId="19310" xr:uid="{A5461503-653D-4FE7-B183-07CE32269B36}"/>
    <cellStyle name="40% - Accent5 9 4" xfId="27745" xr:uid="{D9859256-7E85-47B5-AC09-492504688DD0}"/>
    <cellStyle name="40% - Accent5 9 5" xfId="10872" xr:uid="{7B45203E-A1DE-41E0-ACDA-1832E602C149}"/>
    <cellStyle name="40% - Accent6" xfId="89" builtinId="51" customBuiltin="1"/>
    <cellStyle name="40% - Accent6 10" xfId="4593" xr:uid="{00000000-0005-0000-0000-0000E1060000}"/>
    <cellStyle name="40% - Accent6 10 2" xfId="21470" xr:uid="{C4BA174D-0C85-44FC-8002-DE0EA1FEF7EE}"/>
    <cellStyle name="40% - Accent6 10 3" xfId="29904" xr:uid="{9AEC5210-6457-42B0-875F-EB4538471F3F}"/>
    <cellStyle name="40% - Accent6 10 4" xfId="13032" xr:uid="{2B2F777C-483F-4833-9E69-DF4B99696CFD}"/>
    <cellStyle name="40% - Accent6 11" xfId="17252" xr:uid="{82F2003E-513B-46DC-858D-3256B7D38887}"/>
    <cellStyle name="40% - Accent6 12" xfId="25687" xr:uid="{C5246C64-7309-4FB9-A7F3-0A884E3CEECC}"/>
    <cellStyle name="40% - Accent6 13" xfId="8814" xr:uid="{C160FE7A-68D6-4F71-9A4D-E8D6DA0B8F8C}"/>
    <cellStyle name="40% - Accent6 2" xfId="90" xr:uid="{00000000-0005-0000-0000-0000E2060000}"/>
    <cellStyle name="40% - Accent6 2 10" xfId="17253" xr:uid="{E715429E-D423-4CBC-AC0D-B60C83CE39CA}"/>
    <cellStyle name="40% - Accent6 2 11" xfId="25688" xr:uid="{F191B903-8790-4C9E-B1D6-BA226D535A24}"/>
    <cellStyle name="40% - Accent6 2 12" xfId="8815" xr:uid="{32C46405-EE5F-4124-83C5-93F3C9DCBB75}"/>
    <cellStyle name="40% - Accent6 2 2" xfId="91" xr:uid="{00000000-0005-0000-0000-0000E3060000}"/>
    <cellStyle name="40% - Accent6 2 2 10" xfId="25689" xr:uid="{7047CA4F-6283-4DE0-898F-F7AEC38D4522}"/>
    <cellStyle name="40% - Accent6 2 2 11" xfId="8816" xr:uid="{2E85386A-3B37-4557-B833-204F33133112}"/>
    <cellStyle name="40% - Accent6 2 2 2" xfId="92" xr:uid="{00000000-0005-0000-0000-0000E4060000}"/>
    <cellStyle name="40% - Accent6 2 2 2 10" xfId="8817" xr:uid="{D6B4F794-592E-48D2-BAD6-20979B6E2E35}"/>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24032" xr:uid="{EAF2B849-89EE-4499-A5E8-B1D278FA485B}"/>
    <cellStyle name="40% - Accent6 2 2 2 2 2 2 3" xfId="32466" xr:uid="{9DC805C6-DEE0-4002-9741-EDEFFC428494}"/>
    <cellStyle name="40% - Accent6 2 2 2 2 2 2 4" xfId="15594" xr:uid="{389AED74-4551-41E4-843B-F98F4DA6CA0E}"/>
    <cellStyle name="40% - Accent6 2 2 2 2 2 3" xfId="19814" xr:uid="{2CE65A41-A85C-456D-957C-345106FC8EC6}"/>
    <cellStyle name="40% - Accent6 2 2 2 2 2 4" xfId="28249" xr:uid="{65BBC868-4E35-4AE8-AB7A-3AD1365AFE71}"/>
    <cellStyle name="40% - Accent6 2 2 2 2 2 5" xfId="11376" xr:uid="{774D2DC0-07C9-4D10-8EB2-9D9EC05D4746}"/>
    <cellStyle name="40% - Accent6 2 2 2 2 3" xfId="5010" xr:uid="{00000000-0005-0000-0000-0000E8060000}"/>
    <cellStyle name="40% - Accent6 2 2 2 2 3 2" xfId="21887" xr:uid="{8DCDE30C-A679-4119-A0F4-14F8D1873B5C}"/>
    <cellStyle name="40% - Accent6 2 2 2 2 3 3" xfId="30321" xr:uid="{28C87E42-0714-4CE5-BDFD-A7B64ABA5579}"/>
    <cellStyle name="40% - Accent6 2 2 2 2 3 4" xfId="13449" xr:uid="{180507BE-8E24-4EBB-95A3-43F30214CFE2}"/>
    <cellStyle name="40% - Accent6 2 2 2 2 4" xfId="17669" xr:uid="{21FDA67E-DB77-4B3E-8A8C-0CEE5F0B2523}"/>
    <cellStyle name="40% - Accent6 2 2 2 2 5" xfId="26104" xr:uid="{9372901A-31AA-4AB9-85C7-96982E69110C}"/>
    <cellStyle name="40% - Accent6 2 2 2 2 6" xfId="9231" xr:uid="{44A76AFE-DAB1-4CF3-98D9-F1F3A9F93404}"/>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24445" xr:uid="{E0FF83EA-1859-4DB6-ACD0-53B3D6553285}"/>
    <cellStyle name="40% - Accent6 2 2 2 3 2 2 3" xfId="32879" xr:uid="{52BAA92E-9057-44BE-AFFD-68D87767395F}"/>
    <cellStyle name="40% - Accent6 2 2 2 3 2 2 4" xfId="16007" xr:uid="{C7E415B8-2654-4E4F-9861-C367E2081FE5}"/>
    <cellStyle name="40% - Accent6 2 2 2 3 2 3" xfId="20227" xr:uid="{AE3D9E84-B056-45D2-8D03-9141156719E8}"/>
    <cellStyle name="40% - Accent6 2 2 2 3 2 4" xfId="28662" xr:uid="{C4FC2692-9B86-4E20-8353-4AEC89904EB1}"/>
    <cellStyle name="40% - Accent6 2 2 2 3 2 5" xfId="11789" xr:uid="{6AB4A69A-BDF0-4BB0-B414-6C07505AA951}"/>
    <cellStyle name="40% - Accent6 2 2 2 3 3" xfId="5423" xr:uid="{00000000-0005-0000-0000-0000EC060000}"/>
    <cellStyle name="40% - Accent6 2 2 2 3 3 2" xfId="22300" xr:uid="{5BC1C1DA-ECF9-48B7-B41F-FB54C1A057D1}"/>
    <cellStyle name="40% - Accent6 2 2 2 3 3 3" xfId="30734" xr:uid="{7A6FA519-12DC-4F84-B483-32B37A6713FC}"/>
    <cellStyle name="40% - Accent6 2 2 2 3 3 4" xfId="13862" xr:uid="{A42D60AB-6BF9-483C-A5B5-8E644D86D0CC}"/>
    <cellStyle name="40% - Accent6 2 2 2 3 4" xfId="18082" xr:uid="{8BD9B100-47EF-442D-963E-F8A03DFDBDA2}"/>
    <cellStyle name="40% - Accent6 2 2 2 3 5" xfId="26517" xr:uid="{D7DBC536-7169-4865-9497-2AE6DDE50434}"/>
    <cellStyle name="40% - Accent6 2 2 2 3 6" xfId="9644" xr:uid="{665500B6-3797-4F19-9282-717ACEB1F359}"/>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24858" xr:uid="{8D8B234F-BAE2-4DCA-A18E-5D2DD47D31F6}"/>
    <cellStyle name="40% - Accent6 2 2 2 4 2 2 3" xfId="33292" xr:uid="{2F50C1DA-119A-478B-84BE-DD7F9E84BEAB}"/>
    <cellStyle name="40% - Accent6 2 2 2 4 2 2 4" xfId="16420" xr:uid="{D6A6D732-E962-4578-B8D2-D8303B185DC1}"/>
    <cellStyle name="40% - Accent6 2 2 2 4 2 3" xfId="20640" xr:uid="{55AA66D1-B0E8-4081-B9AB-8E6652DF28A9}"/>
    <cellStyle name="40% - Accent6 2 2 2 4 2 4" xfId="29075" xr:uid="{B9849CCC-C56C-466F-844A-64842E5CE1FF}"/>
    <cellStyle name="40% - Accent6 2 2 2 4 2 5" xfId="12202" xr:uid="{B3D2F077-7D1E-4416-A26B-1B99EA7B0F48}"/>
    <cellStyle name="40% - Accent6 2 2 2 4 3" xfId="5836" xr:uid="{00000000-0005-0000-0000-0000F0060000}"/>
    <cellStyle name="40% - Accent6 2 2 2 4 3 2" xfId="22713" xr:uid="{959A91BA-92E6-4ADA-8E52-9515F025BC6D}"/>
    <cellStyle name="40% - Accent6 2 2 2 4 3 3" xfId="31147" xr:uid="{1F5B6321-3684-4EC4-8A1E-7709498EC9FE}"/>
    <cellStyle name="40% - Accent6 2 2 2 4 3 4" xfId="14275" xr:uid="{E42EDBFB-753B-4D01-9762-7AEFF25660EF}"/>
    <cellStyle name="40% - Accent6 2 2 2 4 4" xfId="18495" xr:uid="{4CC45585-9505-4D98-A51E-F63593AC4755}"/>
    <cellStyle name="40% - Accent6 2 2 2 4 5" xfId="26930" xr:uid="{07605E53-7DA2-4CC9-814B-59B7DAE13616}"/>
    <cellStyle name="40% - Accent6 2 2 2 4 6" xfId="10057" xr:uid="{3D33BBC0-2221-415F-ADEF-CC9B631CC365}"/>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25271" xr:uid="{8DDF04A9-5683-468E-93F7-6F5412D51C6B}"/>
    <cellStyle name="40% - Accent6 2 2 2 5 2 2 3" xfId="33705" xr:uid="{3FA10BDC-E227-45F3-B61C-94EF7215BCFB}"/>
    <cellStyle name="40% - Accent6 2 2 2 5 2 2 4" xfId="16833" xr:uid="{EB2FDB7B-D9C0-424B-8664-1457682D4399}"/>
    <cellStyle name="40% - Accent6 2 2 2 5 2 3" xfId="21053" xr:uid="{2C70B1CD-2B91-4DB3-A00D-CC1C1D335CE0}"/>
    <cellStyle name="40% - Accent6 2 2 2 5 2 4" xfId="29488" xr:uid="{67639C8E-1E04-4171-9559-097371EA1A4B}"/>
    <cellStyle name="40% - Accent6 2 2 2 5 2 5" xfId="12615" xr:uid="{11DC54B6-F4D6-4754-8921-B8924828DD64}"/>
    <cellStyle name="40% - Accent6 2 2 2 5 3" xfId="6249" xr:uid="{00000000-0005-0000-0000-0000F4060000}"/>
    <cellStyle name="40% - Accent6 2 2 2 5 3 2" xfId="23126" xr:uid="{DA90AA69-F838-4E5A-A964-5382FF5E9F5F}"/>
    <cellStyle name="40% - Accent6 2 2 2 5 3 3" xfId="31560" xr:uid="{22A43A5B-4E9B-4A16-BA8F-7B028CBEBE50}"/>
    <cellStyle name="40% - Accent6 2 2 2 5 3 4" xfId="14688" xr:uid="{708677B7-DB4A-4030-9196-5A69E7AF551F}"/>
    <cellStyle name="40% - Accent6 2 2 2 5 4" xfId="18908" xr:uid="{982C7540-2B6E-4740-992F-F9DF8E692A6C}"/>
    <cellStyle name="40% - Accent6 2 2 2 5 5" xfId="27343" xr:uid="{6B494509-B4A2-4F87-A12A-CBEBFE2902E6}"/>
    <cellStyle name="40% - Accent6 2 2 2 5 6" xfId="10470" xr:uid="{AEBE58F0-1689-46A9-9F18-842E1B60574D}"/>
    <cellStyle name="40% - Accent6 2 2 2 6" xfId="2355" xr:uid="{00000000-0005-0000-0000-0000F5060000}"/>
    <cellStyle name="40% - Accent6 2 2 2 6 2" xfId="6662" xr:uid="{00000000-0005-0000-0000-0000F6060000}"/>
    <cellStyle name="40% - Accent6 2 2 2 6 2 2" xfId="23539" xr:uid="{9F7B44A7-1870-47A6-9A7E-2424848C97FB}"/>
    <cellStyle name="40% - Accent6 2 2 2 6 2 3" xfId="31973" xr:uid="{F856CA26-26E8-47BF-ABFA-219A0214F9F1}"/>
    <cellStyle name="40% - Accent6 2 2 2 6 2 4" xfId="15101" xr:uid="{A8102FAD-6331-4341-A2C5-C89D0F038855}"/>
    <cellStyle name="40% - Accent6 2 2 2 6 3" xfId="19321" xr:uid="{445DF7A9-EB0E-4762-989B-9BB90BE855C2}"/>
    <cellStyle name="40% - Accent6 2 2 2 6 4" xfId="27756" xr:uid="{12095104-B2CE-4046-B4FD-0CF9F10DA1D8}"/>
    <cellStyle name="40% - Accent6 2 2 2 6 5" xfId="10883" xr:uid="{79A41AF9-FE8B-406D-86F2-AD524BDE5A8A}"/>
    <cellStyle name="40% - Accent6 2 2 2 7" xfId="4596" xr:uid="{00000000-0005-0000-0000-0000F7060000}"/>
    <cellStyle name="40% - Accent6 2 2 2 7 2" xfId="21473" xr:uid="{5C519CD4-C94F-4C30-B76F-5E6FAD292C4A}"/>
    <cellStyle name="40% - Accent6 2 2 2 7 3" xfId="29907" xr:uid="{3DD0F386-99E4-4F33-8722-D543531FEF9F}"/>
    <cellStyle name="40% - Accent6 2 2 2 7 4" xfId="13035" xr:uid="{FFA15E21-8358-4A30-86C1-18CC5E7AAD4C}"/>
    <cellStyle name="40% - Accent6 2 2 2 8" xfId="17255" xr:uid="{AF21CEF5-7F82-4363-98F3-621F50992474}"/>
    <cellStyle name="40% - Accent6 2 2 2 9" xfId="25690" xr:uid="{66034E0C-19E5-41C2-985A-37115A6616C4}"/>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24031" xr:uid="{4153FF13-05FB-4AF3-85D7-797787332BCF}"/>
    <cellStyle name="40% - Accent6 2 2 3 2 2 3" xfId="32465" xr:uid="{9FD1DA42-3B7D-42C5-9C54-DC1D2CF9B6BB}"/>
    <cellStyle name="40% - Accent6 2 2 3 2 2 4" xfId="15593" xr:uid="{66C30494-CEB3-413E-832E-D46BA76390FF}"/>
    <cellStyle name="40% - Accent6 2 2 3 2 3" xfId="19813" xr:uid="{AB220267-37F2-4537-B8F3-59CDEDD05792}"/>
    <cellStyle name="40% - Accent6 2 2 3 2 4" xfId="28248" xr:uid="{1BE35E40-B644-438E-802E-F00E9E8CD024}"/>
    <cellStyle name="40% - Accent6 2 2 3 2 5" xfId="11375" xr:uid="{21B5878F-4084-4F4D-827D-5D37C08C6569}"/>
    <cellStyle name="40% - Accent6 2 2 3 3" xfId="5009" xr:uid="{00000000-0005-0000-0000-0000FB060000}"/>
    <cellStyle name="40% - Accent6 2 2 3 3 2" xfId="21886" xr:uid="{5EC9E9E3-FA2D-4F5D-A6D3-16243B5D9E21}"/>
    <cellStyle name="40% - Accent6 2 2 3 3 3" xfId="30320" xr:uid="{9B9AA563-F809-42BF-B22E-E7AFA19E199A}"/>
    <cellStyle name="40% - Accent6 2 2 3 3 4" xfId="13448" xr:uid="{2A94500D-974D-4814-9C4F-E8690AD994F4}"/>
    <cellStyle name="40% - Accent6 2 2 3 4" xfId="17668" xr:uid="{5ABAD857-659C-449B-8749-94F66337789F}"/>
    <cellStyle name="40% - Accent6 2 2 3 5" xfId="26103" xr:uid="{4C3E4EDE-033D-4431-AB8B-119067DAC671}"/>
    <cellStyle name="40% - Accent6 2 2 3 6" xfId="9230" xr:uid="{E87868C4-77A0-432F-9508-3B8D4F888CD1}"/>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24444" xr:uid="{87D55CB2-6324-4FC9-87AF-C22ADD532E46}"/>
    <cellStyle name="40% - Accent6 2 2 4 2 2 3" xfId="32878" xr:uid="{8B2BEC3B-9DC0-4E5B-956C-42CD8A0F937D}"/>
    <cellStyle name="40% - Accent6 2 2 4 2 2 4" xfId="16006" xr:uid="{FFCC9890-E23C-45E7-913C-6A801D8627DB}"/>
    <cellStyle name="40% - Accent6 2 2 4 2 3" xfId="20226" xr:uid="{978490BE-88FF-4868-8DDF-4B796DF65F7B}"/>
    <cellStyle name="40% - Accent6 2 2 4 2 4" xfId="28661" xr:uid="{35F4E4C5-D04E-44BF-A105-6C503D3C94F6}"/>
    <cellStyle name="40% - Accent6 2 2 4 2 5" xfId="11788" xr:uid="{3EBBE56C-7C76-4A26-91E6-922855270D07}"/>
    <cellStyle name="40% - Accent6 2 2 4 3" xfId="5422" xr:uid="{00000000-0005-0000-0000-0000FF060000}"/>
    <cellStyle name="40% - Accent6 2 2 4 3 2" xfId="22299" xr:uid="{E4F05EA8-3C5E-43AC-8F04-D87CC5FB83B3}"/>
    <cellStyle name="40% - Accent6 2 2 4 3 3" xfId="30733" xr:uid="{6FB7B1B7-E8FA-4D6C-8418-70CF47DFB9EC}"/>
    <cellStyle name="40% - Accent6 2 2 4 3 4" xfId="13861" xr:uid="{593FB44F-4D90-41F4-BA25-F1A62AE1AEB9}"/>
    <cellStyle name="40% - Accent6 2 2 4 4" xfId="18081" xr:uid="{C3E75EBB-C03C-4EFD-A70A-C6B75BF812BD}"/>
    <cellStyle name="40% - Accent6 2 2 4 5" xfId="26516" xr:uid="{F6F2B27E-DE60-4A98-B15A-0665F9485BF0}"/>
    <cellStyle name="40% - Accent6 2 2 4 6" xfId="9643" xr:uid="{74F04DDF-15E7-4974-B4EF-9091B8B809DC}"/>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24857" xr:uid="{19BC2FBD-3D21-4499-BB35-FCE6035D8B6F}"/>
    <cellStyle name="40% - Accent6 2 2 5 2 2 3" xfId="33291" xr:uid="{0D6B04B0-9EF5-4A5C-9F7D-43BD84C0284F}"/>
    <cellStyle name="40% - Accent6 2 2 5 2 2 4" xfId="16419" xr:uid="{54F1F2C1-84EF-4850-8D7B-EE518E12111E}"/>
    <cellStyle name="40% - Accent6 2 2 5 2 3" xfId="20639" xr:uid="{05625B4C-A30D-4D06-AFFA-E732976891C4}"/>
    <cellStyle name="40% - Accent6 2 2 5 2 4" xfId="29074" xr:uid="{CF633C05-2E82-47CD-B898-E0AB3F1CE09E}"/>
    <cellStyle name="40% - Accent6 2 2 5 2 5" xfId="12201" xr:uid="{CA44FB9A-6CC1-4BAA-B609-C51CF82DCC45}"/>
    <cellStyle name="40% - Accent6 2 2 5 3" xfId="5835" xr:uid="{00000000-0005-0000-0000-000003070000}"/>
    <cellStyle name="40% - Accent6 2 2 5 3 2" xfId="22712" xr:uid="{A520B348-38A9-49B0-A57E-9BED4F7A817D}"/>
    <cellStyle name="40% - Accent6 2 2 5 3 3" xfId="31146" xr:uid="{E67819FB-F094-4A4B-B8F0-D073F83A87AF}"/>
    <cellStyle name="40% - Accent6 2 2 5 3 4" xfId="14274" xr:uid="{B06A4C94-4029-4400-974C-0AAB63C28AC3}"/>
    <cellStyle name="40% - Accent6 2 2 5 4" xfId="18494" xr:uid="{D54C81F6-DA34-4C4A-A744-9BC0CE2DD9A5}"/>
    <cellStyle name="40% - Accent6 2 2 5 5" xfId="26929" xr:uid="{7ADBAAF9-AA75-4BC4-8137-DAB37537FF6E}"/>
    <cellStyle name="40% - Accent6 2 2 5 6" xfId="10056" xr:uid="{15A41D12-F42D-47FA-9DC4-7135A23D6B8D}"/>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25270" xr:uid="{22769C53-F6D6-4F1F-838C-BEA6366359E8}"/>
    <cellStyle name="40% - Accent6 2 2 6 2 2 3" xfId="33704" xr:uid="{BFE53D9B-7100-4139-A98D-ED3362340ADA}"/>
    <cellStyle name="40% - Accent6 2 2 6 2 2 4" xfId="16832" xr:uid="{E2D9F0E9-8E04-42D6-B32E-37384B9746C2}"/>
    <cellStyle name="40% - Accent6 2 2 6 2 3" xfId="21052" xr:uid="{F3CEFA68-9C15-47FA-95CF-0C6C1F820B14}"/>
    <cellStyle name="40% - Accent6 2 2 6 2 4" xfId="29487" xr:uid="{28F26B83-287A-4937-BA55-F2A3D127BBC4}"/>
    <cellStyle name="40% - Accent6 2 2 6 2 5" xfId="12614" xr:uid="{D75DFEBD-788E-48E8-A7AF-F9B1A3F78E83}"/>
    <cellStyle name="40% - Accent6 2 2 6 3" xfId="6248" xr:uid="{00000000-0005-0000-0000-000007070000}"/>
    <cellStyle name="40% - Accent6 2 2 6 3 2" xfId="23125" xr:uid="{ACED59F1-651E-402B-AF36-DECFC23F4DF2}"/>
    <cellStyle name="40% - Accent6 2 2 6 3 3" xfId="31559" xr:uid="{D1BD2D2A-6F77-402E-A1C2-08EA91C0E292}"/>
    <cellStyle name="40% - Accent6 2 2 6 3 4" xfId="14687" xr:uid="{D9DDF8E5-0C38-4CD9-A174-AF1E2186C0D0}"/>
    <cellStyle name="40% - Accent6 2 2 6 4" xfId="18907" xr:uid="{6DC6FCC4-629F-46BA-BE36-333AC14AC567}"/>
    <cellStyle name="40% - Accent6 2 2 6 5" xfId="27342" xr:uid="{D7B6C974-CC6B-4CAD-AD1D-FD30536D2374}"/>
    <cellStyle name="40% - Accent6 2 2 6 6" xfId="10469" xr:uid="{1088076C-A122-4DB5-9923-3EC4F5106E50}"/>
    <cellStyle name="40% - Accent6 2 2 7" xfId="2354" xr:uid="{00000000-0005-0000-0000-000008070000}"/>
    <cellStyle name="40% - Accent6 2 2 7 2" xfId="6661" xr:uid="{00000000-0005-0000-0000-000009070000}"/>
    <cellStyle name="40% - Accent6 2 2 7 2 2" xfId="23538" xr:uid="{7C70469F-46E6-4E55-81A6-9AC9EF6D8AA4}"/>
    <cellStyle name="40% - Accent6 2 2 7 2 3" xfId="31972" xr:uid="{AB2FD44F-1E0B-4960-A597-F380B4313E1A}"/>
    <cellStyle name="40% - Accent6 2 2 7 2 4" xfId="15100" xr:uid="{440B8520-628A-4BDA-AB83-D98F18817879}"/>
    <cellStyle name="40% - Accent6 2 2 7 3" xfId="19320" xr:uid="{09347EEE-EE0E-4C72-8BE3-9990E19CC046}"/>
    <cellStyle name="40% - Accent6 2 2 7 4" xfId="27755" xr:uid="{358B6A82-34C2-4022-A9DF-4CFFC33A56A2}"/>
    <cellStyle name="40% - Accent6 2 2 7 5" xfId="10882" xr:uid="{3238D967-8858-4755-9A2D-7F51541AEC73}"/>
    <cellStyle name="40% - Accent6 2 2 8" xfId="4595" xr:uid="{00000000-0005-0000-0000-00000A070000}"/>
    <cellStyle name="40% - Accent6 2 2 8 2" xfId="21472" xr:uid="{A8C22331-D8B1-4AC8-BF10-D1B36B809974}"/>
    <cellStyle name="40% - Accent6 2 2 8 3" xfId="29906" xr:uid="{F2304081-F126-4957-914F-17353C023114}"/>
    <cellStyle name="40% - Accent6 2 2 8 4" xfId="13034" xr:uid="{39542E1F-CA7A-488B-AF25-8F9822DD4064}"/>
    <cellStyle name="40% - Accent6 2 2 9" xfId="17254" xr:uid="{D84FD00E-C0BA-4DBC-A22A-DF47DAEC29BA}"/>
    <cellStyle name="40% - Accent6 2 3" xfId="93" xr:uid="{00000000-0005-0000-0000-00000B070000}"/>
    <cellStyle name="40% - Accent6 2 3 10" xfId="8818" xr:uid="{607F44F1-BE2A-4CA5-972D-DE9DECD86D35}"/>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24033" xr:uid="{F59BE5A9-2DF0-47BE-A467-1A116AD6764C}"/>
    <cellStyle name="40% - Accent6 2 3 2 2 2 3" xfId="32467" xr:uid="{ACF2F04E-D2C9-44D3-A4F0-C099D87F74EC}"/>
    <cellStyle name="40% - Accent6 2 3 2 2 2 4" xfId="15595" xr:uid="{0F020FD4-CB3F-40D3-9533-B32A38D729A3}"/>
    <cellStyle name="40% - Accent6 2 3 2 2 3" xfId="19815" xr:uid="{B49961DF-C545-4124-974F-984D83E9DB9C}"/>
    <cellStyle name="40% - Accent6 2 3 2 2 4" xfId="28250" xr:uid="{2C0E0739-8664-4E8E-9727-B70A24A2C98E}"/>
    <cellStyle name="40% - Accent6 2 3 2 2 5" xfId="11377" xr:uid="{8D5863BC-6578-4D13-A0FF-CF64E2962677}"/>
    <cellStyle name="40% - Accent6 2 3 2 3" xfId="5011" xr:uid="{00000000-0005-0000-0000-00000F070000}"/>
    <cellStyle name="40% - Accent6 2 3 2 3 2" xfId="21888" xr:uid="{74B25E6B-E669-4EB6-8A7C-AC06483B2FE4}"/>
    <cellStyle name="40% - Accent6 2 3 2 3 3" xfId="30322" xr:uid="{DBCD5B44-B0F1-4A08-9817-EC69587B5B30}"/>
    <cellStyle name="40% - Accent6 2 3 2 3 4" xfId="13450" xr:uid="{BBCAA4AC-9413-432A-A210-3F2F5C47300B}"/>
    <cellStyle name="40% - Accent6 2 3 2 4" xfId="17670" xr:uid="{7B396C03-B292-49AB-8F27-C49860794CEA}"/>
    <cellStyle name="40% - Accent6 2 3 2 5" xfId="26105" xr:uid="{840BCD03-C3FF-412D-8CD0-838415712E8C}"/>
    <cellStyle name="40% - Accent6 2 3 2 6" xfId="9232" xr:uid="{9966F883-6E63-4210-92B8-463391C426DC}"/>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24446" xr:uid="{6E2376CC-32F1-4954-B4A5-B7230F5EBB7B}"/>
    <cellStyle name="40% - Accent6 2 3 3 2 2 3" xfId="32880" xr:uid="{CA13C168-F9D9-4778-B36A-4041687A7063}"/>
    <cellStyle name="40% - Accent6 2 3 3 2 2 4" xfId="16008" xr:uid="{9CCC2D18-E19A-420E-9958-71D4D906602F}"/>
    <cellStyle name="40% - Accent6 2 3 3 2 3" xfId="20228" xr:uid="{020071CA-7603-4BDC-A4AB-991A66C933A2}"/>
    <cellStyle name="40% - Accent6 2 3 3 2 4" xfId="28663" xr:uid="{CC7213B9-074F-4711-B550-925067BA07F5}"/>
    <cellStyle name="40% - Accent6 2 3 3 2 5" xfId="11790" xr:uid="{BA659643-005A-4DB2-9884-24CBF368AA18}"/>
    <cellStyle name="40% - Accent6 2 3 3 3" xfId="5424" xr:uid="{00000000-0005-0000-0000-000013070000}"/>
    <cellStyle name="40% - Accent6 2 3 3 3 2" xfId="22301" xr:uid="{6A5F3593-4CF9-4450-B460-FAB2E2319797}"/>
    <cellStyle name="40% - Accent6 2 3 3 3 3" xfId="30735" xr:uid="{D0DFEFBF-F255-4600-AF91-5364303CFB55}"/>
    <cellStyle name="40% - Accent6 2 3 3 3 4" xfId="13863" xr:uid="{CB915959-4F2C-47CC-AAF5-A2895DDADD3A}"/>
    <cellStyle name="40% - Accent6 2 3 3 4" xfId="18083" xr:uid="{CDA92A9C-9616-4B53-B3CD-0286EDC7C76E}"/>
    <cellStyle name="40% - Accent6 2 3 3 5" xfId="26518" xr:uid="{42EEE97F-6FBE-49EF-8C68-F1F6582DBA8C}"/>
    <cellStyle name="40% - Accent6 2 3 3 6" xfId="9645" xr:uid="{E26FA6FC-FFE7-4526-A43C-BE24126D67A2}"/>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24859" xr:uid="{197E2FCE-C55A-4615-86AA-26716BC38763}"/>
    <cellStyle name="40% - Accent6 2 3 4 2 2 3" xfId="33293" xr:uid="{37880B06-3BD6-441D-89A0-3604E4447610}"/>
    <cellStyle name="40% - Accent6 2 3 4 2 2 4" xfId="16421" xr:uid="{C6B27EF4-C706-494F-B931-356E1A99EE07}"/>
    <cellStyle name="40% - Accent6 2 3 4 2 3" xfId="20641" xr:uid="{24276143-DE2D-4377-B16E-94A05FFABFF3}"/>
    <cellStyle name="40% - Accent6 2 3 4 2 4" xfId="29076" xr:uid="{B0B5BA5C-2AB9-424B-9848-9E61047E1303}"/>
    <cellStyle name="40% - Accent6 2 3 4 2 5" xfId="12203" xr:uid="{2A3D9DA3-5316-4DD5-B471-5ABBAF22E65D}"/>
    <cellStyle name="40% - Accent6 2 3 4 3" xfId="5837" xr:uid="{00000000-0005-0000-0000-000017070000}"/>
    <cellStyle name="40% - Accent6 2 3 4 3 2" xfId="22714" xr:uid="{3F9BE913-4472-454E-BD18-3186627E7CD1}"/>
    <cellStyle name="40% - Accent6 2 3 4 3 3" xfId="31148" xr:uid="{602BE8C5-F0A7-4F48-90EB-6357C8151C84}"/>
    <cellStyle name="40% - Accent6 2 3 4 3 4" xfId="14276" xr:uid="{CA17E82E-68CB-4C85-85CB-742856BA5B70}"/>
    <cellStyle name="40% - Accent6 2 3 4 4" xfId="18496" xr:uid="{3C18BD0D-1490-4EF1-9402-417B50F30166}"/>
    <cellStyle name="40% - Accent6 2 3 4 5" xfId="26931" xr:uid="{FECE1892-BDA1-4897-8DC5-14B140727374}"/>
    <cellStyle name="40% - Accent6 2 3 4 6" xfId="10058" xr:uid="{48DF4BFE-5339-4A01-A5F2-30B5FDD583FC}"/>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25272" xr:uid="{C430F654-3ABC-4023-B819-EA457E0D4742}"/>
    <cellStyle name="40% - Accent6 2 3 5 2 2 3" xfId="33706" xr:uid="{1B48854E-E485-4636-B7DD-94930EC19C96}"/>
    <cellStyle name="40% - Accent6 2 3 5 2 2 4" xfId="16834" xr:uid="{792E40AF-E493-46BC-B0B4-64ECEF163EB6}"/>
    <cellStyle name="40% - Accent6 2 3 5 2 3" xfId="21054" xr:uid="{AA01EE91-FD32-4D66-8D29-73E2F073B73D}"/>
    <cellStyle name="40% - Accent6 2 3 5 2 4" xfId="29489" xr:uid="{8A105BE9-844D-41C0-828B-7750E3FBE3E3}"/>
    <cellStyle name="40% - Accent6 2 3 5 2 5" xfId="12616" xr:uid="{615DB962-B217-4E79-9D24-5CEA95A7C48C}"/>
    <cellStyle name="40% - Accent6 2 3 5 3" xfId="6250" xr:uid="{00000000-0005-0000-0000-00001B070000}"/>
    <cellStyle name="40% - Accent6 2 3 5 3 2" xfId="23127" xr:uid="{3696A17A-9188-4E1F-B5C4-1EC26B316C04}"/>
    <cellStyle name="40% - Accent6 2 3 5 3 3" xfId="31561" xr:uid="{418C05A6-E9D2-4FB8-99F1-16EF680AB84B}"/>
    <cellStyle name="40% - Accent6 2 3 5 3 4" xfId="14689" xr:uid="{DB092A44-2124-40A3-9494-03D325D962C7}"/>
    <cellStyle name="40% - Accent6 2 3 5 4" xfId="18909" xr:uid="{539B2EFA-85A6-43CD-87B2-DAA186DB68AE}"/>
    <cellStyle name="40% - Accent6 2 3 5 5" xfId="27344" xr:uid="{54BDF08C-5EB6-46B4-B055-B3EED199ABE4}"/>
    <cellStyle name="40% - Accent6 2 3 5 6" xfId="10471" xr:uid="{F0A143A5-B4F9-4344-B32E-C46E608B406B}"/>
    <cellStyle name="40% - Accent6 2 3 6" xfId="2356" xr:uid="{00000000-0005-0000-0000-00001C070000}"/>
    <cellStyle name="40% - Accent6 2 3 6 2" xfId="6663" xr:uid="{00000000-0005-0000-0000-00001D070000}"/>
    <cellStyle name="40% - Accent6 2 3 6 2 2" xfId="23540" xr:uid="{862382FE-2565-46AE-9EC6-BF4DFD9C401E}"/>
    <cellStyle name="40% - Accent6 2 3 6 2 3" xfId="31974" xr:uid="{4BE58109-56C2-4439-9EF4-21919F2F8B46}"/>
    <cellStyle name="40% - Accent6 2 3 6 2 4" xfId="15102" xr:uid="{3FA1707C-56BF-4E44-BB3F-A79FC2D3F0E6}"/>
    <cellStyle name="40% - Accent6 2 3 6 3" xfId="19322" xr:uid="{86980AAB-04DF-4B69-8CD7-AEE01CE94AEB}"/>
    <cellStyle name="40% - Accent6 2 3 6 4" xfId="27757" xr:uid="{1554B89E-E764-415E-B3B7-81CCAA2556C8}"/>
    <cellStyle name="40% - Accent6 2 3 6 5" xfId="10884" xr:uid="{BBA22379-7A68-4540-8794-13E3F1C35907}"/>
    <cellStyle name="40% - Accent6 2 3 7" xfId="4597" xr:uid="{00000000-0005-0000-0000-00001E070000}"/>
    <cellStyle name="40% - Accent6 2 3 7 2" xfId="21474" xr:uid="{6F30AB22-E4C3-4BE8-893A-4B4E89ADA5CC}"/>
    <cellStyle name="40% - Accent6 2 3 7 3" xfId="29908" xr:uid="{481D0230-545A-4002-BE16-66E7BC660AB3}"/>
    <cellStyle name="40% - Accent6 2 3 7 4" xfId="13036" xr:uid="{24506195-D003-47F3-95EB-25AC532984EA}"/>
    <cellStyle name="40% - Accent6 2 3 8" xfId="17256" xr:uid="{643E3C1B-E492-47C1-B6CD-38BFA6B42E6C}"/>
    <cellStyle name="40% - Accent6 2 3 9" xfId="25691" xr:uid="{6AB4B9AA-1745-4BE9-A809-722C1FDF7D8D}"/>
    <cellStyle name="40% - Accent6 2 4" xfId="659" xr:uid="{00000000-0005-0000-0000-00001F070000}"/>
    <cellStyle name="40% - Accent6 2 4 2" xfId="2930" xr:uid="{00000000-0005-0000-0000-000020070000}"/>
    <cellStyle name="40% - Accent6 2 4 2 2" xfId="7153" xr:uid="{00000000-0005-0000-0000-000021070000}"/>
    <cellStyle name="40% - Accent6 2 4 2 2 2" xfId="24030" xr:uid="{8C2EFD6B-375D-4403-8DDA-113F579727C3}"/>
    <cellStyle name="40% - Accent6 2 4 2 2 3" xfId="32464" xr:uid="{1F0A9C6B-B24C-4317-A6F8-FE393D29D2B2}"/>
    <cellStyle name="40% - Accent6 2 4 2 2 4" xfId="15592" xr:uid="{EC79E8F4-4D49-4EF6-A4DC-F2090A6FBB9A}"/>
    <cellStyle name="40% - Accent6 2 4 2 3" xfId="19812" xr:uid="{5FBD231D-0BD6-496B-88B0-AE9152B14864}"/>
    <cellStyle name="40% - Accent6 2 4 2 4" xfId="28247" xr:uid="{5D852AF5-46CD-47EA-BB64-EED235D4DB94}"/>
    <cellStyle name="40% - Accent6 2 4 2 5" xfId="11374" xr:uid="{73009BE7-F2D2-4636-8889-A525F45BB133}"/>
    <cellStyle name="40% - Accent6 2 4 3" xfId="5008" xr:uid="{00000000-0005-0000-0000-000022070000}"/>
    <cellStyle name="40% - Accent6 2 4 3 2" xfId="21885" xr:uid="{EA89EBFE-C6B4-4F90-AAC2-B430776BC187}"/>
    <cellStyle name="40% - Accent6 2 4 3 3" xfId="30319" xr:uid="{D5679B45-5857-4C86-B223-00205FAA73FF}"/>
    <cellStyle name="40% - Accent6 2 4 3 4" xfId="13447" xr:uid="{B0D3A831-34BB-4CEA-BD05-6FDD21BA94D8}"/>
    <cellStyle name="40% - Accent6 2 4 4" xfId="17667" xr:uid="{A113647D-91C9-4BE3-946C-32D5EEBB65CA}"/>
    <cellStyle name="40% - Accent6 2 4 5" xfId="26102" xr:uid="{25F7246C-600C-4DE4-B51A-50FCEB2CAA4E}"/>
    <cellStyle name="40% - Accent6 2 4 6" xfId="9229" xr:uid="{A8F796A3-91D3-4C3A-92D3-2C63625F4EDB}"/>
    <cellStyle name="40% - Accent6 2 5" xfId="1112" xr:uid="{00000000-0005-0000-0000-000023070000}"/>
    <cellStyle name="40% - Accent6 2 5 2" xfId="3343" xr:uid="{00000000-0005-0000-0000-000024070000}"/>
    <cellStyle name="40% - Accent6 2 5 2 2" xfId="7566" xr:uid="{00000000-0005-0000-0000-000025070000}"/>
    <cellStyle name="40% - Accent6 2 5 2 2 2" xfId="24443" xr:uid="{598890A2-C864-4FB9-96CB-6C430FA0B11A}"/>
    <cellStyle name="40% - Accent6 2 5 2 2 3" xfId="32877" xr:uid="{70B59FDF-583F-4392-B90B-1A5815B1E156}"/>
    <cellStyle name="40% - Accent6 2 5 2 2 4" xfId="16005" xr:uid="{1854D802-564A-4031-B7F2-CDCAF6A21FE9}"/>
    <cellStyle name="40% - Accent6 2 5 2 3" xfId="20225" xr:uid="{C27D6A8C-2AF8-4181-82AE-0D3E24D9B4B1}"/>
    <cellStyle name="40% - Accent6 2 5 2 4" xfId="28660" xr:uid="{A2429473-DFC2-4E87-A3D7-9F79D82C57C6}"/>
    <cellStyle name="40% - Accent6 2 5 2 5" xfId="11787" xr:uid="{57901900-F09D-48B6-9DE9-8B696FBE5959}"/>
    <cellStyle name="40% - Accent6 2 5 3" xfId="5421" xr:uid="{00000000-0005-0000-0000-000026070000}"/>
    <cellStyle name="40% - Accent6 2 5 3 2" xfId="22298" xr:uid="{61B395A4-8AB7-4AC3-BF04-D952768A41AA}"/>
    <cellStyle name="40% - Accent6 2 5 3 3" xfId="30732" xr:uid="{3250EE38-3947-4514-81D2-3B45917894B2}"/>
    <cellStyle name="40% - Accent6 2 5 3 4" xfId="13860" xr:uid="{7A78DBB9-11C2-4A97-AF7A-27D786087887}"/>
    <cellStyle name="40% - Accent6 2 5 4" xfId="18080" xr:uid="{B58A2B2A-EF7B-4642-BB3A-2746E9C143B4}"/>
    <cellStyle name="40% - Accent6 2 5 5" xfId="26515" xr:uid="{56ED564C-4BF0-4982-8AE1-5986051F0FFD}"/>
    <cellStyle name="40% - Accent6 2 5 6" xfId="9642" xr:uid="{C4878748-049E-4459-AFC5-3DF4A3D1E9AA}"/>
    <cellStyle name="40% - Accent6 2 6" xfId="1526" xr:uid="{00000000-0005-0000-0000-000027070000}"/>
    <cellStyle name="40% - Accent6 2 6 2" xfId="3756" xr:uid="{00000000-0005-0000-0000-000028070000}"/>
    <cellStyle name="40% - Accent6 2 6 2 2" xfId="7979" xr:uid="{00000000-0005-0000-0000-000029070000}"/>
    <cellStyle name="40% - Accent6 2 6 2 2 2" xfId="24856" xr:uid="{BD72658B-F115-4B7B-B3BE-FB022A07833F}"/>
    <cellStyle name="40% - Accent6 2 6 2 2 3" xfId="33290" xr:uid="{1BEA1933-1E34-461E-ABA3-30AB42115EF6}"/>
    <cellStyle name="40% - Accent6 2 6 2 2 4" xfId="16418" xr:uid="{51DC1A05-5FCE-4BA0-A2EC-7D5E11963C74}"/>
    <cellStyle name="40% - Accent6 2 6 2 3" xfId="20638" xr:uid="{8A2D6D24-CC24-40DC-A14D-FE82854947F1}"/>
    <cellStyle name="40% - Accent6 2 6 2 4" xfId="29073" xr:uid="{6CBCE802-A094-4A84-93CB-986E8E419C83}"/>
    <cellStyle name="40% - Accent6 2 6 2 5" xfId="12200" xr:uid="{C0504665-002B-438F-BF05-1C0636253059}"/>
    <cellStyle name="40% - Accent6 2 6 3" xfId="5834" xr:uid="{00000000-0005-0000-0000-00002A070000}"/>
    <cellStyle name="40% - Accent6 2 6 3 2" xfId="22711" xr:uid="{344C1079-BA91-46CC-83C3-27A7E1EE5D11}"/>
    <cellStyle name="40% - Accent6 2 6 3 3" xfId="31145" xr:uid="{D7B158B5-D432-437C-ABB6-C980418C4901}"/>
    <cellStyle name="40% - Accent6 2 6 3 4" xfId="14273" xr:uid="{47AB8705-B97A-43C2-8EA2-3778F85E6190}"/>
    <cellStyle name="40% - Accent6 2 6 4" xfId="18493" xr:uid="{79C941A6-9E1F-48B4-9E96-9AD067AE9891}"/>
    <cellStyle name="40% - Accent6 2 6 5" xfId="26928" xr:uid="{F12631DB-C1F0-4B61-A55C-50338C42C2BD}"/>
    <cellStyle name="40% - Accent6 2 6 6" xfId="10055" xr:uid="{9E76921C-51F8-46DC-894C-434DD91DFD2F}"/>
    <cellStyle name="40% - Accent6 2 7" xfId="1940" xr:uid="{00000000-0005-0000-0000-00002B070000}"/>
    <cellStyle name="40% - Accent6 2 7 2" xfId="4169" xr:uid="{00000000-0005-0000-0000-00002C070000}"/>
    <cellStyle name="40% - Accent6 2 7 2 2" xfId="8392" xr:uid="{00000000-0005-0000-0000-00002D070000}"/>
    <cellStyle name="40% - Accent6 2 7 2 2 2" xfId="25269" xr:uid="{180ACD68-F2B8-4B55-A45A-EE450ED26F78}"/>
    <cellStyle name="40% - Accent6 2 7 2 2 3" xfId="33703" xr:uid="{2E3BC35D-6E3F-47D1-9C18-BCDF305DFC92}"/>
    <cellStyle name="40% - Accent6 2 7 2 2 4" xfId="16831" xr:uid="{EF1DE96A-6621-4A50-823D-2F2CAD6FD89D}"/>
    <cellStyle name="40% - Accent6 2 7 2 3" xfId="21051" xr:uid="{3146DC49-8644-4FE9-8BCA-2C360260ED15}"/>
    <cellStyle name="40% - Accent6 2 7 2 4" xfId="29486" xr:uid="{5B927372-2F35-4DE9-88E7-FB3A9CFE5604}"/>
    <cellStyle name="40% - Accent6 2 7 2 5" xfId="12613" xr:uid="{8A9870B0-D0A7-4EA5-8590-FB4E95D59D60}"/>
    <cellStyle name="40% - Accent6 2 7 3" xfId="6247" xr:uid="{00000000-0005-0000-0000-00002E070000}"/>
    <cellStyle name="40% - Accent6 2 7 3 2" xfId="23124" xr:uid="{33E3349F-3074-438A-B343-12B6414FBD7E}"/>
    <cellStyle name="40% - Accent6 2 7 3 3" xfId="31558" xr:uid="{2F18C6F5-8C1B-46B6-9A41-0F6055735C69}"/>
    <cellStyle name="40% - Accent6 2 7 3 4" xfId="14686" xr:uid="{DB68E81D-929D-4F0E-A1BC-86F285426938}"/>
    <cellStyle name="40% - Accent6 2 7 4" xfId="18906" xr:uid="{73F302D1-83C0-441A-835F-611DE24B7478}"/>
    <cellStyle name="40% - Accent6 2 7 5" xfId="27341" xr:uid="{23EB4D28-2C5A-4DA7-8CDC-04A453267E21}"/>
    <cellStyle name="40% - Accent6 2 7 6" xfId="10468" xr:uid="{C9FD2B1C-0FA9-43DA-A258-289F95FF9D74}"/>
    <cellStyle name="40% - Accent6 2 8" xfId="2353" xr:uid="{00000000-0005-0000-0000-00002F070000}"/>
    <cellStyle name="40% - Accent6 2 8 2" xfId="6660" xr:uid="{00000000-0005-0000-0000-000030070000}"/>
    <cellStyle name="40% - Accent6 2 8 2 2" xfId="23537" xr:uid="{CC41CF32-7CBB-4E23-AC3B-2BA9F6D9225C}"/>
    <cellStyle name="40% - Accent6 2 8 2 3" xfId="31971" xr:uid="{C14B6CB0-4911-413C-A7F9-E734B7A3FDFC}"/>
    <cellStyle name="40% - Accent6 2 8 2 4" xfId="15099" xr:uid="{B07432B8-F910-4E89-BC2E-57B28A9720EE}"/>
    <cellStyle name="40% - Accent6 2 8 3" xfId="19319" xr:uid="{321A8847-8555-427C-883B-DF983B23C7CD}"/>
    <cellStyle name="40% - Accent6 2 8 4" xfId="27754" xr:uid="{76584BF0-90BB-4B86-93D2-1E5AB980F133}"/>
    <cellStyle name="40% - Accent6 2 8 5" xfId="10881" xr:uid="{C6389C93-4335-4F0E-B25D-24C55DDE06B1}"/>
    <cellStyle name="40% - Accent6 2 9" xfId="4594" xr:uid="{00000000-0005-0000-0000-000031070000}"/>
    <cellStyle name="40% - Accent6 2 9 2" xfId="21471" xr:uid="{648C2753-44E4-4867-A84D-DC0369BE7734}"/>
    <cellStyle name="40% - Accent6 2 9 3" xfId="29905" xr:uid="{A2891F0B-7434-4D40-A360-77AD78BC53B5}"/>
    <cellStyle name="40% - Accent6 2 9 4" xfId="13033" xr:uid="{468E5A78-6109-47EF-94F4-92A6FC663B84}"/>
    <cellStyle name="40% - Accent6 3" xfId="94" xr:uid="{00000000-0005-0000-0000-000032070000}"/>
    <cellStyle name="40% - Accent6 3 10" xfId="25692" xr:uid="{C1C6A652-96D2-4C2D-B3E9-EE3B02C8E1E8}"/>
    <cellStyle name="40% - Accent6 3 11" xfId="8819" xr:uid="{E4794232-FF0F-49F3-8EA9-69D5D75E84AA}"/>
    <cellStyle name="40% - Accent6 3 2" xfId="95" xr:uid="{00000000-0005-0000-0000-000033070000}"/>
    <cellStyle name="40% - Accent6 3 2 10" xfId="8820" xr:uid="{E6A88D05-C7EA-4DA5-9179-AC7F63FC1EA8}"/>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24035" xr:uid="{D3AB73EE-5178-42C7-B55B-AD1189DE9696}"/>
    <cellStyle name="40% - Accent6 3 2 2 2 2 3" xfId="32469" xr:uid="{EDCACC95-C5C7-41F9-9B2C-C31AF527A4F5}"/>
    <cellStyle name="40% - Accent6 3 2 2 2 2 4" xfId="15597" xr:uid="{32FCF0C3-C105-411B-9A99-4BC8E888709F}"/>
    <cellStyle name="40% - Accent6 3 2 2 2 3" xfId="19817" xr:uid="{1791DD5F-4CA0-4ED8-8A63-915847E3ABB6}"/>
    <cellStyle name="40% - Accent6 3 2 2 2 4" xfId="28252" xr:uid="{E48BB782-AA09-4FB0-9379-F75B333AB51E}"/>
    <cellStyle name="40% - Accent6 3 2 2 2 5" xfId="11379" xr:uid="{6529BE40-C5D0-4E81-AC3E-D286F5B7A781}"/>
    <cellStyle name="40% - Accent6 3 2 2 3" xfId="5013" xr:uid="{00000000-0005-0000-0000-000037070000}"/>
    <cellStyle name="40% - Accent6 3 2 2 3 2" xfId="21890" xr:uid="{19139FA7-9986-496D-90BB-71B62CCB1074}"/>
    <cellStyle name="40% - Accent6 3 2 2 3 3" xfId="30324" xr:uid="{70BFB8D5-6C32-4C3F-9675-9341025D73EF}"/>
    <cellStyle name="40% - Accent6 3 2 2 3 4" xfId="13452" xr:uid="{1A7E7714-5040-4CDA-B238-897B20CAA430}"/>
    <cellStyle name="40% - Accent6 3 2 2 4" xfId="17672" xr:uid="{45FF37CD-9C80-47B8-9F58-2EC1397A594D}"/>
    <cellStyle name="40% - Accent6 3 2 2 5" xfId="26107" xr:uid="{06878CBF-D53C-4626-8FB6-AA57D49797FA}"/>
    <cellStyle name="40% - Accent6 3 2 2 6" xfId="9234" xr:uid="{7074EFD6-C54C-4C7F-BC6C-E8F63D24E380}"/>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24448" xr:uid="{172A4158-69C3-495C-8DFD-AA97FDB7C899}"/>
    <cellStyle name="40% - Accent6 3 2 3 2 2 3" xfId="32882" xr:uid="{731354A3-78ED-453C-B057-E57552344C45}"/>
    <cellStyle name="40% - Accent6 3 2 3 2 2 4" xfId="16010" xr:uid="{FA18DE71-6B22-491D-A156-20E60B6ADD06}"/>
    <cellStyle name="40% - Accent6 3 2 3 2 3" xfId="20230" xr:uid="{57BF49AA-B2F3-4ED7-89C3-751C63653BAE}"/>
    <cellStyle name="40% - Accent6 3 2 3 2 4" xfId="28665" xr:uid="{C04E017B-27F1-45BD-920C-EA2A6B5BEE85}"/>
    <cellStyle name="40% - Accent6 3 2 3 2 5" xfId="11792" xr:uid="{4B00C2BB-17C4-4120-98A3-550FAC72F72F}"/>
    <cellStyle name="40% - Accent6 3 2 3 3" xfId="5426" xr:uid="{00000000-0005-0000-0000-00003B070000}"/>
    <cellStyle name="40% - Accent6 3 2 3 3 2" xfId="22303" xr:uid="{5514A186-3B36-4671-91AB-8BF7E092284E}"/>
    <cellStyle name="40% - Accent6 3 2 3 3 3" xfId="30737" xr:uid="{6BE3D5E6-4BB2-44BF-BD5B-64C5BE390E74}"/>
    <cellStyle name="40% - Accent6 3 2 3 3 4" xfId="13865" xr:uid="{82CB5A75-9EB8-4680-92E0-F9B7BE24374F}"/>
    <cellStyle name="40% - Accent6 3 2 3 4" xfId="18085" xr:uid="{053F7F6E-2A24-4E78-A19C-BAEF26DED7C2}"/>
    <cellStyle name="40% - Accent6 3 2 3 5" xfId="26520" xr:uid="{DBBE109B-11E3-4F7C-8A7E-6358D760E3E4}"/>
    <cellStyle name="40% - Accent6 3 2 3 6" xfId="9647" xr:uid="{CA7710F4-89EC-48C5-A3D6-3396523BB317}"/>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24861" xr:uid="{55D7F329-0793-436F-BFE1-18CA19A87876}"/>
    <cellStyle name="40% - Accent6 3 2 4 2 2 3" xfId="33295" xr:uid="{746EA0B4-BE89-48A6-8B52-1CA806A44B6A}"/>
    <cellStyle name="40% - Accent6 3 2 4 2 2 4" xfId="16423" xr:uid="{2A10B33A-D4D7-4E28-90F5-37046EAE5AFE}"/>
    <cellStyle name="40% - Accent6 3 2 4 2 3" xfId="20643" xr:uid="{8D2DDA98-64D3-4852-9EB3-0467AA5F983E}"/>
    <cellStyle name="40% - Accent6 3 2 4 2 4" xfId="29078" xr:uid="{AB27A159-1295-497C-8712-1E7C28E11A0C}"/>
    <cellStyle name="40% - Accent6 3 2 4 2 5" xfId="12205" xr:uid="{8E5A43E4-4D60-41C8-898B-3D506F911A2B}"/>
    <cellStyle name="40% - Accent6 3 2 4 3" xfId="5839" xr:uid="{00000000-0005-0000-0000-00003F070000}"/>
    <cellStyle name="40% - Accent6 3 2 4 3 2" xfId="22716" xr:uid="{9737C6A4-CFEA-4045-9274-DA5A6D002C4A}"/>
    <cellStyle name="40% - Accent6 3 2 4 3 3" xfId="31150" xr:uid="{33428B80-49C2-41D9-9298-14C92E78DDB9}"/>
    <cellStyle name="40% - Accent6 3 2 4 3 4" xfId="14278" xr:uid="{73DCB2E1-9409-4735-B3ED-E48999F3E79C}"/>
    <cellStyle name="40% - Accent6 3 2 4 4" xfId="18498" xr:uid="{F4DB787E-208B-42AF-ABE6-B8C54FFEA0A7}"/>
    <cellStyle name="40% - Accent6 3 2 4 5" xfId="26933" xr:uid="{B2FC3743-0144-448C-A72C-C819D507A50C}"/>
    <cellStyle name="40% - Accent6 3 2 4 6" xfId="10060" xr:uid="{6AFD5734-BE25-4C47-9889-321B0ADB6E18}"/>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25274" xr:uid="{1C02520A-158F-4CC2-BD18-F51142FB8892}"/>
    <cellStyle name="40% - Accent6 3 2 5 2 2 3" xfId="33708" xr:uid="{D511EA54-3A23-4D9F-875C-5E76CCE4C8F4}"/>
    <cellStyle name="40% - Accent6 3 2 5 2 2 4" xfId="16836" xr:uid="{8EF288F6-3839-4B32-8875-9E1A5A930C1D}"/>
    <cellStyle name="40% - Accent6 3 2 5 2 3" xfId="21056" xr:uid="{B2730209-B3D9-4A93-ADC2-425EEFF73477}"/>
    <cellStyle name="40% - Accent6 3 2 5 2 4" xfId="29491" xr:uid="{43A02C8E-385C-48BA-9D7C-278B1091AF0E}"/>
    <cellStyle name="40% - Accent6 3 2 5 2 5" xfId="12618" xr:uid="{839D14D7-B55F-41B0-B85A-7DD8BE98C9DC}"/>
    <cellStyle name="40% - Accent6 3 2 5 3" xfId="6252" xr:uid="{00000000-0005-0000-0000-000043070000}"/>
    <cellStyle name="40% - Accent6 3 2 5 3 2" xfId="23129" xr:uid="{68CB41A3-C238-4A86-85E3-3A306321264D}"/>
    <cellStyle name="40% - Accent6 3 2 5 3 3" xfId="31563" xr:uid="{EEF44F9D-0021-4BF5-9E7E-17949D8574FD}"/>
    <cellStyle name="40% - Accent6 3 2 5 3 4" xfId="14691" xr:uid="{C328EC90-306D-4572-83E6-53749DF89072}"/>
    <cellStyle name="40% - Accent6 3 2 5 4" xfId="18911" xr:uid="{212CCCDB-BBF4-48B8-A94B-B25A22B9ADB3}"/>
    <cellStyle name="40% - Accent6 3 2 5 5" xfId="27346" xr:uid="{5CCB2B68-E6CE-46A6-8695-8DF5B676BDF8}"/>
    <cellStyle name="40% - Accent6 3 2 5 6" xfId="10473" xr:uid="{DEACC3D2-F19B-48F6-9B6B-E0BE9BF4671B}"/>
    <cellStyle name="40% - Accent6 3 2 6" xfId="2358" xr:uid="{00000000-0005-0000-0000-000044070000}"/>
    <cellStyle name="40% - Accent6 3 2 6 2" xfId="6665" xr:uid="{00000000-0005-0000-0000-000045070000}"/>
    <cellStyle name="40% - Accent6 3 2 6 2 2" xfId="23542" xr:uid="{038D99CB-4F80-4324-922D-9A2EF6572950}"/>
    <cellStyle name="40% - Accent6 3 2 6 2 3" xfId="31976" xr:uid="{48213B3F-F661-4960-9CAF-0202480BB70B}"/>
    <cellStyle name="40% - Accent6 3 2 6 2 4" xfId="15104" xr:uid="{3FBFA821-CFFD-4BD1-8876-229053C5BE28}"/>
    <cellStyle name="40% - Accent6 3 2 6 3" xfId="19324" xr:uid="{A1B2AA90-F633-4DF9-ACEF-CE306EAB851B}"/>
    <cellStyle name="40% - Accent6 3 2 6 4" xfId="27759" xr:uid="{5A2CC661-DE2A-4647-B55C-F3E93B42000F}"/>
    <cellStyle name="40% - Accent6 3 2 6 5" xfId="10886" xr:uid="{3CCDB878-845F-45D2-87CA-3A09AD0D6226}"/>
    <cellStyle name="40% - Accent6 3 2 7" xfId="4599" xr:uid="{00000000-0005-0000-0000-000046070000}"/>
    <cellStyle name="40% - Accent6 3 2 7 2" xfId="21476" xr:uid="{B1FD48C1-4258-419D-ACE7-0F5690C67C30}"/>
    <cellStyle name="40% - Accent6 3 2 7 3" xfId="29910" xr:uid="{F58ECA93-3455-413E-8782-6EEED77CEBEB}"/>
    <cellStyle name="40% - Accent6 3 2 7 4" xfId="13038" xr:uid="{A8ABB8B8-2F2B-4CAB-9DDB-B22B5100C331}"/>
    <cellStyle name="40% - Accent6 3 2 8" xfId="17258" xr:uid="{F797C484-8FB9-4027-A375-F8A3F3BC9FB6}"/>
    <cellStyle name="40% - Accent6 3 2 9" xfId="25693" xr:uid="{57BB8916-DB87-4032-99A1-C25CDD397472}"/>
    <cellStyle name="40% - Accent6 3 3" xfId="663" xr:uid="{00000000-0005-0000-0000-000047070000}"/>
    <cellStyle name="40% - Accent6 3 3 2" xfId="2934" xr:uid="{00000000-0005-0000-0000-000048070000}"/>
    <cellStyle name="40% - Accent6 3 3 2 2" xfId="7157" xr:uid="{00000000-0005-0000-0000-000049070000}"/>
    <cellStyle name="40% - Accent6 3 3 2 2 2" xfId="24034" xr:uid="{BE8AF736-22B6-4EAE-ACD5-8500E27A8D7D}"/>
    <cellStyle name="40% - Accent6 3 3 2 2 3" xfId="32468" xr:uid="{F686A11C-D533-4FCE-BEC1-B930128C6AD4}"/>
    <cellStyle name="40% - Accent6 3 3 2 2 4" xfId="15596" xr:uid="{1505798F-9804-484C-B7F2-319060771A55}"/>
    <cellStyle name="40% - Accent6 3 3 2 3" xfId="19816" xr:uid="{8E33B8E6-44A6-4DD4-B726-C80965D03796}"/>
    <cellStyle name="40% - Accent6 3 3 2 4" xfId="28251" xr:uid="{0A1A54CC-CC78-4A40-9127-8316B6B2F02C}"/>
    <cellStyle name="40% - Accent6 3 3 2 5" xfId="11378" xr:uid="{224EFEF4-92EF-4F71-B6CF-1038C818649A}"/>
    <cellStyle name="40% - Accent6 3 3 3" xfId="5012" xr:uid="{00000000-0005-0000-0000-00004A070000}"/>
    <cellStyle name="40% - Accent6 3 3 3 2" xfId="21889" xr:uid="{02761942-B1C7-4DB8-9963-3DBA4BA7D3BD}"/>
    <cellStyle name="40% - Accent6 3 3 3 3" xfId="30323" xr:uid="{E1492B46-AC37-46C3-9F8B-B0047A5FB4B9}"/>
    <cellStyle name="40% - Accent6 3 3 3 4" xfId="13451" xr:uid="{F7595CA7-8904-4941-8011-25E5DEA352B6}"/>
    <cellStyle name="40% - Accent6 3 3 4" xfId="17671" xr:uid="{4CA5BB42-960D-4C15-A1F8-A22C056FA5BC}"/>
    <cellStyle name="40% - Accent6 3 3 5" xfId="26106" xr:uid="{0DDBE4CE-30F9-49F9-9AF6-F67E720D91DD}"/>
    <cellStyle name="40% - Accent6 3 3 6" xfId="9233" xr:uid="{DB9DF3E9-31C1-43E5-9C04-FCEBB8122457}"/>
    <cellStyle name="40% - Accent6 3 4" xfId="1116" xr:uid="{00000000-0005-0000-0000-00004B070000}"/>
    <cellStyle name="40% - Accent6 3 4 2" xfId="3347" xr:uid="{00000000-0005-0000-0000-00004C070000}"/>
    <cellStyle name="40% - Accent6 3 4 2 2" xfId="7570" xr:uid="{00000000-0005-0000-0000-00004D070000}"/>
    <cellStyle name="40% - Accent6 3 4 2 2 2" xfId="24447" xr:uid="{A2EB9CE9-94D7-4DBB-9309-B05371DB56F3}"/>
    <cellStyle name="40% - Accent6 3 4 2 2 3" xfId="32881" xr:uid="{6024B546-82A4-45DF-BBE8-61CA833876A0}"/>
    <cellStyle name="40% - Accent6 3 4 2 2 4" xfId="16009" xr:uid="{6BB4E30C-9D22-450F-9DEF-6124B76ED103}"/>
    <cellStyle name="40% - Accent6 3 4 2 3" xfId="20229" xr:uid="{D998C719-3C2B-4712-885C-2DB0180755F1}"/>
    <cellStyle name="40% - Accent6 3 4 2 4" xfId="28664" xr:uid="{E626859B-8F31-4168-BF97-017A49455EAD}"/>
    <cellStyle name="40% - Accent6 3 4 2 5" xfId="11791" xr:uid="{C9F438C3-D2E4-4B2E-9199-01C99366ECAA}"/>
    <cellStyle name="40% - Accent6 3 4 3" xfId="5425" xr:uid="{00000000-0005-0000-0000-00004E070000}"/>
    <cellStyle name="40% - Accent6 3 4 3 2" xfId="22302" xr:uid="{2FF5AFB6-08EF-4324-A489-E7E565C11260}"/>
    <cellStyle name="40% - Accent6 3 4 3 3" xfId="30736" xr:uid="{90E6C1CD-1296-40C2-9CC4-423879AACEE3}"/>
    <cellStyle name="40% - Accent6 3 4 3 4" xfId="13864" xr:uid="{15370F01-56E1-482E-99C2-22F27CE30B03}"/>
    <cellStyle name="40% - Accent6 3 4 4" xfId="18084" xr:uid="{B5EF3E97-1AA7-43D9-A34D-40B9E20CED61}"/>
    <cellStyle name="40% - Accent6 3 4 5" xfId="26519" xr:uid="{E8AFADC1-0657-4C19-A54A-BFDA01DF5C89}"/>
    <cellStyle name="40% - Accent6 3 4 6" xfId="9646" xr:uid="{885EBD2D-B507-4B87-8F75-697CEDB70689}"/>
    <cellStyle name="40% - Accent6 3 5" xfId="1530" xr:uid="{00000000-0005-0000-0000-00004F070000}"/>
    <cellStyle name="40% - Accent6 3 5 2" xfId="3760" xr:uid="{00000000-0005-0000-0000-000050070000}"/>
    <cellStyle name="40% - Accent6 3 5 2 2" xfId="7983" xr:uid="{00000000-0005-0000-0000-000051070000}"/>
    <cellStyle name="40% - Accent6 3 5 2 2 2" xfId="24860" xr:uid="{F3A77BD2-825D-4BC2-A147-FE8520B70D8B}"/>
    <cellStyle name="40% - Accent6 3 5 2 2 3" xfId="33294" xr:uid="{167A75FD-8C54-4E2D-9FA0-CBC0D74B09F3}"/>
    <cellStyle name="40% - Accent6 3 5 2 2 4" xfId="16422" xr:uid="{5BD5B913-69A0-4447-93C7-DE1C91611DBC}"/>
    <cellStyle name="40% - Accent6 3 5 2 3" xfId="20642" xr:uid="{3B17F6B8-3AE5-4D09-8BDD-843D59184343}"/>
    <cellStyle name="40% - Accent6 3 5 2 4" xfId="29077" xr:uid="{DB351F15-F1B5-4835-AE20-F5934427C0DE}"/>
    <cellStyle name="40% - Accent6 3 5 2 5" xfId="12204" xr:uid="{57D60A48-A9B3-48BD-9E11-5B5191204487}"/>
    <cellStyle name="40% - Accent6 3 5 3" xfId="5838" xr:uid="{00000000-0005-0000-0000-000052070000}"/>
    <cellStyle name="40% - Accent6 3 5 3 2" xfId="22715" xr:uid="{A7D7BDF9-9FDE-4D8E-B334-4AD1A54C631A}"/>
    <cellStyle name="40% - Accent6 3 5 3 3" xfId="31149" xr:uid="{548BCBBD-DF00-48CC-BA5C-1FE22E0C9ACF}"/>
    <cellStyle name="40% - Accent6 3 5 3 4" xfId="14277" xr:uid="{D2B28B96-9497-4C33-AFD6-894A1F6B6EC1}"/>
    <cellStyle name="40% - Accent6 3 5 4" xfId="18497" xr:uid="{B0A0C38E-AD24-4872-8A70-2CD42E325BBA}"/>
    <cellStyle name="40% - Accent6 3 5 5" xfId="26932" xr:uid="{34DAA8AB-284A-42B6-9E0C-CB5E0A131C13}"/>
    <cellStyle name="40% - Accent6 3 5 6" xfId="10059" xr:uid="{8C27359C-7E6C-420A-89A4-3F19DF1CCAD3}"/>
    <cellStyle name="40% - Accent6 3 6" xfId="1944" xr:uid="{00000000-0005-0000-0000-000053070000}"/>
    <cellStyle name="40% - Accent6 3 6 2" xfId="4173" xr:uid="{00000000-0005-0000-0000-000054070000}"/>
    <cellStyle name="40% - Accent6 3 6 2 2" xfId="8396" xr:uid="{00000000-0005-0000-0000-000055070000}"/>
    <cellStyle name="40% - Accent6 3 6 2 2 2" xfId="25273" xr:uid="{A270F5DE-587D-45EA-BE42-0B4398D4643C}"/>
    <cellStyle name="40% - Accent6 3 6 2 2 3" xfId="33707" xr:uid="{CC9F4C38-8E42-4450-AA95-506344367B22}"/>
    <cellStyle name="40% - Accent6 3 6 2 2 4" xfId="16835" xr:uid="{090A1E8F-0F76-430C-823E-45A182BD742C}"/>
    <cellStyle name="40% - Accent6 3 6 2 3" xfId="21055" xr:uid="{3E756F5A-E31C-43DF-BBBD-4814AD164C61}"/>
    <cellStyle name="40% - Accent6 3 6 2 4" xfId="29490" xr:uid="{B26137CA-3D2C-48AB-A67D-ECDCF3E969C2}"/>
    <cellStyle name="40% - Accent6 3 6 2 5" xfId="12617" xr:uid="{60E49CD8-96D7-40F2-B907-074A3406770B}"/>
    <cellStyle name="40% - Accent6 3 6 3" xfId="6251" xr:uid="{00000000-0005-0000-0000-000056070000}"/>
    <cellStyle name="40% - Accent6 3 6 3 2" xfId="23128" xr:uid="{3E9A0E0A-165D-4A26-8A9C-BA9313AA1555}"/>
    <cellStyle name="40% - Accent6 3 6 3 3" xfId="31562" xr:uid="{8CA534DF-F8ED-4C4C-A0C3-F122B75F8A4B}"/>
    <cellStyle name="40% - Accent6 3 6 3 4" xfId="14690" xr:uid="{47C7FA9A-2B8D-4E3F-839A-43E21AA9E583}"/>
    <cellStyle name="40% - Accent6 3 6 4" xfId="18910" xr:uid="{A46D83C6-4AB1-4739-9D33-A34594CD42E7}"/>
    <cellStyle name="40% - Accent6 3 6 5" xfId="27345" xr:uid="{743C2D28-5270-44CD-A1DC-1CF983A26A7D}"/>
    <cellStyle name="40% - Accent6 3 6 6" xfId="10472" xr:uid="{847783F1-DB06-426D-AADB-6A4B88442707}"/>
    <cellStyle name="40% - Accent6 3 7" xfId="2357" xr:uid="{00000000-0005-0000-0000-000057070000}"/>
    <cellStyle name="40% - Accent6 3 7 2" xfId="6664" xr:uid="{00000000-0005-0000-0000-000058070000}"/>
    <cellStyle name="40% - Accent6 3 7 2 2" xfId="23541" xr:uid="{C6B4F3E6-B0F9-4139-ACBD-7A6F7D77A98B}"/>
    <cellStyle name="40% - Accent6 3 7 2 3" xfId="31975" xr:uid="{96B5D39C-05E4-47E2-B094-F6EC49724D17}"/>
    <cellStyle name="40% - Accent6 3 7 2 4" xfId="15103" xr:uid="{24E1990D-A893-4C5F-B663-ED1BE6C72C15}"/>
    <cellStyle name="40% - Accent6 3 7 3" xfId="19323" xr:uid="{2C4A5774-0170-4033-ADC7-E31F57F5A62F}"/>
    <cellStyle name="40% - Accent6 3 7 4" xfId="27758" xr:uid="{7B99A411-A6A4-4721-B1A6-BBD72D9E7E45}"/>
    <cellStyle name="40% - Accent6 3 7 5" xfId="10885" xr:uid="{88F56F58-D253-4B42-AE10-5CD64935D3F6}"/>
    <cellStyle name="40% - Accent6 3 8" xfId="4598" xr:uid="{00000000-0005-0000-0000-000059070000}"/>
    <cellStyle name="40% - Accent6 3 8 2" xfId="21475" xr:uid="{725E6AC7-A752-442A-924E-5B65B4052D34}"/>
    <cellStyle name="40% - Accent6 3 8 3" xfId="29909" xr:uid="{E7735056-CEF8-48F5-84EE-CC9A64D06B8B}"/>
    <cellStyle name="40% - Accent6 3 8 4" xfId="13037" xr:uid="{4C537E4F-7672-45E1-9364-46DF7B7372A9}"/>
    <cellStyle name="40% - Accent6 3 9" xfId="17257" xr:uid="{A6A4B1FA-7E99-474F-A399-4ACA5408E52C}"/>
    <cellStyle name="40% - Accent6 4" xfId="96" xr:uid="{00000000-0005-0000-0000-00005A070000}"/>
    <cellStyle name="40% - Accent6 4 10" xfId="8821" xr:uid="{36C4FEB6-D919-4626-9141-7B4009DB462C}"/>
    <cellStyle name="40% - Accent6 4 2" xfId="665" xr:uid="{00000000-0005-0000-0000-00005B070000}"/>
    <cellStyle name="40% - Accent6 4 2 2" xfId="2936" xr:uid="{00000000-0005-0000-0000-00005C070000}"/>
    <cellStyle name="40% - Accent6 4 2 2 2" xfId="7159" xr:uid="{00000000-0005-0000-0000-00005D070000}"/>
    <cellStyle name="40% - Accent6 4 2 2 2 2" xfId="24036" xr:uid="{C8F8EC89-61AD-44A4-BFA5-03F0D3CFB021}"/>
    <cellStyle name="40% - Accent6 4 2 2 2 3" xfId="32470" xr:uid="{71E07E9B-68A2-4AD7-A0CA-F3E25C0215BF}"/>
    <cellStyle name="40% - Accent6 4 2 2 2 4" xfId="15598" xr:uid="{08F3260E-988F-4CC0-A773-714AD6D45494}"/>
    <cellStyle name="40% - Accent6 4 2 2 3" xfId="19818" xr:uid="{911774B1-4330-41D7-BD3B-6EB86119C409}"/>
    <cellStyle name="40% - Accent6 4 2 2 4" xfId="28253" xr:uid="{A86E46C2-A863-4E46-B10C-64CED20EE54A}"/>
    <cellStyle name="40% - Accent6 4 2 2 5" xfId="11380" xr:uid="{215A2D6A-73C7-4477-A020-5263DCAC80C3}"/>
    <cellStyle name="40% - Accent6 4 2 3" xfId="5014" xr:uid="{00000000-0005-0000-0000-00005E070000}"/>
    <cellStyle name="40% - Accent6 4 2 3 2" xfId="21891" xr:uid="{0E06D6E1-094C-44AD-8A93-B3AAC9B654F1}"/>
    <cellStyle name="40% - Accent6 4 2 3 3" xfId="30325" xr:uid="{8EF90AD0-CB7F-4CA4-92B7-16F2E92D42A8}"/>
    <cellStyle name="40% - Accent6 4 2 3 4" xfId="13453" xr:uid="{3AFF274D-B0C5-4D24-98A1-4C3A62CE183E}"/>
    <cellStyle name="40% - Accent6 4 2 4" xfId="17673" xr:uid="{E7764CF3-BA7F-495C-AD81-73A0774846FE}"/>
    <cellStyle name="40% - Accent6 4 2 5" xfId="26108" xr:uid="{E59E1710-0672-4CDC-A8ED-7A166BEF4016}"/>
    <cellStyle name="40% - Accent6 4 2 6" xfId="9235" xr:uid="{B488581C-0342-4576-9DCC-EA3AFE616D86}"/>
    <cellStyle name="40% - Accent6 4 3" xfId="1118" xr:uid="{00000000-0005-0000-0000-00005F070000}"/>
    <cellStyle name="40% - Accent6 4 3 2" xfId="3349" xr:uid="{00000000-0005-0000-0000-000060070000}"/>
    <cellStyle name="40% - Accent6 4 3 2 2" xfId="7572" xr:uid="{00000000-0005-0000-0000-000061070000}"/>
    <cellStyle name="40% - Accent6 4 3 2 2 2" xfId="24449" xr:uid="{BC489D20-F8A4-4C8E-855E-2418B6671582}"/>
    <cellStyle name="40% - Accent6 4 3 2 2 3" xfId="32883" xr:uid="{15EDEAAB-83DB-43C5-861E-F852D949807E}"/>
    <cellStyle name="40% - Accent6 4 3 2 2 4" xfId="16011" xr:uid="{1893D18E-EEF4-4BA9-8AF5-335AC245C55E}"/>
    <cellStyle name="40% - Accent6 4 3 2 3" xfId="20231" xr:uid="{0F2BA08B-B375-45BF-B88F-1AAA9101F760}"/>
    <cellStyle name="40% - Accent6 4 3 2 4" xfId="28666" xr:uid="{D2B945B8-A7DB-409A-88B5-888B1288A3F5}"/>
    <cellStyle name="40% - Accent6 4 3 2 5" xfId="11793" xr:uid="{D48769FD-93E9-4ECD-B817-71FC97CDA6B6}"/>
    <cellStyle name="40% - Accent6 4 3 3" xfId="5427" xr:uid="{00000000-0005-0000-0000-000062070000}"/>
    <cellStyle name="40% - Accent6 4 3 3 2" xfId="22304" xr:uid="{66498EDA-950B-4DC5-8A92-FF106E0C7BAD}"/>
    <cellStyle name="40% - Accent6 4 3 3 3" xfId="30738" xr:uid="{4AA0EF42-D9BB-41B5-8472-ED00E1C88495}"/>
    <cellStyle name="40% - Accent6 4 3 3 4" xfId="13866" xr:uid="{136B5212-89C2-4347-B605-34BE9F131EE2}"/>
    <cellStyle name="40% - Accent6 4 3 4" xfId="18086" xr:uid="{4F8964A5-4316-42DF-A6EC-9D23682BC0C4}"/>
    <cellStyle name="40% - Accent6 4 3 5" xfId="26521" xr:uid="{41296AD9-42C0-461E-BA05-DEA6011584CC}"/>
    <cellStyle name="40% - Accent6 4 3 6" xfId="9648" xr:uid="{8E3388CF-FFAB-41BC-8CD8-2DD6D615F091}"/>
    <cellStyle name="40% - Accent6 4 4" xfId="1532" xr:uid="{00000000-0005-0000-0000-000063070000}"/>
    <cellStyle name="40% - Accent6 4 4 2" xfId="3762" xr:uid="{00000000-0005-0000-0000-000064070000}"/>
    <cellStyle name="40% - Accent6 4 4 2 2" xfId="7985" xr:uid="{00000000-0005-0000-0000-000065070000}"/>
    <cellStyle name="40% - Accent6 4 4 2 2 2" xfId="24862" xr:uid="{0F9A1C21-A2CD-4134-93D9-E67588A5F32E}"/>
    <cellStyle name="40% - Accent6 4 4 2 2 3" xfId="33296" xr:uid="{780A960A-CAC9-4ECA-97AA-BA73A64A20AF}"/>
    <cellStyle name="40% - Accent6 4 4 2 2 4" xfId="16424" xr:uid="{953645F5-627B-4FE5-8804-926058EB983C}"/>
    <cellStyle name="40% - Accent6 4 4 2 3" xfId="20644" xr:uid="{7CBB9897-D55A-488D-9D13-120B2E1B0194}"/>
    <cellStyle name="40% - Accent6 4 4 2 4" xfId="29079" xr:uid="{41C65402-257E-45E4-B9E6-ECD7CB908A93}"/>
    <cellStyle name="40% - Accent6 4 4 2 5" xfId="12206" xr:uid="{ED805C95-42B0-4EBE-AD0F-FA0E30060AA5}"/>
    <cellStyle name="40% - Accent6 4 4 3" xfId="5840" xr:uid="{00000000-0005-0000-0000-000066070000}"/>
    <cellStyle name="40% - Accent6 4 4 3 2" xfId="22717" xr:uid="{EC44DFE3-DF29-4E20-9ADF-BFF84E1D217A}"/>
    <cellStyle name="40% - Accent6 4 4 3 3" xfId="31151" xr:uid="{DE2E503F-CC33-496E-894A-C47082CFA4D0}"/>
    <cellStyle name="40% - Accent6 4 4 3 4" xfId="14279" xr:uid="{A669B20C-10B7-4B38-B4D8-83D7044939FF}"/>
    <cellStyle name="40% - Accent6 4 4 4" xfId="18499" xr:uid="{2EA91B97-1021-4343-8B67-6FF6899A99C5}"/>
    <cellStyle name="40% - Accent6 4 4 5" xfId="26934" xr:uid="{897EA6BB-B3B8-472A-B60D-FC90AF37E3BA}"/>
    <cellStyle name="40% - Accent6 4 4 6" xfId="10061" xr:uid="{D1AEF677-AC77-49A2-91A8-8E4A19830DAE}"/>
    <cellStyle name="40% - Accent6 4 5" xfId="1946" xr:uid="{00000000-0005-0000-0000-000067070000}"/>
    <cellStyle name="40% - Accent6 4 5 2" xfId="4175" xr:uid="{00000000-0005-0000-0000-000068070000}"/>
    <cellStyle name="40% - Accent6 4 5 2 2" xfId="8398" xr:uid="{00000000-0005-0000-0000-000069070000}"/>
    <cellStyle name="40% - Accent6 4 5 2 2 2" xfId="25275" xr:uid="{0F972C6B-EAC7-4EAA-80EE-A1B8A076442E}"/>
    <cellStyle name="40% - Accent6 4 5 2 2 3" xfId="33709" xr:uid="{CC961A0F-DA6B-4102-ADAB-AFEBB44E2EC6}"/>
    <cellStyle name="40% - Accent6 4 5 2 2 4" xfId="16837" xr:uid="{D524F426-0BCE-4BC4-BB84-9E0DFEAAC59E}"/>
    <cellStyle name="40% - Accent6 4 5 2 3" xfId="21057" xr:uid="{4968B682-2AD2-4385-B42E-19848A4CAF36}"/>
    <cellStyle name="40% - Accent6 4 5 2 4" xfId="29492" xr:uid="{FA34588B-014C-47AE-B8B6-38ECC47F91AB}"/>
    <cellStyle name="40% - Accent6 4 5 2 5" xfId="12619" xr:uid="{50B8F2BC-8D52-4A44-BD89-277E854FEAB4}"/>
    <cellStyle name="40% - Accent6 4 5 3" xfId="6253" xr:uid="{00000000-0005-0000-0000-00006A070000}"/>
    <cellStyle name="40% - Accent6 4 5 3 2" xfId="23130" xr:uid="{335D1832-3FBF-4E90-A55D-2739EBC50109}"/>
    <cellStyle name="40% - Accent6 4 5 3 3" xfId="31564" xr:uid="{91610C0D-AC96-41CC-9BD6-0287D83ADCB8}"/>
    <cellStyle name="40% - Accent6 4 5 3 4" xfId="14692" xr:uid="{9E5F28BA-4882-4991-9041-5334E802DFCB}"/>
    <cellStyle name="40% - Accent6 4 5 4" xfId="18912" xr:uid="{4F9C9378-FAD1-4BB7-829C-5B68CE948895}"/>
    <cellStyle name="40% - Accent6 4 5 5" xfId="27347" xr:uid="{B4704EC4-AD9A-469D-931C-1584243D439B}"/>
    <cellStyle name="40% - Accent6 4 5 6" xfId="10474" xr:uid="{8244B4B5-6B39-4691-B946-2D70FF1A7E6E}"/>
    <cellStyle name="40% - Accent6 4 6" xfId="2359" xr:uid="{00000000-0005-0000-0000-00006B070000}"/>
    <cellStyle name="40% - Accent6 4 6 2" xfId="6666" xr:uid="{00000000-0005-0000-0000-00006C070000}"/>
    <cellStyle name="40% - Accent6 4 6 2 2" xfId="23543" xr:uid="{9AAEE213-2ECF-424B-A066-DF0EB3869040}"/>
    <cellStyle name="40% - Accent6 4 6 2 3" xfId="31977" xr:uid="{80E8DD09-0CED-4BEF-9E31-BD75B1194E9B}"/>
    <cellStyle name="40% - Accent6 4 6 2 4" xfId="15105" xr:uid="{1766EB49-060B-4C91-9E83-1A00842BA896}"/>
    <cellStyle name="40% - Accent6 4 6 3" xfId="19325" xr:uid="{2BE6BF4E-C2A6-4AE1-BBE9-CFE8F40A25F9}"/>
    <cellStyle name="40% - Accent6 4 6 4" xfId="27760" xr:uid="{06A9B185-1837-4ED5-9693-F5CB866FFCA3}"/>
    <cellStyle name="40% - Accent6 4 6 5" xfId="10887" xr:uid="{0A43C6F6-1C27-4795-8581-B58D49C9D834}"/>
    <cellStyle name="40% - Accent6 4 7" xfId="4600" xr:uid="{00000000-0005-0000-0000-00006D070000}"/>
    <cellStyle name="40% - Accent6 4 7 2" xfId="21477" xr:uid="{C45919D7-9218-4151-AF7C-D02AD195ACD2}"/>
    <cellStyle name="40% - Accent6 4 7 3" xfId="29911" xr:uid="{264C0F08-ADB8-44D1-BDF9-81E913ABCEE9}"/>
    <cellStyle name="40% - Accent6 4 7 4" xfId="13039" xr:uid="{3B9FD34B-9A90-4EB9-8920-27FB2BE01344}"/>
    <cellStyle name="40% - Accent6 4 8" xfId="17259" xr:uid="{6C904701-0F63-4075-BBD1-1019826315F1}"/>
    <cellStyle name="40% - Accent6 4 9" xfId="25694" xr:uid="{2D381143-8812-4443-9D77-DB677B68333D}"/>
    <cellStyle name="40% - Accent6 5" xfId="658" xr:uid="{00000000-0005-0000-0000-00006E070000}"/>
    <cellStyle name="40% - Accent6 5 2" xfId="2929" xr:uid="{00000000-0005-0000-0000-00006F070000}"/>
    <cellStyle name="40% - Accent6 5 2 2" xfId="7152" xr:uid="{00000000-0005-0000-0000-000070070000}"/>
    <cellStyle name="40% - Accent6 5 2 2 2" xfId="24029" xr:uid="{8CEC40EC-1A2D-4386-876F-F3A25A88B953}"/>
    <cellStyle name="40% - Accent6 5 2 2 3" xfId="32463" xr:uid="{9708848A-BC51-4CA1-A86C-2D3372EB0A8F}"/>
    <cellStyle name="40% - Accent6 5 2 2 4" xfId="15591" xr:uid="{7FDC63C6-B7A5-49A1-AAAB-D26F685398C5}"/>
    <cellStyle name="40% - Accent6 5 2 3" xfId="19811" xr:uid="{B4672C4A-0B4D-4A5D-ABF0-B6EB9371B771}"/>
    <cellStyle name="40% - Accent6 5 2 4" xfId="28246" xr:uid="{C3139287-AB16-42BA-A63F-511DC52A3CAC}"/>
    <cellStyle name="40% - Accent6 5 2 5" xfId="11373" xr:uid="{6FF278D6-DB05-425F-8B67-4F7AA79321F4}"/>
    <cellStyle name="40% - Accent6 5 3" xfId="5007" xr:uid="{00000000-0005-0000-0000-000071070000}"/>
    <cellStyle name="40% - Accent6 5 3 2" xfId="21884" xr:uid="{5B2AB357-945D-4824-9AFF-2317812F55EC}"/>
    <cellStyle name="40% - Accent6 5 3 3" xfId="30318" xr:uid="{70085CF9-0632-4A68-BEC2-88E42816A582}"/>
    <cellStyle name="40% - Accent6 5 3 4" xfId="13446" xr:uid="{28C05460-2A5C-4B35-8136-C932AEC37801}"/>
    <cellStyle name="40% - Accent6 5 4" xfId="17666" xr:uid="{68FB3BCE-9BCF-4EC1-9B6C-E148B529DBAF}"/>
    <cellStyle name="40% - Accent6 5 5" xfId="26101" xr:uid="{0700FE10-58E1-47CD-B812-4AD5A69FEA11}"/>
    <cellStyle name="40% - Accent6 5 6" xfId="9228" xr:uid="{C726DB2A-8443-4D71-9E20-26BC616FAB44}"/>
    <cellStyle name="40% - Accent6 6" xfId="1111" xr:uid="{00000000-0005-0000-0000-000072070000}"/>
    <cellStyle name="40% - Accent6 6 2" xfId="3342" xr:uid="{00000000-0005-0000-0000-000073070000}"/>
    <cellStyle name="40% - Accent6 6 2 2" xfId="7565" xr:uid="{00000000-0005-0000-0000-000074070000}"/>
    <cellStyle name="40% - Accent6 6 2 2 2" xfId="24442" xr:uid="{01CA1925-094B-43B5-8DC9-9185AE66B943}"/>
    <cellStyle name="40% - Accent6 6 2 2 3" xfId="32876" xr:uid="{64DD16EB-2409-4C33-8615-C7A9D8857630}"/>
    <cellStyle name="40% - Accent6 6 2 2 4" xfId="16004" xr:uid="{9BA8C37C-89BD-4542-8112-9F78D6D0888C}"/>
    <cellStyle name="40% - Accent6 6 2 3" xfId="20224" xr:uid="{A62555BC-0856-42F8-A499-8FAA4E86402D}"/>
    <cellStyle name="40% - Accent6 6 2 4" xfId="28659" xr:uid="{73C370B0-C162-457D-AC01-D16584A1EABD}"/>
    <cellStyle name="40% - Accent6 6 2 5" xfId="11786" xr:uid="{0B5B04C7-44EF-438C-A19F-904456758C3D}"/>
    <cellStyle name="40% - Accent6 6 3" xfId="5420" xr:uid="{00000000-0005-0000-0000-000075070000}"/>
    <cellStyle name="40% - Accent6 6 3 2" xfId="22297" xr:uid="{5342D303-AE97-46CC-8AF9-488EA21B4A4D}"/>
    <cellStyle name="40% - Accent6 6 3 3" xfId="30731" xr:uid="{A6631DF2-D940-4EF7-95F1-F07103B70329}"/>
    <cellStyle name="40% - Accent6 6 3 4" xfId="13859" xr:uid="{9180ABF4-68F2-438F-9146-E6D77B6D19B2}"/>
    <cellStyle name="40% - Accent6 6 4" xfId="18079" xr:uid="{040AD28C-E5AB-4766-8C5E-EB4DB1254382}"/>
    <cellStyle name="40% - Accent6 6 5" xfId="26514" xr:uid="{D3AC964B-53E7-49B8-BDE4-AD9633383E1C}"/>
    <cellStyle name="40% - Accent6 6 6" xfId="9641" xr:uid="{B977B58A-63ED-4E83-A85B-31C12A2DB37A}"/>
    <cellStyle name="40% - Accent6 7" xfId="1525" xr:uid="{00000000-0005-0000-0000-000076070000}"/>
    <cellStyle name="40% - Accent6 7 2" xfId="3755" xr:uid="{00000000-0005-0000-0000-000077070000}"/>
    <cellStyle name="40% - Accent6 7 2 2" xfId="7978" xr:uid="{00000000-0005-0000-0000-000078070000}"/>
    <cellStyle name="40% - Accent6 7 2 2 2" xfId="24855" xr:uid="{43BB3777-BAF5-4754-82F5-EAD41DF88B40}"/>
    <cellStyle name="40% - Accent6 7 2 2 3" xfId="33289" xr:uid="{EC2751BC-1179-43E6-8D9C-7AD278F04FAA}"/>
    <cellStyle name="40% - Accent6 7 2 2 4" xfId="16417" xr:uid="{3364BB8A-9267-449D-88A7-513E7D094C0B}"/>
    <cellStyle name="40% - Accent6 7 2 3" xfId="20637" xr:uid="{6FA1D2D0-438A-4A89-9413-A4AC528068DF}"/>
    <cellStyle name="40% - Accent6 7 2 4" xfId="29072" xr:uid="{49B878CE-92AA-4D6A-BAE8-4C9C0A5527D2}"/>
    <cellStyle name="40% - Accent6 7 2 5" xfId="12199" xr:uid="{A6230CA1-5B9A-4A01-AC6A-E4955A0AD118}"/>
    <cellStyle name="40% - Accent6 7 3" xfId="5833" xr:uid="{00000000-0005-0000-0000-000079070000}"/>
    <cellStyle name="40% - Accent6 7 3 2" xfId="22710" xr:uid="{B0322E7D-76AA-4C96-8829-D8F67B5E2615}"/>
    <cellStyle name="40% - Accent6 7 3 3" xfId="31144" xr:uid="{F66CF9F0-F8AC-48FF-82E1-9CC7F971E8A8}"/>
    <cellStyle name="40% - Accent6 7 3 4" xfId="14272" xr:uid="{B2623FB5-217C-42CE-AF81-54B4C47AB6C3}"/>
    <cellStyle name="40% - Accent6 7 4" xfId="18492" xr:uid="{2F63BA84-8460-4A43-991C-BFFAFC3BE17A}"/>
    <cellStyle name="40% - Accent6 7 5" xfId="26927" xr:uid="{94F4A70D-4E6A-426E-94F1-99D6860D4DBE}"/>
    <cellStyle name="40% - Accent6 7 6" xfId="10054" xr:uid="{66B4684F-D6CC-418C-8856-BEC96EB61D07}"/>
    <cellStyle name="40% - Accent6 8" xfId="1939" xr:uid="{00000000-0005-0000-0000-00007A070000}"/>
    <cellStyle name="40% - Accent6 8 2" xfId="4168" xr:uid="{00000000-0005-0000-0000-00007B070000}"/>
    <cellStyle name="40% - Accent6 8 2 2" xfId="8391" xr:uid="{00000000-0005-0000-0000-00007C070000}"/>
    <cellStyle name="40% - Accent6 8 2 2 2" xfId="25268" xr:uid="{6E17991D-B461-45DE-B907-0CC82C2AF304}"/>
    <cellStyle name="40% - Accent6 8 2 2 3" xfId="33702" xr:uid="{A3F79E9C-03D0-4AEF-BFD6-60870EB820FD}"/>
    <cellStyle name="40% - Accent6 8 2 2 4" xfId="16830" xr:uid="{E0DEC8D5-B2C3-4101-BCB0-DF5E34EE2D70}"/>
    <cellStyle name="40% - Accent6 8 2 3" xfId="21050" xr:uid="{D7322EE1-0C87-486D-99E1-E6B5FBD74F97}"/>
    <cellStyle name="40% - Accent6 8 2 4" xfId="29485" xr:uid="{66F2ECF9-F6A5-4AF4-82B8-668FE7F003F4}"/>
    <cellStyle name="40% - Accent6 8 2 5" xfId="12612" xr:uid="{2DFBB8DA-6EC5-4D4E-B99B-2BFEE50BC784}"/>
    <cellStyle name="40% - Accent6 8 3" xfId="6246" xr:uid="{00000000-0005-0000-0000-00007D070000}"/>
    <cellStyle name="40% - Accent6 8 3 2" xfId="23123" xr:uid="{C30A16E5-0B59-4A32-ADC3-5DE7E9142941}"/>
    <cellStyle name="40% - Accent6 8 3 3" xfId="31557" xr:uid="{CCF499BE-5C89-4EF6-8F35-76A62FA83090}"/>
    <cellStyle name="40% - Accent6 8 3 4" xfId="14685" xr:uid="{397ED0C0-FF3C-431C-8896-18E448572C7B}"/>
    <cellStyle name="40% - Accent6 8 4" xfId="18905" xr:uid="{9D7E1CA0-EB52-4315-88C5-F74A01BC6BC0}"/>
    <cellStyle name="40% - Accent6 8 5" xfId="27340" xr:uid="{C9E91696-D75A-4A02-9F40-9479BA5EF04C}"/>
    <cellStyle name="40% - Accent6 8 6" xfId="10467" xr:uid="{3642B893-438D-44AB-BAF7-F50B08572C12}"/>
    <cellStyle name="40% - Accent6 9" xfId="2352" xr:uid="{00000000-0005-0000-0000-00007E070000}"/>
    <cellStyle name="40% - Accent6 9 2" xfId="6659" xr:uid="{00000000-0005-0000-0000-00007F070000}"/>
    <cellStyle name="40% - Accent6 9 2 2" xfId="23536" xr:uid="{3D598714-648B-4B62-9308-3FE27A9523F4}"/>
    <cellStyle name="40% - Accent6 9 2 3" xfId="31970" xr:uid="{C973FFD6-7D67-4F2B-95FF-4673A3CC8E41}"/>
    <cellStyle name="40% - Accent6 9 2 4" xfId="15098" xr:uid="{E413A44C-C3D4-4CED-A81E-323E72FB0047}"/>
    <cellStyle name="40% - Accent6 9 3" xfId="19318" xr:uid="{67DE4023-575F-47F6-9433-16CF9EA274A5}"/>
    <cellStyle name="40% - Accent6 9 4" xfId="27753" xr:uid="{5A3CF0CC-720F-44F4-ACE4-ED290E85D0C0}"/>
    <cellStyle name="40% - Accent6 9 5" xfId="10880" xr:uid="{61DDE125-0A53-4768-93EE-4A13EEA6787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23861" xr:uid="{31A641A7-0EB0-4934-A314-CE926AE826C9}"/>
    <cellStyle name="Comma 4 2 2 2 10 2 3" xfId="32295" xr:uid="{0DBCEDE4-EAF9-4284-96F4-D932BA63D72F}"/>
    <cellStyle name="Comma 4 2 2 2 10 2 4" xfId="15423" xr:uid="{C513F45D-918F-4159-A6C8-258454F83ADD}"/>
    <cellStyle name="Comma 4 2 2 2 10 3" xfId="19643" xr:uid="{F53A1166-8769-4FE1-BF14-416FC16AB52D}"/>
    <cellStyle name="Comma 4 2 2 2 10 4" xfId="28078" xr:uid="{1BE20716-5102-44F3-BF98-4A88148252F7}"/>
    <cellStyle name="Comma 4 2 2 2 10 5" xfId="11205" xr:uid="{B6F211E2-7EAF-46E2-8CEC-B3CCC093E4EB}"/>
    <cellStyle name="Comma 4 2 2 2 11" xfId="4601" xr:uid="{00000000-0005-0000-0000-0000A3070000}"/>
    <cellStyle name="Comma 4 2 2 2 11 2" xfId="21478" xr:uid="{3696DEE5-F67A-456C-9E15-336AA315E515}"/>
    <cellStyle name="Comma 4 2 2 2 11 3" xfId="29912" xr:uid="{DF47B2D3-E373-46D0-AF4E-DF06E3D9AD3B}"/>
    <cellStyle name="Comma 4 2 2 2 11 4" xfId="13040" xr:uid="{C75C31AB-4C4D-4896-9F36-7D4EDE654226}"/>
    <cellStyle name="Comma 4 2 2 2 12" xfId="17260" xr:uid="{CE3DEAB5-CD9F-48A9-92F5-86D77B89B4AE}"/>
    <cellStyle name="Comma 4 2 2 2 13" xfId="25695" xr:uid="{E784DDBD-5D97-4C33-8048-FE0A648B51DD}"/>
    <cellStyle name="Comma 4 2 2 2 14" xfId="8822" xr:uid="{936B476B-7AFE-460C-9E71-5A881364AAA9}"/>
    <cellStyle name="Comma 4 2 2 2 2" xfId="129" xr:uid="{00000000-0005-0000-0000-0000A4070000}"/>
    <cellStyle name="Comma 4 2 2 2 2 10" xfId="4602" xr:uid="{00000000-0005-0000-0000-0000A5070000}"/>
    <cellStyle name="Comma 4 2 2 2 2 10 2" xfId="21479" xr:uid="{AE8965AB-E240-46FC-BC6B-251709165F49}"/>
    <cellStyle name="Comma 4 2 2 2 2 10 3" xfId="29913" xr:uid="{147DB99F-B18F-4DB6-819C-A6983DD5A2DE}"/>
    <cellStyle name="Comma 4 2 2 2 2 10 4" xfId="13041" xr:uid="{90ADD629-B19B-4D68-8F98-4F82037E41D8}"/>
    <cellStyle name="Comma 4 2 2 2 2 11" xfId="17261" xr:uid="{2AC6FF8B-E3E8-4308-8AB4-5D8552A78213}"/>
    <cellStyle name="Comma 4 2 2 2 2 12" xfId="25696" xr:uid="{552A2258-E382-428C-912A-76FF78CACA73}"/>
    <cellStyle name="Comma 4 2 2 2 2 13" xfId="8823" xr:uid="{61FB3E5A-188B-4397-87D1-33AA7F6DFDC4}"/>
    <cellStyle name="Comma 4 2 2 2 2 2" xfId="130" xr:uid="{00000000-0005-0000-0000-0000A6070000}"/>
    <cellStyle name="Comma 4 2 2 2 2 2 10" xfId="17262" xr:uid="{732E8E45-E8A2-4EA2-B109-2C95C2F06D70}"/>
    <cellStyle name="Comma 4 2 2 2 2 2 11" xfId="25697" xr:uid="{046013C2-86FC-4B4A-B71D-8B2515DEF474}"/>
    <cellStyle name="Comma 4 2 2 2 2 2 12" xfId="8824" xr:uid="{AFB7C976-3831-4C3E-BD22-B1FDED70C08D}"/>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24039" xr:uid="{C4073AF6-3A66-406B-9CF7-D76E030ED86A}"/>
    <cellStyle name="Comma 4 2 2 2 2 2 2 2 2 3" xfId="32473" xr:uid="{B4650DF7-8F5A-4DE2-8D02-DFEDE7BB7AD4}"/>
    <cellStyle name="Comma 4 2 2 2 2 2 2 2 2 4" xfId="15601" xr:uid="{91647F83-2953-4727-82C5-6D8A81D809AA}"/>
    <cellStyle name="Comma 4 2 2 2 2 2 2 2 3" xfId="19821" xr:uid="{5928590C-32C9-409F-85EA-555771CA9384}"/>
    <cellStyle name="Comma 4 2 2 2 2 2 2 2 4" xfId="28256" xr:uid="{115AF769-AD30-494E-A8B6-2FB28DA8F271}"/>
    <cellStyle name="Comma 4 2 2 2 2 2 2 2 5" xfId="11383" xr:uid="{0F2F2AA3-22B0-4135-AFF6-B6AFA2978C9D}"/>
    <cellStyle name="Comma 4 2 2 2 2 2 2 3" xfId="5017" xr:uid="{00000000-0005-0000-0000-0000AA070000}"/>
    <cellStyle name="Comma 4 2 2 2 2 2 2 3 2" xfId="21894" xr:uid="{A3071C9D-75C3-4E58-8097-B4B9A5BAB826}"/>
    <cellStyle name="Comma 4 2 2 2 2 2 2 3 3" xfId="30328" xr:uid="{FD97C88C-853E-4289-AAD0-97002E856DA7}"/>
    <cellStyle name="Comma 4 2 2 2 2 2 2 3 4" xfId="13456" xr:uid="{24C0D3B8-3FBB-4919-AAB8-D203A7C2EC16}"/>
    <cellStyle name="Comma 4 2 2 2 2 2 2 4" xfId="17676" xr:uid="{8A38CE21-F82D-4B28-B8A4-773C27CD9E1F}"/>
    <cellStyle name="Comma 4 2 2 2 2 2 2 5" xfId="26111" xr:uid="{97BED156-1931-441D-9245-395BC14E01E9}"/>
    <cellStyle name="Comma 4 2 2 2 2 2 2 6" xfId="9238" xr:uid="{53DE7ADC-F82D-4CA9-BFA3-58D769EB60E9}"/>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24452" xr:uid="{EE9ADAA6-D5B7-4D83-A766-51D32E93BED2}"/>
    <cellStyle name="Comma 4 2 2 2 2 2 3 2 2 3" xfId="32886" xr:uid="{5EDDA8D7-B365-4253-BEBB-D02FE8A8191D}"/>
    <cellStyle name="Comma 4 2 2 2 2 2 3 2 2 4" xfId="16014" xr:uid="{CB959481-6EC3-4206-8388-95789329B519}"/>
    <cellStyle name="Comma 4 2 2 2 2 2 3 2 3" xfId="20234" xr:uid="{20E09E6E-6278-4463-9C7B-984A512147D6}"/>
    <cellStyle name="Comma 4 2 2 2 2 2 3 2 4" xfId="28669" xr:uid="{DB974BD4-D17B-467F-B809-E1D1671FD124}"/>
    <cellStyle name="Comma 4 2 2 2 2 2 3 2 5" xfId="11796" xr:uid="{73547F13-AF50-4F65-A030-3884B952FE84}"/>
    <cellStyle name="Comma 4 2 2 2 2 2 3 3" xfId="5430" xr:uid="{00000000-0005-0000-0000-0000AE070000}"/>
    <cellStyle name="Comma 4 2 2 2 2 2 3 3 2" xfId="22307" xr:uid="{F3E83A8E-C280-4E69-AB12-2E4DA827688D}"/>
    <cellStyle name="Comma 4 2 2 2 2 2 3 3 3" xfId="30741" xr:uid="{404C8C16-7A5F-4F75-A798-A87AFC078A69}"/>
    <cellStyle name="Comma 4 2 2 2 2 2 3 3 4" xfId="13869" xr:uid="{4866604D-2FA5-4987-A834-20C58EDB67C1}"/>
    <cellStyle name="Comma 4 2 2 2 2 2 3 4" xfId="18089" xr:uid="{A2772E60-82B0-4B4F-A507-EB11382E3305}"/>
    <cellStyle name="Comma 4 2 2 2 2 2 3 5" xfId="26524" xr:uid="{B1C4E4B6-07CF-41F3-BA2C-F9743569238C}"/>
    <cellStyle name="Comma 4 2 2 2 2 2 3 6" xfId="9651" xr:uid="{D3118DF7-F049-47D7-8822-8D6E08354E56}"/>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24865" xr:uid="{32E71465-40B5-48AC-B860-B81E76E59928}"/>
    <cellStyle name="Comma 4 2 2 2 2 2 4 2 2 3" xfId="33299" xr:uid="{036E242A-17A5-469B-9D45-6071E7C7BA33}"/>
    <cellStyle name="Comma 4 2 2 2 2 2 4 2 2 4" xfId="16427" xr:uid="{8E1CBDC5-E97A-40D3-8CD5-A0E086849D8F}"/>
    <cellStyle name="Comma 4 2 2 2 2 2 4 2 3" xfId="20647" xr:uid="{87E7FC3F-452B-4020-8C02-A076EC869F63}"/>
    <cellStyle name="Comma 4 2 2 2 2 2 4 2 4" xfId="29082" xr:uid="{7FCB59C7-78C9-4995-B239-BE2805BC8DF2}"/>
    <cellStyle name="Comma 4 2 2 2 2 2 4 2 5" xfId="12209" xr:uid="{FF8B8C1E-4963-4C9B-A917-E6585D125005}"/>
    <cellStyle name="Comma 4 2 2 2 2 2 4 3" xfId="5843" xr:uid="{00000000-0005-0000-0000-0000B2070000}"/>
    <cellStyle name="Comma 4 2 2 2 2 2 4 3 2" xfId="22720" xr:uid="{459213BF-A16D-4D5D-B15B-D5970FEB0CE6}"/>
    <cellStyle name="Comma 4 2 2 2 2 2 4 3 3" xfId="31154" xr:uid="{BC20328F-1413-4920-B887-95395A2B3AD6}"/>
    <cellStyle name="Comma 4 2 2 2 2 2 4 3 4" xfId="14282" xr:uid="{D75DCCC7-3DD0-4B99-BAB0-17713996510B}"/>
    <cellStyle name="Comma 4 2 2 2 2 2 4 4" xfId="18502" xr:uid="{DDAC233E-AC71-4073-9BC0-55F9F9284A9C}"/>
    <cellStyle name="Comma 4 2 2 2 2 2 4 5" xfId="26937" xr:uid="{73924A10-60E1-47CD-B47C-AC5E5B660159}"/>
    <cellStyle name="Comma 4 2 2 2 2 2 4 6" xfId="10064" xr:uid="{0BAF5AA7-BF26-4099-865F-C1F9DDF0D947}"/>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25278" xr:uid="{5BDCCBBA-9DB5-4DB5-B8F1-91CD5C876FA1}"/>
    <cellStyle name="Comma 4 2 2 2 2 2 5 2 2 3" xfId="33712" xr:uid="{EEFC51C8-0ACF-4B08-ADE5-9A6EE5C6A6F9}"/>
    <cellStyle name="Comma 4 2 2 2 2 2 5 2 2 4" xfId="16840" xr:uid="{CD3D0C26-B5B7-46E7-AFB1-A382E1AA9BDB}"/>
    <cellStyle name="Comma 4 2 2 2 2 2 5 2 3" xfId="21060" xr:uid="{B7FEDEEA-A9F9-4FF4-9EDC-3E9C98E1D3E5}"/>
    <cellStyle name="Comma 4 2 2 2 2 2 5 2 4" xfId="29495" xr:uid="{11895D1B-4E32-4308-80A2-1095C7FC13EC}"/>
    <cellStyle name="Comma 4 2 2 2 2 2 5 2 5" xfId="12622" xr:uid="{524F6618-0E8C-4C4B-AD12-50D76398FB02}"/>
    <cellStyle name="Comma 4 2 2 2 2 2 5 3" xfId="6256" xr:uid="{00000000-0005-0000-0000-0000B6070000}"/>
    <cellStyle name="Comma 4 2 2 2 2 2 5 3 2" xfId="23133" xr:uid="{F24A45DE-7435-4975-9A37-736A262EE03E}"/>
    <cellStyle name="Comma 4 2 2 2 2 2 5 3 3" xfId="31567" xr:uid="{B595B4FF-4381-4019-A4D0-AE972945EEA1}"/>
    <cellStyle name="Comma 4 2 2 2 2 2 5 3 4" xfId="14695" xr:uid="{2C574282-4BF9-4D58-99C3-E53BFFAB04ED}"/>
    <cellStyle name="Comma 4 2 2 2 2 2 5 4" xfId="18915" xr:uid="{F647403A-EDB3-4306-BE9F-92EF3BFC2D7B}"/>
    <cellStyle name="Comma 4 2 2 2 2 2 5 5" xfId="27350" xr:uid="{4886B0AA-44CF-4E24-91F4-1411E7ED61AC}"/>
    <cellStyle name="Comma 4 2 2 2 2 2 5 6" xfId="10477" xr:uid="{840F43AB-45D5-4293-AC4C-219A7FCD7195}"/>
    <cellStyle name="Comma 4 2 2 2 2 2 6" xfId="2384" xr:uid="{00000000-0005-0000-0000-0000B7070000}"/>
    <cellStyle name="Comma 4 2 2 2 2 2 6 2" xfId="6669" xr:uid="{00000000-0005-0000-0000-0000B8070000}"/>
    <cellStyle name="Comma 4 2 2 2 2 2 6 2 2" xfId="23546" xr:uid="{DEC626A0-F83E-4D77-B0B8-3163C09B55E5}"/>
    <cellStyle name="Comma 4 2 2 2 2 2 6 2 3" xfId="31980" xr:uid="{001F8CBC-99EC-441C-A98C-59350A928E8B}"/>
    <cellStyle name="Comma 4 2 2 2 2 2 6 2 4" xfId="15108" xr:uid="{37E23E05-F62B-4E3E-958F-2A9598B712AB}"/>
    <cellStyle name="Comma 4 2 2 2 2 2 6 3" xfId="19328" xr:uid="{FDE16D51-F7A1-4BBC-9CD7-097BD8FF2574}"/>
    <cellStyle name="Comma 4 2 2 2 2 2 6 4" xfId="27763" xr:uid="{F9D345DB-F1D7-4E54-99B7-BB2449D5D477}"/>
    <cellStyle name="Comma 4 2 2 2 2 2 6 5" xfId="10890" xr:uid="{CEEFCBDA-29C3-43F8-AD46-5EAE2295F684}"/>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23863" xr:uid="{9A61AB97-4E69-41E3-BD53-C8C0BBFA4342}"/>
    <cellStyle name="Comma 4 2 2 2 2 2 8 2 3" xfId="32297" xr:uid="{C4B91C3B-B82C-4964-B2E3-746FDC07F8A6}"/>
    <cellStyle name="Comma 4 2 2 2 2 2 8 2 4" xfId="15425" xr:uid="{856F7D05-25FF-41E8-BB9F-B9018F7EE60B}"/>
    <cellStyle name="Comma 4 2 2 2 2 2 8 3" xfId="19645" xr:uid="{D55727FA-8D4B-49BC-B2C7-7F36DE1FBBA3}"/>
    <cellStyle name="Comma 4 2 2 2 2 2 8 4" xfId="28080" xr:uid="{AC0B2129-292A-4C61-B7E2-1B8E91DD50F0}"/>
    <cellStyle name="Comma 4 2 2 2 2 2 8 5" xfId="11207" xr:uid="{DC163F9E-244B-4B57-BC17-2898B6489E52}"/>
    <cellStyle name="Comma 4 2 2 2 2 2 9" xfId="4603" xr:uid="{00000000-0005-0000-0000-0000BC070000}"/>
    <cellStyle name="Comma 4 2 2 2 2 2 9 2" xfId="21480" xr:uid="{85E396BB-8FFE-4088-AB47-5E4BA11110FD}"/>
    <cellStyle name="Comma 4 2 2 2 2 2 9 3" xfId="29914" xr:uid="{EB881A2C-3822-482D-A880-C1E4EA485FBF}"/>
    <cellStyle name="Comma 4 2 2 2 2 2 9 4" xfId="13042" xr:uid="{A893105F-E166-48E6-9690-6E2443A0BFAE}"/>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24038" xr:uid="{710AC4FB-331D-4A03-8531-E46C29824260}"/>
    <cellStyle name="Comma 4 2 2 2 2 3 2 2 3" xfId="32472" xr:uid="{F5118418-90F0-4831-B87B-D736F23B34E0}"/>
    <cellStyle name="Comma 4 2 2 2 2 3 2 2 4" xfId="15600" xr:uid="{CDDB67A1-ACEB-4E2A-892C-FD09025C09D0}"/>
    <cellStyle name="Comma 4 2 2 2 2 3 2 3" xfId="19820" xr:uid="{C51319C7-1CE7-4F42-A456-1ABD4286F23B}"/>
    <cellStyle name="Comma 4 2 2 2 2 3 2 4" xfId="28255" xr:uid="{DF70EC07-E2C2-4AF3-84ED-8493F041FF98}"/>
    <cellStyle name="Comma 4 2 2 2 2 3 2 5" xfId="11382" xr:uid="{D2F638F0-548C-4C83-A4CB-001D759ACD54}"/>
    <cellStyle name="Comma 4 2 2 2 2 3 3" xfId="5016" xr:uid="{00000000-0005-0000-0000-0000C0070000}"/>
    <cellStyle name="Comma 4 2 2 2 2 3 3 2" xfId="21893" xr:uid="{53C8A3F2-F2F9-4BEB-8AA4-B9BD59BF339C}"/>
    <cellStyle name="Comma 4 2 2 2 2 3 3 3" xfId="30327" xr:uid="{EBD95D9C-F1C2-406C-810E-E6CE6E7D07EB}"/>
    <cellStyle name="Comma 4 2 2 2 2 3 3 4" xfId="13455" xr:uid="{04CE1934-94D1-4705-8F40-B0538B49FD73}"/>
    <cellStyle name="Comma 4 2 2 2 2 3 4" xfId="17675" xr:uid="{C591C16B-BE37-497D-A88C-6E2E361942AF}"/>
    <cellStyle name="Comma 4 2 2 2 2 3 5" xfId="26110" xr:uid="{208B3DC6-5E6E-435D-8EF5-9F6182ADB4FB}"/>
    <cellStyle name="Comma 4 2 2 2 2 3 6" xfId="9237" xr:uid="{F993CBFF-EC9D-40E9-A83A-45A36C11DE75}"/>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24451" xr:uid="{D118A120-068D-4D78-92C9-81F0E4431E7C}"/>
    <cellStyle name="Comma 4 2 2 2 2 4 2 2 3" xfId="32885" xr:uid="{77621001-BF91-4473-A9FB-F96B10E017F6}"/>
    <cellStyle name="Comma 4 2 2 2 2 4 2 2 4" xfId="16013" xr:uid="{5BADA8A8-24AD-43C5-A605-82F3FFB8432E}"/>
    <cellStyle name="Comma 4 2 2 2 2 4 2 3" xfId="20233" xr:uid="{F61F7D98-65C7-411C-A896-5537EE9FCC06}"/>
    <cellStyle name="Comma 4 2 2 2 2 4 2 4" xfId="28668" xr:uid="{67781B4F-F12A-42A8-B291-2668FF5C7109}"/>
    <cellStyle name="Comma 4 2 2 2 2 4 2 5" xfId="11795" xr:uid="{13599B0E-9D5E-4895-A540-152D98668724}"/>
    <cellStyle name="Comma 4 2 2 2 2 4 3" xfId="5429" xr:uid="{00000000-0005-0000-0000-0000C4070000}"/>
    <cellStyle name="Comma 4 2 2 2 2 4 3 2" xfId="22306" xr:uid="{28CC6CAE-8977-432D-BA07-4DB3F66451F2}"/>
    <cellStyle name="Comma 4 2 2 2 2 4 3 3" xfId="30740" xr:uid="{C3083B42-3C06-43B6-97B2-40B15B9A937D}"/>
    <cellStyle name="Comma 4 2 2 2 2 4 3 4" xfId="13868" xr:uid="{7E768B9B-F779-4A81-8640-77FD257A8A22}"/>
    <cellStyle name="Comma 4 2 2 2 2 4 4" xfId="18088" xr:uid="{D6F4C09B-6D5E-4929-865E-9031EAC10681}"/>
    <cellStyle name="Comma 4 2 2 2 2 4 5" xfId="26523" xr:uid="{0DA69BED-B864-46FD-AD87-D038A21C66DC}"/>
    <cellStyle name="Comma 4 2 2 2 2 4 6" xfId="9650" xr:uid="{9832C443-C55E-4E55-9C77-7D61EAA294A8}"/>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24864" xr:uid="{A053C588-3364-4A08-9B51-41ECC1BF8F06}"/>
    <cellStyle name="Comma 4 2 2 2 2 5 2 2 3" xfId="33298" xr:uid="{F62F03A7-E738-4DFF-B8D4-E61573905166}"/>
    <cellStyle name="Comma 4 2 2 2 2 5 2 2 4" xfId="16426" xr:uid="{C655FE7F-56D3-4EEC-AAE7-E03CF569B3FE}"/>
    <cellStyle name="Comma 4 2 2 2 2 5 2 3" xfId="20646" xr:uid="{2ECEA3F2-639C-4BF7-8772-6B68E62BF8B7}"/>
    <cellStyle name="Comma 4 2 2 2 2 5 2 4" xfId="29081" xr:uid="{A8C4B080-F6CA-4C52-BDC7-CD4FAA71939E}"/>
    <cellStyle name="Comma 4 2 2 2 2 5 2 5" xfId="12208" xr:uid="{015439E3-3A6D-498A-9374-3D09C525045A}"/>
    <cellStyle name="Comma 4 2 2 2 2 5 3" xfId="5842" xr:uid="{00000000-0005-0000-0000-0000C8070000}"/>
    <cellStyle name="Comma 4 2 2 2 2 5 3 2" xfId="22719" xr:uid="{E245CE1C-4F39-463B-8827-57F70A9E066F}"/>
    <cellStyle name="Comma 4 2 2 2 2 5 3 3" xfId="31153" xr:uid="{0DD3F4D0-50F5-4C41-BF28-8081342AB916}"/>
    <cellStyle name="Comma 4 2 2 2 2 5 3 4" xfId="14281" xr:uid="{E1127F62-5B7B-4C34-AE23-5C202EF1A101}"/>
    <cellStyle name="Comma 4 2 2 2 2 5 4" xfId="18501" xr:uid="{45940211-539A-42DE-AF35-BB7F0D392DE0}"/>
    <cellStyle name="Comma 4 2 2 2 2 5 5" xfId="26936" xr:uid="{E832F3A2-F703-4318-A030-0AE8F39AC637}"/>
    <cellStyle name="Comma 4 2 2 2 2 5 6" xfId="10063" xr:uid="{2C2E4E39-8368-479E-AD3E-16CB55F8897B}"/>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25277" xr:uid="{5876325C-D09E-44C6-ACCA-D1D823DA3E8B}"/>
    <cellStyle name="Comma 4 2 2 2 2 6 2 2 3" xfId="33711" xr:uid="{6C7F0FBA-8B25-498B-BA8A-8A6FB98D9354}"/>
    <cellStyle name="Comma 4 2 2 2 2 6 2 2 4" xfId="16839" xr:uid="{8AC218E7-AEE7-415D-971B-EA5FB662CB66}"/>
    <cellStyle name="Comma 4 2 2 2 2 6 2 3" xfId="21059" xr:uid="{E83AC702-A86B-4763-8350-B0805DD2ECBE}"/>
    <cellStyle name="Comma 4 2 2 2 2 6 2 4" xfId="29494" xr:uid="{C2C76DCF-30A4-4369-AEBC-7D21A2810D0F}"/>
    <cellStyle name="Comma 4 2 2 2 2 6 2 5" xfId="12621" xr:uid="{68D2BBFA-0DFC-4FAD-9378-4AB13FF9648D}"/>
    <cellStyle name="Comma 4 2 2 2 2 6 3" xfId="6255" xr:uid="{00000000-0005-0000-0000-0000CC070000}"/>
    <cellStyle name="Comma 4 2 2 2 2 6 3 2" xfId="23132" xr:uid="{E814B690-0D41-421C-8928-EC631F7FEEC7}"/>
    <cellStyle name="Comma 4 2 2 2 2 6 3 3" xfId="31566" xr:uid="{8454C28C-5C62-4B4E-B8B7-104C324D93FE}"/>
    <cellStyle name="Comma 4 2 2 2 2 6 3 4" xfId="14694" xr:uid="{64A1BC8F-66F8-41D8-94DE-A8C9AB736CDB}"/>
    <cellStyle name="Comma 4 2 2 2 2 6 4" xfId="18914" xr:uid="{789067B0-62B0-41EA-A632-B840285B4FE9}"/>
    <cellStyle name="Comma 4 2 2 2 2 6 5" xfId="27349" xr:uid="{8D58BABF-6443-462F-9C75-BFB3FE4C9660}"/>
    <cellStyle name="Comma 4 2 2 2 2 6 6" xfId="10476" xr:uid="{B07C631A-E83D-4400-90D3-1077635F6CDE}"/>
    <cellStyle name="Comma 4 2 2 2 2 7" xfId="2383" xr:uid="{00000000-0005-0000-0000-0000CD070000}"/>
    <cellStyle name="Comma 4 2 2 2 2 7 2" xfId="6668" xr:uid="{00000000-0005-0000-0000-0000CE070000}"/>
    <cellStyle name="Comma 4 2 2 2 2 7 2 2" xfId="23545" xr:uid="{E056F992-6637-474C-BC8D-476A4CC0752C}"/>
    <cellStyle name="Comma 4 2 2 2 2 7 2 3" xfId="31979" xr:uid="{62F676A2-3DBA-45A0-AD40-5922D4E59E5B}"/>
    <cellStyle name="Comma 4 2 2 2 2 7 2 4" xfId="15107" xr:uid="{C947EFDB-3F63-433C-9071-FB4EFCE27E3B}"/>
    <cellStyle name="Comma 4 2 2 2 2 7 3" xfId="19327" xr:uid="{A82FAA98-318E-4A23-8B42-42581996C9B2}"/>
    <cellStyle name="Comma 4 2 2 2 2 7 4" xfId="27762" xr:uid="{7C0EDDD6-29A3-4DDD-8BFD-73D765571CA5}"/>
    <cellStyle name="Comma 4 2 2 2 2 7 5" xfId="10889" xr:uid="{74563E89-BC55-40CA-B47C-028AF2F95127}"/>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23862" xr:uid="{E3200D80-C31D-4C32-980A-8B2D2932ABA8}"/>
    <cellStyle name="Comma 4 2 2 2 2 9 2 3" xfId="32296" xr:uid="{DB4E23A1-9EEB-4CBF-815A-C9B7F7CD3265}"/>
    <cellStyle name="Comma 4 2 2 2 2 9 2 4" xfId="15424" xr:uid="{29A9B550-2A2D-47B2-8216-F2991E790B71}"/>
    <cellStyle name="Comma 4 2 2 2 2 9 3" xfId="19644" xr:uid="{0E80035E-89B2-4A61-8D53-418F56CAC2EC}"/>
    <cellStyle name="Comma 4 2 2 2 2 9 4" xfId="28079" xr:uid="{5EDE0FFF-141B-4663-95C7-9006ACE9DB6F}"/>
    <cellStyle name="Comma 4 2 2 2 2 9 5" xfId="11206" xr:uid="{BFD64734-9451-49EF-B3EC-CAB3F213492F}"/>
    <cellStyle name="Comma 4 2 2 2 3" xfId="131" xr:uid="{00000000-0005-0000-0000-0000D2070000}"/>
    <cellStyle name="Comma 4 2 2 2 3 10" xfId="17263" xr:uid="{D5313A29-ED1C-41DA-95DF-B71CD8C05367}"/>
    <cellStyle name="Comma 4 2 2 2 3 11" xfId="25698" xr:uid="{7BFBFACC-7B11-4E40-BB0F-A14E57BF1E74}"/>
    <cellStyle name="Comma 4 2 2 2 3 12" xfId="8825" xr:uid="{3418F58A-A11E-48F3-9396-67D6BC78CADF}"/>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24040" xr:uid="{564A4426-49D2-4378-A2BF-16304F467CF8}"/>
    <cellStyle name="Comma 4 2 2 2 3 2 2 2 3" xfId="32474" xr:uid="{3C4FC858-F419-43C9-9805-CF3B42DB02CC}"/>
    <cellStyle name="Comma 4 2 2 2 3 2 2 2 4" xfId="15602" xr:uid="{6C5E6FFD-7704-4FD7-B1B3-0377D12C06E2}"/>
    <cellStyle name="Comma 4 2 2 2 3 2 2 3" xfId="19822" xr:uid="{9B0062C8-471F-42B2-8369-2C823DC68E70}"/>
    <cellStyle name="Comma 4 2 2 2 3 2 2 4" xfId="28257" xr:uid="{704869C5-BDD4-4608-A89E-EC7F8D98A661}"/>
    <cellStyle name="Comma 4 2 2 2 3 2 2 5" xfId="11384" xr:uid="{FDA20887-B374-4D5D-99BF-6B90684B0390}"/>
    <cellStyle name="Comma 4 2 2 2 3 2 3" xfId="5018" xr:uid="{00000000-0005-0000-0000-0000D6070000}"/>
    <cellStyle name="Comma 4 2 2 2 3 2 3 2" xfId="21895" xr:uid="{7B4FF32A-8F9A-4AE3-9AFF-6549D6F8B9FB}"/>
    <cellStyle name="Comma 4 2 2 2 3 2 3 3" xfId="30329" xr:uid="{3F6394AF-D456-4630-8AC3-11A6CBD10D81}"/>
    <cellStyle name="Comma 4 2 2 2 3 2 3 4" xfId="13457" xr:uid="{0352713D-1C19-4EBB-9AEC-5575A19F4EAB}"/>
    <cellStyle name="Comma 4 2 2 2 3 2 4" xfId="17677" xr:uid="{731A706F-05D1-4067-9EEA-F37E5F340D38}"/>
    <cellStyle name="Comma 4 2 2 2 3 2 5" xfId="26112" xr:uid="{BC15043D-D9A8-48A4-BA77-03218756464B}"/>
    <cellStyle name="Comma 4 2 2 2 3 2 6" xfId="9239" xr:uid="{C923B296-28B6-4B3E-A433-AFBF2CEC13A3}"/>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24453" xr:uid="{AFC2B6CE-907B-4CAE-883E-7CD43E0A1EC0}"/>
    <cellStyle name="Comma 4 2 2 2 3 3 2 2 3" xfId="32887" xr:uid="{87E932F6-4370-404E-ADF5-42E89088864B}"/>
    <cellStyle name="Comma 4 2 2 2 3 3 2 2 4" xfId="16015" xr:uid="{ACBDFE11-8B25-455D-B232-FD9A16F91E70}"/>
    <cellStyle name="Comma 4 2 2 2 3 3 2 3" xfId="20235" xr:uid="{C9FB9BBB-3189-4F67-A24B-48F97F3AD3AE}"/>
    <cellStyle name="Comma 4 2 2 2 3 3 2 4" xfId="28670" xr:uid="{71CF3657-1813-469E-9CED-D7AD32523855}"/>
    <cellStyle name="Comma 4 2 2 2 3 3 2 5" xfId="11797" xr:uid="{CCAFFE35-F6A3-48FA-82C6-8A41FE5CE6B0}"/>
    <cellStyle name="Comma 4 2 2 2 3 3 3" xfId="5431" xr:uid="{00000000-0005-0000-0000-0000DA070000}"/>
    <cellStyle name="Comma 4 2 2 2 3 3 3 2" xfId="22308" xr:uid="{651CC7F2-2A8C-4644-9823-1F61C08A6FB9}"/>
    <cellStyle name="Comma 4 2 2 2 3 3 3 3" xfId="30742" xr:uid="{F9019196-060D-4C91-9136-B6A7FAC350FF}"/>
    <cellStyle name="Comma 4 2 2 2 3 3 3 4" xfId="13870" xr:uid="{A1B6A679-0904-42C0-8774-A70116E8DF9A}"/>
    <cellStyle name="Comma 4 2 2 2 3 3 4" xfId="18090" xr:uid="{985A9C3A-DB24-4DFC-AE75-8153914FD46A}"/>
    <cellStyle name="Comma 4 2 2 2 3 3 5" xfId="26525" xr:uid="{D12AF1B1-B152-4D69-B3B5-097A74600949}"/>
    <cellStyle name="Comma 4 2 2 2 3 3 6" xfId="9652" xr:uid="{8404B987-2D1D-4363-8413-A693DD790AF8}"/>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24866" xr:uid="{D993EA45-544D-4894-AFC1-5229664B0B59}"/>
    <cellStyle name="Comma 4 2 2 2 3 4 2 2 3" xfId="33300" xr:uid="{FAF501DB-0975-43BF-AD86-6F31F2B430AC}"/>
    <cellStyle name="Comma 4 2 2 2 3 4 2 2 4" xfId="16428" xr:uid="{72E38CC2-48BE-4592-BCC6-655EFE3BA082}"/>
    <cellStyle name="Comma 4 2 2 2 3 4 2 3" xfId="20648" xr:uid="{A33F9DE9-0D70-4F91-869E-A88C7EE7D510}"/>
    <cellStyle name="Comma 4 2 2 2 3 4 2 4" xfId="29083" xr:uid="{F4A8AC68-7339-45D2-B379-1AE59834545C}"/>
    <cellStyle name="Comma 4 2 2 2 3 4 2 5" xfId="12210" xr:uid="{55E3D6A2-F5AC-466B-AB05-0C5E837A4A87}"/>
    <cellStyle name="Comma 4 2 2 2 3 4 3" xfId="5844" xr:uid="{00000000-0005-0000-0000-0000DE070000}"/>
    <cellStyle name="Comma 4 2 2 2 3 4 3 2" xfId="22721" xr:uid="{D9137441-FD50-4898-9D56-A1F0AFB362AF}"/>
    <cellStyle name="Comma 4 2 2 2 3 4 3 3" xfId="31155" xr:uid="{ED1EE1AA-863D-4C99-85F6-F1658C26FA87}"/>
    <cellStyle name="Comma 4 2 2 2 3 4 3 4" xfId="14283" xr:uid="{37CEA89A-FAD7-4B3F-939D-AD9DCACA56FF}"/>
    <cellStyle name="Comma 4 2 2 2 3 4 4" xfId="18503" xr:uid="{AA42696D-8570-4027-A4AC-17031E4DA4CE}"/>
    <cellStyle name="Comma 4 2 2 2 3 4 5" xfId="26938" xr:uid="{44C4F1B8-ADF1-407C-AF29-7DE8ACF339CE}"/>
    <cellStyle name="Comma 4 2 2 2 3 4 6" xfId="10065" xr:uid="{8FA6FC66-EADC-4602-9D2F-3259BD6D4400}"/>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25279" xr:uid="{39524590-6D89-47AF-93BA-7F7A252B5620}"/>
    <cellStyle name="Comma 4 2 2 2 3 5 2 2 3" xfId="33713" xr:uid="{625291B7-05E6-451E-BAD6-8987E356F738}"/>
    <cellStyle name="Comma 4 2 2 2 3 5 2 2 4" xfId="16841" xr:uid="{298A6292-A88C-4605-B9D4-ADEA60CD2AD2}"/>
    <cellStyle name="Comma 4 2 2 2 3 5 2 3" xfId="21061" xr:uid="{CF3A0D17-9093-488D-85E8-0282D2D5B02B}"/>
    <cellStyle name="Comma 4 2 2 2 3 5 2 4" xfId="29496" xr:uid="{4ED454B6-CD79-49DE-A5EC-42EC4C9E0A59}"/>
    <cellStyle name="Comma 4 2 2 2 3 5 2 5" xfId="12623" xr:uid="{DC4484F1-4AA4-4B22-AF8A-0F49DF634823}"/>
    <cellStyle name="Comma 4 2 2 2 3 5 3" xfId="6257" xr:uid="{00000000-0005-0000-0000-0000E2070000}"/>
    <cellStyle name="Comma 4 2 2 2 3 5 3 2" xfId="23134" xr:uid="{1588ACBA-DD17-4DD0-A850-7FC88CBAED41}"/>
    <cellStyle name="Comma 4 2 2 2 3 5 3 3" xfId="31568" xr:uid="{7CD81235-3E96-4F40-B1FD-CEF2189589D1}"/>
    <cellStyle name="Comma 4 2 2 2 3 5 3 4" xfId="14696" xr:uid="{6EAB66AA-9217-4E49-AD2D-C018228DA016}"/>
    <cellStyle name="Comma 4 2 2 2 3 5 4" xfId="18916" xr:uid="{129D08FB-EE64-40EE-B6BE-7EEAF214CBE6}"/>
    <cellStyle name="Comma 4 2 2 2 3 5 5" xfId="27351" xr:uid="{C442E4F7-05F5-48FB-B11E-3D85C7228F09}"/>
    <cellStyle name="Comma 4 2 2 2 3 5 6" xfId="10478" xr:uid="{FBAB8119-FD42-42C5-8CCC-05BBB967F6E1}"/>
    <cellStyle name="Comma 4 2 2 2 3 6" xfId="2385" xr:uid="{00000000-0005-0000-0000-0000E3070000}"/>
    <cellStyle name="Comma 4 2 2 2 3 6 2" xfId="6670" xr:uid="{00000000-0005-0000-0000-0000E4070000}"/>
    <cellStyle name="Comma 4 2 2 2 3 6 2 2" xfId="23547" xr:uid="{952D7D22-57A6-400B-BA9B-679B80EC370D}"/>
    <cellStyle name="Comma 4 2 2 2 3 6 2 3" xfId="31981" xr:uid="{2FD95F41-F7AD-4D32-BB4F-A3A324DFD109}"/>
    <cellStyle name="Comma 4 2 2 2 3 6 2 4" xfId="15109" xr:uid="{E2892B0B-DDBB-4536-B027-F3CEB1C4F337}"/>
    <cellStyle name="Comma 4 2 2 2 3 6 3" xfId="19329" xr:uid="{CEE490FC-BBBD-427F-AF65-497333845FF7}"/>
    <cellStyle name="Comma 4 2 2 2 3 6 4" xfId="27764" xr:uid="{A05C7C9F-6FA3-4F6C-9F17-E24C1D0AF4AF}"/>
    <cellStyle name="Comma 4 2 2 2 3 6 5" xfId="10891" xr:uid="{03977C15-94CC-4A5B-84F8-27F67F16C301}"/>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23864" xr:uid="{93FCBE78-91A9-4EAC-88EC-FA98566E0BC0}"/>
    <cellStyle name="Comma 4 2 2 2 3 8 2 3" xfId="32298" xr:uid="{AE2149CC-7DD6-4918-B0F4-DC221E7E73D7}"/>
    <cellStyle name="Comma 4 2 2 2 3 8 2 4" xfId="15426" xr:uid="{F20F4F9F-55B4-4D9F-B111-C1CBCB958082}"/>
    <cellStyle name="Comma 4 2 2 2 3 8 3" xfId="19646" xr:uid="{1FC951F4-012E-45EF-85A2-FCE912B43D04}"/>
    <cellStyle name="Comma 4 2 2 2 3 8 4" xfId="28081" xr:uid="{7F0ED427-255E-4710-8BED-475548F27F93}"/>
    <cellStyle name="Comma 4 2 2 2 3 8 5" xfId="11208" xr:uid="{B10D3466-2F4B-4DE7-A37B-3569F7E819D7}"/>
    <cellStyle name="Comma 4 2 2 2 3 9" xfId="4604" xr:uid="{00000000-0005-0000-0000-0000E8070000}"/>
    <cellStyle name="Comma 4 2 2 2 3 9 2" xfId="21481" xr:uid="{62AC28A4-4465-45D5-94F5-D513DAA64C11}"/>
    <cellStyle name="Comma 4 2 2 2 3 9 3" xfId="29915" xr:uid="{A65FBE9F-DE4F-4906-82DD-CDBC5B668478}"/>
    <cellStyle name="Comma 4 2 2 2 3 9 4" xfId="13043" xr:uid="{FD48CB57-E6C7-493A-86DC-6CBD1263E534}"/>
    <cellStyle name="Comma 4 2 2 2 4" xfId="666" xr:uid="{00000000-0005-0000-0000-0000E9070000}"/>
    <cellStyle name="Comma 4 2 2 2 4 2" xfId="2937" xr:uid="{00000000-0005-0000-0000-0000EA070000}"/>
    <cellStyle name="Comma 4 2 2 2 4 2 2" xfId="7160" xr:uid="{00000000-0005-0000-0000-0000EB070000}"/>
    <cellStyle name="Comma 4 2 2 2 4 2 2 2" xfId="24037" xr:uid="{440BB530-3069-4476-A1AC-A5B70A87A1F9}"/>
    <cellStyle name="Comma 4 2 2 2 4 2 2 3" xfId="32471" xr:uid="{2D3405AB-4A9B-4831-B6AD-C9BBB6521EC1}"/>
    <cellStyle name="Comma 4 2 2 2 4 2 2 4" xfId="15599" xr:uid="{E8A346B7-CD47-4E16-94CB-6D2E78609345}"/>
    <cellStyle name="Comma 4 2 2 2 4 2 3" xfId="19819" xr:uid="{A01250D5-9EA1-4CB0-9BF2-2C1A448FF27F}"/>
    <cellStyle name="Comma 4 2 2 2 4 2 4" xfId="28254" xr:uid="{EB047956-C552-40BB-AE20-54708B19B53F}"/>
    <cellStyle name="Comma 4 2 2 2 4 2 5" xfId="11381" xr:uid="{C68B769C-1BA8-4172-B7B7-26C903081515}"/>
    <cellStyle name="Comma 4 2 2 2 4 3" xfId="5015" xr:uid="{00000000-0005-0000-0000-0000EC070000}"/>
    <cellStyle name="Comma 4 2 2 2 4 3 2" xfId="21892" xr:uid="{20C579FE-582E-4045-AFC5-C7559AB82D02}"/>
    <cellStyle name="Comma 4 2 2 2 4 3 3" xfId="30326" xr:uid="{B60CBF6C-069A-4F71-918B-3B874DD2237B}"/>
    <cellStyle name="Comma 4 2 2 2 4 3 4" xfId="13454" xr:uid="{A7FF06FB-25FC-49CA-833A-F3AA00F9AC78}"/>
    <cellStyle name="Comma 4 2 2 2 4 4" xfId="17674" xr:uid="{8DC7D4FA-A7DF-4838-81BE-BA99E9F7CB39}"/>
    <cellStyle name="Comma 4 2 2 2 4 5" xfId="26109" xr:uid="{5C070A6D-1C0D-4547-BC3E-DD1D326C4A20}"/>
    <cellStyle name="Comma 4 2 2 2 4 6" xfId="9236" xr:uid="{40DC8C3D-0832-4D3C-917E-BFB69D7B9937}"/>
    <cellStyle name="Comma 4 2 2 2 5" xfId="1119" xr:uid="{00000000-0005-0000-0000-0000ED070000}"/>
    <cellStyle name="Comma 4 2 2 2 5 2" xfId="3350" xr:uid="{00000000-0005-0000-0000-0000EE070000}"/>
    <cellStyle name="Comma 4 2 2 2 5 2 2" xfId="7573" xr:uid="{00000000-0005-0000-0000-0000EF070000}"/>
    <cellStyle name="Comma 4 2 2 2 5 2 2 2" xfId="24450" xr:uid="{C8233E2F-E58D-4FC4-9C7D-DB5727A82F7C}"/>
    <cellStyle name="Comma 4 2 2 2 5 2 2 3" xfId="32884" xr:uid="{CA5126E2-2BAA-4F1C-9CE4-035EC3CB70F9}"/>
    <cellStyle name="Comma 4 2 2 2 5 2 2 4" xfId="16012" xr:uid="{96F117FF-5969-4BDC-923E-AA2E6493EA84}"/>
    <cellStyle name="Comma 4 2 2 2 5 2 3" xfId="20232" xr:uid="{CDBC5D16-F8CF-4E9D-B15B-0DE7F496D3E2}"/>
    <cellStyle name="Comma 4 2 2 2 5 2 4" xfId="28667" xr:uid="{DFB18DEE-01CF-4181-B22C-9F339514FFC2}"/>
    <cellStyle name="Comma 4 2 2 2 5 2 5" xfId="11794" xr:uid="{29D8563A-831D-4432-B017-99D23DEDEEDF}"/>
    <cellStyle name="Comma 4 2 2 2 5 3" xfId="5428" xr:uid="{00000000-0005-0000-0000-0000F0070000}"/>
    <cellStyle name="Comma 4 2 2 2 5 3 2" xfId="22305" xr:uid="{4CF53BF0-FB94-4D7A-BC14-4D67E1720504}"/>
    <cellStyle name="Comma 4 2 2 2 5 3 3" xfId="30739" xr:uid="{7E6767CA-08DB-478D-80D1-B45C63E40986}"/>
    <cellStyle name="Comma 4 2 2 2 5 3 4" xfId="13867" xr:uid="{F33E7D32-1E8E-45B3-9DDF-665025CEA884}"/>
    <cellStyle name="Comma 4 2 2 2 5 4" xfId="18087" xr:uid="{10C7AB6D-5B67-4707-97FE-C5DA1942BA35}"/>
    <cellStyle name="Comma 4 2 2 2 5 5" xfId="26522" xr:uid="{6EFC7D42-1AC7-4F40-8EE6-E96F83923C7A}"/>
    <cellStyle name="Comma 4 2 2 2 5 6" xfId="9649" xr:uid="{2B66D0D9-8F9C-4015-887D-B204EB41ABA2}"/>
    <cellStyle name="Comma 4 2 2 2 6" xfId="1533" xr:uid="{00000000-0005-0000-0000-0000F1070000}"/>
    <cellStyle name="Comma 4 2 2 2 6 2" xfId="3763" xr:uid="{00000000-0005-0000-0000-0000F2070000}"/>
    <cellStyle name="Comma 4 2 2 2 6 2 2" xfId="7986" xr:uid="{00000000-0005-0000-0000-0000F3070000}"/>
    <cellStyle name="Comma 4 2 2 2 6 2 2 2" xfId="24863" xr:uid="{37ACDE90-E5AC-464C-A31E-D85F2A4B815D}"/>
    <cellStyle name="Comma 4 2 2 2 6 2 2 3" xfId="33297" xr:uid="{3B3AF445-3688-46DA-8C58-BC54FF9ECC25}"/>
    <cellStyle name="Comma 4 2 2 2 6 2 2 4" xfId="16425" xr:uid="{C24D4DC7-EB63-40A2-BE3A-EBFE6BE4174D}"/>
    <cellStyle name="Comma 4 2 2 2 6 2 3" xfId="20645" xr:uid="{69647BE1-575C-4D9F-89BF-50ECC672BC0D}"/>
    <cellStyle name="Comma 4 2 2 2 6 2 4" xfId="29080" xr:uid="{C426A63F-EDE6-463F-BBD0-747D47B2B2C1}"/>
    <cellStyle name="Comma 4 2 2 2 6 2 5" xfId="12207" xr:uid="{4D08A96F-911A-468C-AF0B-C387542C450C}"/>
    <cellStyle name="Comma 4 2 2 2 6 3" xfId="5841" xr:uid="{00000000-0005-0000-0000-0000F4070000}"/>
    <cellStyle name="Comma 4 2 2 2 6 3 2" xfId="22718" xr:uid="{61662C83-4E53-40D9-962A-E87F7ECCD6F8}"/>
    <cellStyle name="Comma 4 2 2 2 6 3 3" xfId="31152" xr:uid="{BF07079D-B9E1-4C10-8267-76CB28779B19}"/>
    <cellStyle name="Comma 4 2 2 2 6 3 4" xfId="14280" xr:uid="{78442CC6-87B6-4165-B286-6C425FBE89DC}"/>
    <cellStyle name="Comma 4 2 2 2 6 4" xfId="18500" xr:uid="{8610116C-F6AE-4952-B29A-BEE4AB41FC98}"/>
    <cellStyle name="Comma 4 2 2 2 6 5" xfId="26935" xr:uid="{0AD07201-8438-4D28-9798-26FBDE7EF1BA}"/>
    <cellStyle name="Comma 4 2 2 2 6 6" xfId="10062" xr:uid="{440950B5-68FC-41A2-9DD9-413E9F10AF4B}"/>
    <cellStyle name="Comma 4 2 2 2 7" xfId="1947" xr:uid="{00000000-0005-0000-0000-0000F5070000}"/>
    <cellStyle name="Comma 4 2 2 2 7 2" xfId="4176" xr:uid="{00000000-0005-0000-0000-0000F6070000}"/>
    <cellStyle name="Comma 4 2 2 2 7 2 2" xfId="8399" xr:uid="{00000000-0005-0000-0000-0000F7070000}"/>
    <cellStyle name="Comma 4 2 2 2 7 2 2 2" xfId="25276" xr:uid="{25607E1A-3917-4799-9377-44B88671FB68}"/>
    <cellStyle name="Comma 4 2 2 2 7 2 2 3" xfId="33710" xr:uid="{520ABE90-1C66-4421-8AD3-2E05FCBBF491}"/>
    <cellStyle name="Comma 4 2 2 2 7 2 2 4" xfId="16838" xr:uid="{D6E6B296-DCE6-4854-AAFB-2EA8CBCCF025}"/>
    <cellStyle name="Comma 4 2 2 2 7 2 3" xfId="21058" xr:uid="{6C93C455-55D3-46CA-ABDB-59ED97D94D94}"/>
    <cellStyle name="Comma 4 2 2 2 7 2 4" xfId="29493" xr:uid="{49A5A8D9-A953-4E61-93F4-CF1A152D5E92}"/>
    <cellStyle name="Comma 4 2 2 2 7 2 5" xfId="12620" xr:uid="{AB621201-5A97-4F1E-AFC2-AAEF95C2A0BF}"/>
    <cellStyle name="Comma 4 2 2 2 7 3" xfId="6254" xr:uid="{00000000-0005-0000-0000-0000F8070000}"/>
    <cellStyle name="Comma 4 2 2 2 7 3 2" xfId="23131" xr:uid="{E114DDC5-E9DE-49D5-BCC8-36B5684EC48E}"/>
    <cellStyle name="Comma 4 2 2 2 7 3 3" xfId="31565" xr:uid="{164A8607-CEB6-41CC-8628-0E7A01E1DD03}"/>
    <cellStyle name="Comma 4 2 2 2 7 3 4" xfId="14693" xr:uid="{E4B7C794-6414-4012-BC02-303D07670CE9}"/>
    <cellStyle name="Comma 4 2 2 2 7 4" xfId="18913" xr:uid="{05C5A334-32B3-41DC-A882-AB79C1390394}"/>
    <cellStyle name="Comma 4 2 2 2 7 5" xfId="27348" xr:uid="{3C515544-3100-451E-8D37-FE6FE7A3835A}"/>
    <cellStyle name="Comma 4 2 2 2 7 6" xfId="10475" xr:uid="{5FFF203E-244D-4BE9-8DFC-854D32941CA5}"/>
    <cellStyle name="Comma 4 2 2 2 8" xfId="2382" xr:uid="{00000000-0005-0000-0000-0000F9070000}"/>
    <cellStyle name="Comma 4 2 2 2 8 2" xfId="6667" xr:uid="{00000000-0005-0000-0000-0000FA070000}"/>
    <cellStyle name="Comma 4 2 2 2 8 2 2" xfId="23544" xr:uid="{9A1DD697-EA73-4371-8234-76147937A479}"/>
    <cellStyle name="Comma 4 2 2 2 8 2 3" xfId="31978" xr:uid="{1308E1D4-E327-47AC-813B-C06ED0AB4DCB}"/>
    <cellStyle name="Comma 4 2 2 2 8 2 4" xfId="15106" xr:uid="{20AEA5E8-D381-4060-AF87-5732DBA937F0}"/>
    <cellStyle name="Comma 4 2 2 2 8 3" xfId="19326" xr:uid="{46B16517-D25B-4D5D-B946-B57A5ACBC5C1}"/>
    <cellStyle name="Comma 4 2 2 2 8 4" xfId="27761" xr:uid="{8917DCDF-C03F-48E5-8856-FE62CD65FAA6}"/>
    <cellStyle name="Comma 4 2 2 2 8 5" xfId="10888" xr:uid="{F438F6F6-B602-4754-B0D9-447EC78B0FD4}"/>
    <cellStyle name="Comma 4 2 2 2 9" xfId="2381" xr:uid="{00000000-0005-0000-0000-0000FB070000}"/>
    <cellStyle name="Comma 4 2 2 3" xfId="132" xr:uid="{00000000-0005-0000-0000-0000FC070000}"/>
    <cellStyle name="Comma 4 2 2 3 10" xfId="4605" xr:uid="{00000000-0005-0000-0000-0000FD070000}"/>
    <cellStyle name="Comma 4 2 2 3 10 2" xfId="21482" xr:uid="{82C2E713-32A2-4F22-B7C1-CCCCBCB3C1CE}"/>
    <cellStyle name="Comma 4 2 2 3 10 3" xfId="29916" xr:uid="{7245A758-68B4-43D9-9C64-68BD3AC2AF2F}"/>
    <cellStyle name="Comma 4 2 2 3 10 4" xfId="13044" xr:uid="{1F342F76-44D0-4F52-8AEF-C9739E8AD720}"/>
    <cellStyle name="Comma 4 2 2 3 11" xfId="17264" xr:uid="{70EE6CE5-6DB4-41CA-B5A3-99EAA1DDBB7A}"/>
    <cellStyle name="Comma 4 2 2 3 12" xfId="25699" xr:uid="{D7D14953-341C-4E5F-BB4B-6701A03D1CED}"/>
    <cellStyle name="Comma 4 2 2 3 13" xfId="8826" xr:uid="{D75EA6BB-6E66-47C7-AA6E-D30348EB9FF6}"/>
    <cellStyle name="Comma 4 2 2 3 2" xfId="133" xr:uid="{00000000-0005-0000-0000-0000FE070000}"/>
    <cellStyle name="Comma 4 2 2 3 2 10" xfId="17265" xr:uid="{358FD7C2-3F54-4217-A0B8-7476A27DE234}"/>
    <cellStyle name="Comma 4 2 2 3 2 11" xfId="25700" xr:uid="{E51E37F3-3235-4815-915C-9348E9E8C10E}"/>
    <cellStyle name="Comma 4 2 2 3 2 12" xfId="8827" xr:uid="{968D37AC-865F-4AFA-AF34-0AA0A9796A0D}"/>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24042" xr:uid="{D75E8AE4-BC5E-4934-A515-97C1CD1CB700}"/>
    <cellStyle name="Comma 4 2 2 3 2 2 2 2 3" xfId="32476" xr:uid="{0F765385-BDBB-4F44-9316-574F00E8C3CE}"/>
    <cellStyle name="Comma 4 2 2 3 2 2 2 2 4" xfId="15604" xr:uid="{A1F755C5-2B77-4922-85FC-1B69AEC11D17}"/>
    <cellStyle name="Comma 4 2 2 3 2 2 2 3" xfId="19824" xr:uid="{90DEB4AC-05F4-4273-B404-AE6572F242A7}"/>
    <cellStyle name="Comma 4 2 2 3 2 2 2 4" xfId="28259" xr:uid="{DBE908FA-1393-4EDC-A48B-D23BCF515863}"/>
    <cellStyle name="Comma 4 2 2 3 2 2 2 5" xfId="11386" xr:uid="{A55A1AD6-35A7-41FA-A58C-1F72DDFCC0DC}"/>
    <cellStyle name="Comma 4 2 2 3 2 2 3" xfId="5020" xr:uid="{00000000-0005-0000-0000-000002080000}"/>
    <cellStyle name="Comma 4 2 2 3 2 2 3 2" xfId="21897" xr:uid="{98FBCFA6-2A32-4176-816C-DB348ADE0011}"/>
    <cellStyle name="Comma 4 2 2 3 2 2 3 3" xfId="30331" xr:uid="{F019FCE5-3B40-4525-8BF0-7C626CC2B38F}"/>
    <cellStyle name="Comma 4 2 2 3 2 2 3 4" xfId="13459" xr:uid="{EEAA1578-C831-493F-8B21-5968B4D2AD2C}"/>
    <cellStyle name="Comma 4 2 2 3 2 2 4" xfId="17679" xr:uid="{09C70216-E752-4713-A147-62EC73951B14}"/>
    <cellStyle name="Comma 4 2 2 3 2 2 5" xfId="26114" xr:uid="{BD128BC2-C5F8-4BFF-A722-FF02BE9C2D6B}"/>
    <cellStyle name="Comma 4 2 2 3 2 2 6" xfId="9241" xr:uid="{598574B9-10FC-462F-82B0-969CFFB4B65A}"/>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24455" xr:uid="{0DFFFE6F-C0CD-4B7A-877C-1E142FF56956}"/>
    <cellStyle name="Comma 4 2 2 3 2 3 2 2 3" xfId="32889" xr:uid="{95C09953-89D9-4266-908F-D1F6ED8DC872}"/>
    <cellStyle name="Comma 4 2 2 3 2 3 2 2 4" xfId="16017" xr:uid="{2D0D826B-6FB9-411B-B2C7-A1BFE916F017}"/>
    <cellStyle name="Comma 4 2 2 3 2 3 2 3" xfId="20237" xr:uid="{2410D687-5FB4-4719-AC8C-8AABF1B7581B}"/>
    <cellStyle name="Comma 4 2 2 3 2 3 2 4" xfId="28672" xr:uid="{A97A0575-4DFD-45D0-8A54-ED9E4D7E1BC3}"/>
    <cellStyle name="Comma 4 2 2 3 2 3 2 5" xfId="11799" xr:uid="{6D6FAB5F-608E-4F59-B314-BFC94F32080B}"/>
    <cellStyle name="Comma 4 2 2 3 2 3 3" xfId="5433" xr:uid="{00000000-0005-0000-0000-000006080000}"/>
    <cellStyle name="Comma 4 2 2 3 2 3 3 2" xfId="22310" xr:uid="{7CB071B2-5A12-49AD-BA85-F577205C880C}"/>
    <cellStyle name="Comma 4 2 2 3 2 3 3 3" xfId="30744" xr:uid="{EC10CD4B-A6E2-4230-A9AC-555E27E22346}"/>
    <cellStyle name="Comma 4 2 2 3 2 3 3 4" xfId="13872" xr:uid="{318BE77F-E371-4525-B248-65F968D8ADB3}"/>
    <cellStyle name="Comma 4 2 2 3 2 3 4" xfId="18092" xr:uid="{E59CAB26-E492-4BBA-A28E-5B62FB17DB40}"/>
    <cellStyle name="Comma 4 2 2 3 2 3 5" xfId="26527" xr:uid="{26FD1E35-BA9D-4098-9326-26E5DABE2FCF}"/>
    <cellStyle name="Comma 4 2 2 3 2 3 6" xfId="9654" xr:uid="{E5CAB214-CEF9-44C5-8EC2-44FDD12ABEF0}"/>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24868" xr:uid="{172371E2-9235-4382-9F7D-D1368B9EA6A3}"/>
    <cellStyle name="Comma 4 2 2 3 2 4 2 2 3" xfId="33302" xr:uid="{A237DA20-FF1C-473D-AD46-987B5BDDE210}"/>
    <cellStyle name="Comma 4 2 2 3 2 4 2 2 4" xfId="16430" xr:uid="{D3B17968-4104-419A-B0A3-6C59918C79EC}"/>
    <cellStyle name="Comma 4 2 2 3 2 4 2 3" xfId="20650" xr:uid="{018B6E87-5F3F-48DD-90A1-D1BA404EEE2D}"/>
    <cellStyle name="Comma 4 2 2 3 2 4 2 4" xfId="29085" xr:uid="{B247CF6E-F693-4879-B266-87321B0C2BFC}"/>
    <cellStyle name="Comma 4 2 2 3 2 4 2 5" xfId="12212" xr:uid="{9FF44EC3-01F9-453E-9183-EA58784FBF8F}"/>
    <cellStyle name="Comma 4 2 2 3 2 4 3" xfId="5846" xr:uid="{00000000-0005-0000-0000-00000A080000}"/>
    <cellStyle name="Comma 4 2 2 3 2 4 3 2" xfId="22723" xr:uid="{35540D6F-6DB4-4A8D-86C7-C91B8ACA35D2}"/>
    <cellStyle name="Comma 4 2 2 3 2 4 3 3" xfId="31157" xr:uid="{61463175-0FF7-4AB8-8721-7F07327A55DB}"/>
    <cellStyle name="Comma 4 2 2 3 2 4 3 4" xfId="14285" xr:uid="{FE962693-57E6-47CD-BA9A-4BEA6A50D375}"/>
    <cellStyle name="Comma 4 2 2 3 2 4 4" xfId="18505" xr:uid="{1D36355F-A50B-4A1E-88F3-DBB5CA9FEA89}"/>
    <cellStyle name="Comma 4 2 2 3 2 4 5" xfId="26940" xr:uid="{A9FD782F-8645-4A7D-B75A-9914D01B3E56}"/>
    <cellStyle name="Comma 4 2 2 3 2 4 6" xfId="10067" xr:uid="{2645B8E6-F6B5-4398-A496-40E4A3F865EE}"/>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25281" xr:uid="{02665D74-5B70-427C-81DA-F7D92F204B2F}"/>
    <cellStyle name="Comma 4 2 2 3 2 5 2 2 3" xfId="33715" xr:uid="{286C89AF-02E5-4DB2-A4ED-90E70336C041}"/>
    <cellStyle name="Comma 4 2 2 3 2 5 2 2 4" xfId="16843" xr:uid="{0A305322-3E13-42C0-8631-F0D9C23B3944}"/>
    <cellStyle name="Comma 4 2 2 3 2 5 2 3" xfId="21063" xr:uid="{6D27375C-63DD-4ACB-979E-0026C3896F42}"/>
    <cellStyle name="Comma 4 2 2 3 2 5 2 4" xfId="29498" xr:uid="{EBD76F50-6B21-4FB4-8866-BEA230D97A7D}"/>
    <cellStyle name="Comma 4 2 2 3 2 5 2 5" xfId="12625" xr:uid="{01826A29-BA32-4634-9BA8-334071CF8E66}"/>
    <cellStyle name="Comma 4 2 2 3 2 5 3" xfId="6259" xr:uid="{00000000-0005-0000-0000-00000E080000}"/>
    <cellStyle name="Comma 4 2 2 3 2 5 3 2" xfId="23136" xr:uid="{3B8D3EA2-F1BE-49A4-8E13-A8AD3C41BE25}"/>
    <cellStyle name="Comma 4 2 2 3 2 5 3 3" xfId="31570" xr:uid="{0D3F78B6-7D22-4D71-A7A6-2AE327840502}"/>
    <cellStyle name="Comma 4 2 2 3 2 5 3 4" xfId="14698" xr:uid="{4BB3BD6C-0CCE-4926-BCC9-465CE432ED57}"/>
    <cellStyle name="Comma 4 2 2 3 2 5 4" xfId="18918" xr:uid="{185936C6-60DC-4ACB-95C8-5A4D208E2DA3}"/>
    <cellStyle name="Comma 4 2 2 3 2 5 5" xfId="27353" xr:uid="{93BDEA6A-5949-40B0-8AAB-C2C0A1621093}"/>
    <cellStyle name="Comma 4 2 2 3 2 5 6" xfId="10480" xr:uid="{7241F82F-801B-468B-8677-E6F5788108FC}"/>
    <cellStyle name="Comma 4 2 2 3 2 6" xfId="2387" xr:uid="{00000000-0005-0000-0000-00000F080000}"/>
    <cellStyle name="Comma 4 2 2 3 2 6 2" xfId="6672" xr:uid="{00000000-0005-0000-0000-000010080000}"/>
    <cellStyle name="Comma 4 2 2 3 2 6 2 2" xfId="23549" xr:uid="{95E4C37A-1A62-4622-96FB-BA2676245BA8}"/>
    <cellStyle name="Comma 4 2 2 3 2 6 2 3" xfId="31983" xr:uid="{28F5ED86-8C7A-4CE0-93E3-FC1DBA14679F}"/>
    <cellStyle name="Comma 4 2 2 3 2 6 2 4" xfId="15111" xr:uid="{44CA1783-CF88-440E-B8C2-B4550B697B0B}"/>
    <cellStyle name="Comma 4 2 2 3 2 6 3" xfId="19331" xr:uid="{70F20639-8BA6-4AD3-B228-9AFC6A60DE65}"/>
    <cellStyle name="Comma 4 2 2 3 2 6 4" xfId="27766" xr:uid="{D78D2778-C224-4814-A4A5-9BF543A02C5C}"/>
    <cellStyle name="Comma 4 2 2 3 2 6 5" xfId="10893" xr:uid="{D24657F6-55BB-4975-9B02-E7583281B910}"/>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23866" xr:uid="{0CFA7D9F-626F-4B96-B246-0B7C1F9D2173}"/>
    <cellStyle name="Comma 4 2 2 3 2 8 2 3" xfId="32300" xr:uid="{56050802-1942-4D69-B202-4D4C24FD42D4}"/>
    <cellStyle name="Comma 4 2 2 3 2 8 2 4" xfId="15428" xr:uid="{4FB8447C-EE3F-48D4-ABBE-9B1D1A25C0B9}"/>
    <cellStyle name="Comma 4 2 2 3 2 8 3" xfId="19648" xr:uid="{5A02DD6D-04FD-4D62-A4B8-9C25CDAE7AF5}"/>
    <cellStyle name="Comma 4 2 2 3 2 8 4" xfId="28083" xr:uid="{DBB32BF8-E36B-4890-BD9B-DC468DDEA467}"/>
    <cellStyle name="Comma 4 2 2 3 2 8 5" xfId="11210" xr:uid="{BB6E6CFE-C4DC-49F3-A5C4-BEE10952A2AE}"/>
    <cellStyle name="Comma 4 2 2 3 2 9" xfId="4606" xr:uid="{00000000-0005-0000-0000-000014080000}"/>
    <cellStyle name="Comma 4 2 2 3 2 9 2" xfId="21483" xr:uid="{9CBED251-2FCC-47A3-A3E2-BB3189BD79A2}"/>
    <cellStyle name="Comma 4 2 2 3 2 9 3" xfId="29917" xr:uid="{5505CF1A-8310-4539-8DAF-8302E3220BD3}"/>
    <cellStyle name="Comma 4 2 2 3 2 9 4" xfId="13045" xr:uid="{A066C692-497F-492A-A753-E0DEACC24CC3}"/>
    <cellStyle name="Comma 4 2 2 3 3" xfId="670" xr:uid="{00000000-0005-0000-0000-000015080000}"/>
    <cellStyle name="Comma 4 2 2 3 3 2" xfId="2941" xr:uid="{00000000-0005-0000-0000-000016080000}"/>
    <cellStyle name="Comma 4 2 2 3 3 2 2" xfId="7164" xr:uid="{00000000-0005-0000-0000-000017080000}"/>
    <cellStyle name="Comma 4 2 2 3 3 2 2 2" xfId="24041" xr:uid="{84FDAE01-632C-45D0-8875-8C5559D746E8}"/>
    <cellStyle name="Comma 4 2 2 3 3 2 2 3" xfId="32475" xr:uid="{2E626908-FD94-406D-A10B-1C1D5EA3C7CF}"/>
    <cellStyle name="Comma 4 2 2 3 3 2 2 4" xfId="15603" xr:uid="{9A81B547-7B0E-4CD2-AF08-EEFF69DD2840}"/>
    <cellStyle name="Comma 4 2 2 3 3 2 3" xfId="19823" xr:uid="{75F6D489-FBB0-4B78-86C3-DE8B011994DD}"/>
    <cellStyle name="Comma 4 2 2 3 3 2 4" xfId="28258" xr:uid="{B4F09128-9D0B-4DE9-B4D4-0520C53EE504}"/>
    <cellStyle name="Comma 4 2 2 3 3 2 5" xfId="11385" xr:uid="{EBD29993-E3E2-43FE-B193-4AA40D85F7A3}"/>
    <cellStyle name="Comma 4 2 2 3 3 3" xfId="5019" xr:uid="{00000000-0005-0000-0000-000018080000}"/>
    <cellStyle name="Comma 4 2 2 3 3 3 2" xfId="21896" xr:uid="{820733DA-DD81-4F8F-BD84-A57223AA9EB2}"/>
    <cellStyle name="Comma 4 2 2 3 3 3 3" xfId="30330" xr:uid="{83CA6057-782C-46E6-8E4A-5A175A17573A}"/>
    <cellStyle name="Comma 4 2 2 3 3 3 4" xfId="13458" xr:uid="{7F06134F-B380-4752-82AF-6035EA697653}"/>
    <cellStyle name="Comma 4 2 2 3 3 4" xfId="17678" xr:uid="{1E27D652-B936-48C0-80A6-E5BE62DCE318}"/>
    <cellStyle name="Comma 4 2 2 3 3 5" xfId="26113" xr:uid="{17FB256F-7BCB-4521-A5EB-A3D8B31B4793}"/>
    <cellStyle name="Comma 4 2 2 3 3 6" xfId="9240" xr:uid="{91287D08-31AC-484D-BBA8-A205F76A5CB7}"/>
    <cellStyle name="Comma 4 2 2 3 4" xfId="1123" xr:uid="{00000000-0005-0000-0000-000019080000}"/>
    <cellStyle name="Comma 4 2 2 3 4 2" xfId="3354" xr:uid="{00000000-0005-0000-0000-00001A080000}"/>
    <cellStyle name="Comma 4 2 2 3 4 2 2" xfId="7577" xr:uid="{00000000-0005-0000-0000-00001B080000}"/>
    <cellStyle name="Comma 4 2 2 3 4 2 2 2" xfId="24454" xr:uid="{BB5598B1-DBB5-411A-97C6-1EDD7CBE6DA3}"/>
    <cellStyle name="Comma 4 2 2 3 4 2 2 3" xfId="32888" xr:uid="{0CC37481-96F8-478F-A096-0F59164AA002}"/>
    <cellStyle name="Comma 4 2 2 3 4 2 2 4" xfId="16016" xr:uid="{DACCB99A-59E9-4FEE-8EBB-076A44A486DD}"/>
    <cellStyle name="Comma 4 2 2 3 4 2 3" xfId="20236" xr:uid="{C33DC48C-EBD8-4408-8C6D-39F23FBC72AD}"/>
    <cellStyle name="Comma 4 2 2 3 4 2 4" xfId="28671" xr:uid="{E05384E8-9A81-436A-96A4-789F603744B1}"/>
    <cellStyle name="Comma 4 2 2 3 4 2 5" xfId="11798" xr:uid="{25926ED7-CB6F-4FC6-B449-9694815A7624}"/>
    <cellStyle name="Comma 4 2 2 3 4 3" xfId="5432" xr:uid="{00000000-0005-0000-0000-00001C080000}"/>
    <cellStyle name="Comma 4 2 2 3 4 3 2" xfId="22309" xr:uid="{AB12B706-9216-4661-9131-948E5673F9B8}"/>
    <cellStyle name="Comma 4 2 2 3 4 3 3" xfId="30743" xr:uid="{1A044FDC-F78E-45DD-9E5E-D2C953344671}"/>
    <cellStyle name="Comma 4 2 2 3 4 3 4" xfId="13871" xr:uid="{EA588A52-313E-4F19-8663-32ED1B7CDD3F}"/>
    <cellStyle name="Comma 4 2 2 3 4 4" xfId="18091" xr:uid="{206FE597-0636-4CE4-91CE-D19A1A092EF2}"/>
    <cellStyle name="Comma 4 2 2 3 4 5" xfId="26526" xr:uid="{6810B540-A3CD-4C0A-AE00-E4E1FBF9A7BD}"/>
    <cellStyle name="Comma 4 2 2 3 4 6" xfId="9653" xr:uid="{E0FA7F0C-B9A6-4913-BDF4-42845E1E5EFC}"/>
    <cellStyle name="Comma 4 2 2 3 5" xfId="1537" xr:uid="{00000000-0005-0000-0000-00001D080000}"/>
    <cellStyle name="Comma 4 2 2 3 5 2" xfId="3767" xr:uid="{00000000-0005-0000-0000-00001E080000}"/>
    <cellStyle name="Comma 4 2 2 3 5 2 2" xfId="7990" xr:uid="{00000000-0005-0000-0000-00001F080000}"/>
    <cellStyle name="Comma 4 2 2 3 5 2 2 2" xfId="24867" xr:uid="{344D433D-248C-4AAD-9992-10D8E62E1976}"/>
    <cellStyle name="Comma 4 2 2 3 5 2 2 3" xfId="33301" xr:uid="{9D0C4CE0-5CCB-4742-A675-F97CB586A5A6}"/>
    <cellStyle name="Comma 4 2 2 3 5 2 2 4" xfId="16429" xr:uid="{78B41D19-5C08-4F97-9ECD-5C0B1035C590}"/>
    <cellStyle name="Comma 4 2 2 3 5 2 3" xfId="20649" xr:uid="{3CE944FB-B450-46D6-9FC4-F7B2B974AAC8}"/>
    <cellStyle name="Comma 4 2 2 3 5 2 4" xfId="29084" xr:uid="{52084BBB-C973-445A-AE79-753F97418625}"/>
    <cellStyle name="Comma 4 2 2 3 5 2 5" xfId="12211" xr:uid="{402AB402-714F-4C23-9914-A05CFC4CEEDF}"/>
    <cellStyle name="Comma 4 2 2 3 5 3" xfId="5845" xr:uid="{00000000-0005-0000-0000-000020080000}"/>
    <cellStyle name="Comma 4 2 2 3 5 3 2" xfId="22722" xr:uid="{EF6889D2-D6D5-4F86-8B71-19F5EB1009D6}"/>
    <cellStyle name="Comma 4 2 2 3 5 3 3" xfId="31156" xr:uid="{B80898D9-5A72-4730-A82F-83A803430228}"/>
    <cellStyle name="Comma 4 2 2 3 5 3 4" xfId="14284" xr:uid="{21F63134-4861-4569-A992-D77FC17C4B9F}"/>
    <cellStyle name="Comma 4 2 2 3 5 4" xfId="18504" xr:uid="{852F08D0-13CB-4507-8394-B3033110E18D}"/>
    <cellStyle name="Comma 4 2 2 3 5 5" xfId="26939" xr:uid="{A1DBC02F-E39B-41B1-AA4E-361D1DF2D09C}"/>
    <cellStyle name="Comma 4 2 2 3 5 6" xfId="10066" xr:uid="{45862865-F172-45BD-B6F5-D2661D411636}"/>
    <cellStyle name="Comma 4 2 2 3 6" xfId="1951" xr:uid="{00000000-0005-0000-0000-000021080000}"/>
    <cellStyle name="Comma 4 2 2 3 6 2" xfId="4180" xr:uid="{00000000-0005-0000-0000-000022080000}"/>
    <cellStyle name="Comma 4 2 2 3 6 2 2" xfId="8403" xr:uid="{00000000-0005-0000-0000-000023080000}"/>
    <cellStyle name="Comma 4 2 2 3 6 2 2 2" xfId="25280" xr:uid="{792D373E-8876-4808-A17D-AD37C9BE021B}"/>
    <cellStyle name="Comma 4 2 2 3 6 2 2 3" xfId="33714" xr:uid="{05232E8C-5983-4A14-8932-70A3FDD5A1EA}"/>
    <cellStyle name="Comma 4 2 2 3 6 2 2 4" xfId="16842" xr:uid="{A41248DD-5103-4C75-BE31-49A376D8ADA3}"/>
    <cellStyle name="Comma 4 2 2 3 6 2 3" xfId="21062" xr:uid="{F237245F-71A4-46FB-AAF1-093291D1D36D}"/>
    <cellStyle name="Comma 4 2 2 3 6 2 4" xfId="29497" xr:uid="{3702E0B1-13EC-413A-9B80-EBF7A8369B2D}"/>
    <cellStyle name="Comma 4 2 2 3 6 2 5" xfId="12624" xr:uid="{0D37A3FD-8306-4B4A-BADC-3E7CF5EDD32C}"/>
    <cellStyle name="Comma 4 2 2 3 6 3" xfId="6258" xr:uid="{00000000-0005-0000-0000-000024080000}"/>
    <cellStyle name="Comma 4 2 2 3 6 3 2" xfId="23135" xr:uid="{89AF02B2-F2E9-4DCC-B823-4E5714D08B46}"/>
    <cellStyle name="Comma 4 2 2 3 6 3 3" xfId="31569" xr:uid="{82DB4573-6A36-4957-B79B-EB78EC17056E}"/>
    <cellStyle name="Comma 4 2 2 3 6 3 4" xfId="14697" xr:uid="{D8FFA1C7-5E8D-4A1B-A51A-427BDEF89EBD}"/>
    <cellStyle name="Comma 4 2 2 3 6 4" xfId="18917" xr:uid="{86932A9C-9035-48B0-8E97-73D5C8170D63}"/>
    <cellStyle name="Comma 4 2 2 3 6 5" xfId="27352" xr:uid="{CFAB45D5-6682-435E-ADFD-24C81318830A}"/>
    <cellStyle name="Comma 4 2 2 3 6 6" xfId="10479" xr:uid="{375A18BB-3EB5-48EA-BA12-839F38618281}"/>
    <cellStyle name="Comma 4 2 2 3 7" xfId="2386" xr:uid="{00000000-0005-0000-0000-000025080000}"/>
    <cellStyle name="Comma 4 2 2 3 7 2" xfId="6671" xr:uid="{00000000-0005-0000-0000-000026080000}"/>
    <cellStyle name="Comma 4 2 2 3 7 2 2" xfId="23548" xr:uid="{40CBD7A5-6E19-4FCD-9870-B381194C737E}"/>
    <cellStyle name="Comma 4 2 2 3 7 2 3" xfId="31982" xr:uid="{583B87E0-4A17-42B4-A74E-A2487F87F4E2}"/>
    <cellStyle name="Comma 4 2 2 3 7 2 4" xfId="15110" xr:uid="{770DB671-C9E7-4E4B-A334-C67750A0634A}"/>
    <cellStyle name="Comma 4 2 2 3 7 3" xfId="19330" xr:uid="{15B821B0-99DB-4BB6-B6DB-2FA475136F62}"/>
    <cellStyle name="Comma 4 2 2 3 7 4" xfId="27765" xr:uid="{945CC973-C3DE-4EA0-ACB9-3D0582568E06}"/>
    <cellStyle name="Comma 4 2 2 3 7 5" xfId="10892" xr:uid="{B11DEBB0-7D93-48F6-BEE9-D63E9951FE08}"/>
    <cellStyle name="Comma 4 2 2 3 8" xfId="2377" xr:uid="{00000000-0005-0000-0000-000027080000}"/>
    <cellStyle name="Comma 4 2 2 3 9" xfId="2764" xr:uid="{00000000-0005-0000-0000-000028080000}"/>
    <cellStyle name="Comma 4 2 2 3 9 2" xfId="6988" xr:uid="{00000000-0005-0000-0000-000029080000}"/>
    <cellStyle name="Comma 4 2 2 3 9 2 2" xfId="23865" xr:uid="{86FE39EC-3FF6-49A8-89B0-D2201CE24CB4}"/>
    <cellStyle name="Comma 4 2 2 3 9 2 3" xfId="32299" xr:uid="{6FFE734E-0646-4058-9383-E7797459F729}"/>
    <cellStyle name="Comma 4 2 2 3 9 2 4" xfId="15427" xr:uid="{732FA60E-44B1-4D31-AABA-D65301FBDC97}"/>
    <cellStyle name="Comma 4 2 2 3 9 3" xfId="19647" xr:uid="{A633E094-FB26-4D67-AB3B-A8D461796C01}"/>
    <cellStyle name="Comma 4 2 2 3 9 4" xfId="28082" xr:uid="{ADCDF38F-FFB5-4FC6-A2A3-573B6D870E49}"/>
    <cellStyle name="Comma 4 2 2 3 9 5" xfId="11209" xr:uid="{54377222-C915-406D-8FF3-35B831B50894}"/>
    <cellStyle name="Comma 4 2 2 4" xfId="134" xr:uid="{00000000-0005-0000-0000-00002A080000}"/>
    <cellStyle name="Comma 4 2 2 4 10" xfId="17266" xr:uid="{006415E6-BD10-4742-8779-C82CD7C7D32D}"/>
    <cellStyle name="Comma 4 2 2 4 11" xfId="25701" xr:uid="{AD94FAA6-D734-4846-A4B4-C433F1F95F32}"/>
    <cellStyle name="Comma 4 2 2 4 12" xfId="8828" xr:uid="{BED8CA57-7A10-44FF-BD80-BE8EEE906213}"/>
    <cellStyle name="Comma 4 2 2 4 2" xfId="672" xr:uid="{00000000-0005-0000-0000-00002B080000}"/>
    <cellStyle name="Comma 4 2 2 4 2 2" xfId="2943" xr:uid="{00000000-0005-0000-0000-00002C080000}"/>
    <cellStyle name="Comma 4 2 2 4 2 2 2" xfId="7166" xr:uid="{00000000-0005-0000-0000-00002D080000}"/>
    <cellStyle name="Comma 4 2 2 4 2 2 2 2" xfId="24043" xr:uid="{524430CB-1355-42B8-89AC-46411721DED0}"/>
    <cellStyle name="Comma 4 2 2 4 2 2 2 3" xfId="32477" xr:uid="{971CDB5D-802A-435D-A05D-7011C622F889}"/>
    <cellStyle name="Comma 4 2 2 4 2 2 2 4" xfId="15605" xr:uid="{20A76213-C404-4D50-A5A5-7ACA6873DF07}"/>
    <cellStyle name="Comma 4 2 2 4 2 2 3" xfId="19825" xr:uid="{B064A2DD-F4D8-40DA-AEC9-36CEBD88FD39}"/>
    <cellStyle name="Comma 4 2 2 4 2 2 4" xfId="28260" xr:uid="{7C2AC4D9-E138-4E01-AECC-47B52DFB76DE}"/>
    <cellStyle name="Comma 4 2 2 4 2 2 5" xfId="11387" xr:uid="{191AAF0B-DD98-486C-8609-77D8E811B003}"/>
    <cellStyle name="Comma 4 2 2 4 2 3" xfId="5021" xr:uid="{00000000-0005-0000-0000-00002E080000}"/>
    <cellStyle name="Comma 4 2 2 4 2 3 2" xfId="21898" xr:uid="{933F989E-2D27-4DE8-9B37-51AEF71E0A99}"/>
    <cellStyle name="Comma 4 2 2 4 2 3 3" xfId="30332" xr:uid="{E7DF948E-496D-4044-AA55-8B47F82E6F1C}"/>
    <cellStyle name="Comma 4 2 2 4 2 3 4" xfId="13460" xr:uid="{D0C5AC7E-DE14-491B-AAB2-7EB8580D1C5E}"/>
    <cellStyle name="Comma 4 2 2 4 2 4" xfId="17680" xr:uid="{7F5CB917-1B46-4411-B987-268DB4680223}"/>
    <cellStyle name="Comma 4 2 2 4 2 5" xfId="26115" xr:uid="{6C9B2ADE-2E9C-485B-802B-CAD97EB4790B}"/>
    <cellStyle name="Comma 4 2 2 4 2 6" xfId="9242" xr:uid="{7897DBE5-B20A-4D4F-856E-04EF01CC687E}"/>
    <cellStyle name="Comma 4 2 2 4 3" xfId="1125" xr:uid="{00000000-0005-0000-0000-00002F080000}"/>
    <cellStyle name="Comma 4 2 2 4 3 2" xfId="3356" xr:uid="{00000000-0005-0000-0000-000030080000}"/>
    <cellStyle name="Comma 4 2 2 4 3 2 2" xfId="7579" xr:uid="{00000000-0005-0000-0000-000031080000}"/>
    <cellStyle name="Comma 4 2 2 4 3 2 2 2" xfId="24456" xr:uid="{1D720576-2EB4-4954-9387-8389D940C867}"/>
    <cellStyle name="Comma 4 2 2 4 3 2 2 3" xfId="32890" xr:uid="{ED03F74C-6602-47DC-A7F9-18A383C53A40}"/>
    <cellStyle name="Comma 4 2 2 4 3 2 2 4" xfId="16018" xr:uid="{5BBE0754-06A7-4117-B0A8-6E2747EE8E68}"/>
    <cellStyle name="Comma 4 2 2 4 3 2 3" xfId="20238" xr:uid="{EBFFE818-3C5B-437B-99EF-2396D4BCD364}"/>
    <cellStyle name="Comma 4 2 2 4 3 2 4" xfId="28673" xr:uid="{CD3ADE09-D429-47AE-B1FC-7D6C5A6138C1}"/>
    <cellStyle name="Comma 4 2 2 4 3 2 5" xfId="11800" xr:uid="{1092234A-DF45-4E28-AC04-0BCF890C1019}"/>
    <cellStyle name="Comma 4 2 2 4 3 3" xfId="5434" xr:uid="{00000000-0005-0000-0000-000032080000}"/>
    <cellStyle name="Comma 4 2 2 4 3 3 2" xfId="22311" xr:uid="{92397F1A-D8A9-446F-85EB-81893E9E7002}"/>
    <cellStyle name="Comma 4 2 2 4 3 3 3" xfId="30745" xr:uid="{04749213-9001-4F0C-81D8-869A004EFB57}"/>
    <cellStyle name="Comma 4 2 2 4 3 3 4" xfId="13873" xr:uid="{2BF34320-5ECA-4E24-8C48-BDD5787FF1C7}"/>
    <cellStyle name="Comma 4 2 2 4 3 4" xfId="18093" xr:uid="{EFDBFBA9-5E88-40B3-BB3B-593CD6F705CB}"/>
    <cellStyle name="Comma 4 2 2 4 3 5" xfId="26528" xr:uid="{A70B9BFA-CB92-48F1-8795-725CC76D2176}"/>
    <cellStyle name="Comma 4 2 2 4 3 6" xfId="9655" xr:uid="{67E4A632-CA92-41DE-89A2-77D816C588FB}"/>
    <cellStyle name="Comma 4 2 2 4 4" xfId="1539" xr:uid="{00000000-0005-0000-0000-000033080000}"/>
    <cellStyle name="Comma 4 2 2 4 4 2" xfId="3769" xr:uid="{00000000-0005-0000-0000-000034080000}"/>
    <cellStyle name="Comma 4 2 2 4 4 2 2" xfId="7992" xr:uid="{00000000-0005-0000-0000-000035080000}"/>
    <cellStyle name="Comma 4 2 2 4 4 2 2 2" xfId="24869" xr:uid="{92350A8F-3A09-4612-8B41-8D5C2F76291F}"/>
    <cellStyle name="Comma 4 2 2 4 4 2 2 3" xfId="33303" xr:uid="{525E7D1F-5FEB-4716-9884-1D41805BD3F0}"/>
    <cellStyle name="Comma 4 2 2 4 4 2 2 4" xfId="16431" xr:uid="{F871BD8A-9AC1-4B46-9327-B818A4FDAFB7}"/>
    <cellStyle name="Comma 4 2 2 4 4 2 3" xfId="20651" xr:uid="{FC84CB14-C2A3-4603-8D15-043A50A0EB1F}"/>
    <cellStyle name="Comma 4 2 2 4 4 2 4" xfId="29086" xr:uid="{613A8383-F391-40AA-9D4B-D44E8695B75B}"/>
    <cellStyle name="Comma 4 2 2 4 4 2 5" xfId="12213" xr:uid="{9E6A153D-8496-4AD2-B0FB-88279651F876}"/>
    <cellStyle name="Comma 4 2 2 4 4 3" xfId="5847" xr:uid="{00000000-0005-0000-0000-000036080000}"/>
    <cellStyle name="Comma 4 2 2 4 4 3 2" xfId="22724" xr:uid="{DFEF552C-8EBA-4780-AFF0-4E559D8A683D}"/>
    <cellStyle name="Comma 4 2 2 4 4 3 3" xfId="31158" xr:uid="{F17F5346-0BCC-41F5-9338-6B42DB745D8F}"/>
    <cellStyle name="Comma 4 2 2 4 4 3 4" xfId="14286" xr:uid="{7D83300F-AC56-43CC-9C1C-A7FE8FF913FD}"/>
    <cellStyle name="Comma 4 2 2 4 4 4" xfId="18506" xr:uid="{4B24B725-793C-4539-9C35-CFD90686099D}"/>
    <cellStyle name="Comma 4 2 2 4 4 5" xfId="26941" xr:uid="{806EE3BE-24D2-4A9A-AB45-7F44457E2347}"/>
    <cellStyle name="Comma 4 2 2 4 4 6" xfId="10068" xr:uid="{38DE57AF-2C15-4CA3-9FE9-35EDE3ACC5F1}"/>
    <cellStyle name="Comma 4 2 2 4 5" xfId="1953" xr:uid="{00000000-0005-0000-0000-000037080000}"/>
    <cellStyle name="Comma 4 2 2 4 5 2" xfId="4182" xr:uid="{00000000-0005-0000-0000-000038080000}"/>
    <cellStyle name="Comma 4 2 2 4 5 2 2" xfId="8405" xr:uid="{00000000-0005-0000-0000-000039080000}"/>
    <cellStyle name="Comma 4 2 2 4 5 2 2 2" xfId="25282" xr:uid="{A3D1489A-677B-4D9C-BD90-6C40A4438E6A}"/>
    <cellStyle name="Comma 4 2 2 4 5 2 2 3" xfId="33716" xr:uid="{D5E3D057-9896-4370-8B69-53A168DCA826}"/>
    <cellStyle name="Comma 4 2 2 4 5 2 2 4" xfId="16844" xr:uid="{64FF985A-BEA9-4747-848D-978E86FF32B7}"/>
    <cellStyle name="Comma 4 2 2 4 5 2 3" xfId="21064" xr:uid="{B572DC0D-A448-416B-9217-FF6B98D6804E}"/>
    <cellStyle name="Comma 4 2 2 4 5 2 4" xfId="29499" xr:uid="{F942FC6E-FBC6-441E-A34D-EDDDBC31CC71}"/>
    <cellStyle name="Comma 4 2 2 4 5 2 5" xfId="12626" xr:uid="{6FF40B44-63D1-4ACB-88FE-C23EA3CC5FDD}"/>
    <cellStyle name="Comma 4 2 2 4 5 3" xfId="6260" xr:uid="{00000000-0005-0000-0000-00003A080000}"/>
    <cellStyle name="Comma 4 2 2 4 5 3 2" xfId="23137" xr:uid="{2E09814B-CC90-4A91-B99F-58C572ABF3A9}"/>
    <cellStyle name="Comma 4 2 2 4 5 3 3" xfId="31571" xr:uid="{6B3A2ED5-656F-4A8E-9B70-6C29B3CF7112}"/>
    <cellStyle name="Comma 4 2 2 4 5 3 4" xfId="14699" xr:uid="{95398FC7-04AE-4A48-9D15-E75A969F9F88}"/>
    <cellStyle name="Comma 4 2 2 4 5 4" xfId="18919" xr:uid="{CFC36979-4AF7-47AA-B2B3-1B19621D1837}"/>
    <cellStyle name="Comma 4 2 2 4 5 5" xfId="27354" xr:uid="{50D83FD8-7B91-456F-A271-65224873A689}"/>
    <cellStyle name="Comma 4 2 2 4 5 6" xfId="10481" xr:uid="{0CB35E52-872E-4FB1-AACE-E4220E56E6BF}"/>
    <cellStyle name="Comma 4 2 2 4 6" xfId="2388" xr:uid="{00000000-0005-0000-0000-00003B080000}"/>
    <cellStyle name="Comma 4 2 2 4 6 2" xfId="6673" xr:uid="{00000000-0005-0000-0000-00003C080000}"/>
    <cellStyle name="Comma 4 2 2 4 6 2 2" xfId="23550" xr:uid="{E16F4C61-C4B2-4156-848F-3323B8C53B57}"/>
    <cellStyle name="Comma 4 2 2 4 6 2 3" xfId="31984" xr:uid="{DDE6E647-9B4C-46BE-8DE5-C1E8F5589815}"/>
    <cellStyle name="Comma 4 2 2 4 6 2 4" xfId="15112" xr:uid="{8A11D55B-9250-4FCF-842A-98B46DEB4AD2}"/>
    <cellStyle name="Comma 4 2 2 4 6 3" xfId="19332" xr:uid="{DB20EB36-3522-4D3B-B84B-4FD1A8F93936}"/>
    <cellStyle name="Comma 4 2 2 4 6 4" xfId="27767" xr:uid="{F029A196-6D55-4206-AD6D-36FB29C036C2}"/>
    <cellStyle name="Comma 4 2 2 4 6 5" xfId="10894" xr:uid="{062FADBD-FA95-40FD-8C4B-1091FD3AC7E5}"/>
    <cellStyle name="Comma 4 2 2 4 7" xfId="2375" xr:uid="{00000000-0005-0000-0000-00003D080000}"/>
    <cellStyle name="Comma 4 2 2 4 8" xfId="2766" xr:uid="{00000000-0005-0000-0000-00003E080000}"/>
    <cellStyle name="Comma 4 2 2 4 8 2" xfId="6990" xr:uid="{00000000-0005-0000-0000-00003F080000}"/>
    <cellStyle name="Comma 4 2 2 4 8 2 2" xfId="23867" xr:uid="{EFFF0B03-81F3-4861-97F7-FF14EA7F1E57}"/>
    <cellStyle name="Comma 4 2 2 4 8 2 3" xfId="32301" xr:uid="{A467FB2A-C13A-4D99-AD81-09D5FCA1E835}"/>
    <cellStyle name="Comma 4 2 2 4 8 2 4" xfId="15429" xr:uid="{52FCAD54-589E-4952-8ECB-94A60066CD51}"/>
    <cellStyle name="Comma 4 2 2 4 8 3" xfId="19649" xr:uid="{C8A89C33-E7BF-4344-9748-10648C867E75}"/>
    <cellStyle name="Comma 4 2 2 4 8 4" xfId="28084" xr:uid="{8DE5BFDA-A8A3-418E-94A2-7488C8D415A9}"/>
    <cellStyle name="Comma 4 2 2 4 8 5" xfId="11211" xr:uid="{28B66CE5-5347-4F11-A96D-AE68FA994E6F}"/>
    <cellStyle name="Comma 4 2 2 4 9" xfId="4607" xr:uid="{00000000-0005-0000-0000-000040080000}"/>
    <cellStyle name="Comma 4 2 2 4 9 2" xfId="21484" xr:uid="{A2F91EE5-B463-4A79-BD77-2472A826462C}"/>
    <cellStyle name="Comma 4 2 2 4 9 3" xfId="29918" xr:uid="{8D4887AA-8369-487C-B860-838CA0F922FD}"/>
    <cellStyle name="Comma 4 2 2 4 9 4" xfId="13046" xr:uid="{EDA2DA31-345B-4CB7-8826-DC94E24E43DC}"/>
    <cellStyle name="Comma 4 2 2 5" xfId="135" xr:uid="{00000000-0005-0000-0000-000041080000}"/>
    <cellStyle name="Comma 4 2 2 5 10" xfId="17267" xr:uid="{4E7CFB54-814B-430A-B7C5-EF22B44CA47F}"/>
    <cellStyle name="Comma 4 2 2 5 11" xfId="25702" xr:uid="{016F9488-6897-4A9D-8729-FC1D1C03C267}"/>
    <cellStyle name="Comma 4 2 2 5 12" xfId="8829" xr:uid="{F2A3043C-DAE5-4CC9-8D88-914B792AAC82}"/>
    <cellStyle name="Comma 4 2 2 5 2" xfId="673" xr:uid="{00000000-0005-0000-0000-000042080000}"/>
    <cellStyle name="Comma 4 2 2 5 2 2" xfId="2944" xr:uid="{00000000-0005-0000-0000-000043080000}"/>
    <cellStyle name="Comma 4 2 2 5 2 2 2" xfId="7167" xr:uid="{00000000-0005-0000-0000-000044080000}"/>
    <cellStyle name="Comma 4 2 2 5 2 2 2 2" xfId="24044" xr:uid="{D25B8913-574F-48E0-8AA1-FC1306146EE1}"/>
    <cellStyle name="Comma 4 2 2 5 2 2 2 3" xfId="32478" xr:uid="{35E31A61-2858-4210-96CD-21FEA40D3FD3}"/>
    <cellStyle name="Comma 4 2 2 5 2 2 2 4" xfId="15606" xr:uid="{6A3668A9-2E9C-42F3-8154-C6621915DF24}"/>
    <cellStyle name="Comma 4 2 2 5 2 2 3" xfId="19826" xr:uid="{F81D07B4-FFCF-4799-8F76-B7C27ABFEA38}"/>
    <cellStyle name="Comma 4 2 2 5 2 2 4" xfId="28261" xr:uid="{DBB8FDB8-1ED0-4F18-B0CD-091C185FE8EB}"/>
    <cellStyle name="Comma 4 2 2 5 2 2 5" xfId="11388" xr:uid="{6A4042B8-B660-4E17-BAF1-C4EA6A485807}"/>
    <cellStyle name="Comma 4 2 2 5 2 3" xfId="5022" xr:uid="{00000000-0005-0000-0000-000045080000}"/>
    <cellStyle name="Comma 4 2 2 5 2 3 2" xfId="21899" xr:uid="{A7B0CECA-10C1-41A8-B1AA-292FA0995D3A}"/>
    <cellStyle name="Comma 4 2 2 5 2 3 3" xfId="30333" xr:uid="{6C5D40E6-CFDD-4278-B126-882965AA1D43}"/>
    <cellStyle name="Comma 4 2 2 5 2 3 4" xfId="13461" xr:uid="{961DAF2C-83BD-49FD-AD02-5853C89B4687}"/>
    <cellStyle name="Comma 4 2 2 5 2 4" xfId="17681" xr:uid="{08438330-69CE-41A3-98A8-71E447B5BF55}"/>
    <cellStyle name="Comma 4 2 2 5 2 5" xfId="26116" xr:uid="{9D3D9BD3-3856-47D8-B45B-D0C4832D48E3}"/>
    <cellStyle name="Comma 4 2 2 5 2 6" xfId="9243" xr:uid="{6E417F1E-E5B7-489A-9551-826E369E9313}"/>
    <cellStyle name="Comma 4 2 2 5 3" xfId="1126" xr:uid="{00000000-0005-0000-0000-000046080000}"/>
    <cellStyle name="Comma 4 2 2 5 3 2" xfId="3357" xr:uid="{00000000-0005-0000-0000-000047080000}"/>
    <cellStyle name="Comma 4 2 2 5 3 2 2" xfId="7580" xr:uid="{00000000-0005-0000-0000-000048080000}"/>
    <cellStyle name="Comma 4 2 2 5 3 2 2 2" xfId="24457" xr:uid="{3B37A600-61C3-4B2E-B701-774ED07F0FA2}"/>
    <cellStyle name="Comma 4 2 2 5 3 2 2 3" xfId="32891" xr:uid="{5EE0F0DE-8AA6-4C59-977F-0CD72C605DB4}"/>
    <cellStyle name="Comma 4 2 2 5 3 2 2 4" xfId="16019" xr:uid="{3662BD59-EE20-44A0-9776-5EB5AA8FFDFD}"/>
    <cellStyle name="Comma 4 2 2 5 3 2 3" xfId="20239" xr:uid="{181D00E2-1F2A-4CF3-8BB6-50DB551E34C9}"/>
    <cellStyle name="Comma 4 2 2 5 3 2 4" xfId="28674" xr:uid="{C6FBD9A8-A58E-47BC-960C-5222BF105D0C}"/>
    <cellStyle name="Comma 4 2 2 5 3 2 5" xfId="11801" xr:uid="{7B8B7D9B-AEB5-4163-9DDE-E646F7E2ED1E}"/>
    <cellStyle name="Comma 4 2 2 5 3 3" xfId="5435" xr:uid="{00000000-0005-0000-0000-000049080000}"/>
    <cellStyle name="Comma 4 2 2 5 3 3 2" xfId="22312" xr:uid="{390B89BE-0421-4803-8F4F-ED06BAABCDF5}"/>
    <cellStyle name="Comma 4 2 2 5 3 3 3" xfId="30746" xr:uid="{F5A93D18-5F9E-492E-B34E-E08231C61525}"/>
    <cellStyle name="Comma 4 2 2 5 3 3 4" xfId="13874" xr:uid="{98F81A7B-EAAF-49AC-9EA2-43572D51C18B}"/>
    <cellStyle name="Comma 4 2 2 5 3 4" xfId="18094" xr:uid="{7B9482B7-8580-47D5-AB48-DE7835CA74C8}"/>
    <cellStyle name="Comma 4 2 2 5 3 5" xfId="26529" xr:uid="{E93B7408-2C57-4117-A533-AD1324A9187E}"/>
    <cellStyle name="Comma 4 2 2 5 3 6" xfId="9656" xr:uid="{937175B9-8917-475E-9792-F1F98749F81D}"/>
    <cellStyle name="Comma 4 2 2 5 4" xfId="1540" xr:uid="{00000000-0005-0000-0000-00004A080000}"/>
    <cellStyle name="Comma 4 2 2 5 4 2" xfId="3770" xr:uid="{00000000-0005-0000-0000-00004B080000}"/>
    <cellStyle name="Comma 4 2 2 5 4 2 2" xfId="7993" xr:uid="{00000000-0005-0000-0000-00004C080000}"/>
    <cellStyle name="Comma 4 2 2 5 4 2 2 2" xfId="24870" xr:uid="{FC491CE9-01E5-468E-AD0E-F35980DFCD53}"/>
    <cellStyle name="Comma 4 2 2 5 4 2 2 3" xfId="33304" xr:uid="{3188DFFD-E66F-41F8-86B1-6F328FB751F3}"/>
    <cellStyle name="Comma 4 2 2 5 4 2 2 4" xfId="16432" xr:uid="{688155DD-E7B9-46D8-A310-5E7B9C6AD5EC}"/>
    <cellStyle name="Comma 4 2 2 5 4 2 3" xfId="20652" xr:uid="{1FDBE17C-130D-4DEC-8D39-5C2E0B6FCBDC}"/>
    <cellStyle name="Comma 4 2 2 5 4 2 4" xfId="29087" xr:uid="{E5A79B94-5F04-4457-A914-9BF94F2210EE}"/>
    <cellStyle name="Comma 4 2 2 5 4 2 5" xfId="12214" xr:uid="{97A55B08-C02D-45EC-A8C3-7AC93CB528DA}"/>
    <cellStyle name="Comma 4 2 2 5 4 3" xfId="5848" xr:uid="{00000000-0005-0000-0000-00004D080000}"/>
    <cellStyle name="Comma 4 2 2 5 4 3 2" xfId="22725" xr:uid="{13D4160C-3D00-4A43-B9DB-D856D3AA46FC}"/>
    <cellStyle name="Comma 4 2 2 5 4 3 3" xfId="31159" xr:uid="{A6A73DB8-4416-45AA-9AD8-34F26E7BF8E1}"/>
    <cellStyle name="Comma 4 2 2 5 4 3 4" xfId="14287" xr:uid="{EF7B90EA-4BF1-48D4-A51F-3EBE23A519B2}"/>
    <cellStyle name="Comma 4 2 2 5 4 4" xfId="18507" xr:uid="{898A35AB-C719-4B46-B2E0-C6F64A31F9A4}"/>
    <cellStyle name="Comma 4 2 2 5 4 5" xfId="26942" xr:uid="{30D3F6C2-F9E3-4902-A0B7-612A769890D3}"/>
    <cellStyle name="Comma 4 2 2 5 4 6" xfId="10069" xr:uid="{8BC8A790-64BE-4F47-BB5D-601A16AD6347}"/>
    <cellStyle name="Comma 4 2 2 5 5" xfId="1954" xr:uid="{00000000-0005-0000-0000-00004E080000}"/>
    <cellStyle name="Comma 4 2 2 5 5 2" xfId="4183" xr:uid="{00000000-0005-0000-0000-00004F080000}"/>
    <cellStyle name="Comma 4 2 2 5 5 2 2" xfId="8406" xr:uid="{00000000-0005-0000-0000-000050080000}"/>
    <cellStyle name="Comma 4 2 2 5 5 2 2 2" xfId="25283" xr:uid="{58AD37DC-B173-42D0-99D5-826EE4B3E122}"/>
    <cellStyle name="Comma 4 2 2 5 5 2 2 3" xfId="33717" xr:uid="{5DA47178-C7DA-4124-8A8B-20518CB79D97}"/>
    <cellStyle name="Comma 4 2 2 5 5 2 2 4" xfId="16845" xr:uid="{7DB00F2E-2AF1-4B17-9F0A-422413D6C705}"/>
    <cellStyle name="Comma 4 2 2 5 5 2 3" xfId="21065" xr:uid="{A86DBA8F-F23C-4194-AB9D-DB7A2D57191F}"/>
    <cellStyle name="Comma 4 2 2 5 5 2 4" xfId="29500" xr:uid="{2D6C3980-EDEB-4116-B622-CFADD0E7CC6F}"/>
    <cellStyle name="Comma 4 2 2 5 5 2 5" xfId="12627" xr:uid="{137D8EBB-D885-4E43-B40C-AA71041B94CC}"/>
    <cellStyle name="Comma 4 2 2 5 5 3" xfId="6261" xr:uid="{00000000-0005-0000-0000-000051080000}"/>
    <cellStyle name="Comma 4 2 2 5 5 3 2" xfId="23138" xr:uid="{74546D9D-1473-4E9F-BC25-F3B5E00326B8}"/>
    <cellStyle name="Comma 4 2 2 5 5 3 3" xfId="31572" xr:uid="{56A0C9F1-93BD-452D-B9B0-C8634DCC236C}"/>
    <cellStyle name="Comma 4 2 2 5 5 3 4" xfId="14700" xr:uid="{ABF7AAF8-55BD-46DE-B503-BA82D9E2E96C}"/>
    <cellStyle name="Comma 4 2 2 5 5 4" xfId="18920" xr:uid="{5E18E2D1-DEE4-4713-910A-F54DF29F4B9E}"/>
    <cellStyle name="Comma 4 2 2 5 5 5" xfId="27355" xr:uid="{94D7FCCD-3A58-41E8-87AE-9127C3DDE2F8}"/>
    <cellStyle name="Comma 4 2 2 5 5 6" xfId="10482" xr:uid="{90D6C269-A567-4577-8F09-65112FDB179D}"/>
    <cellStyle name="Comma 4 2 2 5 6" xfId="2389" xr:uid="{00000000-0005-0000-0000-000052080000}"/>
    <cellStyle name="Comma 4 2 2 5 6 2" xfId="6674" xr:uid="{00000000-0005-0000-0000-000053080000}"/>
    <cellStyle name="Comma 4 2 2 5 6 2 2" xfId="23551" xr:uid="{CCFA37CA-36BE-449C-99BC-7D51FEA57742}"/>
    <cellStyle name="Comma 4 2 2 5 6 2 3" xfId="31985" xr:uid="{5CC63AEC-519C-48CB-9F3A-D130F964349E}"/>
    <cellStyle name="Comma 4 2 2 5 6 2 4" xfId="15113" xr:uid="{EE7B646C-49D7-42EF-97B9-F0274910F73E}"/>
    <cellStyle name="Comma 4 2 2 5 6 3" xfId="19333" xr:uid="{FBB28DC5-8839-4E5A-9CA2-79D9247EDF9A}"/>
    <cellStyle name="Comma 4 2 2 5 6 4" xfId="27768" xr:uid="{A792143C-E508-44DD-9187-94CD2D464537}"/>
    <cellStyle name="Comma 4 2 2 5 6 5" xfId="10895" xr:uid="{C1F0182E-CA00-4E60-B249-6E2348F73872}"/>
    <cellStyle name="Comma 4 2 2 5 7" xfId="2374" xr:uid="{00000000-0005-0000-0000-000054080000}"/>
    <cellStyle name="Comma 4 2 2 5 8" xfId="2767" xr:uid="{00000000-0005-0000-0000-000055080000}"/>
    <cellStyle name="Comma 4 2 2 5 8 2" xfId="6991" xr:uid="{00000000-0005-0000-0000-000056080000}"/>
    <cellStyle name="Comma 4 2 2 5 8 2 2" xfId="23868" xr:uid="{96FF0C1F-DC46-4F44-8F2D-EE5C39FDB94E}"/>
    <cellStyle name="Comma 4 2 2 5 8 2 3" xfId="32302" xr:uid="{04A1920B-9349-43E2-B29E-FC52EFEBF3DF}"/>
    <cellStyle name="Comma 4 2 2 5 8 2 4" xfId="15430" xr:uid="{DDBCB6FE-3F63-4722-87DD-724A1690785F}"/>
    <cellStyle name="Comma 4 2 2 5 8 3" xfId="19650" xr:uid="{EC87FD50-C4D2-4A87-8EFB-DDF09560D9CE}"/>
    <cellStyle name="Comma 4 2 2 5 8 4" xfId="28085" xr:uid="{5F3805C7-67C2-43F6-A71B-CB23A66567D0}"/>
    <cellStyle name="Comma 4 2 2 5 8 5" xfId="11212" xr:uid="{55BF76F6-23AF-478B-9D21-D085CA099C76}"/>
    <cellStyle name="Comma 4 2 2 5 9" xfId="4608" xr:uid="{00000000-0005-0000-0000-000057080000}"/>
    <cellStyle name="Comma 4 2 2 5 9 2" xfId="21485" xr:uid="{C8E2B1F3-8957-4F18-989B-4ADD56E9059C}"/>
    <cellStyle name="Comma 4 2 2 5 9 3" xfId="29919" xr:uid="{2DD35AEB-D547-43A9-AD65-1AA8E7BB0F39}"/>
    <cellStyle name="Comma 4 2 2 5 9 4" xfId="13047" xr:uid="{21CB5D50-7C91-4D5D-A639-7E530076F1D3}"/>
    <cellStyle name="Comma 4 2 3" xfId="136" xr:uid="{00000000-0005-0000-0000-000058080000}"/>
    <cellStyle name="Comma 4 2 3 10" xfId="2768" xr:uid="{00000000-0005-0000-0000-000059080000}"/>
    <cellStyle name="Comma 4 2 3 10 2" xfId="6992" xr:uid="{00000000-0005-0000-0000-00005A080000}"/>
    <cellStyle name="Comma 4 2 3 10 2 2" xfId="23869" xr:uid="{5FDF7A3D-8734-4353-ABD6-33344FEC134D}"/>
    <cellStyle name="Comma 4 2 3 10 2 3" xfId="32303" xr:uid="{BB1EBDA6-C1A2-46A4-A625-662717E8F2EC}"/>
    <cellStyle name="Comma 4 2 3 10 2 4" xfId="15431" xr:uid="{0943E529-445F-4E7D-ACBE-E26216C92241}"/>
    <cellStyle name="Comma 4 2 3 10 3" xfId="19651" xr:uid="{DD6F42D0-97C1-43BD-8286-BBB12BC4A1C3}"/>
    <cellStyle name="Comma 4 2 3 10 4" xfId="28086" xr:uid="{9489DE52-6BD8-45DB-A5FE-8AD19A759F4B}"/>
    <cellStyle name="Comma 4 2 3 10 5" xfId="11213" xr:uid="{EB859A3B-6F7A-445D-8C50-3D5FB0BABC58}"/>
    <cellStyle name="Comma 4 2 3 11" xfId="4609" xr:uid="{00000000-0005-0000-0000-00005B080000}"/>
    <cellStyle name="Comma 4 2 3 11 2" xfId="21486" xr:uid="{7B16C753-3034-4FAC-B48D-ADEB4AF9D89F}"/>
    <cellStyle name="Comma 4 2 3 11 3" xfId="29920" xr:uid="{E8249304-1AA8-4EA3-9B51-1554275C6F0B}"/>
    <cellStyle name="Comma 4 2 3 11 4" xfId="13048" xr:uid="{490D2106-3951-47A4-9E52-6424740BDCE9}"/>
    <cellStyle name="Comma 4 2 3 12" xfId="17268" xr:uid="{635FFFED-804A-49D4-9A96-54D26579813B}"/>
    <cellStyle name="Comma 4 2 3 13" xfId="25703" xr:uid="{C0DE80BC-F3EA-48D2-BCDC-BF73C1F405ED}"/>
    <cellStyle name="Comma 4 2 3 14" xfId="8830" xr:uid="{86863C4B-73E2-4B59-A08F-E2F236F084B8}"/>
    <cellStyle name="Comma 4 2 3 2" xfId="137" xr:uid="{00000000-0005-0000-0000-00005C080000}"/>
    <cellStyle name="Comma 4 2 3 2 10" xfId="4610" xr:uid="{00000000-0005-0000-0000-00005D080000}"/>
    <cellStyle name="Comma 4 2 3 2 10 2" xfId="21487" xr:uid="{F7EC9521-8334-40A1-80A8-CD3818BAE068}"/>
    <cellStyle name="Comma 4 2 3 2 10 3" xfId="29921" xr:uid="{41200A25-9B18-40E9-91A6-135B91069CFA}"/>
    <cellStyle name="Comma 4 2 3 2 10 4" xfId="13049" xr:uid="{4817F43A-870F-4510-ABE7-C188C315E329}"/>
    <cellStyle name="Comma 4 2 3 2 11" xfId="17269" xr:uid="{73B1BF62-8129-4BED-8BE5-5FF908B345B3}"/>
    <cellStyle name="Comma 4 2 3 2 12" xfId="25704" xr:uid="{5ADAD9E5-1833-4324-894E-3DC6D9DC934C}"/>
    <cellStyle name="Comma 4 2 3 2 13" xfId="8831" xr:uid="{25687D7A-9B7C-4D35-9E3B-5E83A45C4D37}"/>
    <cellStyle name="Comma 4 2 3 2 2" xfId="138" xr:uid="{00000000-0005-0000-0000-00005E080000}"/>
    <cellStyle name="Comma 4 2 3 2 2 10" xfId="17270" xr:uid="{ABAC0C3E-7692-4532-9425-F3E88ED6497C}"/>
    <cellStyle name="Comma 4 2 3 2 2 11" xfId="25705" xr:uid="{71AD6A2C-0298-400D-8C42-92142C8522B3}"/>
    <cellStyle name="Comma 4 2 3 2 2 12" xfId="8832" xr:uid="{C0340613-8E58-47D0-8F6B-D189A7545A17}"/>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24047" xr:uid="{A68F4FF9-E66E-41E3-AEAF-5BB70C590F60}"/>
    <cellStyle name="Comma 4 2 3 2 2 2 2 2 3" xfId="32481" xr:uid="{4C36BE88-6823-4D9D-9AEC-F9A24AA59C66}"/>
    <cellStyle name="Comma 4 2 3 2 2 2 2 2 4" xfId="15609" xr:uid="{A3BC3B72-D7D7-4209-A3DE-70468968CBB0}"/>
    <cellStyle name="Comma 4 2 3 2 2 2 2 3" xfId="19829" xr:uid="{FED0AAF8-F0BB-4C0A-8FE0-9D1B1C640151}"/>
    <cellStyle name="Comma 4 2 3 2 2 2 2 4" xfId="28264" xr:uid="{81692887-9109-4600-AEDC-30DCBC0FE6C7}"/>
    <cellStyle name="Comma 4 2 3 2 2 2 2 5" xfId="11391" xr:uid="{0A5AD839-67A7-4DAB-9621-35E21083E00A}"/>
    <cellStyle name="Comma 4 2 3 2 2 2 3" xfId="5025" xr:uid="{00000000-0005-0000-0000-000062080000}"/>
    <cellStyle name="Comma 4 2 3 2 2 2 3 2" xfId="21902" xr:uid="{9BAAB5EA-1054-4753-9B24-2FF5186E8632}"/>
    <cellStyle name="Comma 4 2 3 2 2 2 3 3" xfId="30336" xr:uid="{3694E8A0-2E97-44AA-B289-F2BAE3F9F0C1}"/>
    <cellStyle name="Comma 4 2 3 2 2 2 3 4" xfId="13464" xr:uid="{79AE83D1-6CD2-4254-9E8E-92B411521C69}"/>
    <cellStyle name="Comma 4 2 3 2 2 2 4" xfId="17684" xr:uid="{C7E59034-4A56-4AF9-802F-C4309A59B425}"/>
    <cellStyle name="Comma 4 2 3 2 2 2 5" xfId="26119" xr:uid="{2F5A28BC-5452-4F72-BAAC-F070A5CDF765}"/>
    <cellStyle name="Comma 4 2 3 2 2 2 6" xfId="9246" xr:uid="{997A89BF-83D4-42D1-9AB0-F2E6267288E4}"/>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24460" xr:uid="{22F97096-D063-4E2F-951F-F844BEB1A21B}"/>
    <cellStyle name="Comma 4 2 3 2 2 3 2 2 3" xfId="32894" xr:uid="{F5ABA7B9-9638-4C89-9329-215137F0CE77}"/>
    <cellStyle name="Comma 4 2 3 2 2 3 2 2 4" xfId="16022" xr:uid="{E3576A5F-EBD5-4B25-8A7C-F54CA46720AE}"/>
    <cellStyle name="Comma 4 2 3 2 2 3 2 3" xfId="20242" xr:uid="{DCFAF2B9-3C39-4C8D-8636-E1EA91F52B76}"/>
    <cellStyle name="Comma 4 2 3 2 2 3 2 4" xfId="28677" xr:uid="{0FC232FB-7CC6-413F-A3F5-B00305C51EE6}"/>
    <cellStyle name="Comma 4 2 3 2 2 3 2 5" xfId="11804" xr:uid="{E3AED6CC-1D8F-47B1-9276-B862F4E085E1}"/>
    <cellStyle name="Comma 4 2 3 2 2 3 3" xfId="5438" xr:uid="{00000000-0005-0000-0000-000066080000}"/>
    <cellStyle name="Comma 4 2 3 2 2 3 3 2" xfId="22315" xr:uid="{C4E0E1FD-4021-44AF-A3E6-3C92E5676B3A}"/>
    <cellStyle name="Comma 4 2 3 2 2 3 3 3" xfId="30749" xr:uid="{8578738F-2B97-4B00-AF58-E3843861D4C2}"/>
    <cellStyle name="Comma 4 2 3 2 2 3 3 4" xfId="13877" xr:uid="{7F16C404-68B9-4320-A06D-6276B35D9527}"/>
    <cellStyle name="Comma 4 2 3 2 2 3 4" xfId="18097" xr:uid="{695DBD0A-53F4-4799-940C-AE00FA6FE15A}"/>
    <cellStyle name="Comma 4 2 3 2 2 3 5" xfId="26532" xr:uid="{449AD715-B25B-4983-99FA-41D330DF9DB4}"/>
    <cellStyle name="Comma 4 2 3 2 2 3 6" xfId="9659" xr:uid="{7B3D9EB9-2B6A-4113-AAB5-3EA070F073EF}"/>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24873" xr:uid="{2A8BAE25-18DA-401D-9223-8F241260BE48}"/>
    <cellStyle name="Comma 4 2 3 2 2 4 2 2 3" xfId="33307" xr:uid="{B89E527A-A668-4E7D-803D-ADB20FC4763D}"/>
    <cellStyle name="Comma 4 2 3 2 2 4 2 2 4" xfId="16435" xr:uid="{66C89F9D-FD83-4618-8110-EC32FAD31597}"/>
    <cellStyle name="Comma 4 2 3 2 2 4 2 3" xfId="20655" xr:uid="{5B81E501-8488-4EB2-AF13-66501F3C883E}"/>
    <cellStyle name="Comma 4 2 3 2 2 4 2 4" xfId="29090" xr:uid="{537E5994-9072-406F-B686-3EF17256ED1A}"/>
    <cellStyle name="Comma 4 2 3 2 2 4 2 5" xfId="12217" xr:uid="{56F99A8F-B5A9-4335-8E3D-7149CC017CE2}"/>
    <cellStyle name="Comma 4 2 3 2 2 4 3" xfId="5851" xr:uid="{00000000-0005-0000-0000-00006A080000}"/>
    <cellStyle name="Comma 4 2 3 2 2 4 3 2" xfId="22728" xr:uid="{DAC563A0-E20D-404C-BFAC-D3B6FE9A9DD0}"/>
    <cellStyle name="Comma 4 2 3 2 2 4 3 3" xfId="31162" xr:uid="{3C2617AE-1F26-4095-90B3-E89E84E4E547}"/>
    <cellStyle name="Comma 4 2 3 2 2 4 3 4" xfId="14290" xr:uid="{F1E7E74F-FFB5-49E2-AA8D-6E45EC35125E}"/>
    <cellStyle name="Comma 4 2 3 2 2 4 4" xfId="18510" xr:uid="{034E08A2-A6C6-4611-9B3C-092E0F1102AB}"/>
    <cellStyle name="Comma 4 2 3 2 2 4 5" xfId="26945" xr:uid="{8C34222F-7FB2-456B-ACA2-4457038E433C}"/>
    <cellStyle name="Comma 4 2 3 2 2 4 6" xfId="10072" xr:uid="{669FDC9B-2524-4CA8-92C6-95633BC38EC6}"/>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25286" xr:uid="{1424587F-BCCA-41E5-9749-04E11256C0C1}"/>
    <cellStyle name="Comma 4 2 3 2 2 5 2 2 3" xfId="33720" xr:uid="{5F4FA6E0-6DC4-4302-AD6B-703FC3225C79}"/>
    <cellStyle name="Comma 4 2 3 2 2 5 2 2 4" xfId="16848" xr:uid="{7710A402-79BA-4269-8599-D60D12CE1A41}"/>
    <cellStyle name="Comma 4 2 3 2 2 5 2 3" xfId="21068" xr:uid="{BFBAC960-A9D3-42B4-8CFC-855848A79C3B}"/>
    <cellStyle name="Comma 4 2 3 2 2 5 2 4" xfId="29503" xr:uid="{604B3E15-5C3F-4B66-A5D5-76896C1DEE0A}"/>
    <cellStyle name="Comma 4 2 3 2 2 5 2 5" xfId="12630" xr:uid="{F2306E3C-EEFF-4EE9-B1EF-347D7533D9B4}"/>
    <cellStyle name="Comma 4 2 3 2 2 5 3" xfId="6264" xr:uid="{00000000-0005-0000-0000-00006E080000}"/>
    <cellStyle name="Comma 4 2 3 2 2 5 3 2" xfId="23141" xr:uid="{A26D24FF-8198-49E9-995D-BBBF55EDECAA}"/>
    <cellStyle name="Comma 4 2 3 2 2 5 3 3" xfId="31575" xr:uid="{2DBCD6C8-348A-40A5-9F6E-1E8ED7C1CF89}"/>
    <cellStyle name="Comma 4 2 3 2 2 5 3 4" xfId="14703" xr:uid="{9C03394A-8497-4727-AE97-231927DD7A99}"/>
    <cellStyle name="Comma 4 2 3 2 2 5 4" xfId="18923" xr:uid="{38B89718-D1C7-40AE-91D7-182550ADC140}"/>
    <cellStyle name="Comma 4 2 3 2 2 5 5" xfId="27358" xr:uid="{6C38432F-CD7B-4BD6-8920-C1F398F0992B}"/>
    <cellStyle name="Comma 4 2 3 2 2 5 6" xfId="10485" xr:uid="{D657FA1F-B2B1-4510-A375-E6D07B1F2728}"/>
    <cellStyle name="Comma 4 2 3 2 2 6" xfId="2392" xr:uid="{00000000-0005-0000-0000-00006F080000}"/>
    <cellStyle name="Comma 4 2 3 2 2 6 2" xfId="6677" xr:uid="{00000000-0005-0000-0000-000070080000}"/>
    <cellStyle name="Comma 4 2 3 2 2 6 2 2" xfId="23554" xr:uid="{E5DF9F7B-9C62-4100-BF69-4E596FB8782A}"/>
    <cellStyle name="Comma 4 2 3 2 2 6 2 3" xfId="31988" xr:uid="{A52E7C82-74D3-4EFB-9FFE-80AEE1A4726D}"/>
    <cellStyle name="Comma 4 2 3 2 2 6 2 4" xfId="15116" xr:uid="{77C71B8D-057B-471B-B38A-FA414509F9F2}"/>
    <cellStyle name="Comma 4 2 3 2 2 6 3" xfId="19336" xr:uid="{8E001267-7649-43D8-AF01-D460452CE856}"/>
    <cellStyle name="Comma 4 2 3 2 2 6 4" xfId="27771" xr:uid="{C69F51C8-5BFB-4D0B-A78F-3DE409EA9C6B}"/>
    <cellStyle name="Comma 4 2 3 2 2 6 5" xfId="10898" xr:uid="{0EB7B09F-67A5-41DE-BC2D-38B268169DE7}"/>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23871" xr:uid="{3A465F9E-0E2A-48EC-920B-B95C362346EC}"/>
    <cellStyle name="Comma 4 2 3 2 2 8 2 3" xfId="32305" xr:uid="{89EBD425-F139-45B5-A621-8A222F04F342}"/>
    <cellStyle name="Comma 4 2 3 2 2 8 2 4" xfId="15433" xr:uid="{83DBD772-76DD-4B81-A250-9D03ED7F0C08}"/>
    <cellStyle name="Comma 4 2 3 2 2 8 3" xfId="19653" xr:uid="{764A9FB7-223F-491E-A2FE-C7A180A24CB8}"/>
    <cellStyle name="Comma 4 2 3 2 2 8 4" xfId="28088" xr:uid="{8A036158-B228-4067-A209-5CA95D85961F}"/>
    <cellStyle name="Comma 4 2 3 2 2 8 5" xfId="11215" xr:uid="{DD9CC86B-D9A4-4686-AD00-91AA7BFB95B5}"/>
    <cellStyle name="Comma 4 2 3 2 2 9" xfId="4611" xr:uid="{00000000-0005-0000-0000-000074080000}"/>
    <cellStyle name="Comma 4 2 3 2 2 9 2" xfId="21488" xr:uid="{7662C44D-CD40-4F2B-984E-85A954E75665}"/>
    <cellStyle name="Comma 4 2 3 2 2 9 3" xfId="29922" xr:uid="{56E617E9-D350-4044-883C-7FCD43A0D265}"/>
    <cellStyle name="Comma 4 2 3 2 2 9 4" xfId="13050" xr:uid="{F5B778AA-72BB-445D-88E6-A37C8E8C1B0A}"/>
    <cellStyle name="Comma 4 2 3 2 3" xfId="675" xr:uid="{00000000-0005-0000-0000-000075080000}"/>
    <cellStyle name="Comma 4 2 3 2 3 2" xfId="2946" xr:uid="{00000000-0005-0000-0000-000076080000}"/>
    <cellStyle name="Comma 4 2 3 2 3 2 2" xfId="7169" xr:uid="{00000000-0005-0000-0000-000077080000}"/>
    <cellStyle name="Comma 4 2 3 2 3 2 2 2" xfId="24046" xr:uid="{05075238-D78A-4E4D-8415-0DB5A40C963B}"/>
    <cellStyle name="Comma 4 2 3 2 3 2 2 3" xfId="32480" xr:uid="{39D95BD6-47A9-4982-AB6B-BD9FFAF66C7E}"/>
    <cellStyle name="Comma 4 2 3 2 3 2 2 4" xfId="15608" xr:uid="{F85C7BE6-414F-4AD6-9627-9723D66FE9F3}"/>
    <cellStyle name="Comma 4 2 3 2 3 2 3" xfId="19828" xr:uid="{A6080330-B62C-4045-A136-01AAB64BBDF5}"/>
    <cellStyle name="Comma 4 2 3 2 3 2 4" xfId="28263" xr:uid="{BC62697C-D0B9-4318-BFDD-1502E5ECA717}"/>
    <cellStyle name="Comma 4 2 3 2 3 2 5" xfId="11390" xr:uid="{D1344E55-98B3-4C19-9410-9B9BF8314A9F}"/>
    <cellStyle name="Comma 4 2 3 2 3 3" xfId="5024" xr:uid="{00000000-0005-0000-0000-000078080000}"/>
    <cellStyle name="Comma 4 2 3 2 3 3 2" xfId="21901" xr:uid="{689599E3-788A-4BE9-BB36-F833660C902A}"/>
    <cellStyle name="Comma 4 2 3 2 3 3 3" xfId="30335" xr:uid="{796DC4D3-D989-461A-9CF9-6468C02ADE64}"/>
    <cellStyle name="Comma 4 2 3 2 3 3 4" xfId="13463" xr:uid="{0FACF88A-0366-445D-BFB8-EA58E7785786}"/>
    <cellStyle name="Comma 4 2 3 2 3 4" xfId="17683" xr:uid="{7D28FC96-F698-42B7-830C-E26B918A1960}"/>
    <cellStyle name="Comma 4 2 3 2 3 5" xfId="26118" xr:uid="{54FE970C-6148-4D8E-AE9B-201D715CE3A9}"/>
    <cellStyle name="Comma 4 2 3 2 3 6" xfId="9245" xr:uid="{BAE4A08F-55A5-4708-8CD5-B4EA50718033}"/>
    <cellStyle name="Comma 4 2 3 2 4" xfId="1128" xr:uid="{00000000-0005-0000-0000-000079080000}"/>
    <cellStyle name="Comma 4 2 3 2 4 2" xfId="3359" xr:uid="{00000000-0005-0000-0000-00007A080000}"/>
    <cellStyle name="Comma 4 2 3 2 4 2 2" xfId="7582" xr:uid="{00000000-0005-0000-0000-00007B080000}"/>
    <cellStyle name="Comma 4 2 3 2 4 2 2 2" xfId="24459" xr:uid="{38E7A694-A88B-4434-8972-3A499E2EDE36}"/>
    <cellStyle name="Comma 4 2 3 2 4 2 2 3" xfId="32893" xr:uid="{9BBD4BA3-BAEB-409E-BDE1-50EE5D21CBE4}"/>
    <cellStyle name="Comma 4 2 3 2 4 2 2 4" xfId="16021" xr:uid="{B5B32A5C-A156-4538-994B-EB84C64BC921}"/>
    <cellStyle name="Comma 4 2 3 2 4 2 3" xfId="20241" xr:uid="{C633BA46-20B8-40B0-9ACC-67AB71450D82}"/>
    <cellStyle name="Comma 4 2 3 2 4 2 4" xfId="28676" xr:uid="{C143776A-5E34-4AFD-B1F5-6ECA07263AB1}"/>
    <cellStyle name="Comma 4 2 3 2 4 2 5" xfId="11803" xr:uid="{83BF593C-10CE-4246-8F28-DE7AC155F096}"/>
    <cellStyle name="Comma 4 2 3 2 4 3" xfId="5437" xr:uid="{00000000-0005-0000-0000-00007C080000}"/>
    <cellStyle name="Comma 4 2 3 2 4 3 2" xfId="22314" xr:uid="{661E5927-2BB4-4DAF-86F6-CCC452EA9EA6}"/>
    <cellStyle name="Comma 4 2 3 2 4 3 3" xfId="30748" xr:uid="{536321F7-9C92-4EED-9681-14E7ACCC5145}"/>
    <cellStyle name="Comma 4 2 3 2 4 3 4" xfId="13876" xr:uid="{1AEE0695-F9E4-4EC8-9822-4B6BFE2E841F}"/>
    <cellStyle name="Comma 4 2 3 2 4 4" xfId="18096" xr:uid="{CC24B92C-CA9B-42A0-BDB0-503C4DD403AD}"/>
    <cellStyle name="Comma 4 2 3 2 4 5" xfId="26531" xr:uid="{E5C517D5-AFCA-40ED-97E4-4F60156D7759}"/>
    <cellStyle name="Comma 4 2 3 2 4 6" xfId="9658" xr:uid="{5C97AB11-F6A7-44C1-B758-0EC78F7A72D2}"/>
    <cellStyle name="Comma 4 2 3 2 5" xfId="1542" xr:uid="{00000000-0005-0000-0000-00007D080000}"/>
    <cellStyle name="Comma 4 2 3 2 5 2" xfId="3772" xr:uid="{00000000-0005-0000-0000-00007E080000}"/>
    <cellStyle name="Comma 4 2 3 2 5 2 2" xfId="7995" xr:uid="{00000000-0005-0000-0000-00007F080000}"/>
    <cellStyle name="Comma 4 2 3 2 5 2 2 2" xfId="24872" xr:uid="{9DD7011C-F9C2-4C94-B4B8-1464633B7C6A}"/>
    <cellStyle name="Comma 4 2 3 2 5 2 2 3" xfId="33306" xr:uid="{39E8A7BF-096A-4028-B6A8-E1ED55E615D1}"/>
    <cellStyle name="Comma 4 2 3 2 5 2 2 4" xfId="16434" xr:uid="{EEDC1AEF-7929-48C9-89D4-553C0E9340E1}"/>
    <cellStyle name="Comma 4 2 3 2 5 2 3" xfId="20654" xr:uid="{DA3B8735-0B24-418F-9466-FCFB11CF3C00}"/>
    <cellStyle name="Comma 4 2 3 2 5 2 4" xfId="29089" xr:uid="{2325A74C-FB90-4F64-95B3-47750466B20D}"/>
    <cellStyle name="Comma 4 2 3 2 5 2 5" xfId="12216" xr:uid="{D2E2C8F0-B2A6-4E71-BBB3-084B49D68B3B}"/>
    <cellStyle name="Comma 4 2 3 2 5 3" xfId="5850" xr:uid="{00000000-0005-0000-0000-000080080000}"/>
    <cellStyle name="Comma 4 2 3 2 5 3 2" xfId="22727" xr:uid="{0190F0DA-10D6-4031-BB8C-E05F2D4A2AAF}"/>
    <cellStyle name="Comma 4 2 3 2 5 3 3" xfId="31161" xr:uid="{D2457C17-935A-43FB-90AA-640FBDCD1A58}"/>
    <cellStyle name="Comma 4 2 3 2 5 3 4" xfId="14289" xr:uid="{9864125F-FC11-48F6-A12A-A0B47B3DFF63}"/>
    <cellStyle name="Comma 4 2 3 2 5 4" xfId="18509" xr:uid="{CAD9BE11-A795-4883-9DD9-3B26C63C66F0}"/>
    <cellStyle name="Comma 4 2 3 2 5 5" xfId="26944" xr:uid="{DF324BBF-C70F-4BF4-8201-0B008FA62D91}"/>
    <cellStyle name="Comma 4 2 3 2 5 6" xfId="10071" xr:uid="{3363F705-0A5E-4871-A589-9B7B335A02BF}"/>
    <cellStyle name="Comma 4 2 3 2 6" xfId="1956" xr:uid="{00000000-0005-0000-0000-000081080000}"/>
    <cellStyle name="Comma 4 2 3 2 6 2" xfId="4185" xr:uid="{00000000-0005-0000-0000-000082080000}"/>
    <cellStyle name="Comma 4 2 3 2 6 2 2" xfId="8408" xr:uid="{00000000-0005-0000-0000-000083080000}"/>
    <cellStyle name="Comma 4 2 3 2 6 2 2 2" xfId="25285" xr:uid="{07A3FB76-515D-4191-9E45-DC8ECB835897}"/>
    <cellStyle name="Comma 4 2 3 2 6 2 2 3" xfId="33719" xr:uid="{F20EA241-5BC9-4B37-9266-DECB82A5DF4D}"/>
    <cellStyle name="Comma 4 2 3 2 6 2 2 4" xfId="16847" xr:uid="{CE4DD299-4A1B-45CF-A947-914FF52C8DDF}"/>
    <cellStyle name="Comma 4 2 3 2 6 2 3" xfId="21067" xr:uid="{4490678F-482C-401E-8FD5-269EDA15C785}"/>
    <cellStyle name="Comma 4 2 3 2 6 2 4" xfId="29502" xr:uid="{A78B7625-4E3B-4D3D-BAE7-521A5659D5D5}"/>
    <cellStyle name="Comma 4 2 3 2 6 2 5" xfId="12629" xr:uid="{6FE55F4B-E76C-4609-8D3D-6891950CA6BB}"/>
    <cellStyle name="Comma 4 2 3 2 6 3" xfId="6263" xr:uid="{00000000-0005-0000-0000-000084080000}"/>
    <cellStyle name="Comma 4 2 3 2 6 3 2" xfId="23140" xr:uid="{12CDD48B-5343-4908-8D2E-2F4305EDEB43}"/>
    <cellStyle name="Comma 4 2 3 2 6 3 3" xfId="31574" xr:uid="{C178B41B-0445-467B-B6CD-559850F7BCE0}"/>
    <cellStyle name="Comma 4 2 3 2 6 3 4" xfId="14702" xr:uid="{8956FFA5-6E6D-4202-9420-26740810CCE5}"/>
    <cellStyle name="Comma 4 2 3 2 6 4" xfId="18922" xr:uid="{D83E9BF2-60D0-4EBB-982C-1E3D7FB51F6E}"/>
    <cellStyle name="Comma 4 2 3 2 6 5" xfId="27357" xr:uid="{048313BC-E335-4CE7-B692-2D87AE3480EF}"/>
    <cellStyle name="Comma 4 2 3 2 6 6" xfId="10484" xr:uid="{A75A7600-EF6B-480F-B875-F5471C7B8662}"/>
    <cellStyle name="Comma 4 2 3 2 7" xfId="2391" xr:uid="{00000000-0005-0000-0000-000085080000}"/>
    <cellStyle name="Comma 4 2 3 2 7 2" xfId="6676" xr:uid="{00000000-0005-0000-0000-000086080000}"/>
    <cellStyle name="Comma 4 2 3 2 7 2 2" xfId="23553" xr:uid="{FA7CE70A-1ADC-4AAA-B545-76F21FA05F20}"/>
    <cellStyle name="Comma 4 2 3 2 7 2 3" xfId="31987" xr:uid="{5D0EC2EC-BFB7-4AA6-9212-B303C35D7ECF}"/>
    <cellStyle name="Comma 4 2 3 2 7 2 4" xfId="15115" xr:uid="{08D5FA69-0BA7-4120-AA9D-31EF493E89A3}"/>
    <cellStyle name="Comma 4 2 3 2 7 3" xfId="19335" xr:uid="{B868B13F-D52F-418A-A804-1B94055FA1FE}"/>
    <cellStyle name="Comma 4 2 3 2 7 4" xfId="27770" xr:uid="{3E12C77C-96E5-4CBC-AB68-7BEBA136B2D8}"/>
    <cellStyle name="Comma 4 2 3 2 7 5" xfId="10897" xr:uid="{B732F95D-B43D-4674-BEC3-5ABD99018B5C}"/>
    <cellStyle name="Comma 4 2 3 2 8" xfId="2372" xr:uid="{00000000-0005-0000-0000-000087080000}"/>
    <cellStyle name="Comma 4 2 3 2 9" xfId="2769" xr:uid="{00000000-0005-0000-0000-000088080000}"/>
    <cellStyle name="Comma 4 2 3 2 9 2" xfId="6993" xr:uid="{00000000-0005-0000-0000-000089080000}"/>
    <cellStyle name="Comma 4 2 3 2 9 2 2" xfId="23870" xr:uid="{5C66FCD8-0CB5-4E90-8F7D-D101BB3E89AB}"/>
    <cellStyle name="Comma 4 2 3 2 9 2 3" xfId="32304" xr:uid="{AA1FD087-4775-4FF2-837C-471DA627C21B}"/>
    <cellStyle name="Comma 4 2 3 2 9 2 4" xfId="15432" xr:uid="{3678CE75-9C7E-4EA9-A32F-47F11EE905AF}"/>
    <cellStyle name="Comma 4 2 3 2 9 3" xfId="19652" xr:uid="{D183B1DE-C620-4BD1-ADD0-155B9822693F}"/>
    <cellStyle name="Comma 4 2 3 2 9 4" xfId="28087" xr:uid="{7D510B93-A004-469F-982A-99CCEDD561B0}"/>
    <cellStyle name="Comma 4 2 3 2 9 5" xfId="11214" xr:uid="{BA5E5AC4-606C-4763-AAF3-646887F1696C}"/>
    <cellStyle name="Comma 4 2 3 3" xfId="139" xr:uid="{00000000-0005-0000-0000-00008A080000}"/>
    <cellStyle name="Comma 4 2 3 3 10" xfId="17271" xr:uid="{4282EF90-F115-4B2F-AD2D-4C92D258AA31}"/>
    <cellStyle name="Comma 4 2 3 3 11" xfId="25706" xr:uid="{7F90FCA3-E6DF-42EB-952A-C5C8AEE335BE}"/>
    <cellStyle name="Comma 4 2 3 3 12" xfId="8833" xr:uid="{3174CF38-A44C-4038-9347-2E5940BDF7BA}"/>
    <cellStyle name="Comma 4 2 3 3 2" xfId="677" xr:uid="{00000000-0005-0000-0000-00008B080000}"/>
    <cellStyle name="Comma 4 2 3 3 2 2" xfId="2948" xr:uid="{00000000-0005-0000-0000-00008C080000}"/>
    <cellStyle name="Comma 4 2 3 3 2 2 2" xfId="7171" xr:uid="{00000000-0005-0000-0000-00008D080000}"/>
    <cellStyle name="Comma 4 2 3 3 2 2 2 2" xfId="24048" xr:uid="{CDD6AA3C-4C13-4813-833D-3A7A5908AE99}"/>
    <cellStyle name="Comma 4 2 3 3 2 2 2 3" xfId="32482" xr:uid="{6BE2857E-06EC-4933-9C0D-192EC03EC4A6}"/>
    <cellStyle name="Comma 4 2 3 3 2 2 2 4" xfId="15610" xr:uid="{7D79FE20-4968-4DC1-B15F-484118F4BE14}"/>
    <cellStyle name="Comma 4 2 3 3 2 2 3" xfId="19830" xr:uid="{2A759A3A-765C-4A2F-BD7A-530E354C4D4D}"/>
    <cellStyle name="Comma 4 2 3 3 2 2 4" xfId="28265" xr:uid="{74CD7CE6-3BBA-420A-9D14-37C064E62ABA}"/>
    <cellStyle name="Comma 4 2 3 3 2 2 5" xfId="11392" xr:uid="{BBB74367-B4DF-4BEC-97CD-7915AA8A5750}"/>
    <cellStyle name="Comma 4 2 3 3 2 3" xfId="5026" xr:uid="{00000000-0005-0000-0000-00008E080000}"/>
    <cellStyle name="Comma 4 2 3 3 2 3 2" xfId="21903" xr:uid="{39024800-5D5A-4EC7-8E6F-85A6A546C547}"/>
    <cellStyle name="Comma 4 2 3 3 2 3 3" xfId="30337" xr:uid="{01531952-008F-42FD-AB13-3A0196DE3B53}"/>
    <cellStyle name="Comma 4 2 3 3 2 3 4" xfId="13465" xr:uid="{972E2447-9548-4FD7-973D-F1870B3A2F02}"/>
    <cellStyle name="Comma 4 2 3 3 2 4" xfId="17685" xr:uid="{A269079F-0BB4-4C02-B28E-B2CAD403FD73}"/>
    <cellStyle name="Comma 4 2 3 3 2 5" xfId="26120" xr:uid="{6131E0BC-C316-442B-BC43-E20A91515AFC}"/>
    <cellStyle name="Comma 4 2 3 3 2 6" xfId="9247" xr:uid="{7DAD685A-B977-416E-B4A7-0A66D8E98083}"/>
    <cellStyle name="Comma 4 2 3 3 3" xfId="1130" xr:uid="{00000000-0005-0000-0000-00008F080000}"/>
    <cellStyle name="Comma 4 2 3 3 3 2" xfId="3361" xr:uid="{00000000-0005-0000-0000-000090080000}"/>
    <cellStyle name="Comma 4 2 3 3 3 2 2" xfId="7584" xr:uid="{00000000-0005-0000-0000-000091080000}"/>
    <cellStyle name="Comma 4 2 3 3 3 2 2 2" xfId="24461" xr:uid="{6F525D4B-95F8-496D-8E5A-505A1A80A8B4}"/>
    <cellStyle name="Comma 4 2 3 3 3 2 2 3" xfId="32895" xr:uid="{58646418-34CF-44DA-9B99-73F523535A64}"/>
    <cellStyle name="Comma 4 2 3 3 3 2 2 4" xfId="16023" xr:uid="{9D50182C-BFAD-4FFA-84C2-5839316406FF}"/>
    <cellStyle name="Comma 4 2 3 3 3 2 3" xfId="20243" xr:uid="{B0E60DB3-2DF3-4B3F-9C95-ADD6C8448F01}"/>
    <cellStyle name="Comma 4 2 3 3 3 2 4" xfId="28678" xr:uid="{BF15A15E-038C-4B53-85AC-9C31882AE269}"/>
    <cellStyle name="Comma 4 2 3 3 3 2 5" xfId="11805" xr:uid="{1C67F5CF-F862-4691-829A-EA3E0FE0E24D}"/>
    <cellStyle name="Comma 4 2 3 3 3 3" xfId="5439" xr:uid="{00000000-0005-0000-0000-000092080000}"/>
    <cellStyle name="Comma 4 2 3 3 3 3 2" xfId="22316" xr:uid="{7AA12931-B7ED-4A96-B498-634392423238}"/>
    <cellStyle name="Comma 4 2 3 3 3 3 3" xfId="30750" xr:uid="{40DE0AE6-D993-4365-99CF-4F1DFAEEFEFC}"/>
    <cellStyle name="Comma 4 2 3 3 3 3 4" xfId="13878" xr:uid="{7CBF2D86-BC45-43FF-A304-6A207AF005B4}"/>
    <cellStyle name="Comma 4 2 3 3 3 4" xfId="18098" xr:uid="{7811F246-9CE8-4016-BB8D-F6F4AE6D00AB}"/>
    <cellStyle name="Comma 4 2 3 3 3 5" xfId="26533" xr:uid="{A8EB9C32-4A2F-4C4F-B851-9C5012208253}"/>
    <cellStyle name="Comma 4 2 3 3 3 6" xfId="9660" xr:uid="{96370F38-BA11-45FF-BDBF-D45717D82095}"/>
    <cellStyle name="Comma 4 2 3 3 4" xfId="1544" xr:uid="{00000000-0005-0000-0000-000093080000}"/>
    <cellStyle name="Comma 4 2 3 3 4 2" xfId="3774" xr:uid="{00000000-0005-0000-0000-000094080000}"/>
    <cellStyle name="Comma 4 2 3 3 4 2 2" xfId="7997" xr:uid="{00000000-0005-0000-0000-000095080000}"/>
    <cellStyle name="Comma 4 2 3 3 4 2 2 2" xfId="24874" xr:uid="{A315511A-0FB2-4087-A9F9-A6BBF966472A}"/>
    <cellStyle name="Comma 4 2 3 3 4 2 2 3" xfId="33308" xr:uid="{37A6DD84-2CC3-418B-BCB2-56DCF0C4B98E}"/>
    <cellStyle name="Comma 4 2 3 3 4 2 2 4" xfId="16436" xr:uid="{762561BE-C27A-4DF7-B42F-0D5B7AEE5E39}"/>
    <cellStyle name="Comma 4 2 3 3 4 2 3" xfId="20656" xr:uid="{CD16F1CE-7899-4736-995A-5D0C46DB2270}"/>
    <cellStyle name="Comma 4 2 3 3 4 2 4" xfId="29091" xr:uid="{F1ACA0E5-6053-46F3-B9DA-E90E7DFDEBA0}"/>
    <cellStyle name="Comma 4 2 3 3 4 2 5" xfId="12218" xr:uid="{37A92FD4-A86D-4CA1-8741-C7F7790B7D78}"/>
    <cellStyle name="Comma 4 2 3 3 4 3" xfId="5852" xr:uid="{00000000-0005-0000-0000-000096080000}"/>
    <cellStyle name="Comma 4 2 3 3 4 3 2" xfId="22729" xr:uid="{D96257A4-DA72-4174-AD7F-EAB11A8F08A7}"/>
    <cellStyle name="Comma 4 2 3 3 4 3 3" xfId="31163" xr:uid="{3E64991B-9806-4F75-A1E2-28E2810A3F1D}"/>
    <cellStyle name="Comma 4 2 3 3 4 3 4" xfId="14291" xr:uid="{40730E31-BD46-46EB-BE7A-1ADBFB918445}"/>
    <cellStyle name="Comma 4 2 3 3 4 4" xfId="18511" xr:uid="{4B06EEA1-9D8F-494F-9B49-2B5E65CDE33F}"/>
    <cellStyle name="Comma 4 2 3 3 4 5" xfId="26946" xr:uid="{0F37B9C9-DC0B-4735-8DCB-B716B1CB7FB0}"/>
    <cellStyle name="Comma 4 2 3 3 4 6" xfId="10073" xr:uid="{D0F05CD1-0DD7-4DD4-AC7F-E4019EB24B6A}"/>
    <cellStyle name="Comma 4 2 3 3 5" xfId="1958" xr:uid="{00000000-0005-0000-0000-000097080000}"/>
    <cellStyle name="Comma 4 2 3 3 5 2" xfId="4187" xr:uid="{00000000-0005-0000-0000-000098080000}"/>
    <cellStyle name="Comma 4 2 3 3 5 2 2" xfId="8410" xr:uid="{00000000-0005-0000-0000-000099080000}"/>
    <cellStyle name="Comma 4 2 3 3 5 2 2 2" xfId="25287" xr:uid="{FD50DB3E-BA42-478D-824A-5DAB17AE9C9C}"/>
    <cellStyle name="Comma 4 2 3 3 5 2 2 3" xfId="33721" xr:uid="{F8923CB7-27E0-41D2-95A4-4C82F154DFA9}"/>
    <cellStyle name="Comma 4 2 3 3 5 2 2 4" xfId="16849" xr:uid="{E8542566-78B5-48B5-9A62-D6633EA79932}"/>
    <cellStyle name="Comma 4 2 3 3 5 2 3" xfId="21069" xr:uid="{125FEFE6-6811-4970-9EAE-C89A335C2C52}"/>
    <cellStyle name="Comma 4 2 3 3 5 2 4" xfId="29504" xr:uid="{3162A725-39BD-451E-953B-D8C83BE030EF}"/>
    <cellStyle name="Comma 4 2 3 3 5 2 5" xfId="12631" xr:uid="{FC2178FA-4E6D-456E-8B76-A0EBD074E889}"/>
    <cellStyle name="Comma 4 2 3 3 5 3" xfId="6265" xr:uid="{00000000-0005-0000-0000-00009A080000}"/>
    <cellStyle name="Comma 4 2 3 3 5 3 2" xfId="23142" xr:uid="{13894549-C17E-4CA5-8273-D97C554271AE}"/>
    <cellStyle name="Comma 4 2 3 3 5 3 3" xfId="31576" xr:uid="{50F7E857-BB15-43D4-ABC9-5223BCCF5D6E}"/>
    <cellStyle name="Comma 4 2 3 3 5 3 4" xfId="14704" xr:uid="{C2E0239F-D807-4C84-9253-A85B867CC600}"/>
    <cellStyle name="Comma 4 2 3 3 5 4" xfId="18924" xr:uid="{890387C8-6AD2-4F12-B728-08ED46DCFC4E}"/>
    <cellStyle name="Comma 4 2 3 3 5 5" xfId="27359" xr:uid="{57E708D8-70A1-47B2-8A85-C1A9398D718F}"/>
    <cellStyle name="Comma 4 2 3 3 5 6" xfId="10486" xr:uid="{DD9C7E7D-4DFF-42F4-9C80-548E50488B60}"/>
    <cellStyle name="Comma 4 2 3 3 6" xfId="2393" xr:uid="{00000000-0005-0000-0000-00009B080000}"/>
    <cellStyle name="Comma 4 2 3 3 6 2" xfId="6678" xr:uid="{00000000-0005-0000-0000-00009C080000}"/>
    <cellStyle name="Comma 4 2 3 3 6 2 2" xfId="23555" xr:uid="{D4CB9C31-67E1-40DA-AF81-C19A8D54614C}"/>
    <cellStyle name="Comma 4 2 3 3 6 2 3" xfId="31989" xr:uid="{D030D9EC-E8EC-463E-9CFA-4CDD5AA1C808}"/>
    <cellStyle name="Comma 4 2 3 3 6 2 4" xfId="15117" xr:uid="{68870DAA-ED37-4CE4-9BE0-978ACFB3D40D}"/>
    <cellStyle name="Comma 4 2 3 3 6 3" xfId="19337" xr:uid="{42C7EB7C-3FF0-42A9-89E8-FD40F29CB6D2}"/>
    <cellStyle name="Comma 4 2 3 3 6 4" xfId="27772" xr:uid="{BC440A41-BC7F-411C-B72E-B6B9FA695C5A}"/>
    <cellStyle name="Comma 4 2 3 3 6 5" xfId="10899" xr:uid="{AFFDD555-C8F3-4F70-8546-E6BE211A85BF}"/>
    <cellStyle name="Comma 4 2 3 3 7" xfId="2370" xr:uid="{00000000-0005-0000-0000-00009D080000}"/>
    <cellStyle name="Comma 4 2 3 3 8" xfId="2771" xr:uid="{00000000-0005-0000-0000-00009E080000}"/>
    <cellStyle name="Comma 4 2 3 3 8 2" xfId="6995" xr:uid="{00000000-0005-0000-0000-00009F080000}"/>
    <cellStyle name="Comma 4 2 3 3 8 2 2" xfId="23872" xr:uid="{50FAF58A-3030-43B8-96F9-40FC8CFF7E1A}"/>
    <cellStyle name="Comma 4 2 3 3 8 2 3" xfId="32306" xr:uid="{EEA3B22B-6764-4419-BFB2-6DDE7291DE67}"/>
    <cellStyle name="Comma 4 2 3 3 8 2 4" xfId="15434" xr:uid="{D7527CD4-CA11-419E-8ADF-4DCFA8D3768B}"/>
    <cellStyle name="Comma 4 2 3 3 8 3" xfId="19654" xr:uid="{07CEB5CF-C7BC-4911-BBCA-3AD57DFC4451}"/>
    <cellStyle name="Comma 4 2 3 3 8 4" xfId="28089" xr:uid="{953B079C-F08A-472F-BE2A-6F2C76CC5FA4}"/>
    <cellStyle name="Comma 4 2 3 3 8 5" xfId="11216" xr:uid="{6ADED47C-4A3C-40A0-B176-432FD744CBBB}"/>
    <cellStyle name="Comma 4 2 3 3 9" xfId="4612" xr:uid="{00000000-0005-0000-0000-0000A0080000}"/>
    <cellStyle name="Comma 4 2 3 3 9 2" xfId="21489" xr:uid="{CF742A93-AF27-4D4C-A9F0-6397E04D6380}"/>
    <cellStyle name="Comma 4 2 3 3 9 3" xfId="29923" xr:uid="{D322C420-3B48-4989-905E-4CCD9F5F8452}"/>
    <cellStyle name="Comma 4 2 3 3 9 4" xfId="13051" xr:uid="{E63D5C20-E712-4585-A536-CFBD67BD7B3B}"/>
    <cellStyle name="Comma 4 2 3 4" xfId="674" xr:uid="{00000000-0005-0000-0000-0000A1080000}"/>
    <cellStyle name="Comma 4 2 3 4 2" xfId="2945" xr:uid="{00000000-0005-0000-0000-0000A2080000}"/>
    <cellStyle name="Comma 4 2 3 4 2 2" xfId="7168" xr:uid="{00000000-0005-0000-0000-0000A3080000}"/>
    <cellStyle name="Comma 4 2 3 4 2 2 2" xfId="24045" xr:uid="{EA0B2611-9387-49C5-9105-0638BEE46D10}"/>
    <cellStyle name="Comma 4 2 3 4 2 2 3" xfId="32479" xr:uid="{BEDFD1EA-1BB2-48CB-A061-6FA9C2DCD97B}"/>
    <cellStyle name="Comma 4 2 3 4 2 2 4" xfId="15607" xr:uid="{709DE265-F0E8-49F4-8C46-9C7894F76B6F}"/>
    <cellStyle name="Comma 4 2 3 4 2 3" xfId="19827" xr:uid="{5B8F5225-6D5C-4333-A81F-AC06B846DB4F}"/>
    <cellStyle name="Comma 4 2 3 4 2 4" xfId="28262" xr:uid="{0338D400-6C52-4A15-8AC6-1F1304434557}"/>
    <cellStyle name="Comma 4 2 3 4 2 5" xfId="11389" xr:uid="{23EF7C72-6E2E-442F-93F4-9F2831F0E74C}"/>
    <cellStyle name="Comma 4 2 3 4 3" xfId="5023" xr:uid="{00000000-0005-0000-0000-0000A4080000}"/>
    <cellStyle name="Comma 4 2 3 4 3 2" xfId="21900" xr:uid="{ED37DD3C-0777-43B1-8539-57C828B20315}"/>
    <cellStyle name="Comma 4 2 3 4 3 3" xfId="30334" xr:uid="{4D3B9579-44DB-43BC-9C14-F119941F75CF}"/>
    <cellStyle name="Comma 4 2 3 4 3 4" xfId="13462" xr:uid="{3414FF55-F7C9-47FC-95DE-6C44353CF764}"/>
    <cellStyle name="Comma 4 2 3 4 4" xfId="17682" xr:uid="{E1CD1D85-EA95-4059-93E7-1871D9F269B3}"/>
    <cellStyle name="Comma 4 2 3 4 5" xfId="26117" xr:uid="{28C1528C-84B4-4F3E-AF02-E6EEAAC40F55}"/>
    <cellStyle name="Comma 4 2 3 4 6" xfId="9244" xr:uid="{EE022367-EDDB-4B4C-9D6F-85F770945635}"/>
    <cellStyle name="Comma 4 2 3 5" xfId="1127" xr:uid="{00000000-0005-0000-0000-0000A5080000}"/>
    <cellStyle name="Comma 4 2 3 5 2" xfId="3358" xr:uid="{00000000-0005-0000-0000-0000A6080000}"/>
    <cellStyle name="Comma 4 2 3 5 2 2" xfId="7581" xr:uid="{00000000-0005-0000-0000-0000A7080000}"/>
    <cellStyle name="Comma 4 2 3 5 2 2 2" xfId="24458" xr:uid="{050ABA18-41D9-4F15-BB4C-1A995C74B1AC}"/>
    <cellStyle name="Comma 4 2 3 5 2 2 3" xfId="32892" xr:uid="{49AEE820-CFFB-49BC-81F9-1F05D851139B}"/>
    <cellStyle name="Comma 4 2 3 5 2 2 4" xfId="16020" xr:uid="{359692C3-893B-4926-9A24-24471DD0C0F5}"/>
    <cellStyle name="Comma 4 2 3 5 2 3" xfId="20240" xr:uid="{9883A583-FA7F-4521-A351-8A9893B36234}"/>
    <cellStyle name="Comma 4 2 3 5 2 4" xfId="28675" xr:uid="{9FE7D215-996C-4A32-8332-990B631F4D46}"/>
    <cellStyle name="Comma 4 2 3 5 2 5" xfId="11802" xr:uid="{F6B1E3BC-2204-4A9A-B941-56BE26E6F7B3}"/>
    <cellStyle name="Comma 4 2 3 5 3" xfId="5436" xr:uid="{00000000-0005-0000-0000-0000A8080000}"/>
    <cellStyle name="Comma 4 2 3 5 3 2" xfId="22313" xr:uid="{4E27AAA7-2C43-44BC-A8F3-0591F7722F7D}"/>
    <cellStyle name="Comma 4 2 3 5 3 3" xfId="30747" xr:uid="{E9003467-EC91-4D73-8510-6C50E5410C68}"/>
    <cellStyle name="Comma 4 2 3 5 3 4" xfId="13875" xr:uid="{DAB427CF-9568-44D8-8881-BD4496543B97}"/>
    <cellStyle name="Comma 4 2 3 5 4" xfId="18095" xr:uid="{491EBC45-F581-41D4-ABBA-3DBEB983768A}"/>
    <cellStyle name="Comma 4 2 3 5 5" xfId="26530" xr:uid="{0C8B1A23-8243-4CF3-B6D1-BAB73B3C0E16}"/>
    <cellStyle name="Comma 4 2 3 5 6" xfId="9657" xr:uid="{3274602D-1091-4F0E-B947-8C13E8758F93}"/>
    <cellStyle name="Comma 4 2 3 6" xfId="1541" xr:uid="{00000000-0005-0000-0000-0000A9080000}"/>
    <cellStyle name="Comma 4 2 3 6 2" xfId="3771" xr:uid="{00000000-0005-0000-0000-0000AA080000}"/>
    <cellStyle name="Comma 4 2 3 6 2 2" xfId="7994" xr:uid="{00000000-0005-0000-0000-0000AB080000}"/>
    <cellStyle name="Comma 4 2 3 6 2 2 2" xfId="24871" xr:uid="{EDC2C7DA-4A18-423D-9D8B-15F4AE82EEBA}"/>
    <cellStyle name="Comma 4 2 3 6 2 2 3" xfId="33305" xr:uid="{4A3F958E-581F-41A3-8786-A8D27CCD304B}"/>
    <cellStyle name="Comma 4 2 3 6 2 2 4" xfId="16433" xr:uid="{D0272C56-3B75-4E3F-B46A-CBD44F67C32D}"/>
    <cellStyle name="Comma 4 2 3 6 2 3" xfId="20653" xr:uid="{D6489EB1-1276-464D-9BDA-7E2B0B67817B}"/>
    <cellStyle name="Comma 4 2 3 6 2 4" xfId="29088" xr:uid="{8A659F7E-D805-4887-9F2D-96D02123B9CB}"/>
    <cellStyle name="Comma 4 2 3 6 2 5" xfId="12215" xr:uid="{0BA88075-B26C-4E85-95E1-0B4B54F45FD5}"/>
    <cellStyle name="Comma 4 2 3 6 3" xfId="5849" xr:uid="{00000000-0005-0000-0000-0000AC080000}"/>
    <cellStyle name="Comma 4 2 3 6 3 2" xfId="22726" xr:uid="{22C76DCA-38D2-4E8F-88FC-D4D600AA5980}"/>
    <cellStyle name="Comma 4 2 3 6 3 3" xfId="31160" xr:uid="{B1E24B38-F19E-499D-8D8D-ED2CD741D27A}"/>
    <cellStyle name="Comma 4 2 3 6 3 4" xfId="14288" xr:uid="{29E5153F-3ADE-48C1-AAA2-5D37021CFC56}"/>
    <cellStyle name="Comma 4 2 3 6 4" xfId="18508" xr:uid="{93B93304-4552-4E83-AD63-198B58F3DFE5}"/>
    <cellStyle name="Comma 4 2 3 6 5" xfId="26943" xr:uid="{79DFC513-8488-4FA1-90FD-C9C489335936}"/>
    <cellStyle name="Comma 4 2 3 6 6" xfId="10070" xr:uid="{8C84F9AB-3883-46EF-8A08-9E09C159AE28}"/>
    <cellStyle name="Comma 4 2 3 7" xfId="1955" xr:uid="{00000000-0005-0000-0000-0000AD080000}"/>
    <cellStyle name="Comma 4 2 3 7 2" xfId="4184" xr:uid="{00000000-0005-0000-0000-0000AE080000}"/>
    <cellStyle name="Comma 4 2 3 7 2 2" xfId="8407" xr:uid="{00000000-0005-0000-0000-0000AF080000}"/>
    <cellStyle name="Comma 4 2 3 7 2 2 2" xfId="25284" xr:uid="{B89A5224-DEF6-48CE-B2FA-5A6855AE45B5}"/>
    <cellStyle name="Comma 4 2 3 7 2 2 3" xfId="33718" xr:uid="{2455D3E2-F9DA-4495-B538-76FCDBE3FCCF}"/>
    <cellStyle name="Comma 4 2 3 7 2 2 4" xfId="16846" xr:uid="{68FD8325-ED95-4D9D-87C5-7E03B9BC6CD5}"/>
    <cellStyle name="Comma 4 2 3 7 2 3" xfId="21066" xr:uid="{ED6405A1-010B-4980-BF3F-BAF6477DF52E}"/>
    <cellStyle name="Comma 4 2 3 7 2 4" xfId="29501" xr:uid="{6455378D-546A-4F41-BDB4-F0B7DF44D81A}"/>
    <cellStyle name="Comma 4 2 3 7 2 5" xfId="12628" xr:uid="{0FC37F06-4621-401F-9449-D5DC753F6F4A}"/>
    <cellStyle name="Comma 4 2 3 7 3" xfId="6262" xr:uid="{00000000-0005-0000-0000-0000B0080000}"/>
    <cellStyle name="Comma 4 2 3 7 3 2" xfId="23139" xr:uid="{4B7ACAAA-8812-4FDE-BD45-C314D803F16E}"/>
    <cellStyle name="Comma 4 2 3 7 3 3" xfId="31573" xr:uid="{71383153-3E7D-4E4E-AB02-BB9472FE5B49}"/>
    <cellStyle name="Comma 4 2 3 7 3 4" xfId="14701" xr:uid="{9637FD8F-5CBF-4EF7-BE8C-83AB61A32039}"/>
    <cellStyle name="Comma 4 2 3 7 4" xfId="18921" xr:uid="{EF6FE39C-2E1A-4247-8C7D-BCA43AB9F142}"/>
    <cellStyle name="Comma 4 2 3 7 5" xfId="27356" xr:uid="{3931CB44-C04A-4A7A-BCDD-D26BD5998DE0}"/>
    <cellStyle name="Comma 4 2 3 7 6" xfId="10483" xr:uid="{57EC074F-9E31-4950-9C20-F7024F5BC3AA}"/>
    <cellStyle name="Comma 4 2 3 8" xfId="2390" xr:uid="{00000000-0005-0000-0000-0000B1080000}"/>
    <cellStyle name="Comma 4 2 3 8 2" xfId="6675" xr:uid="{00000000-0005-0000-0000-0000B2080000}"/>
    <cellStyle name="Comma 4 2 3 8 2 2" xfId="23552" xr:uid="{BD96B0F8-D23A-4864-8D00-BBEBE6DC13F9}"/>
    <cellStyle name="Comma 4 2 3 8 2 3" xfId="31986" xr:uid="{CAF932FC-6656-409E-89F9-7F99A19E80B2}"/>
    <cellStyle name="Comma 4 2 3 8 2 4" xfId="15114" xr:uid="{5C71B46E-6D94-484E-912C-CCA607A91FAC}"/>
    <cellStyle name="Comma 4 2 3 8 3" xfId="19334" xr:uid="{E7E07AD5-4B3F-45A7-B520-288929CA8C5B}"/>
    <cellStyle name="Comma 4 2 3 8 4" xfId="27769" xr:uid="{EDD55A32-CF8B-4C49-B06C-95748CC2EAF4}"/>
    <cellStyle name="Comma 4 2 3 8 5" xfId="10896" xr:uid="{A6F38976-DE60-4854-8C47-87BD7FED148B}"/>
    <cellStyle name="Comma 4 2 3 9" xfId="2373" xr:uid="{00000000-0005-0000-0000-0000B3080000}"/>
    <cellStyle name="Comma 4 2 4" xfId="140" xr:uid="{00000000-0005-0000-0000-0000B4080000}"/>
    <cellStyle name="Comma 4 2 4 10" xfId="4613" xr:uid="{00000000-0005-0000-0000-0000B5080000}"/>
    <cellStyle name="Comma 4 2 4 10 2" xfId="21490" xr:uid="{45196712-61E2-4352-9A09-6EC59554915A}"/>
    <cellStyle name="Comma 4 2 4 10 3" xfId="29924" xr:uid="{6C712E54-8A9E-41AB-B510-C000EFCEE907}"/>
    <cellStyle name="Comma 4 2 4 10 4" xfId="13052" xr:uid="{CDD1B854-5945-4B87-A4B7-44F7A62E2BAB}"/>
    <cellStyle name="Comma 4 2 4 11" xfId="17272" xr:uid="{17E0DCDB-A55B-4F84-B734-902195E96600}"/>
    <cellStyle name="Comma 4 2 4 12" xfId="25707" xr:uid="{C1D6834D-5801-414A-BC4B-A6A0A1EE9E47}"/>
    <cellStyle name="Comma 4 2 4 13" xfId="8834" xr:uid="{2623E930-BEB8-4FDE-9F2A-DBB3DED1650D}"/>
    <cellStyle name="Comma 4 2 4 2" xfId="141" xr:uid="{00000000-0005-0000-0000-0000B6080000}"/>
    <cellStyle name="Comma 4 2 4 2 10" xfId="17273" xr:uid="{7CA482EC-A8E3-4C90-BFA7-A5A04CC279CF}"/>
    <cellStyle name="Comma 4 2 4 2 11" xfId="25708" xr:uid="{CFCC973E-32FE-4DC0-B4F7-438B87F45C3E}"/>
    <cellStyle name="Comma 4 2 4 2 12" xfId="8835" xr:uid="{2EDAE3A6-5D8A-4A84-B3FC-9CB97E820BE5}"/>
    <cellStyle name="Comma 4 2 4 2 2" xfId="679" xr:uid="{00000000-0005-0000-0000-0000B7080000}"/>
    <cellStyle name="Comma 4 2 4 2 2 2" xfId="2950" xr:uid="{00000000-0005-0000-0000-0000B8080000}"/>
    <cellStyle name="Comma 4 2 4 2 2 2 2" xfId="7173" xr:uid="{00000000-0005-0000-0000-0000B9080000}"/>
    <cellStyle name="Comma 4 2 4 2 2 2 2 2" xfId="24050" xr:uid="{6B0529A9-A32A-454D-8565-F79DB6F548A0}"/>
    <cellStyle name="Comma 4 2 4 2 2 2 2 3" xfId="32484" xr:uid="{3FEFE9A8-D889-430D-A707-B3E390A19C97}"/>
    <cellStyle name="Comma 4 2 4 2 2 2 2 4" xfId="15612" xr:uid="{6AF8F410-B153-4D77-B8F5-226156A57EA9}"/>
    <cellStyle name="Comma 4 2 4 2 2 2 3" xfId="19832" xr:uid="{732E2421-0FC5-4CE3-986E-45B9575C7181}"/>
    <cellStyle name="Comma 4 2 4 2 2 2 4" xfId="28267" xr:uid="{B31C490E-F0FE-4F35-A88B-0257213B27A4}"/>
    <cellStyle name="Comma 4 2 4 2 2 2 5" xfId="11394" xr:uid="{62CEC7F2-7963-45F6-9E0C-C3043929B70E}"/>
    <cellStyle name="Comma 4 2 4 2 2 3" xfId="5028" xr:uid="{00000000-0005-0000-0000-0000BA080000}"/>
    <cellStyle name="Comma 4 2 4 2 2 3 2" xfId="21905" xr:uid="{960CA927-53E5-4492-8C08-B0BEA47B8B2D}"/>
    <cellStyle name="Comma 4 2 4 2 2 3 3" xfId="30339" xr:uid="{BE1B99FA-2036-42A1-8828-192A7C6BA920}"/>
    <cellStyle name="Comma 4 2 4 2 2 3 4" xfId="13467" xr:uid="{C7A9A4A5-8B4B-4859-9150-67AB28152EE5}"/>
    <cellStyle name="Comma 4 2 4 2 2 4" xfId="17687" xr:uid="{F09879A5-CD68-4AE5-BB0E-B6C934C25FA5}"/>
    <cellStyle name="Comma 4 2 4 2 2 5" xfId="26122" xr:uid="{AB583932-1271-4763-8BCB-899804DF57E0}"/>
    <cellStyle name="Comma 4 2 4 2 2 6" xfId="9249" xr:uid="{B9D7AAD2-9E16-4B45-A939-DF1018F0D198}"/>
    <cellStyle name="Comma 4 2 4 2 3" xfId="1132" xr:uid="{00000000-0005-0000-0000-0000BB080000}"/>
    <cellStyle name="Comma 4 2 4 2 3 2" xfId="3363" xr:uid="{00000000-0005-0000-0000-0000BC080000}"/>
    <cellStyle name="Comma 4 2 4 2 3 2 2" xfId="7586" xr:uid="{00000000-0005-0000-0000-0000BD080000}"/>
    <cellStyle name="Comma 4 2 4 2 3 2 2 2" xfId="24463" xr:uid="{E0BC34D5-E91C-454C-AF8E-90EBD4AE3528}"/>
    <cellStyle name="Comma 4 2 4 2 3 2 2 3" xfId="32897" xr:uid="{343C5098-F631-43DA-B713-68577D225A77}"/>
    <cellStyle name="Comma 4 2 4 2 3 2 2 4" xfId="16025" xr:uid="{57FD1417-531B-4D88-8975-180E105DFB9D}"/>
    <cellStyle name="Comma 4 2 4 2 3 2 3" xfId="20245" xr:uid="{6C89F3BF-15F9-4A95-83C0-EF5C69BB6794}"/>
    <cellStyle name="Comma 4 2 4 2 3 2 4" xfId="28680" xr:uid="{F41A4412-6DFC-4B12-B444-DA1F7C4A3C2D}"/>
    <cellStyle name="Comma 4 2 4 2 3 2 5" xfId="11807" xr:uid="{D20D4282-CF7C-4A21-ADB1-B72344E4DF27}"/>
    <cellStyle name="Comma 4 2 4 2 3 3" xfId="5441" xr:uid="{00000000-0005-0000-0000-0000BE080000}"/>
    <cellStyle name="Comma 4 2 4 2 3 3 2" xfId="22318" xr:uid="{A3C342ED-FEC0-4FB4-AA71-1D94C61ABBB0}"/>
    <cellStyle name="Comma 4 2 4 2 3 3 3" xfId="30752" xr:uid="{91517413-603E-43FF-A56B-4A69020621E6}"/>
    <cellStyle name="Comma 4 2 4 2 3 3 4" xfId="13880" xr:uid="{F444A4E3-3EE1-42F7-86C3-08F528B006E2}"/>
    <cellStyle name="Comma 4 2 4 2 3 4" xfId="18100" xr:uid="{6048F71D-B5D9-4EB0-B492-9B626CC461C5}"/>
    <cellStyle name="Comma 4 2 4 2 3 5" xfId="26535" xr:uid="{56132B8E-8EE7-4936-8444-0A19AF33EDBB}"/>
    <cellStyle name="Comma 4 2 4 2 3 6" xfId="9662" xr:uid="{F6A7A6C1-8A40-43DF-8F1B-0EEC6665226D}"/>
    <cellStyle name="Comma 4 2 4 2 4" xfId="1546" xr:uid="{00000000-0005-0000-0000-0000BF080000}"/>
    <cellStyle name="Comma 4 2 4 2 4 2" xfId="3776" xr:uid="{00000000-0005-0000-0000-0000C0080000}"/>
    <cellStyle name="Comma 4 2 4 2 4 2 2" xfId="7999" xr:uid="{00000000-0005-0000-0000-0000C1080000}"/>
    <cellStyle name="Comma 4 2 4 2 4 2 2 2" xfId="24876" xr:uid="{5853E615-AC40-411A-8A2A-3F473D88CD20}"/>
    <cellStyle name="Comma 4 2 4 2 4 2 2 3" xfId="33310" xr:uid="{C237189A-E8CD-48BC-9D0E-B60BCAD8B671}"/>
    <cellStyle name="Comma 4 2 4 2 4 2 2 4" xfId="16438" xr:uid="{5F66E181-9080-46A1-B76B-9C1A06C85917}"/>
    <cellStyle name="Comma 4 2 4 2 4 2 3" xfId="20658" xr:uid="{5C1409E7-2755-4A0D-A5FE-AF02CC0DC32F}"/>
    <cellStyle name="Comma 4 2 4 2 4 2 4" xfId="29093" xr:uid="{B6E3A2CB-617B-4E66-9308-D4FCFC5D9266}"/>
    <cellStyle name="Comma 4 2 4 2 4 2 5" xfId="12220" xr:uid="{0C91747A-BCAC-45C3-9144-F98A765986F9}"/>
    <cellStyle name="Comma 4 2 4 2 4 3" xfId="5854" xr:uid="{00000000-0005-0000-0000-0000C2080000}"/>
    <cellStyle name="Comma 4 2 4 2 4 3 2" xfId="22731" xr:uid="{7F8FBC96-A4F1-4842-8CC4-BD085957091A}"/>
    <cellStyle name="Comma 4 2 4 2 4 3 3" xfId="31165" xr:uid="{D55D44CD-2FC3-46BC-A35A-4704E4DD2BBF}"/>
    <cellStyle name="Comma 4 2 4 2 4 3 4" xfId="14293" xr:uid="{3F9BD3C5-7FF1-40A6-A330-32CABB426D18}"/>
    <cellStyle name="Comma 4 2 4 2 4 4" xfId="18513" xr:uid="{5C2F9262-F03E-45EE-9D26-B50034A8243B}"/>
    <cellStyle name="Comma 4 2 4 2 4 5" xfId="26948" xr:uid="{A5F881CD-F175-415C-BAD5-4885E77251F7}"/>
    <cellStyle name="Comma 4 2 4 2 4 6" xfId="10075" xr:uid="{896B7FEE-F315-4C06-AFA1-BB1FF4337CFC}"/>
    <cellStyle name="Comma 4 2 4 2 5" xfId="1960" xr:uid="{00000000-0005-0000-0000-0000C3080000}"/>
    <cellStyle name="Comma 4 2 4 2 5 2" xfId="4189" xr:uid="{00000000-0005-0000-0000-0000C4080000}"/>
    <cellStyle name="Comma 4 2 4 2 5 2 2" xfId="8412" xr:uid="{00000000-0005-0000-0000-0000C5080000}"/>
    <cellStyle name="Comma 4 2 4 2 5 2 2 2" xfId="25289" xr:uid="{D8BA4806-EEEB-43B2-B9A9-50BEF7E23C45}"/>
    <cellStyle name="Comma 4 2 4 2 5 2 2 3" xfId="33723" xr:uid="{4832F0F2-DE0B-4EB5-BB02-74DAEEA8FB0C}"/>
    <cellStyle name="Comma 4 2 4 2 5 2 2 4" xfId="16851" xr:uid="{161EDE4E-146E-42EE-BD6D-6A5EEB23DEF6}"/>
    <cellStyle name="Comma 4 2 4 2 5 2 3" xfId="21071" xr:uid="{F020BC29-8AC1-446E-88F4-A7C8EADCCFD2}"/>
    <cellStyle name="Comma 4 2 4 2 5 2 4" xfId="29506" xr:uid="{AD5FDAF3-33CF-46E8-8BEB-9F893B2D0336}"/>
    <cellStyle name="Comma 4 2 4 2 5 2 5" xfId="12633" xr:uid="{3F6815F3-1AE1-4CA0-9D5B-6EEA9D031826}"/>
    <cellStyle name="Comma 4 2 4 2 5 3" xfId="6267" xr:uid="{00000000-0005-0000-0000-0000C6080000}"/>
    <cellStyle name="Comma 4 2 4 2 5 3 2" xfId="23144" xr:uid="{D99F8E64-C859-4765-85D1-4D0C4F6084D0}"/>
    <cellStyle name="Comma 4 2 4 2 5 3 3" xfId="31578" xr:uid="{208157F6-A920-4F90-8C9A-137EB73F7770}"/>
    <cellStyle name="Comma 4 2 4 2 5 3 4" xfId="14706" xr:uid="{BA2A51FE-AFC1-41FE-A985-45B65768B3F6}"/>
    <cellStyle name="Comma 4 2 4 2 5 4" xfId="18926" xr:uid="{9172ACBF-C287-4016-B5B7-E83B8F26079D}"/>
    <cellStyle name="Comma 4 2 4 2 5 5" xfId="27361" xr:uid="{FBBF9FDB-9719-45C3-BE45-057700FE92BC}"/>
    <cellStyle name="Comma 4 2 4 2 5 6" xfId="10488" xr:uid="{FE44D777-C26E-4DA4-BA69-28904C5D48E6}"/>
    <cellStyle name="Comma 4 2 4 2 6" xfId="2395" xr:uid="{00000000-0005-0000-0000-0000C7080000}"/>
    <cellStyle name="Comma 4 2 4 2 6 2" xfId="6680" xr:uid="{00000000-0005-0000-0000-0000C8080000}"/>
    <cellStyle name="Comma 4 2 4 2 6 2 2" xfId="23557" xr:uid="{11CB38F6-D638-4BAA-AFC2-7568DE444F38}"/>
    <cellStyle name="Comma 4 2 4 2 6 2 3" xfId="31991" xr:uid="{5A5B4B66-714B-4660-A6CA-1429EA29F457}"/>
    <cellStyle name="Comma 4 2 4 2 6 2 4" xfId="15119" xr:uid="{8A1BE2CB-4E56-4EB6-93A0-4AF283FE98F8}"/>
    <cellStyle name="Comma 4 2 4 2 6 3" xfId="19339" xr:uid="{9CADA52F-84C6-4316-9296-E625B5022506}"/>
    <cellStyle name="Comma 4 2 4 2 6 4" xfId="27774" xr:uid="{D6411623-229A-4854-BB2C-FB991F34CEB6}"/>
    <cellStyle name="Comma 4 2 4 2 6 5" xfId="10901" xr:uid="{AE6E83CC-220D-4187-A710-0A12A05B7E24}"/>
    <cellStyle name="Comma 4 2 4 2 7" xfId="2368" xr:uid="{00000000-0005-0000-0000-0000C9080000}"/>
    <cellStyle name="Comma 4 2 4 2 8" xfId="2773" xr:uid="{00000000-0005-0000-0000-0000CA080000}"/>
    <cellStyle name="Comma 4 2 4 2 8 2" xfId="6997" xr:uid="{00000000-0005-0000-0000-0000CB080000}"/>
    <cellStyle name="Comma 4 2 4 2 8 2 2" xfId="23874" xr:uid="{1F3229B3-1A3F-4927-A84B-2986FEBFE278}"/>
    <cellStyle name="Comma 4 2 4 2 8 2 3" xfId="32308" xr:uid="{CDE0B463-77ED-4749-B01E-96ED7851B89F}"/>
    <cellStyle name="Comma 4 2 4 2 8 2 4" xfId="15436" xr:uid="{F6991C4B-72FC-463D-9725-0539B4AA8291}"/>
    <cellStyle name="Comma 4 2 4 2 8 3" xfId="19656" xr:uid="{A45745F3-B4E0-4AEC-88FF-D704A2CCCC81}"/>
    <cellStyle name="Comma 4 2 4 2 8 4" xfId="28091" xr:uid="{071B851E-4BDD-4606-97E3-8405F3E5AD97}"/>
    <cellStyle name="Comma 4 2 4 2 8 5" xfId="11218" xr:uid="{BAE26A64-ACD6-4A8B-8685-AA32EE2E3C79}"/>
    <cellStyle name="Comma 4 2 4 2 9" xfId="4614" xr:uid="{00000000-0005-0000-0000-0000CC080000}"/>
    <cellStyle name="Comma 4 2 4 2 9 2" xfId="21491" xr:uid="{3D73F2FB-01A2-42AA-AF44-9FCFC55485BC}"/>
    <cellStyle name="Comma 4 2 4 2 9 3" xfId="29925" xr:uid="{D551AC3F-CD74-4B78-9245-E104773E5AA4}"/>
    <cellStyle name="Comma 4 2 4 2 9 4" xfId="13053" xr:uid="{8929D8C7-C411-48BC-9F4A-0891A6622B4F}"/>
    <cellStyle name="Comma 4 2 4 3" xfId="678" xr:uid="{00000000-0005-0000-0000-0000CD080000}"/>
    <cellStyle name="Comma 4 2 4 3 2" xfId="2949" xr:uid="{00000000-0005-0000-0000-0000CE080000}"/>
    <cellStyle name="Comma 4 2 4 3 2 2" xfId="7172" xr:uid="{00000000-0005-0000-0000-0000CF080000}"/>
    <cellStyle name="Comma 4 2 4 3 2 2 2" xfId="24049" xr:uid="{3C36E8B6-CBB0-4194-BDBD-6CBF508D8C32}"/>
    <cellStyle name="Comma 4 2 4 3 2 2 3" xfId="32483" xr:uid="{9CF0FBA5-31FC-43BA-8C06-D86F0B6F1F60}"/>
    <cellStyle name="Comma 4 2 4 3 2 2 4" xfId="15611" xr:uid="{3F487EA2-71E7-4F66-BD4B-DD2C871D9550}"/>
    <cellStyle name="Comma 4 2 4 3 2 3" xfId="19831" xr:uid="{6B150C7E-1E46-46BE-A125-CDC7F1717FA3}"/>
    <cellStyle name="Comma 4 2 4 3 2 4" xfId="28266" xr:uid="{DB622A8B-BF9C-425B-88AD-28EDE0BE18CE}"/>
    <cellStyle name="Comma 4 2 4 3 2 5" xfId="11393" xr:uid="{53923A43-E8BC-43AC-905B-3D592F419478}"/>
    <cellStyle name="Comma 4 2 4 3 3" xfId="5027" xr:uid="{00000000-0005-0000-0000-0000D0080000}"/>
    <cellStyle name="Comma 4 2 4 3 3 2" xfId="21904" xr:uid="{C777DF80-9A4D-45B6-BDA2-D0144EE65009}"/>
    <cellStyle name="Comma 4 2 4 3 3 3" xfId="30338" xr:uid="{D0A47BC1-A0EB-41B0-A489-C54B67934B75}"/>
    <cellStyle name="Comma 4 2 4 3 3 4" xfId="13466" xr:uid="{C6D2B902-5E4A-4690-B3BB-817317C93D4A}"/>
    <cellStyle name="Comma 4 2 4 3 4" xfId="17686" xr:uid="{454FC330-68DE-43E9-89BC-35D7F0200EA8}"/>
    <cellStyle name="Comma 4 2 4 3 5" xfId="26121" xr:uid="{C61BAF10-651A-4DFA-860C-320562FDE07C}"/>
    <cellStyle name="Comma 4 2 4 3 6" xfId="9248" xr:uid="{BDC34128-FAEA-4023-8BF5-7A745B253383}"/>
    <cellStyle name="Comma 4 2 4 4" xfId="1131" xr:uid="{00000000-0005-0000-0000-0000D1080000}"/>
    <cellStyle name="Comma 4 2 4 4 2" xfId="3362" xr:uid="{00000000-0005-0000-0000-0000D2080000}"/>
    <cellStyle name="Comma 4 2 4 4 2 2" xfId="7585" xr:uid="{00000000-0005-0000-0000-0000D3080000}"/>
    <cellStyle name="Comma 4 2 4 4 2 2 2" xfId="24462" xr:uid="{DF5C7226-6C15-4BFE-B05C-CC72AD18C997}"/>
    <cellStyle name="Comma 4 2 4 4 2 2 3" xfId="32896" xr:uid="{4E56DD5C-89F9-4C56-99D9-A77D6782E5FF}"/>
    <cellStyle name="Comma 4 2 4 4 2 2 4" xfId="16024" xr:uid="{AA789E5B-7558-4BEE-90EF-5D41F8EBE902}"/>
    <cellStyle name="Comma 4 2 4 4 2 3" xfId="20244" xr:uid="{24566C5A-9257-4D9F-912E-40609FEF698A}"/>
    <cellStyle name="Comma 4 2 4 4 2 4" xfId="28679" xr:uid="{AF48185B-51E0-4A53-9AEF-B76A96908B1A}"/>
    <cellStyle name="Comma 4 2 4 4 2 5" xfId="11806" xr:uid="{D4AA1510-7B26-4A60-A9AF-AD97E0FF2534}"/>
    <cellStyle name="Comma 4 2 4 4 3" xfId="5440" xr:uid="{00000000-0005-0000-0000-0000D4080000}"/>
    <cellStyle name="Comma 4 2 4 4 3 2" xfId="22317" xr:uid="{81E66969-A55D-4E90-B0AA-61EEED53B887}"/>
    <cellStyle name="Comma 4 2 4 4 3 3" xfId="30751" xr:uid="{886AB097-0BF1-4FAF-97BE-7DB0BC865AC8}"/>
    <cellStyle name="Comma 4 2 4 4 3 4" xfId="13879" xr:uid="{72D965B8-1B37-467B-86AD-7597BFAF9164}"/>
    <cellStyle name="Comma 4 2 4 4 4" xfId="18099" xr:uid="{09F0FF50-D5CF-4BF4-A264-30FCFE967690}"/>
    <cellStyle name="Comma 4 2 4 4 5" xfId="26534" xr:uid="{F169E5E4-8FD8-4CC8-9E6A-E732CE3BC57F}"/>
    <cellStyle name="Comma 4 2 4 4 6" xfId="9661" xr:uid="{EE080D39-8997-4B3B-AE14-4033DCE28E55}"/>
    <cellStyle name="Comma 4 2 4 5" xfId="1545" xr:uid="{00000000-0005-0000-0000-0000D5080000}"/>
    <cellStyle name="Comma 4 2 4 5 2" xfId="3775" xr:uid="{00000000-0005-0000-0000-0000D6080000}"/>
    <cellStyle name="Comma 4 2 4 5 2 2" xfId="7998" xr:uid="{00000000-0005-0000-0000-0000D7080000}"/>
    <cellStyle name="Comma 4 2 4 5 2 2 2" xfId="24875" xr:uid="{DB1DF743-07C7-4F0C-9FA3-B1B8A4178D0A}"/>
    <cellStyle name="Comma 4 2 4 5 2 2 3" xfId="33309" xr:uid="{E513694A-09FD-45EB-8778-97A4D2893652}"/>
    <cellStyle name="Comma 4 2 4 5 2 2 4" xfId="16437" xr:uid="{A5451027-781A-48B2-BAE4-9F02C219CA0B}"/>
    <cellStyle name="Comma 4 2 4 5 2 3" xfId="20657" xr:uid="{83A7AE17-4720-432D-9332-95B8DF9DC0AA}"/>
    <cellStyle name="Comma 4 2 4 5 2 4" xfId="29092" xr:uid="{EDFDBC53-51C7-4768-9B25-C4D1F7C2C81C}"/>
    <cellStyle name="Comma 4 2 4 5 2 5" xfId="12219" xr:uid="{14338C0F-82B5-412A-9C19-52906C4E0E39}"/>
    <cellStyle name="Comma 4 2 4 5 3" xfId="5853" xr:uid="{00000000-0005-0000-0000-0000D8080000}"/>
    <cellStyle name="Comma 4 2 4 5 3 2" xfId="22730" xr:uid="{0913FAC8-CA5A-43D9-8DB4-385FFD34391A}"/>
    <cellStyle name="Comma 4 2 4 5 3 3" xfId="31164" xr:uid="{74930A62-A526-4653-BA9F-BD612EB9BB35}"/>
    <cellStyle name="Comma 4 2 4 5 3 4" xfId="14292" xr:uid="{E80E570F-55F9-4403-BA39-B1DFE65CEEAA}"/>
    <cellStyle name="Comma 4 2 4 5 4" xfId="18512" xr:uid="{B6D84E42-28ED-4D7C-BB18-F8470DF13658}"/>
    <cellStyle name="Comma 4 2 4 5 5" xfId="26947" xr:uid="{E7D7CC8A-56E0-48CE-B238-F0F1AB647D20}"/>
    <cellStyle name="Comma 4 2 4 5 6" xfId="10074" xr:uid="{1C678C95-0FD6-4431-B06A-A965F1BD6C57}"/>
    <cellStyle name="Comma 4 2 4 6" xfId="1959" xr:uid="{00000000-0005-0000-0000-0000D9080000}"/>
    <cellStyle name="Comma 4 2 4 6 2" xfId="4188" xr:uid="{00000000-0005-0000-0000-0000DA080000}"/>
    <cellStyle name="Comma 4 2 4 6 2 2" xfId="8411" xr:uid="{00000000-0005-0000-0000-0000DB080000}"/>
    <cellStyle name="Comma 4 2 4 6 2 2 2" xfId="25288" xr:uid="{84880518-C3C2-4DD2-B490-C7C1C2420EF7}"/>
    <cellStyle name="Comma 4 2 4 6 2 2 3" xfId="33722" xr:uid="{1A588E02-BBA5-4A5F-A3E1-FC1D41D14367}"/>
    <cellStyle name="Comma 4 2 4 6 2 2 4" xfId="16850" xr:uid="{6F6F14F6-EFFA-4DC4-B687-6B566A73F6C3}"/>
    <cellStyle name="Comma 4 2 4 6 2 3" xfId="21070" xr:uid="{3BB3C91D-7F5F-43AD-BC31-2C7CCA5E63FB}"/>
    <cellStyle name="Comma 4 2 4 6 2 4" xfId="29505" xr:uid="{FE03EE9B-6F1D-4A08-BBC0-11EAA7FCD408}"/>
    <cellStyle name="Comma 4 2 4 6 2 5" xfId="12632" xr:uid="{CBD8C01D-F5C7-4089-97D7-5B65A4809FB1}"/>
    <cellStyle name="Comma 4 2 4 6 3" xfId="6266" xr:uid="{00000000-0005-0000-0000-0000DC080000}"/>
    <cellStyle name="Comma 4 2 4 6 3 2" xfId="23143" xr:uid="{1D5FB647-4A08-4AD9-9637-607806037B09}"/>
    <cellStyle name="Comma 4 2 4 6 3 3" xfId="31577" xr:uid="{A1BC9148-A135-4B4C-BCDB-203854227B80}"/>
    <cellStyle name="Comma 4 2 4 6 3 4" xfId="14705" xr:uid="{BEFD282D-570F-494D-8417-121E28499BD7}"/>
    <cellStyle name="Comma 4 2 4 6 4" xfId="18925" xr:uid="{7FD04AE1-C4C7-44B2-AE24-A6D9C84B3D51}"/>
    <cellStyle name="Comma 4 2 4 6 5" xfId="27360" xr:uid="{F89E1A16-0595-40BD-ABC6-DF4D80B697FB}"/>
    <cellStyle name="Comma 4 2 4 6 6" xfId="10487" xr:uid="{CC41C68C-62CB-421F-AB82-50B787441158}"/>
    <cellStyle name="Comma 4 2 4 7" xfId="2394" xr:uid="{00000000-0005-0000-0000-0000DD080000}"/>
    <cellStyle name="Comma 4 2 4 7 2" xfId="6679" xr:uid="{00000000-0005-0000-0000-0000DE080000}"/>
    <cellStyle name="Comma 4 2 4 7 2 2" xfId="23556" xr:uid="{C9FF706D-5A56-4107-9A61-5C288795642B}"/>
    <cellStyle name="Comma 4 2 4 7 2 3" xfId="31990" xr:uid="{882EECDE-9322-4B02-821F-E8796D2D5A5D}"/>
    <cellStyle name="Comma 4 2 4 7 2 4" xfId="15118" xr:uid="{72E13574-DEF8-4A6B-9531-2F5669CD122C}"/>
    <cellStyle name="Comma 4 2 4 7 3" xfId="19338" xr:uid="{84D087CB-CC39-44AC-998C-C58F883FE0F5}"/>
    <cellStyle name="Comma 4 2 4 7 4" xfId="27773" xr:uid="{9401D1CA-10D1-4018-9861-0D0CFB675D49}"/>
    <cellStyle name="Comma 4 2 4 7 5" xfId="10900" xr:uid="{6A0AFAD6-89F8-4590-9EFA-562CBAC92A8A}"/>
    <cellStyle name="Comma 4 2 4 8" xfId="2369" xr:uid="{00000000-0005-0000-0000-0000DF080000}"/>
    <cellStyle name="Comma 4 2 4 9" xfId="2772" xr:uid="{00000000-0005-0000-0000-0000E0080000}"/>
    <cellStyle name="Comma 4 2 4 9 2" xfId="6996" xr:uid="{00000000-0005-0000-0000-0000E1080000}"/>
    <cellStyle name="Comma 4 2 4 9 2 2" xfId="23873" xr:uid="{BD78D504-8633-4E9D-B350-52A55A205C76}"/>
    <cellStyle name="Comma 4 2 4 9 2 3" xfId="32307" xr:uid="{EEA3CA52-A6A1-4346-9E4B-584651A9A382}"/>
    <cellStyle name="Comma 4 2 4 9 2 4" xfId="15435" xr:uid="{3210E24B-6DD7-4F0A-930D-F4A76993E788}"/>
    <cellStyle name="Comma 4 2 4 9 3" xfId="19655" xr:uid="{48B3F522-2F3A-4656-97C4-6E153F624BDF}"/>
    <cellStyle name="Comma 4 2 4 9 4" xfId="28090" xr:uid="{B3EE1ED6-D68E-4B77-AC65-DD1201FD0E49}"/>
    <cellStyle name="Comma 4 2 4 9 5" xfId="11217" xr:uid="{2577D148-DC93-4B7F-B60C-AB3EBC3B3D5A}"/>
    <cellStyle name="Comma 4 2 5" xfId="142" xr:uid="{00000000-0005-0000-0000-0000E2080000}"/>
    <cellStyle name="Comma 4 2 5 10" xfId="17274" xr:uid="{BC14D18F-2F95-4FC1-945E-D59C8F5F889C}"/>
    <cellStyle name="Comma 4 2 5 11" xfId="25709" xr:uid="{DB741E3A-C808-44A6-A5BC-9DEDBA22501B}"/>
    <cellStyle name="Comma 4 2 5 12" xfId="8836" xr:uid="{4336C678-FF05-44C1-8E59-D83A00B5C319}"/>
    <cellStyle name="Comma 4 2 5 2" xfId="680" xr:uid="{00000000-0005-0000-0000-0000E3080000}"/>
    <cellStyle name="Comma 4 2 5 2 2" xfId="2951" xr:uid="{00000000-0005-0000-0000-0000E4080000}"/>
    <cellStyle name="Comma 4 2 5 2 2 2" xfId="7174" xr:uid="{00000000-0005-0000-0000-0000E5080000}"/>
    <cellStyle name="Comma 4 2 5 2 2 2 2" xfId="24051" xr:uid="{285616BA-8882-4068-9A4D-67321ECB16F1}"/>
    <cellStyle name="Comma 4 2 5 2 2 2 3" xfId="32485" xr:uid="{FB504A39-B4C7-4961-83DA-6C483F9C29B1}"/>
    <cellStyle name="Comma 4 2 5 2 2 2 4" xfId="15613" xr:uid="{2A7910C1-C3F4-42BE-87FD-CCD4416083AE}"/>
    <cellStyle name="Comma 4 2 5 2 2 3" xfId="19833" xr:uid="{8FDDC581-3875-48A1-80E0-8FA9352CF231}"/>
    <cellStyle name="Comma 4 2 5 2 2 4" xfId="28268" xr:uid="{A9EA426C-5947-4C15-B625-CF68A0F36CCB}"/>
    <cellStyle name="Comma 4 2 5 2 2 5" xfId="11395" xr:uid="{14083E3C-78B9-4A27-A93B-641947E22A1F}"/>
    <cellStyle name="Comma 4 2 5 2 3" xfId="5029" xr:uid="{00000000-0005-0000-0000-0000E6080000}"/>
    <cellStyle name="Comma 4 2 5 2 3 2" xfId="21906" xr:uid="{7801D95C-34C7-467D-8401-3D191491335D}"/>
    <cellStyle name="Comma 4 2 5 2 3 3" xfId="30340" xr:uid="{719346F2-4D08-48DD-8AFF-372DBB3C838A}"/>
    <cellStyle name="Comma 4 2 5 2 3 4" xfId="13468" xr:uid="{0DB5CC31-04BF-44F2-AD7F-973BA04152F2}"/>
    <cellStyle name="Comma 4 2 5 2 4" xfId="17688" xr:uid="{0769CCB4-693E-4C94-BEC5-33AFA0C36E98}"/>
    <cellStyle name="Comma 4 2 5 2 5" xfId="26123" xr:uid="{505CCF9F-9B8C-44AE-98A8-D941AC436198}"/>
    <cellStyle name="Comma 4 2 5 2 6" xfId="9250" xr:uid="{F8F97E3F-0361-4C5A-B8D1-A166B92F5038}"/>
    <cellStyle name="Comma 4 2 5 3" xfId="1133" xr:uid="{00000000-0005-0000-0000-0000E7080000}"/>
    <cellStyle name="Comma 4 2 5 3 2" xfId="3364" xr:uid="{00000000-0005-0000-0000-0000E8080000}"/>
    <cellStyle name="Comma 4 2 5 3 2 2" xfId="7587" xr:uid="{00000000-0005-0000-0000-0000E9080000}"/>
    <cellStyle name="Comma 4 2 5 3 2 2 2" xfId="24464" xr:uid="{A0D1C649-BB38-4132-AE97-D326A7C97A1A}"/>
    <cellStyle name="Comma 4 2 5 3 2 2 3" xfId="32898" xr:uid="{825020BD-3781-4592-85E3-45464C8278B6}"/>
    <cellStyle name="Comma 4 2 5 3 2 2 4" xfId="16026" xr:uid="{38CC05F4-EDE0-44D1-BBC4-929CB0DA2A80}"/>
    <cellStyle name="Comma 4 2 5 3 2 3" xfId="20246" xr:uid="{350E0CCA-A689-447C-94FF-00D09E5FF294}"/>
    <cellStyle name="Comma 4 2 5 3 2 4" xfId="28681" xr:uid="{97FD6233-675F-4CBF-AFD5-4FBFF76764D1}"/>
    <cellStyle name="Comma 4 2 5 3 2 5" xfId="11808" xr:uid="{7A395F23-61A9-4144-975F-CC3107B3B90B}"/>
    <cellStyle name="Comma 4 2 5 3 3" xfId="5442" xr:uid="{00000000-0005-0000-0000-0000EA080000}"/>
    <cellStyle name="Comma 4 2 5 3 3 2" xfId="22319" xr:uid="{CA53ECA0-DD67-4FD6-B2B1-9CB0A1FDE373}"/>
    <cellStyle name="Comma 4 2 5 3 3 3" xfId="30753" xr:uid="{FFCC558D-ED50-4F14-A667-BF116037522B}"/>
    <cellStyle name="Comma 4 2 5 3 3 4" xfId="13881" xr:uid="{E3019204-7DF6-4E8E-A508-164223A18253}"/>
    <cellStyle name="Comma 4 2 5 3 4" xfId="18101" xr:uid="{A8CBAC8E-ABCB-4A14-87DE-02BE55B891D0}"/>
    <cellStyle name="Comma 4 2 5 3 5" xfId="26536" xr:uid="{52296E97-A3A9-403D-AE78-40AB8D7A8326}"/>
    <cellStyle name="Comma 4 2 5 3 6" xfId="9663" xr:uid="{DEF279CA-BA45-4668-8364-43D56FB38A31}"/>
    <cellStyle name="Comma 4 2 5 4" xfId="1547" xr:uid="{00000000-0005-0000-0000-0000EB080000}"/>
    <cellStyle name="Comma 4 2 5 4 2" xfId="3777" xr:uid="{00000000-0005-0000-0000-0000EC080000}"/>
    <cellStyle name="Comma 4 2 5 4 2 2" xfId="8000" xr:uid="{00000000-0005-0000-0000-0000ED080000}"/>
    <cellStyle name="Comma 4 2 5 4 2 2 2" xfId="24877" xr:uid="{E3C61696-3247-4AFA-A78A-E7C4A5B870C6}"/>
    <cellStyle name="Comma 4 2 5 4 2 2 3" xfId="33311" xr:uid="{BBA5206C-F931-49C8-ABD1-48E9DB57A3AA}"/>
    <cellStyle name="Comma 4 2 5 4 2 2 4" xfId="16439" xr:uid="{589C09B2-6BA9-4225-A7AE-41EA8D38EF82}"/>
    <cellStyle name="Comma 4 2 5 4 2 3" xfId="20659" xr:uid="{62D6DAA9-C640-413A-98C2-070157014AD4}"/>
    <cellStyle name="Comma 4 2 5 4 2 4" xfId="29094" xr:uid="{CEF389F1-C153-47A1-9330-D0B2A63D8865}"/>
    <cellStyle name="Comma 4 2 5 4 2 5" xfId="12221" xr:uid="{F72E5AEC-7847-4D03-88A7-5AF48A9037FD}"/>
    <cellStyle name="Comma 4 2 5 4 3" xfId="5855" xr:uid="{00000000-0005-0000-0000-0000EE080000}"/>
    <cellStyle name="Comma 4 2 5 4 3 2" xfId="22732" xr:uid="{DA2ED65B-3370-41AD-97E5-6BDB856EB8A9}"/>
    <cellStyle name="Comma 4 2 5 4 3 3" xfId="31166" xr:uid="{898D6957-0F14-4063-933B-25CB4AE7B353}"/>
    <cellStyle name="Comma 4 2 5 4 3 4" xfId="14294" xr:uid="{9004FBF0-6207-4601-B509-B61D7A6A57A0}"/>
    <cellStyle name="Comma 4 2 5 4 4" xfId="18514" xr:uid="{5E17A8F8-5D44-4043-AA3A-97F4F375A1E8}"/>
    <cellStyle name="Comma 4 2 5 4 5" xfId="26949" xr:uid="{E8B6772B-95FC-4C1B-A75B-42D8A7A38F84}"/>
    <cellStyle name="Comma 4 2 5 4 6" xfId="10076" xr:uid="{2DA826B8-6D58-44E5-AAA1-D685D4577C0B}"/>
    <cellStyle name="Comma 4 2 5 5" xfId="1961" xr:uid="{00000000-0005-0000-0000-0000EF080000}"/>
    <cellStyle name="Comma 4 2 5 5 2" xfId="4190" xr:uid="{00000000-0005-0000-0000-0000F0080000}"/>
    <cellStyle name="Comma 4 2 5 5 2 2" xfId="8413" xr:uid="{00000000-0005-0000-0000-0000F1080000}"/>
    <cellStyle name="Comma 4 2 5 5 2 2 2" xfId="25290" xr:uid="{7F0E1C75-E249-4E13-8601-8237799CD2A1}"/>
    <cellStyle name="Comma 4 2 5 5 2 2 3" xfId="33724" xr:uid="{F3ADE522-D527-4414-908D-D06EF1216049}"/>
    <cellStyle name="Comma 4 2 5 5 2 2 4" xfId="16852" xr:uid="{3C1FD45B-7A77-48F4-9F84-E54DD9022C0D}"/>
    <cellStyle name="Comma 4 2 5 5 2 3" xfId="21072" xr:uid="{21D53053-BC2F-40B1-8340-6313DB383CC4}"/>
    <cellStyle name="Comma 4 2 5 5 2 4" xfId="29507" xr:uid="{D646D24C-EAAB-4F1B-9BBA-4904B4D6C028}"/>
    <cellStyle name="Comma 4 2 5 5 2 5" xfId="12634" xr:uid="{AA9C81D5-D88B-4381-B59B-D10A1F04A0AA}"/>
    <cellStyle name="Comma 4 2 5 5 3" xfId="6268" xr:uid="{00000000-0005-0000-0000-0000F2080000}"/>
    <cellStyle name="Comma 4 2 5 5 3 2" xfId="23145" xr:uid="{ADA3CA6D-C550-4775-8D8C-107515031D48}"/>
    <cellStyle name="Comma 4 2 5 5 3 3" xfId="31579" xr:uid="{72EC467D-95B1-4853-883F-65DA88484DB2}"/>
    <cellStyle name="Comma 4 2 5 5 3 4" xfId="14707" xr:uid="{2A2A1AB6-09A2-4D22-A058-1A5D09B95BE9}"/>
    <cellStyle name="Comma 4 2 5 5 4" xfId="18927" xr:uid="{345A9968-2FA9-4AEC-BE37-56EA5D8A65B4}"/>
    <cellStyle name="Comma 4 2 5 5 5" xfId="27362" xr:uid="{9AA438D9-E0C4-4951-9CD2-5567D52F0CE0}"/>
    <cellStyle name="Comma 4 2 5 5 6" xfId="10489" xr:uid="{7CD1C956-841A-4366-96CE-B03A1BF4D99B}"/>
    <cellStyle name="Comma 4 2 5 6" xfId="2396" xr:uid="{00000000-0005-0000-0000-0000F3080000}"/>
    <cellStyle name="Comma 4 2 5 6 2" xfId="6681" xr:uid="{00000000-0005-0000-0000-0000F4080000}"/>
    <cellStyle name="Comma 4 2 5 6 2 2" xfId="23558" xr:uid="{60F823AF-E468-418F-B7C3-3C810874B4D6}"/>
    <cellStyle name="Comma 4 2 5 6 2 3" xfId="31992" xr:uid="{B7CBB0B3-F30C-45A0-A338-7009CA41CCD8}"/>
    <cellStyle name="Comma 4 2 5 6 2 4" xfId="15120" xr:uid="{4D1ADD3E-72F3-4BB1-9582-64DBFCFD4551}"/>
    <cellStyle name="Comma 4 2 5 6 3" xfId="19340" xr:uid="{90325FB9-7545-47F4-AA75-44EDD7955D69}"/>
    <cellStyle name="Comma 4 2 5 6 4" xfId="27775" xr:uid="{F0474CBA-6876-42C3-9AA6-975777D1C25A}"/>
    <cellStyle name="Comma 4 2 5 6 5" xfId="10902" xr:uid="{2761C96B-7A22-4957-820F-81073CE3DD66}"/>
    <cellStyle name="Comma 4 2 5 7" xfId="2367" xr:uid="{00000000-0005-0000-0000-0000F5080000}"/>
    <cellStyle name="Comma 4 2 5 8" xfId="2774" xr:uid="{00000000-0005-0000-0000-0000F6080000}"/>
    <cellStyle name="Comma 4 2 5 8 2" xfId="6998" xr:uid="{00000000-0005-0000-0000-0000F7080000}"/>
    <cellStyle name="Comma 4 2 5 8 2 2" xfId="23875" xr:uid="{0E637F9C-0FCD-4CF5-A7FA-43923ED971F5}"/>
    <cellStyle name="Comma 4 2 5 8 2 3" xfId="32309" xr:uid="{0AD11D65-4A29-48B3-9A3B-35EE1EBE9353}"/>
    <cellStyle name="Comma 4 2 5 8 2 4" xfId="15437" xr:uid="{AE94C2D9-2D02-4F6A-9FB1-35C17D8F0D8A}"/>
    <cellStyle name="Comma 4 2 5 8 3" xfId="19657" xr:uid="{A2E21DB3-9884-416D-B4AC-C9E76B66431B}"/>
    <cellStyle name="Comma 4 2 5 8 4" xfId="28092" xr:uid="{6A5A645A-1193-4012-A0B5-47C4A47432E1}"/>
    <cellStyle name="Comma 4 2 5 8 5" xfId="11219" xr:uid="{63B79769-0C43-4DB3-99CB-23C8295851E9}"/>
    <cellStyle name="Comma 4 2 5 9" xfId="4615" xr:uid="{00000000-0005-0000-0000-0000F8080000}"/>
    <cellStyle name="Comma 4 2 5 9 2" xfId="21492" xr:uid="{8FDC2C81-67F7-4593-AF6A-FCD728344A04}"/>
    <cellStyle name="Comma 4 2 5 9 3" xfId="29926" xr:uid="{41933547-B45C-41A7-9181-9532C110EC67}"/>
    <cellStyle name="Comma 4 2 5 9 4" xfId="13054" xr:uid="{31FBE775-5C45-4F9F-9918-096151B95275}"/>
    <cellStyle name="Comma 4 2 6" xfId="143" xr:uid="{00000000-0005-0000-0000-0000F9080000}"/>
    <cellStyle name="Comma 4 2 6 10" xfId="17275" xr:uid="{9CCFE821-3E56-488F-AE62-3CF18D27EF02}"/>
    <cellStyle name="Comma 4 2 6 11" xfId="25710" xr:uid="{0ECA573A-570D-44C4-9A84-A9384C728C20}"/>
    <cellStyle name="Comma 4 2 6 12" xfId="8837" xr:uid="{441FCCEB-F71E-4C5A-946F-B6840D72E766}"/>
    <cellStyle name="Comma 4 2 6 2" xfId="681" xr:uid="{00000000-0005-0000-0000-0000FA080000}"/>
    <cellStyle name="Comma 4 2 6 2 2" xfId="2952" xr:uid="{00000000-0005-0000-0000-0000FB080000}"/>
    <cellStyle name="Comma 4 2 6 2 2 2" xfId="7175" xr:uid="{00000000-0005-0000-0000-0000FC080000}"/>
    <cellStyle name="Comma 4 2 6 2 2 2 2" xfId="24052" xr:uid="{723DD738-4D6B-40AA-9A16-E1828917FA49}"/>
    <cellStyle name="Comma 4 2 6 2 2 2 3" xfId="32486" xr:uid="{1AC85F1F-C01D-48BA-88DB-83AFF31F38C3}"/>
    <cellStyle name="Comma 4 2 6 2 2 2 4" xfId="15614" xr:uid="{89759DF4-0094-4EC1-9305-2680B7EB1362}"/>
    <cellStyle name="Comma 4 2 6 2 2 3" xfId="19834" xr:uid="{708EBCDC-EE92-4794-999D-1DD4DC6F35BC}"/>
    <cellStyle name="Comma 4 2 6 2 2 4" xfId="28269" xr:uid="{336ACD08-C947-4B45-9A6F-6765CC37B432}"/>
    <cellStyle name="Comma 4 2 6 2 2 5" xfId="11396" xr:uid="{47E5C7BF-A219-48B7-9D53-EC2A82500569}"/>
    <cellStyle name="Comma 4 2 6 2 3" xfId="5030" xr:uid="{00000000-0005-0000-0000-0000FD080000}"/>
    <cellStyle name="Comma 4 2 6 2 3 2" xfId="21907" xr:uid="{B2F31118-8DD9-4174-BB09-40037689C303}"/>
    <cellStyle name="Comma 4 2 6 2 3 3" xfId="30341" xr:uid="{DDF7C8F1-646E-496F-B419-F9C039F6D744}"/>
    <cellStyle name="Comma 4 2 6 2 3 4" xfId="13469" xr:uid="{25875066-545E-46D8-8C4F-6E56905F2216}"/>
    <cellStyle name="Comma 4 2 6 2 4" xfId="17689" xr:uid="{94C3CEC6-8E24-4C5D-9552-68992E2AB788}"/>
    <cellStyle name="Comma 4 2 6 2 5" xfId="26124" xr:uid="{29C4B246-A13D-42E3-9BD3-811E49D02472}"/>
    <cellStyle name="Comma 4 2 6 2 6" xfId="9251" xr:uid="{09B2D634-13E3-4D04-9381-8C014F920116}"/>
    <cellStyle name="Comma 4 2 6 3" xfId="1134" xr:uid="{00000000-0005-0000-0000-0000FE080000}"/>
    <cellStyle name="Comma 4 2 6 3 2" xfId="3365" xr:uid="{00000000-0005-0000-0000-0000FF080000}"/>
    <cellStyle name="Comma 4 2 6 3 2 2" xfId="7588" xr:uid="{00000000-0005-0000-0000-000000090000}"/>
    <cellStyle name="Comma 4 2 6 3 2 2 2" xfId="24465" xr:uid="{7E2A49AA-6644-4AEC-822D-2C003E0C9723}"/>
    <cellStyle name="Comma 4 2 6 3 2 2 3" xfId="32899" xr:uid="{6332D99A-B5CF-44C4-BF2B-A1BB5AF62977}"/>
    <cellStyle name="Comma 4 2 6 3 2 2 4" xfId="16027" xr:uid="{4A66916E-440F-4399-86C8-F91C50579437}"/>
    <cellStyle name="Comma 4 2 6 3 2 3" xfId="20247" xr:uid="{1AEC71AD-6542-4A86-9702-1440987CA0B8}"/>
    <cellStyle name="Comma 4 2 6 3 2 4" xfId="28682" xr:uid="{FCA5A388-C2B2-40AF-8B57-B1DF093822DE}"/>
    <cellStyle name="Comma 4 2 6 3 2 5" xfId="11809" xr:uid="{C82A354F-9999-4D07-B0BC-CD17F0E2454A}"/>
    <cellStyle name="Comma 4 2 6 3 3" xfId="5443" xr:uid="{00000000-0005-0000-0000-000001090000}"/>
    <cellStyle name="Comma 4 2 6 3 3 2" xfId="22320" xr:uid="{12FEE01C-384B-4906-BF1D-AD5F5674D08A}"/>
    <cellStyle name="Comma 4 2 6 3 3 3" xfId="30754" xr:uid="{7F4225B4-48B6-459B-9869-1C7891FE8DDC}"/>
    <cellStyle name="Comma 4 2 6 3 3 4" xfId="13882" xr:uid="{9C1AD360-FA8B-45B1-9CD5-FBDF24EC46CD}"/>
    <cellStyle name="Comma 4 2 6 3 4" xfId="18102" xr:uid="{F9D997ED-4E1A-4A06-B1AD-4CFD79A22EFD}"/>
    <cellStyle name="Comma 4 2 6 3 5" xfId="26537" xr:uid="{0B050C67-D852-4EAB-A580-A45CC33B7E77}"/>
    <cellStyle name="Comma 4 2 6 3 6" xfId="9664" xr:uid="{1D38AB24-0400-47E7-9F3E-5D4CCC6D736D}"/>
    <cellStyle name="Comma 4 2 6 4" xfId="1548" xr:uid="{00000000-0005-0000-0000-000002090000}"/>
    <cellStyle name="Comma 4 2 6 4 2" xfId="3778" xr:uid="{00000000-0005-0000-0000-000003090000}"/>
    <cellStyle name="Comma 4 2 6 4 2 2" xfId="8001" xr:uid="{00000000-0005-0000-0000-000004090000}"/>
    <cellStyle name="Comma 4 2 6 4 2 2 2" xfId="24878" xr:uid="{9690EE10-755E-42FF-8B47-0BE485EE2A0F}"/>
    <cellStyle name="Comma 4 2 6 4 2 2 3" xfId="33312" xr:uid="{6921E5AB-587C-4393-BE07-ED4DE3C3A8B4}"/>
    <cellStyle name="Comma 4 2 6 4 2 2 4" xfId="16440" xr:uid="{AF558848-5845-44ED-AFD8-FEE2482507AD}"/>
    <cellStyle name="Comma 4 2 6 4 2 3" xfId="20660" xr:uid="{2F9DE092-4DD9-4FED-9087-8C791E4A17CF}"/>
    <cellStyle name="Comma 4 2 6 4 2 4" xfId="29095" xr:uid="{EAA4B86B-F445-4639-957A-C3A824407E2F}"/>
    <cellStyle name="Comma 4 2 6 4 2 5" xfId="12222" xr:uid="{58A1315B-1843-47FB-9F74-CF1EF8896C6F}"/>
    <cellStyle name="Comma 4 2 6 4 3" xfId="5856" xr:uid="{00000000-0005-0000-0000-000005090000}"/>
    <cellStyle name="Comma 4 2 6 4 3 2" xfId="22733" xr:uid="{80089B99-963C-427D-A05A-1B6090510533}"/>
    <cellStyle name="Comma 4 2 6 4 3 3" xfId="31167" xr:uid="{267875D7-D96C-4B4A-873E-3F76CD9A69EF}"/>
    <cellStyle name="Comma 4 2 6 4 3 4" xfId="14295" xr:uid="{33CFA851-5880-48F7-BB32-DF6F8A02FB05}"/>
    <cellStyle name="Comma 4 2 6 4 4" xfId="18515" xr:uid="{68DEC3AD-D77F-4EAE-BC9C-4CB454B05C81}"/>
    <cellStyle name="Comma 4 2 6 4 5" xfId="26950" xr:uid="{E94E9FCD-E7A5-430B-B47D-6236ED51670F}"/>
    <cellStyle name="Comma 4 2 6 4 6" xfId="10077" xr:uid="{EBB1CE05-B9F1-45AF-8E9D-B66433991313}"/>
    <cellStyle name="Comma 4 2 6 5" xfId="1962" xr:uid="{00000000-0005-0000-0000-000006090000}"/>
    <cellStyle name="Comma 4 2 6 5 2" xfId="4191" xr:uid="{00000000-0005-0000-0000-000007090000}"/>
    <cellStyle name="Comma 4 2 6 5 2 2" xfId="8414" xr:uid="{00000000-0005-0000-0000-000008090000}"/>
    <cellStyle name="Comma 4 2 6 5 2 2 2" xfId="25291" xr:uid="{1B1BEE8B-D3BD-439C-B564-05F5869C842D}"/>
    <cellStyle name="Comma 4 2 6 5 2 2 3" xfId="33725" xr:uid="{F9041A70-7B25-4CDC-9451-D778B63B197E}"/>
    <cellStyle name="Comma 4 2 6 5 2 2 4" xfId="16853" xr:uid="{17AB0CAA-6E8A-43BE-AA09-F196907F354C}"/>
    <cellStyle name="Comma 4 2 6 5 2 3" xfId="21073" xr:uid="{BBDA1F10-C774-4A07-BEBE-371B8D8245FC}"/>
    <cellStyle name="Comma 4 2 6 5 2 4" xfId="29508" xr:uid="{936B0697-6C3B-4C3F-829D-E75CB57B8EEC}"/>
    <cellStyle name="Comma 4 2 6 5 2 5" xfId="12635" xr:uid="{F4BCDC1F-E009-4A27-B9B2-D921917AE579}"/>
    <cellStyle name="Comma 4 2 6 5 3" xfId="6269" xr:uid="{00000000-0005-0000-0000-000009090000}"/>
    <cellStyle name="Comma 4 2 6 5 3 2" xfId="23146" xr:uid="{F527C15E-A92B-4947-ABFA-1FE3BF249C7C}"/>
    <cellStyle name="Comma 4 2 6 5 3 3" xfId="31580" xr:uid="{73F2E210-6C73-42C1-99F2-EC109251DA3A}"/>
    <cellStyle name="Comma 4 2 6 5 3 4" xfId="14708" xr:uid="{F7BA4274-774C-4C38-89FB-CA25831FF9B4}"/>
    <cellStyle name="Comma 4 2 6 5 4" xfId="18928" xr:uid="{4C0918F2-3234-42A8-886B-39ED6739D3A6}"/>
    <cellStyle name="Comma 4 2 6 5 5" xfId="27363" xr:uid="{6A779F0B-2CBD-43AF-9826-206A951EA75B}"/>
    <cellStyle name="Comma 4 2 6 5 6" xfId="10490" xr:uid="{D2C72916-45F1-470A-ADD6-6D54295BE37A}"/>
    <cellStyle name="Comma 4 2 6 6" xfId="2397" xr:uid="{00000000-0005-0000-0000-00000A090000}"/>
    <cellStyle name="Comma 4 2 6 6 2" xfId="6682" xr:uid="{00000000-0005-0000-0000-00000B090000}"/>
    <cellStyle name="Comma 4 2 6 6 2 2" xfId="23559" xr:uid="{7D9BAECF-1790-444E-AA35-AD660A5337F0}"/>
    <cellStyle name="Comma 4 2 6 6 2 3" xfId="31993" xr:uid="{B66D8B85-809F-4AB9-A884-931863778C36}"/>
    <cellStyle name="Comma 4 2 6 6 2 4" xfId="15121" xr:uid="{7D8E0CD7-EF3F-4AF2-8393-34AE594C3AA5}"/>
    <cellStyle name="Comma 4 2 6 6 3" xfId="19341" xr:uid="{39A7BCEE-1671-48E9-B78C-00505571511C}"/>
    <cellStyle name="Comma 4 2 6 6 4" xfId="27776" xr:uid="{92793D67-1174-4F81-A90D-D5FB044EBC06}"/>
    <cellStyle name="Comma 4 2 6 6 5" xfId="10903" xr:uid="{97ADC3C2-3271-4932-8686-362C59C95B60}"/>
    <cellStyle name="Comma 4 2 6 7" xfId="2366" xr:uid="{00000000-0005-0000-0000-00000C090000}"/>
    <cellStyle name="Comma 4 2 6 8" xfId="2775" xr:uid="{00000000-0005-0000-0000-00000D090000}"/>
    <cellStyle name="Comma 4 2 6 8 2" xfId="6999" xr:uid="{00000000-0005-0000-0000-00000E090000}"/>
    <cellStyle name="Comma 4 2 6 8 2 2" xfId="23876" xr:uid="{4A0E6FC2-1DEC-44EF-9665-7A28F0A70848}"/>
    <cellStyle name="Comma 4 2 6 8 2 3" xfId="32310" xr:uid="{E498C10E-391A-48E5-BB56-5AB079CB6FBF}"/>
    <cellStyle name="Comma 4 2 6 8 2 4" xfId="15438" xr:uid="{2904EBA8-2107-4506-AC92-55D21A648941}"/>
    <cellStyle name="Comma 4 2 6 8 3" xfId="19658" xr:uid="{3EC1B815-B1E9-4530-9F24-DE8316114C83}"/>
    <cellStyle name="Comma 4 2 6 8 4" xfId="28093" xr:uid="{0EF0B290-5B38-4631-83C1-A228C50A61F8}"/>
    <cellStyle name="Comma 4 2 6 8 5" xfId="11220" xr:uid="{CCFB4470-2AB4-4130-8037-8E9973635605}"/>
    <cellStyle name="Comma 4 2 6 9" xfId="4616" xr:uid="{00000000-0005-0000-0000-00000F090000}"/>
    <cellStyle name="Comma 4 2 6 9 2" xfId="21493" xr:uid="{542D18E4-F32E-4C02-8F1D-0AAB3CF12095}"/>
    <cellStyle name="Comma 4 2 6 9 3" xfId="29927" xr:uid="{2B409850-B99E-449E-919B-C744AF11ED4E}"/>
    <cellStyle name="Comma 4 2 6 9 4" xfId="13055" xr:uid="{6529B4A7-EFC5-4FFF-B9AE-E78BB972544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23877" xr:uid="{CF495559-4994-4371-B8A5-4FD65283D834}"/>
    <cellStyle name="Comma 4 3 2 10 2 3" xfId="32311" xr:uid="{77C43EE1-DA73-49D3-A471-8D8A1585B977}"/>
    <cellStyle name="Comma 4 3 2 10 2 4" xfId="15439" xr:uid="{9B1606E9-96CB-48C8-813B-894ED2A3F314}"/>
    <cellStyle name="Comma 4 3 2 10 3" xfId="19659" xr:uid="{91C23269-297D-4950-AAC3-586400AFA82A}"/>
    <cellStyle name="Comma 4 3 2 10 4" xfId="28094" xr:uid="{1F48A88E-CF3F-4594-91DD-700C6750C5E0}"/>
    <cellStyle name="Comma 4 3 2 10 5" xfId="11221" xr:uid="{D2B79406-9EAA-490E-A40B-362474346A1C}"/>
    <cellStyle name="Comma 4 3 2 11" xfId="4617" xr:uid="{00000000-0005-0000-0000-000014090000}"/>
    <cellStyle name="Comma 4 3 2 11 2" xfId="21494" xr:uid="{CCB99116-D2EC-4A7F-84C9-E795F2A5564A}"/>
    <cellStyle name="Comma 4 3 2 11 3" xfId="29928" xr:uid="{1ED86239-B4F0-4A0C-957F-B97485315C3D}"/>
    <cellStyle name="Comma 4 3 2 11 4" xfId="13056" xr:uid="{706B5587-86A9-4751-9EE5-D10947EE487E}"/>
    <cellStyle name="Comma 4 3 2 12" xfId="17276" xr:uid="{14E2ABFE-06C3-421B-849D-546D2471350A}"/>
    <cellStyle name="Comma 4 3 2 13" xfId="25711" xr:uid="{13DE758E-1DFB-44CB-984F-2AA33130ECAF}"/>
    <cellStyle name="Comma 4 3 2 14" xfId="8838" xr:uid="{061842EA-CB53-43F5-A278-A9B71E02ED0D}"/>
    <cellStyle name="Comma 4 3 2 2" xfId="146" xr:uid="{00000000-0005-0000-0000-000015090000}"/>
    <cellStyle name="Comma 4 3 2 2 10" xfId="4618" xr:uid="{00000000-0005-0000-0000-000016090000}"/>
    <cellStyle name="Comma 4 3 2 2 10 2" xfId="21495" xr:uid="{255CF137-214E-4ECB-BC2B-2A25EFD55E4E}"/>
    <cellStyle name="Comma 4 3 2 2 10 3" xfId="29929" xr:uid="{3FD47A47-83CA-445C-B735-66EE0F7775CE}"/>
    <cellStyle name="Comma 4 3 2 2 10 4" xfId="13057" xr:uid="{49840E34-EB69-4073-ACCA-DF8FF77D6211}"/>
    <cellStyle name="Comma 4 3 2 2 11" xfId="17277" xr:uid="{1C7483D8-1573-4AD1-A7DE-75D2C9FEA08E}"/>
    <cellStyle name="Comma 4 3 2 2 12" xfId="25712" xr:uid="{CC560F8D-F4A1-4815-9E97-15D2A4398073}"/>
    <cellStyle name="Comma 4 3 2 2 13" xfId="8839" xr:uid="{222A1CE4-A8C0-4916-B3D8-8436C7FD863A}"/>
    <cellStyle name="Comma 4 3 2 2 2" xfId="147" xr:uid="{00000000-0005-0000-0000-000017090000}"/>
    <cellStyle name="Comma 4 3 2 2 2 10" xfId="17278" xr:uid="{0190A8A5-0394-400B-ADB9-DAB086D68DC1}"/>
    <cellStyle name="Comma 4 3 2 2 2 11" xfId="25713" xr:uid="{FDA14636-55EF-40CB-8463-DF35F0D6DBBD}"/>
    <cellStyle name="Comma 4 3 2 2 2 12" xfId="8840" xr:uid="{C30688CC-2D0C-4DCA-885D-7FE4BCFB851E}"/>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24055" xr:uid="{0901B8A4-F7DF-42B0-9F2A-9EA736CB0486}"/>
    <cellStyle name="Comma 4 3 2 2 2 2 2 2 3" xfId="32489" xr:uid="{C928863F-DEC4-48AB-9B6C-E9E595D010A1}"/>
    <cellStyle name="Comma 4 3 2 2 2 2 2 2 4" xfId="15617" xr:uid="{4A7558DB-A92B-4C7F-8987-342A7EB7C25F}"/>
    <cellStyle name="Comma 4 3 2 2 2 2 2 3" xfId="19837" xr:uid="{3C0E1928-3374-491F-B366-E2CCBBC29AB8}"/>
    <cellStyle name="Comma 4 3 2 2 2 2 2 4" xfId="28272" xr:uid="{A4B1F6BA-F6FE-43F8-99A5-AE7D48581432}"/>
    <cellStyle name="Comma 4 3 2 2 2 2 2 5" xfId="11399" xr:uid="{B19FAB02-04FF-4194-AD18-925D471ED7E9}"/>
    <cellStyle name="Comma 4 3 2 2 2 2 3" xfId="5033" xr:uid="{00000000-0005-0000-0000-00001B090000}"/>
    <cellStyle name="Comma 4 3 2 2 2 2 3 2" xfId="21910" xr:uid="{771905FF-9EC5-4BDA-BF12-06DD44287F16}"/>
    <cellStyle name="Comma 4 3 2 2 2 2 3 3" xfId="30344" xr:uid="{4E90024C-3112-4A78-80ED-080C3566624C}"/>
    <cellStyle name="Comma 4 3 2 2 2 2 3 4" xfId="13472" xr:uid="{611997D8-93CB-4417-8978-31CE5F237B88}"/>
    <cellStyle name="Comma 4 3 2 2 2 2 4" xfId="17692" xr:uid="{475751A1-C157-47C1-BEE2-08B94E8B5392}"/>
    <cellStyle name="Comma 4 3 2 2 2 2 5" xfId="26127" xr:uid="{DF5BEB9E-37B9-4524-AC8E-F9ADA9A90864}"/>
    <cellStyle name="Comma 4 3 2 2 2 2 6" xfId="9254" xr:uid="{B2E494DF-C84C-4FBB-8689-E030F747EDA7}"/>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24468" xr:uid="{C74C3215-A03A-42DF-BA70-52C9A6C0408B}"/>
    <cellStyle name="Comma 4 3 2 2 2 3 2 2 3" xfId="32902" xr:uid="{FF3A8697-0127-481A-A159-833560DE40DE}"/>
    <cellStyle name="Comma 4 3 2 2 2 3 2 2 4" xfId="16030" xr:uid="{3A11B919-F1ED-4A79-A70C-B353FCF762E8}"/>
    <cellStyle name="Comma 4 3 2 2 2 3 2 3" xfId="20250" xr:uid="{76B18777-C9DD-4AC6-B3AC-5219B9111842}"/>
    <cellStyle name="Comma 4 3 2 2 2 3 2 4" xfId="28685" xr:uid="{8A8A5DB5-8EE9-4DDC-B967-860696034C49}"/>
    <cellStyle name="Comma 4 3 2 2 2 3 2 5" xfId="11812" xr:uid="{26F69FBC-BFC5-46C3-8483-9B426050763E}"/>
    <cellStyle name="Comma 4 3 2 2 2 3 3" xfId="5446" xr:uid="{00000000-0005-0000-0000-00001F090000}"/>
    <cellStyle name="Comma 4 3 2 2 2 3 3 2" xfId="22323" xr:uid="{D6F1FBD7-0B19-4688-9C76-D9BF70103278}"/>
    <cellStyle name="Comma 4 3 2 2 2 3 3 3" xfId="30757" xr:uid="{8759A788-0820-44A5-B698-3742233146CE}"/>
    <cellStyle name="Comma 4 3 2 2 2 3 3 4" xfId="13885" xr:uid="{8C8D6E93-827D-4A10-9CB6-BA91F0F4E32E}"/>
    <cellStyle name="Comma 4 3 2 2 2 3 4" xfId="18105" xr:uid="{E5EE5AD1-6530-4DF4-BD4C-FDCC191939BA}"/>
    <cellStyle name="Comma 4 3 2 2 2 3 5" xfId="26540" xr:uid="{40F25520-F9EE-4D58-BC9B-3EDC2F71CAA4}"/>
    <cellStyle name="Comma 4 3 2 2 2 3 6" xfId="9667" xr:uid="{42710CD1-26F0-4DB9-8796-04DF5243E319}"/>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24881" xr:uid="{E3F11384-A77B-485B-92D1-1F80F4836719}"/>
    <cellStyle name="Comma 4 3 2 2 2 4 2 2 3" xfId="33315" xr:uid="{52B417BE-6F5B-4DD7-8B15-6A10AA1ACA7E}"/>
    <cellStyle name="Comma 4 3 2 2 2 4 2 2 4" xfId="16443" xr:uid="{7C3D9FC1-2CA0-4BC6-8BDC-6062D89421BD}"/>
    <cellStyle name="Comma 4 3 2 2 2 4 2 3" xfId="20663" xr:uid="{C770BF92-89CD-4CB5-9C17-E7290B5A94D3}"/>
    <cellStyle name="Comma 4 3 2 2 2 4 2 4" xfId="29098" xr:uid="{ADE185A3-BAC0-4ED6-AF76-74A0469981EB}"/>
    <cellStyle name="Comma 4 3 2 2 2 4 2 5" xfId="12225" xr:uid="{0BA9C6BB-0C6B-4E23-8121-BF7B55FAF2BA}"/>
    <cellStyle name="Comma 4 3 2 2 2 4 3" xfId="5859" xr:uid="{00000000-0005-0000-0000-000023090000}"/>
    <cellStyle name="Comma 4 3 2 2 2 4 3 2" xfId="22736" xr:uid="{76D1FA39-CF1C-4CFD-9A4E-B64E7F1D180C}"/>
    <cellStyle name="Comma 4 3 2 2 2 4 3 3" xfId="31170" xr:uid="{D879D590-6C96-4D26-A446-ED023D238ADC}"/>
    <cellStyle name="Comma 4 3 2 2 2 4 3 4" xfId="14298" xr:uid="{2C39F85E-AAEE-4AD1-913D-482CED902977}"/>
    <cellStyle name="Comma 4 3 2 2 2 4 4" xfId="18518" xr:uid="{36D3E5D0-1196-499D-9AA9-E6668C177045}"/>
    <cellStyle name="Comma 4 3 2 2 2 4 5" xfId="26953" xr:uid="{446B8883-0820-419F-95DF-16E317DB7126}"/>
    <cellStyle name="Comma 4 3 2 2 2 4 6" xfId="10080" xr:uid="{6C9E4F64-CF6B-423F-8615-15C39920D55E}"/>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25294" xr:uid="{217C356C-4C88-40C7-82F9-82283C36FAB4}"/>
    <cellStyle name="Comma 4 3 2 2 2 5 2 2 3" xfId="33728" xr:uid="{66E34B1D-591A-4CA4-B862-A576C5E79D55}"/>
    <cellStyle name="Comma 4 3 2 2 2 5 2 2 4" xfId="16856" xr:uid="{7BF83743-F539-49CE-AAF2-F17D8897B883}"/>
    <cellStyle name="Comma 4 3 2 2 2 5 2 3" xfId="21076" xr:uid="{F0B5803B-2DA3-4906-AE08-340C4AA3C425}"/>
    <cellStyle name="Comma 4 3 2 2 2 5 2 4" xfId="29511" xr:uid="{145645E6-F2B3-4CFC-BE05-57C36CB5C96C}"/>
    <cellStyle name="Comma 4 3 2 2 2 5 2 5" xfId="12638" xr:uid="{B53E8472-0AC7-423E-9D95-67AF52A68D8A}"/>
    <cellStyle name="Comma 4 3 2 2 2 5 3" xfId="6272" xr:uid="{00000000-0005-0000-0000-000027090000}"/>
    <cellStyle name="Comma 4 3 2 2 2 5 3 2" xfId="23149" xr:uid="{C53362F6-7D41-4A5A-AE1E-F2643C2BE0AF}"/>
    <cellStyle name="Comma 4 3 2 2 2 5 3 3" xfId="31583" xr:uid="{EBB142FD-0C0D-41F0-81BA-6EDAB71B1F25}"/>
    <cellStyle name="Comma 4 3 2 2 2 5 3 4" xfId="14711" xr:uid="{5BD63B4F-5411-4FE4-A423-B91A875BD03F}"/>
    <cellStyle name="Comma 4 3 2 2 2 5 4" xfId="18931" xr:uid="{1C96B0EB-BFC3-4297-BF93-95F402C464D4}"/>
    <cellStyle name="Comma 4 3 2 2 2 5 5" xfId="27366" xr:uid="{0CE7D58F-0FAE-4C9F-886A-1E57062B4262}"/>
    <cellStyle name="Comma 4 3 2 2 2 5 6" xfId="10493" xr:uid="{AA279257-15AD-4AF0-9000-748FB55B442D}"/>
    <cellStyle name="Comma 4 3 2 2 2 6" xfId="2400" xr:uid="{00000000-0005-0000-0000-000028090000}"/>
    <cellStyle name="Comma 4 3 2 2 2 6 2" xfId="6685" xr:uid="{00000000-0005-0000-0000-000029090000}"/>
    <cellStyle name="Comma 4 3 2 2 2 6 2 2" xfId="23562" xr:uid="{55722502-B5AF-4E33-8052-CD7FCF0D8320}"/>
    <cellStyle name="Comma 4 3 2 2 2 6 2 3" xfId="31996" xr:uid="{AEA801A7-EF91-4872-94ED-D9B606EEBA78}"/>
    <cellStyle name="Comma 4 3 2 2 2 6 2 4" xfId="15124" xr:uid="{53FB3290-76CE-4DB5-B570-9C8A90414979}"/>
    <cellStyle name="Comma 4 3 2 2 2 6 3" xfId="19344" xr:uid="{31641596-5F87-49FF-BAD8-1B6FF0350243}"/>
    <cellStyle name="Comma 4 3 2 2 2 6 4" xfId="27779" xr:uid="{F4E4CE39-5F5F-4FF8-9E1D-1756C11EDC03}"/>
    <cellStyle name="Comma 4 3 2 2 2 6 5" xfId="10906" xr:uid="{16249279-1F7E-4392-9FC5-66868E7BB264}"/>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23879" xr:uid="{B5F81782-FB46-4495-BA6A-E3856DCE8999}"/>
    <cellStyle name="Comma 4 3 2 2 2 8 2 3" xfId="32313" xr:uid="{C3EFFA59-0A42-4A68-8C81-9D2A7245D2AF}"/>
    <cellStyle name="Comma 4 3 2 2 2 8 2 4" xfId="15441" xr:uid="{C51C4E99-F6B8-4070-A70C-8B46A858C8E9}"/>
    <cellStyle name="Comma 4 3 2 2 2 8 3" xfId="19661" xr:uid="{F05FAB01-E10D-44F0-9BDB-F925CDF789FD}"/>
    <cellStyle name="Comma 4 3 2 2 2 8 4" xfId="28096" xr:uid="{F5EDBF9A-F16C-498D-A2A2-EA80F17F74DE}"/>
    <cellStyle name="Comma 4 3 2 2 2 8 5" xfId="11223" xr:uid="{C4A5EF35-B3E0-4A0B-AD48-E6BCC2836866}"/>
    <cellStyle name="Comma 4 3 2 2 2 9" xfId="4619" xr:uid="{00000000-0005-0000-0000-00002D090000}"/>
    <cellStyle name="Comma 4 3 2 2 2 9 2" xfId="21496" xr:uid="{41B8B20A-0FA6-492F-9362-382363307E61}"/>
    <cellStyle name="Comma 4 3 2 2 2 9 3" xfId="29930" xr:uid="{CD760A76-1A8E-4945-AFF4-7A7528426AA6}"/>
    <cellStyle name="Comma 4 3 2 2 2 9 4" xfId="13058" xr:uid="{11C2F0F8-1928-4F06-8494-44D780B71619}"/>
    <cellStyle name="Comma 4 3 2 2 3" xfId="683" xr:uid="{00000000-0005-0000-0000-00002E090000}"/>
    <cellStyle name="Comma 4 3 2 2 3 2" xfId="2954" xr:uid="{00000000-0005-0000-0000-00002F090000}"/>
    <cellStyle name="Comma 4 3 2 2 3 2 2" xfId="7177" xr:uid="{00000000-0005-0000-0000-000030090000}"/>
    <cellStyle name="Comma 4 3 2 2 3 2 2 2" xfId="24054" xr:uid="{97F26BD6-BCFC-4DAD-BFDC-A029E8B781CE}"/>
    <cellStyle name="Comma 4 3 2 2 3 2 2 3" xfId="32488" xr:uid="{957F0FD7-1245-44ED-9AB8-92D2BB7A80B7}"/>
    <cellStyle name="Comma 4 3 2 2 3 2 2 4" xfId="15616" xr:uid="{32867879-C775-4CDF-990E-DCB7AEA01DC0}"/>
    <cellStyle name="Comma 4 3 2 2 3 2 3" xfId="19836" xr:uid="{AB70B97F-83BA-427A-86AC-D756A79A9723}"/>
    <cellStyle name="Comma 4 3 2 2 3 2 4" xfId="28271" xr:uid="{3DCE1B54-FDD2-4268-A391-FDF1DB81F90F}"/>
    <cellStyle name="Comma 4 3 2 2 3 2 5" xfId="11398" xr:uid="{61AD41D1-3B54-4E1E-B3FC-01715E840911}"/>
    <cellStyle name="Comma 4 3 2 2 3 3" xfId="5032" xr:uid="{00000000-0005-0000-0000-000031090000}"/>
    <cellStyle name="Comma 4 3 2 2 3 3 2" xfId="21909" xr:uid="{DA7C8DA4-519D-4969-9F9E-14E6DA45AD58}"/>
    <cellStyle name="Comma 4 3 2 2 3 3 3" xfId="30343" xr:uid="{0BB15296-4F4D-4BEC-A55A-FBA6C2795500}"/>
    <cellStyle name="Comma 4 3 2 2 3 3 4" xfId="13471" xr:uid="{3F6FD6D1-7407-4EC5-8506-C1067630B8D6}"/>
    <cellStyle name="Comma 4 3 2 2 3 4" xfId="17691" xr:uid="{BB6B79A1-7D81-4AF6-9130-10E5962DDE4B}"/>
    <cellStyle name="Comma 4 3 2 2 3 5" xfId="26126" xr:uid="{C11BA3E7-17F8-43C5-A599-C04C68742086}"/>
    <cellStyle name="Comma 4 3 2 2 3 6" xfId="9253" xr:uid="{FFBF90F7-DEF7-41E9-A216-36EA12431F4D}"/>
    <cellStyle name="Comma 4 3 2 2 4" xfId="1136" xr:uid="{00000000-0005-0000-0000-000032090000}"/>
    <cellStyle name="Comma 4 3 2 2 4 2" xfId="3367" xr:uid="{00000000-0005-0000-0000-000033090000}"/>
    <cellStyle name="Comma 4 3 2 2 4 2 2" xfId="7590" xr:uid="{00000000-0005-0000-0000-000034090000}"/>
    <cellStyle name="Comma 4 3 2 2 4 2 2 2" xfId="24467" xr:uid="{5A0C380C-6D08-4EDA-B367-62C6C217B4DE}"/>
    <cellStyle name="Comma 4 3 2 2 4 2 2 3" xfId="32901" xr:uid="{8C391927-9F22-46DC-85E8-346DBBE423BA}"/>
    <cellStyle name="Comma 4 3 2 2 4 2 2 4" xfId="16029" xr:uid="{4D37A763-8A39-4DE4-973A-184BB974CF29}"/>
    <cellStyle name="Comma 4 3 2 2 4 2 3" xfId="20249" xr:uid="{BBDED9AD-F72A-44F8-BD49-7FF5225385CC}"/>
    <cellStyle name="Comma 4 3 2 2 4 2 4" xfId="28684" xr:uid="{02F83AE9-4291-4B5C-9B81-1AEB35BC1634}"/>
    <cellStyle name="Comma 4 3 2 2 4 2 5" xfId="11811" xr:uid="{67D77A37-0147-437A-AC75-7EA19AE9B61C}"/>
    <cellStyle name="Comma 4 3 2 2 4 3" xfId="5445" xr:uid="{00000000-0005-0000-0000-000035090000}"/>
    <cellStyle name="Comma 4 3 2 2 4 3 2" xfId="22322" xr:uid="{49842032-D059-474E-9B07-0FAE23C97915}"/>
    <cellStyle name="Comma 4 3 2 2 4 3 3" xfId="30756" xr:uid="{5EB215FC-66E9-490F-998A-781F0C132F58}"/>
    <cellStyle name="Comma 4 3 2 2 4 3 4" xfId="13884" xr:uid="{0B803CCD-3EDE-49BB-BA61-09D42FEBBEC6}"/>
    <cellStyle name="Comma 4 3 2 2 4 4" xfId="18104" xr:uid="{2D46AF32-2696-4520-A820-DFB93C1EEA4C}"/>
    <cellStyle name="Comma 4 3 2 2 4 5" xfId="26539" xr:uid="{72593E00-488B-438D-8754-64690E9BE11A}"/>
    <cellStyle name="Comma 4 3 2 2 4 6" xfId="9666" xr:uid="{89ED8774-032A-4521-81D6-1E57659BB0F0}"/>
    <cellStyle name="Comma 4 3 2 2 5" xfId="1550" xr:uid="{00000000-0005-0000-0000-000036090000}"/>
    <cellStyle name="Comma 4 3 2 2 5 2" xfId="3780" xr:uid="{00000000-0005-0000-0000-000037090000}"/>
    <cellStyle name="Comma 4 3 2 2 5 2 2" xfId="8003" xr:uid="{00000000-0005-0000-0000-000038090000}"/>
    <cellStyle name="Comma 4 3 2 2 5 2 2 2" xfId="24880" xr:uid="{817667BB-A02B-4E8C-AFEA-FCFFC60AB2CE}"/>
    <cellStyle name="Comma 4 3 2 2 5 2 2 3" xfId="33314" xr:uid="{526ED219-61E6-42C7-848A-F2451785E806}"/>
    <cellStyle name="Comma 4 3 2 2 5 2 2 4" xfId="16442" xr:uid="{1B043702-2AF9-44D4-A1CD-FDD67EF8AF67}"/>
    <cellStyle name="Comma 4 3 2 2 5 2 3" xfId="20662" xr:uid="{689E8B68-8011-42AC-86D3-8C089B8405E6}"/>
    <cellStyle name="Comma 4 3 2 2 5 2 4" xfId="29097" xr:uid="{D20888BF-453D-4F3B-B425-B663704C7160}"/>
    <cellStyle name="Comma 4 3 2 2 5 2 5" xfId="12224" xr:uid="{78A8AF61-690C-4085-AB4E-1099F6437C1C}"/>
    <cellStyle name="Comma 4 3 2 2 5 3" xfId="5858" xr:uid="{00000000-0005-0000-0000-000039090000}"/>
    <cellStyle name="Comma 4 3 2 2 5 3 2" xfId="22735" xr:uid="{F2F95DAF-82AB-49F3-8215-14516FA875AF}"/>
    <cellStyle name="Comma 4 3 2 2 5 3 3" xfId="31169" xr:uid="{829F3F29-5419-47B3-9D19-60189A1CE106}"/>
    <cellStyle name="Comma 4 3 2 2 5 3 4" xfId="14297" xr:uid="{ABB21A28-72D9-424D-AF83-43FBF1D61430}"/>
    <cellStyle name="Comma 4 3 2 2 5 4" xfId="18517" xr:uid="{79571263-FE23-485B-A375-E96F60BB256D}"/>
    <cellStyle name="Comma 4 3 2 2 5 5" xfId="26952" xr:uid="{839D6F93-D9AD-4880-BE97-9440E39A565C}"/>
    <cellStyle name="Comma 4 3 2 2 5 6" xfId="10079" xr:uid="{8B0918F2-43E2-44F2-BDE5-F40BB2DF3CF3}"/>
    <cellStyle name="Comma 4 3 2 2 6" xfId="1964" xr:uid="{00000000-0005-0000-0000-00003A090000}"/>
    <cellStyle name="Comma 4 3 2 2 6 2" xfId="4193" xr:uid="{00000000-0005-0000-0000-00003B090000}"/>
    <cellStyle name="Comma 4 3 2 2 6 2 2" xfId="8416" xr:uid="{00000000-0005-0000-0000-00003C090000}"/>
    <cellStyle name="Comma 4 3 2 2 6 2 2 2" xfId="25293" xr:uid="{CA3F157B-2BD4-4DC2-A891-50BB79EFA4AA}"/>
    <cellStyle name="Comma 4 3 2 2 6 2 2 3" xfId="33727" xr:uid="{DDD95F12-2EDA-4A8E-9AC9-18E0CE34D000}"/>
    <cellStyle name="Comma 4 3 2 2 6 2 2 4" xfId="16855" xr:uid="{8D8140E2-847E-4CCD-BF1A-EA642F8D91B6}"/>
    <cellStyle name="Comma 4 3 2 2 6 2 3" xfId="21075" xr:uid="{E1B6F9D9-7636-425B-85A2-C456A888C1D7}"/>
    <cellStyle name="Comma 4 3 2 2 6 2 4" xfId="29510" xr:uid="{78040DE8-C7DB-4663-9258-7316E4CBF1AB}"/>
    <cellStyle name="Comma 4 3 2 2 6 2 5" xfId="12637" xr:uid="{90A512BB-966E-4F28-AB0B-7E46A5954937}"/>
    <cellStyle name="Comma 4 3 2 2 6 3" xfId="6271" xr:uid="{00000000-0005-0000-0000-00003D090000}"/>
    <cellStyle name="Comma 4 3 2 2 6 3 2" xfId="23148" xr:uid="{5D2858BD-B4BE-49B1-83D7-12987958E80E}"/>
    <cellStyle name="Comma 4 3 2 2 6 3 3" xfId="31582" xr:uid="{3BBE584E-8352-4191-8C18-081FE456642B}"/>
    <cellStyle name="Comma 4 3 2 2 6 3 4" xfId="14710" xr:uid="{E665845F-0D39-4129-9565-A540708A8AC9}"/>
    <cellStyle name="Comma 4 3 2 2 6 4" xfId="18930" xr:uid="{9B253B63-2C64-41B0-BE25-12ADEACA216D}"/>
    <cellStyle name="Comma 4 3 2 2 6 5" xfId="27365" xr:uid="{626B6523-93D0-47EB-822E-9DA88E9A988D}"/>
    <cellStyle name="Comma 4 3 2 2 6 6" xfId="10492" xr:uid="{5A2689DF-10AB-4DDF-8132-DAB45B0EC9ED}"/>
    <cellStyle name="Comma 4 3 2 2 7" xfId="2399" xr:uid="{00000000-0005-0000-0000-00003E090000}"/>
    <cellStyle name="Comma 4 3 2 2 7 2" xfId="6684" xr:uid="{00000000-0005-0000-0000-00003F090000}"/>
    <cellStyle name="Comma 4 3 2 2 7 2 2" xfId="23561" xr:uid="{92C2620D-CC57-4A76-8181-77C071C17120}"/>
    <cellStyle name="Comma 4 3 2 2 7 2 3" xfId="31995" xr:uid="{5A2E561B-D098-46BA-9D9B-8F800F48D131}"/>
    <cellStyle name="Comma 4 3 2 2 7 2 4" xfId="15123" xr:uid="{67798857-1B1A-43D1-AF3D-E9851CA56D8C}"/>
    <cellStyle name="Comma 4 3 2 2 7 3" xfId="19343" xr:uid="{468A61E3-31B4-4E57-92ED-A9C84BD7A5CA}"/>
    <cellStyle name="Comma 4 3 2 2 7 4" xfId="27778" xr:uid="{680EBB28-C6B2-4126-8409-D07B499274AC}"/>
    <cellStyle name="Comma 4 3 2 2 7 5" xfId="10905" xr:uid="{1AAD4E9B-6053-4A6E-91B6-E8264FFA18C1}"/>
    <cellStyle name="Comma 4 3 2 2 8" xfId="2364" xr:uid="{00000000-0005-0000-0000-000040090000}"/>
    <cellStyle name="Comma 4 3 2 2 9" xfId="2777" xr:uid="{00000000-0005-0000-0000-000041090000}"/>
    <cellStyle name="Comma 4 3 2 2 9 2" xfId="7001" xr:uid="{00000000-0005-0000-0000-000042090000}"/>
    <cellStyle name="Comma 4 3 2 2 9 2 2" xfId="23878" xr:uid="{7E345E3F-AD61-40FF-BDA7-37ECA1062745}"/>
    <cellStyle name="Comma 4 3 2 2 9 2 3" xfId="32312" xr:uid="{A2E4FF26-A978-4E6F-93F4-C2B56EB17FEA}"/>
    <cellStyle name="Comma 4 3 2 2 9 2 4" xfId="15440" xr:uid="{84657F21-1937-43A8-BCE0-7F30BA37BDEF}"/>
    <cellStyle name="Comma 4 3 2 2 9 3" xfId="19660" xr:uid="{B07C7FA9-555C-4F56-BDC9-9C40EFC0B06B}"/>
    <cellStyle name="Comma 4 3 2 2 9 4" xfId="28095" xr:uid="{B74AD21D-53F1-4A57-9890-0392276DFDBB}"/>
    <cellStyle name="Comma 4 3 2 2 9 5" xfId="11222" xr:uid="{27CDD6D6-DBF1-432C-8F96-A04AC2A6DB36}"/>
    <cellStyle name="Comma 4 3 2 3" xfId="148" xr:uid="{00000000-0005-0000-0000-000043090000}"/>
    <cellStyle name="Comma 4 3 2 3 10" xfId="17279" xr:uid="{2D9CC66D-C90A-49F8-966C-529A15658489}"/>
    <cellStyle name="Comma 4 3 2 3 11" xfId="25714" xr:uid="{128A1580-3C5D-45FD-BAD9-B410C69A8530}"/>
    <cellStyle name="Comma 4 3 2 3 12" xfId="8841" xr:uid="{DE647D77-25A0-4EEC-84F8-57BA9A83E5A2}"/>
    <cellStyle name="Comma 4 3 2 3 2" xfId="685" xr:uid="{00000000-0005-0000-0000-000044090000}"/>
    <cellStyle name="Comma 4 3 2 3 2 2" xfId="2956" xr:uid="{00000000-0005-0000-0000-000045090000}"/>
    <cellStyle name="Comma 4 3 2 3 2 2 2" xfId="7179" xr:uid="{00000000-0005-0000-0000-000046090000}"/>
    <cellStyle name="Comma 4 3 2 3 2 2 2 2" xfId="24056" xr:uid="{F19779AA-0E7D-423F-ABF9-266E4104DEE3}"/>
    <cellStyle name="Comma 4 3 2 3 2 2 2 3" xfId="32490" xr:uid="{78B71A0A-73EF-482F-92AC-D06189E3D853}"/>
    <cellStyle name="Comma 4 3 2 3 2 2 2 4" xfId="15618" xr:uid="{6D9C5286-AEB6-44D1-BE75-9996EFBF6CF0}"/>
    <cellStyle name="Comma 4 3 2 3 2 2 3" xfId="19838" xr:uid="{7BB04637-AD1F-4CBD-8682-05A8ACA7E801}"/>
    <cellStyle name="Comma 4 3 2 3 2 2 4" xfId="28273" xr:uid="{9F2AA485-1B5B-4249-95E7-EFAD9A63FFA9}"/>
    <cellStyle name="Comma 4 3 2 3 2 2 5" xfId="11400" xr:uid="{7091D2BE-C629-4812-B703-637D07EFC9D7}"/>
    <cellStyle name="Comma 4 3 2 3 2 3" xfId="5034" xr:uid="{00000000-0005-0000-0000-000047090000}"/>
    <cellStyle name="Comma 4 3 2 3 2 3 2" xfId="21911" xr:uid="{9D5E3210-8637-4481-904F-4268FF710537}"/>
    <cellStyle name="Comma 4 3 2 3 2 3 3" xfId="30345" xr:uid="{23DA3428-2234-43A6-8470-059BD9423A79}"/>
    <cellStyle name="Comma 4 3 2 3 2 3 4" xfId="13473" xr:uid="{6C039F39-8FBE-4709-B09D-F3CC0721550A}"/>
    <cellStyle name="Comma 4 3 2 3 2 4" xfId="17693" xr:uid="{A9C4F12D-D681-4FDC-97FA-6F37745585A1}"/>
    <cellStyle name="Comma 4 3 2 3 2 5" xfId="26128" xr:uid="{29A088D8-5D2E-4778-87B8-3A5D46F6305A}"/>
    <cellStyle name="Comma 4 3 2 3 2 6" xfId="9255" xr:uid="{D52AA6CD-C3DE-4D30-8AEC-70DC2BA89B14}"/>
    <cellStyle name="Comma 4 3 2 3 3" xfId="1138" xr:uid="{00000000-0005-0000-0000-000048090000}"/>
    <cellStyle name="Comma 4 3 2 3 3 2" xfId="3369" xr:uid="{00000000-0005-0000-0000-000049090000}"/>
    <cellStyle name="Comma 4 3 2 3 3 2 2" xfId="7592" xr:uid="{00000000-0005-0000-0000-00004A090000}"/>
    <cellStyle name="Comma 4 3 2 3 3 2 2 2" xfId="24469" xr:uid="{5593C245-D7C3-43EE-9D09-033D542E7889}"/>
    <cellStyle name="Comma 4 3 2 3 3 2 2 3" xfId="32903" xr:uid="{5E829E4F-895A-4EC1-A294-F7F98D8E9F7A}"/>
    <cellStyle name="Comma 4 3 2 3 3 2 2 4" xfId="16031" xr:uid="{FA5EEBD3-E1A2-473C-9D65-A4B5BD865F34}"/>
    <cellStyle name="Comma 4 3 2 3 3 2 3" xfId="20251" xr:uid="{0341F70A-9386-4230-AB85-BBB43AC45BEF}"/>
    <cellStyle name="Comma 4 3 2 3 3 2 4" xfId="28686" xr:uid="{39B41ED2-2D00-4AF5-B5EE-63BF8689DEE2}"/>
    <cellStyle name="Comma 4 3 2 3 3 2 5" xfId="11813" xr:uid="{898A8965-F261-4137-AF7F-0A7E0113B85A}"/>
    <cellStyle name="Comma 4 3 2 3 3 3" xfId="5447" xr:uid="{00000000-0005-0000-0000-00004B090000}"/>
    <cellStyle name="Comma 4 3 2 3 3 3 2" xfId="22324" xr:uid="{457E5D9F-A19A-4F4E-ABC7-9E1437109343}"/>
    <cellStyle name="Comma 4 3 2 3 3 3 3" xfId="30758" xr:uid="{D00FFBF2-6784-4296-9D4B-B17D55C4ACB9}"/>
    <cellStyle name="Comma 4 3 2 3 3 3 4" xfId="13886" xr:uid="{1E7E8089-DB91-4352-85EA-90D31C333097}"/>
    <cellStyle name="Comma 4 3 2 3 3 4" xfId="18106" xr:uid="{130CA1AA-4DF3-48D9-87DC-6A492E160247}"/>
    <cellStyle name="Comma 4 3 2 3 3 5" xfId="26541" xr:uid="{80B7F268-D1BD-48BC-A747-50CA58C6E3F1}"/>
    <cellStyle name="Comma 4 3 2 3 3 6" xfId="9668" xr:uid="{C8A063D2-D97C-476A-B592-D9AEDEB6D840}"/>
    <cellStyle name="Comma 4 3 2 3 4" xfId="1552" xr:uid="{00000000-0005-0000-0000-00004C090000}"/>
    <cellStyle name="Comma 4 3 2 3 4 2" xfId="3782" xr:uid="{00000000-0005-0000-0000-00004D090000}"/>
    <cellStyle name="Comma 4 3 2 3 4 2 2" xfId="8005" xr:uid="{00000000-0005-0000-0000-00004E090000}"/>
    <cellStyle name="Comma 4 3 2 3 4 2 2 2" xfId="24882" xr:uid="{FF52E083-F5A8-40C3-BCA3-3F615C953515}"/>
    <cellStyle name="Comma 4 3 2 3 4 2 2 3" xfId="33316" xr:uid="{B37F1198-8BAE-4BDB-8EC7-C903F642918D}"/>
    <cellStyle name="Comma 4 3 2 3 4 2 2 4" xfId="16444" xr:uid="{12E3451A-69F3-4DEC-95C3-1AFD97C16496}"/>
    <cellStyle name="Comma 4 3 2 3 4 2 3" xfId="20664" xr:uid="{5FC2EA6F-2B84-4F56-8D76-0027277A4AEB}"/>
    <cellStyle name="Comma 4 3 2 3 4 2 4" xfId="29099" xr:uid="{CD0BC535-4954-4CB7-A331-DEE80A7F1B06}"/>
    <cellStyle name="Comma 4 3 2 3 4 2 5" xfId="12226" xr:uid="{00585ECF-BE4C-4A9B-8134-A3B055A1035A}"/>
    <cellStyle name="Comma 4 3 2 3 4 3" xfId="5860" xr:uid="{00000000-0005-0000-0000-00004F090000}"/>
    <cellStyle name="Comma 4 3 2 3 4 3 2" xfId="22737" xr:uid="{FE78AD8E-AEE4-4D2A-9343-5BD9478A6B68}"/>
    <cellStyle name="Comma 4 3 2 3 4 3 3" xfId="31171" xr:uid="{07891B49-8113-46E6-9965-9A0417B90208}"/>
    <cellStyle name="Comma 4 3 2 3 4 3 4" xfId="14299" xr:uid="{39CF8F9A-8CB2-4C7B-A6FC-517D5CE2DDC0}"/>
    <cellStyle name="Comma 4 3 2 3 4 4" xfId="18519" xr:uid="{9C4D255C-D787-4C0E-92C2-7BD08FAC58A8}"/>
    <cellStyle name="Comma 4 3 2 3 4 5" xfId="26954" xr:uid="{508CA201-B706-4909-A300-BBD128D6B9DB}"/>
    <cellStyle name="Comma 4 3 2 3 4 6" xfId="10081" xr:uid="{78E3034C-88ED-47DC-BDFC-B822F7F4BC40}"/>
    <cellStyle name="Comma 4 3 2 3 5" xfId="1966" xr:uid="{00000000-0005-0000-0000-000050090000}"/>
    <cellStyle name="Comma 4 3 2 3 5 2" xfId="4195" xr:uid="{00000000-0005-0000-0000-000051090000}"/>
    <cellStyle name="Comma 4 3 2 3 5 2 2" xfId="8418" xr:uid="{00000000-0005-0000-0000-000052090000}"/>
    <cellStyle name="Comma 4 3 2 3 5 2 2 2" xfId="25295" xr:uid="{C32678FC-967D-4BEF-9199-F6457515CC25}"/>
    <cellStyle name="Comma 4 3 2 3 5 2 2 3" xfId="33729" xr:uid="{17B3B405-3C99-4696-9F69-06AF3DEA8FD5}"/>
    <cellStyle name="Comma 4 3 2 3 5 2 2 4" xfId="16857" xr:uid="{AF3DC49C-80BF-42D0-BAE6-245584FBB485}"/>
    <cellStyle name="Comma 4 3 2 3 5 2 3" xfId="21077" xr:uid="{306F136C-479B-494B-BA05-2ED709CB5690}"/>
    <cellStyle name="Comma 4 3 2 3 5 2 4" xfId="29512" xr:uid="{41AEA436-6FB3-4555-8F04-7A8C7AFCAD7D}"/>
    <cellStyle name="Comma 4 3 2 3 5 2 5" xfId="12639" xr:uid="{8661E1FA-03A6-47C9-B063-B9922104C8BE}"/>
    <cellStyle name="Comma 4 3 2 3 5 3" xfId="6273" xr:uid="{00000000-0005-0000-0000-000053090000}"/>
    <cellStyle name="Comma 4 3 2 3 5 3 2" xfId="23150" xr:uid="{4DAD79DE-EBD6-4064-B49B-F2C0A0A3E2E6}"/>
    <cellStyle name="Comma 4 3 2 3 5 3 3" xfId="31584" xr:uid="{F72FAB38-8AF7-4BA2-9CE6-F2B98522D781}"/>
    <cellStyle name="Comma 4 3 2 3 5 3 4" xfId="14712" xr:uid="{507DEACB-3839-41B4-A35D-E378ED2A31B7}"/>
    <cellStyle name="Comma 4 3 2 3 5 4" xfId="18932" xr:uid="{4EFA5D96-8691-4B1C-8266-EF26860E3E30}"/>
    <cellStyle name="Comma 4 3 2 3 5 5" xfId="27367" xr:uid="{A0CBBD1E-9DA4-4C8F-BB4E-4D96C77710F4}"/>
    <cellStyle name="Comma 4 3 2 3 5 6" xfId="10494" xr:uid="{86B2D1B4-B82E-4018-A054-A8EFF687D6BD}"/>
    <cellStyle name="Comma 4 3 2 3 6" xfId="2401" xr:uid="{00000000-0005-0000-0000-000054090000}"/>
    <cellStyle name="Comma 4 3 2 3 6 2" xfId="6686" xr:uid="{00000000-0005-0000-0000-000055090000}"/>
    <cellStyle name="Comma 4 3 2 3 6 2 2" xfId="23563" xr:uid="{D6569D42-8D86-483F-BC8B-2EB63BE7C8F3}"/>
    <cellStyle name="Comma 4 3 2 3 6 2 3" xfId="31997" xr:uid="{04A478D7-453D-42EC-BCEF-17319E6E0D1C}"/>
    <cellStyle name="Comma 4 3 2 3 6 2 4" xfId="15125" xr:uid="{9C69373B-2076-438F-A184-8828F83EA268}"/>
    <cellStyle name="Comma 4 3 2 3 6 3" xfId="19345" xr:uid="{58E4B18C-6B48-48B5-B289-8CE68FB125DA}"/>
    <cellStyle name="Comma 4 3 2 3 6 4" xfId="27780" xr:uid="{2E4E1386-27A0-4DF1-BE94-CD47D40A14E5}"/>
    <cellStyle name="Comma 4 3 2 3 6 5" xfId="10907" xr:uid="{4CCBE034-06DC-4DC1-A556-7A181CFC2AC1}"/>
    <cellStyle name="Comma 4 3 2 3 7" xfId="2362" xr:uid="{00000000-0005-0000-0000-000056090000}"/>
    <cellStyle name="Comma 4 3 2 3 8" xfId="2779" xr:uid="{00000000-0005-0000-0000-000057090000}"/>
    <cellStyle name="Comma 4 3 2 3 8 2" xfId="7003" xr:uid="{00000000-0005-0000-0000-000058090000}"/>
    <cellStyle name="Comma 4 3 2 3 8 2 2" xfId="23880" xr:uid="{7E9E1F7D-1961-47FF-A8BD-59A1A080AA87}"/>
    <cellStyle name="Comma 4 3 2 3 8 2 3" xfId="32314" xr:uid="{7840640C-5754-4818-AFD8-211C6B430B4B}"/>
    <cellStyle name="Comma 4 3 2 3 8 2 4" xfId="15442" xr:uid="{B369145E-7AE4-47D2-8104-08EE43339680}"/>
    <cellStyle name="Comma 4 3 2 3 8 3" xfId="19662" xr:uid="{7D85232E-E900-498F-8E1F-19E976F2558E}"/>
    <cellStyle name="Comma 4 3 2 3 8 4" xfId="28097" xr:uid="{8679FE3C-5C35-4A3B-A635-60E640AB28A3}"/>
    <cellStyle name="Comma 4 3 2 3 8 5" xfId="11224" xr:uid="{65593425-2605-4759-86D5-4B214FC7A511}"/>
    <cellStyle name="Comma 4 3 2 3 9" xfId="4620" xr:uid="{00000000-0005-0000-0000-000059090000}"/>
    <cellStyle name="Comma 4 3 2 3 9 2" xfId="21497" xr:uid="{79509708-D972-4C5D-9417-8941FBB91D9E}"/>
    <cellStyle name="Comma 4 3 2 3 9 3" xfId="29931" xr:uid="{E3992672-8E48-4F49-9707-E4EDE3DB58E4}"/>
    <cellStyle name="Comma 4 3 2 3 9 4" xfId="13059" xr:uid="{8D47CC21-4F5D-41F5-B8B1-A45B6A8CE70A}"/>
    <cellStyle name="Comma 4 3 2 4" xfId="682" xr:uid="{00000000-0005-0000-0000-00005A090000}"/>
    <cellStyle name="Comma 4 3 2 4 2" xfId="2953" xr:uid="{00000000-0005-0000-0000-00005B090000}"/>
    <cellStyle name="Comma 4 3 2 4 2 2" xfId="7176" xr:uid="{00000000-0005-0000-0000-00005C090000}"/>
    <cellStyle name="Comma 4 3 2 4 2 2 2" xfId="24053" xr:uid="{4717D561-0CB8-47C8-90FB-50901ED87AE3}"/>
    <cellStyle name="Comma 4 3 2 4 2 2 3" xfId="32487" xr:uid="{42CE75D9-2F33-404B-8D1F-70F5265A79C6}"/>
    <cellStyle name="Comma 4 3 2 4 2 2 4" xfId="15615" xr:uid="{54AC0C5F-307B-444E-9117-FC43BD2E9D3A}"/>
    <cellStyle name="Comma 4 3 2 4 2 3" xfId="19835" xr:uid="{3232ABA1-3798-44C9-BAE2-5E2EE0405AAC}"/>
    <cellStyle name="Comma 4 3 2 4 2 4" xfId="28270" xr:uid="{3C33BF18-A527-42E7-A14B-C2CFD647869A}"/>
    <cellStyle name="Comma 4 3 2 4 2 5" xfId="11397" xr:uid="{DB7CF5FD-E555-44E5-9E2A-9D51A2BC9918}"/>
    <cellStyle name="Comma 4 3 2 4 3" xfId="5031" xr:uid="{00000000-0005-0000-0000-00005D090000}"/>
    <cellStyle name="Comma 4 3 2 4 3 2" xfId="21908" xr:uid="{5438690E-E096-4FC1-B4F6-B6FF009DFC9E}"/>
    <cellStyle name="Comma 4 3 2 4 3 3" xfId="30342" xr:uid="{A2377DDD-15C7-4671-B77B-184F26B54D92}"/>
    <cellStyle name="Comma 4 3 2 4 3 4" xfId="13470" xr:uid="{02E6A9C4-2C30-4877-A25C-9A1432629ED1}"/>
    <cellStyle name="Comma 4 3 2 4 4" xfId="17690" xr:uid="{ABE04770-062F-4D7B-8EE6-A1DA701005DB}"/>
    <cellStyle name="Comma 4 3 2 4 5" xfId="26125" xr:uid="{1CC4936B-7DB2-4502-A5E4-A94E6C5325C7}"/>
    <cellStyle name="Comma 4 3 2 4 6" xfId="9252" xr:uid="{34A050E8-E3B1-4FEA-A92C-959B904BEA49}"/>
    <cellStyle name="Comma 4 3 2 5" xfId="1135" xr:uid="{00000000-0005-0000-0000-00005E090000}"/>
    <cellStyle name="Comma 4 3 2 5 2" xfId="3366" xr:uid="{00000000-0005-0000-0000-00005F090000}"/>
    <cellStyle name="Comma 4 3 2 5 2 2" xfId="7589" xr:uid="{00000000-0005-0000-0000-000060090000}"/>
    <cellStyle name="Comma 4 3 2 5 2 2 2" xfId="24466" xr:uid="{6370934B-EE1F-4AF9-B3F9-5C84B4E08CEE}"/>
    <cellStyle name="Comma 4 3 2 5 2 2 3" xfId="32900" xr:uid="{A0C0149B-8BD2-4647-8143-D457CAB13A8B}"/>
    <cellStyle name="Comma 4 3 2 5 2 2 4" xfId="16028" xr:uid="{5CD3054C-C486-4FF5-9F2B-6518230A8AA4}"/>
    <cellStyle name="Comma 4 3 2 5 2 3" xfId="20248" xr:uid="{52399C4C-EBF4-45E0-A835-6D78D6B121B3}"/>
    <cellStyle name="Comma 4 3 2 5 2 4" xfId="28683" xr:uid="{23418B5E-EE78-42F1-B436-B3B24DD6C12A}"/>
    <cellStyle name="Comma 4 3 2 5 2 5" xfId="11810" xr:uid="{0C5AE102-B913-4B18-A75B-E8FA5B74F469}"/>
    <cellStyle name="Comma 4 3 2 5 3" xfId="5444" xr:uid="{00000000-0005-0000-0000-000061090000}"/>
    <cellStyle name="Comma 4 3 2 5 3 2" xfId="22321" xr:uid="{2E8EAE68-0513-4683-B901-46CBA4BCFEA9}"/>
    <cellStyle name="Comma 4 3 2 5 3 3" xfId="30755" xr:uid="{A8CE3C02-AB64-4300-AF38-A8BD6A2E3816}"/>
    <cellStyle name="Comma 4 3 2 5 3 4" xfId="13883" xr:uid="{CA47D6EF-98DE-4DBC-9AA9-2E63E7B8ADEE}"/>
    <cellStyle name="Comma 4 3 2 5 4" xfId="18103" xr:uid="{AD7CBB9E-543B-49B6-A2B4-E0CD8F4D2328}"/>
    <cellStyle name="Comma 4 3 2 5 5" xfId="26538" xr:uid="{21EB0712-5590-4EA4-9E74-4FAD5EBED3B1}"/>
    <cellStyle name="Comma 4 3 2 5 6" xfId="9665" xr:uid="{E9973465-2B75-48F0-9EAB-24B107E68149}"/>
    <cellStyle name="Comma 4 3 2 6" xfId="1549" xr:uid="{00000000-0005-0000-0000-000062090000}"/>
    <cellStyle name="Comma 4 3 2 6 2" xfId="3779" xr:uid="{00000000-0005-0000-0000-000063090000}"/>
    <cellStyle name="Comma 4 3 2 6 2 2" xfId="8002" xr:uid="{00000000-0005-0000-0000-000064090000}"/>
    <cellStyle name="Comma 4 3 2 6 2 2 2" xfId="24879" xr:uid="{AC89C1C3-8AF8-4FE8-BF84-13C00072C256}"/>
    <cellStyle name="Comma 4 3 2 6 2 2 3" xfId="33313" xr:uid="{59A2B6F2-9654-4099-A345-E67E4E2BD678}"/>
    <cellStyle name="Comma 4 3 2 6 2 2 4" xfId="16441" xr:uid="{EE3A0801-E99C-4ECA-8B13-833AE39C03B0}"/>
    <cellStyle name="Comma 4 3 2 6 2 3" xfId="20661" xr:uid="{B03710A1-8092-404A-BB68-ED5ACF99F85D}"/>
    <cellStyle name="Comma 4 3 2 6 2 4" xfId="29096" xr:uid="{A484AEDE-9599-42AF-9F6E-CCCD12810CA5}"/>
    <cellStyle name="Comma 4 3 2 6 2 5" xfId="12223" xr:uid="{83D8D18C-E683-4E65-8490-18E4646B5F18}"/>
    <cellStyle name="Comma 4 3 2 6 3" xfId="5857" xr:uid="{00000000-0005-0000-0000-000065090000}"/>
    <cellStyle name="Comma 4 3 2 6 3 2" xfId="22734" xr:uid="{FA1BC749-04C9-4A77-9095-290141B8E2B5}"/>
    <cellStyle name="Comma 4 3 2 6 3 3" xfId="31168" xr:uid="{0267C415-1390-4F5C-8D4A-E7F8C0B5B2FA}"/>
    <cellStyle name="Comma 4 3 2 6 3 4" xfId="14296" xr:uid="{EEE41121-5569-4F14-8CB9-30BF67EE65A8}"/>
    <cellStyle name="Comma 4 3 2 6 4" xfId="18516" xr:uid="{6EB5DC4F-1A7F-4C9B-B93B-B451F0D8BE1A}"/>
    <cellStyle name="Comma 4 3 2 6 5" xfId="26951" xr:uid="{5B3CA1D4-1E98-46E3-8D8C-187B26987368}"/>
    <cellStyle name="Comma 4 3 2 6 6" xfId="10078" xr:uid="{E4E2F3C4-C885-4D5F-A95B-AE7ABE5C91CB}"/>
    <cellStyle name="Comma 4 3 2 7" xfId="1963" xr:uid="{00000000-0005-0000-0000-000066090000}"/>
    <cellStyle name="Comma 4 3 2 7 2" xfId="4192" xr:uid="{00000000-0005-0000-0000-000067090000}"/>
    <cellStyle name="Comma 4 3 2 7 2 2" xfId="8415" xr:uid="{00000000-0005-0000-0000-000068090000}"/>
    <cellStyle name="Comma 4 3 2 7 2 2 2" xfId="25292" xr:uid="{4F91ED77-FAB8-4020-81C2-97431D97C2AC}"/>
    <cellStyle name="Comma 4 3 2 7 2 2 3" xfId="33726" xr:uid="{ADB15B1F-1B69-49EE-8BE7-7FA8093BB1A4}"/>
    <cellStyle name="Comma 4 3 2 7 2 2 4" xfId="16854" xr:uid="{8845B7D3-9784-4460-B7D7-ACE8DB5AD3BD}"/>
    <cellStyle name="Comma 4 3 2 7 2 3" xfId="21074" xr:uid="{51C3B977-22A5-4437-89D2-7532CCC075D1}"/>
    <cellStyle name="Comma 4 3 2 7 2 4" xfId="29509" xr:uid="{4BAEA45E-98A5-4E7B-B657-FEBB57D289C4}"/>
    <cellStyle name="Comma 4 3 2 7 2 5" xfId="12636" xr:uid="{44385171-6759-4C3B-BB73-51894A7E10BE}"/>
    <cellStyle name="Comma 4 3 2 7 3" xfId="6270" xr:uid="{00000000-0005-0000-0000-000069090000}"/>
    <cellStyle name="Comma 4 3 2 7 3 2" xfId="23147" xr:uid="{963168C2-8281-4AE3-9EB4-9135D482CCF8}"/>
    <cellStyle name="Comma 4 3 2 7 3 3" xfId="31581" xr:uid="{FC40A4A6-E8D9-487C-9BE0-6E454AC2536A}"/>
    <cellStyle name="Comma 4 3 2 7 3 4" xfId="14709" xr:uid="{F4D8672C-05A1-4F72-A7A0-ED0AC1071ABC}"/>
    <cellStyle name="Comma 4 3 2 7 4" xfId="18929" xr:uid="{235F3C2A-A8BA-4763-BD90-582B86D2DE9A}"/>
    <cellStyle name="Comma 4 3 2 7 5" xfId="27364" xr:uid="{F76D9DFA-09A8-4A48-90FA-BF970156A513}"/>
    <cellStyle name="Comma 4 3 2 7 6" xfId="10491" xr:uid="{2301F10D-51F5-46DF-9E8C-47D559CFD6B1}"/>
    <cellStyle name="Comma 4 3 2 8" xfId="2398" xr:uid="{00000000-0005-0000-0000-00006A090000}"/>
    <cellStyle name="Comma 4 3 2 8 2" xfId="6683" xr:uid="{00000000-0005-0000-0000-00006B090000}"/>
    <cellStyle name="Comma 4 3 2 8 2 2" xfId="23560" xr:uid="{921E2C38-DFD6-4F43-A09F-8A47C70C7DA2}"/>
    <cellStyle name="Comma 4 3 2 8 2 3" xfId="31994" xr:uid="{C57C2CC5-461C-48ED-BFD9-51D3E2072683}"/>
    <cellStyle name="Comma 4 3 2 8 2 4" xfId="15122" xr:uid="{9C2E064C-192F-4F20-AF5E-0186C209C899}"/>
    <cellStyle name="Comma 4 3 2 8 3" xfId="19342" xr:uid="{A3021339-C78A-4AB7-94B9-9D96223271CD}"/>
    <cellStyle name="Comma 4 3 2 8 4" xfId="27777" xr:uid="{94E340DA-A0DD-4763-80AA-922B29757A6B}"/>
    <cellStyle name="Comma 4 3 2 8 5" xfId="10904" xr:uid="{9D8032B2-E8F1-4FCA-B5AD-2FD048D24B86}"/>
    <cellStyle name="Comma 4 3 2 9" xfId="2365" xr:uid="{00000000-0005-0000-0000-00006C090000}"/>
    <cellStyle name="Comma 4 3 3" xfId="149" xr:uid="{00000000-0005-0000-0000-00006D090000}"/>
    <cellStyle name="Comma 4 3 3 10" xfId="4621" xr:uid="{00000000-0005-0000-0000-00006E090000}"/>
    <cellStyle name="Comma 4 3 3 10 2" xfId="21498" xr:uid="{3668AFAA-E676-4F33-9C70-951671742038}"/>
    <cellStyle name="Comma 4 3 3 10 3" xfId="29932" xr:uid="{44A45E56-99F6-4E1F-881B-A818F4AF9771}"/>
    <cellStyle name="Comma 4 3 3 10 4" xfId="13060" xr:uid="{366185C3-AB87-44C1-8DC8-280DE078D668}"/>
    <cellStyle name="Comma 4 3 3 11" xfId="17280" xr:uid="{C2A6A301-C615-4D2D-8A5F-5F34A9D8D224}"/>
    <cellStyle name="Comma 4 3 3 12" xfId="25715" xr:uid="{FF571324-E465-4577-8037-20DB60AD2042}"/>
    <cellStyle name="Comma 4 3 3 13" xfId="8842" xr:uid="{941A8E9A-2CE8-4044-BDC0-6D5F50286D8A}"/>
    <cellStyle name="Comma 4 3 3 2" xfId="150" xr:uid="{00000000-0005-0000-0000-00006F090000}"/>
    <cellStyle name="Comma 4 3 3 2 10" xfId="17281" xr:uid="{414BA586-D4C6-48EB-B0C5-0B4BB50CA67E}"/>
    <cellStyle name="Comma 4 3 3 2 11" xfId="25716" xr:uid="{CA0CCE6B-68F0-4588-BFC6-250C7F2E7732}"/>
    <cellStyle name="Comma 4 3 3 2 12" xfId="8843" xr:uid="{7118739D-25C2-4328-92A4-6690A99F5B83}"/>
    <cellStyle name="Comma 4 3 3 2 2" xfId="687" xr:uid="{00000000-0005-0000-0000-000070090000}"/>
    <cellStyle name="Comma 4 3 3 2 2 2" xfId="2958" xr:uid="{00000000-0005-0000-0000-000071090000}"/>
    <cellStyle name="Comma 4 3 3 2 2 2 2" xfId="7181" xr:uid="{00000000-0005-0000-0000-000072090000}"/>
    <cellStyle name="Comma 4 3 3 2 2 2 2 2" xfId="24058" xr:uid="{F993028C-1BFB-4460-B7B6-9DA289463E39}"/>
    <cellStyle name="Comma 4 3 3 2 2 2 2 3" xfId="32492" xr:uid="{09CAA78E-1FE8-4AA0-87AC-05965E301E04}"/>
    <cellStyle name="Comma 4 3 3 2 2 2 2 4" xfId="15620" xr:uid="{CAC7D9B9-DFBA-4803-B96B-0079DF87074A}"/>
    <cellStyle name="Comma 4 3 3 2 2 2 3" xfId="19840" xr:uid="{D9321A10-21FD-4044-9AC9-8118FA09ABAF}"/>
    <cellStyle name="Comma 4 3 3 2 2 2 4" xfId="28275" xr:uid="{48B01854-4A9F-4BCB-A171-CF226DAEA623}"/>
    <cellStyle name="Comma 4 3 3 2 2 2 5" xfId="11402" xr:uid="{CFD3D298-7E91-4B81-AB28-8CFA42179F30}"/>
    <cellStyle name="Comma 4 3 3 2 2 3" xfId="5036" xr:uid="{00000000-0005-0000-0000-000073090000}"/>
    <cellStyle name="Comma 4 3 3 2 2 3 2" xfId="21913" xr:uid="{F5C3766D-927F-4D47-90F4-4B364474CCE3}"/>
    <cellStyle name="Comma 4 3 3 2 2 3 3" xfId="30347" xr:uid="{D9458BF7-FB3C-46BB-B638-3F9D25288A8D}"/>
    <cellStyle name="Comma 4 3 3 2 2 3 4" xfId="13475" xr:uid="{8312DE4E-889F-4AE4-8387-CE4944FE4816}"/>
    <cellStyle name="Comma 4 3 3 2 2 4" xfId="17695" xr:uid="{97EC581D-64DB-45BD-ADE8-676FB0DE3ACA}"/>
    <cellStyle name="Comma 4 3 3 2 2 5" xfId="26130" xr:uid="{CC883827-BA40-44E3-AB6F-7E25484B8A92}"/>
    <cellStyle name="Comma 4 3 3 2 2 6" xfId="9257" xr:uid="{74634FCF-1CF4-4100-8A81-16E6E71061AC}"/>
    <cellStyle name="Comma 4 3 3 2 3" xfId="1140" xr:uid="{00000000-0005-0000-0000-000074090000}"/>
    <cellStyle name="Comma 4 3 3 2 3 2" xfId="3371" xr:uid="{00000000-0005-0000-0000-000075090000}"/>
    <cellStyle name="Comma 4 3 3 2 3 2 2" xfId="7594" xr:uid="{00000000-0005-0000-0000-000076090000}"/>
    <cellStyle name="Comma 4 3 3 2 3 2 2 2" xfId="24471" xr:uid="{42AAA50F-5E2F-411A-9FB4-76EC8EE98B56}"/>
    <cellStyle name="Comma 4 3 3 2 3 2 2 3" xfId="32905" xr:uid="{A3D6B532-718C-499A-A988-BE11D5EA2604}"/>
    <cellStyle name="Comma 4 3 3 2 3 2 2 4" xfId="16033" xr:uid="{62AC1AA2-2D92-4647-B860-E999AF5E976E}"/>
    <cellStyle name="Comma 4 3 3 2 3 2 3" xfId="20253" xr:uid="{11032E15-4327-4FE8-B901-9ADB6F5EB3E2}"/>
    <cellStyle name="Comma 4 3 3 2 3 2 4" xfId="28688" xr:uid="{2F666960-A5A2-4009-AE58-077E97306B6E}"/>
    <cellStyle name="Comma 4 3 3 2 3 2 5" xfId="11815" xr:uid="{A344D90B-7157-420F-9956-314D21F94125}"/>
    <cellStyle name="Comma 4 3 3 2 3 3" xfId="5449" xr:uid="{00000000-0005-0000-0000-000077090000}"/>
    <cellStyle name="Comma 4 3 3 2 3 3 2" xfId="22326" xr:uid="{B07EA1AA-7C7A-4F18-B151-1F4122D20ED3}"/>
    <cellStyle name="Comma 4 3 3 2 3 3 3" xfId="30760" xr:uid="{5B78BF79-8F70-43D9-8D9E-D552FBB26DCA}"/>
    <cellStyle name="Comma 4 3 3 2 3 3 4" xfId="13888" xr:uid="{8FA84476-34E4-4EB8-9B33-0D8BB8D58279}"/>
    <cellStyle name="Comma 4 3 3 2 3 4" xfId="18108" xr:uid="{0EFBDB97-1410-48FA-8747-946E07FB768D}"/>
    <cellStyle name="Comma 4 3 3 2 3 5" xfId="26543" xr:uid="{03E7CDDF-63F1-4E37-834A-6F0E31B6DF46}"/>
    <cellStyle name="Comma 4 3 3 2 3 6" xfId="9670" xr:uid="{574312A5-0781-4B76-89FA-15621FFCA0D0}"/>
    <cellStyle name="Comma 4 3 3 2 4" xfId="1554" xr:uid="{00000000-0005-0000-0000-000078090000}"/>
    <cellStyle name="Comma 4 3 3 2 4 2" xfId="3784" xr:uid="{00000000-0005-0000-0000-000079090000}"/>
    <cellStyle name="Comma 4 3 3 2 4 2 2" xfId="8007" xr:uid="{00000000-0005-0000-0000-00007A090000}"/>
    <cellStyle name="Comma 4 3 3 2 4 2 2 2" xfId="24884" xr:uid="{732A5B85-4645-4933-B9CC-8465563D900D}"/>
    <cellStyle name="Comma 4 3 3 2 4 2 2 3" xfId="33318" xr:uid="{BBFE38E5-ACDF-4A0E-80F0-E9ABC3E90472}"/>
    <cellStyle name="Comma 4 3 3 2 4 2 2 4" xfId="16446" xr:uid="{4B735845-CAAE-49D2-90F1-50D560CD0B3E}"/>
    <cellStyle name="Comma 4 3 3 2 4 2 3" xfId="20666" xr:uid="{61FB317A-CF95-4983-AF08-7EB74192438F}"/>
    <cellStyle name="Comma 4 3 3 2 4 2 4" xfId="29101" xr:uid="{3D40274F-1FA5-4C0F-84CB-566EE59C4A08}"/>
    <cellStyle name="Comma 4 3 3 2 4 2 5" xfId="12228" xr:uid="{99C40005-978C-4E1A-9DFD-E06A7D56445B}"/>
    <cellStyle name="Comma 4 3 3 2 4 3" xfId="5862" xr:uid="{00000000-0005-0000-0000-00007B090000}"/>
    <cellStyle name="Comma 4 3 3 2 4 3 2" xfId="22739" xr:uid="{2C224C7D-8D36-4736-9719-4989F3C08323}"/>
    <cellStyle name="Comma 4 3 3 2 4 3 3" xfId="31173" xr:uid="{0F6A3C02-2C6B-48B0-98D8-13867406BD8D}"/>
    <cellStyle name="Comma 4 3 3 2 4 3 4" xfId="14301" xr:uid="{2ADA5A76-F393-4FB0-9C9F-D8978AAFF6B8}"/>
    <cellStyle name="Comma 4 3 3 2 4 4" xfId="18521" xr:uid="{351AE6B9-9768-4461-BE69-FDA9E85894AC}"/>
    <cellStyle name="Comma 4 3 3 2 4 5" xfId="26956" xr:uid="{5622CDD6-DA88-472B-9AFB-DA2D2F678193}"/>
    <cellStyle name="Comma 4 3 3 2 4 6" xfId="10083" xr:uid="{53AC5757-5B9E-4C0F-BEDF-A8617DDDF213}"/>
    <cellStyle name="Comma 4 3 3 2 5" xfId="1968" xr:uid="{00000000-0005-0000-0000-00007C090000}"/>
    <cellStyle name="Comma 4 3 3 2 5 2" xfId="4197" xr:uid="{00000000-0005-0000-0000-00007D090000}"/>
    <cellStyle name="Comma 4 3 3 2 5 2 2" xfId="8420" xr:uid="{00000000-0005-0000-0000-00007E090000}"/>
    <cellStyle name="Comma 4 3 3 2 5 2 2 2" xfId="25297" xr:uid="{CA2770BD-A445-400F-857D-69F084EFFDDF}"/>
    <cellStyle name="Comma 4 3 3 2 5 2 2 3" xfId="33731" xr:uid="{6C9A7F61-5E6E-490B-9979-FC916AD9E652}"/>
    <cellStyle name="Comma 4 3 3 2 5 2 2 4" xfId="16859" xr:uid="{819DADEC-E927-4C8E-ADED-6C1847143B1A}"/>
    <cellStyle name="Comma 4 3 3 2 5 2 3" xfId="21079" xr:uid="{BB6E6FB4-A172-4D82-ACF0-237B1F6C7DE2}"/>
    <cellStyle name="Comma 4 3 3 2 5 2 4" xfId="29514" xr:uid="{1F0F5078-48EC-4B4B-9F9B-01D0A38D3433}"/>
    <cellStyle name="Comma 4 3 3 2 5 2 5" xfId="12641" xr:uid="{4A754BF7-CB3D-4D26-A2A1-ABD37D131FDD}"/>
    <cellStyle name="Comma 4 3 3 2 5 3" xfId="6275" xr:uid="{00000000-0005-0000-0000-00007F090000}"/>
    <cellStyle name="Comma 4 3 3 2 5 3 2" xfId="23152" xr:uid="{3BB8A0B9-539C-420F-8C14-B2100F8569AF}"/>
    <cellStyle name="Comma 4 3 3 2 5 3 3" xfId="31586" xr:uid="{A27387F9-980C-4294-9F3A-A43FE249D3A5}"/>
    <cellStyle name="Comma 4 3 3 2 5 3 4" xfId="14714" xr:uid="{8D94AA1C-3B71-480C-A5E2-62330E07AC2B}"/>
    <cellStyle name="Comma 4 3 3 2 5 4" xfId="18934" xr:uid="{5CF89957-7723-4377-95D2-8F312631B141}"/>
    <cellStyle name="Comma 4 3 3 2 5 5" xfId="27369" xr:uid="{A36945E0-782E-4179-A77D-D34148692ABB}"/>
    <cellStyle name="Comma 4 3 3 2 5 6" xfId="10496" xr:uid="{D3A08482-D1A6-4C82-8248-EE23A1353BB5}"/>
    <cellStyle name="Comma 4 3 3 2 6" xfId="2403" xr:uid="{00000000-0005-0000-0000-000080090000}"/>
    <cellStyle name="Comma 4 3 3 2 6 2" xfId="6688" xr:uid="{00000000-0005-0000-0000-000081090000}"/>
    <cellStyle name="Comma 4 3 3 2 6 2 2" xfId="23565" xr:uid="{AF0E5070-1750-488F-B8AE-3E5BAD4A749D}"/>
    <cellStyle name="Comma 4 3 3 2 6 2 3" xfId="31999" xr:uid="{1618B74A-B092-40EB-A1BC-A59EA9ACA7BD}"/>
    <cellStyle name="Comma 4 3 3 2 6 2 4" xfId="15127" xr:uid="{5C885F95-BB54-4293-971F-6198BE6A4618}"/>
    <cellStyle name="Comma 4 3 3 2 6 3" xfId="19347" xr:uid="{D3AFEE5C-4C4A-4364-A5B0-D32176548C76}"/>
    <cellStyle name="Comma 4 3 3 2 6 4" xfId="27782" xr:uid="{D821C98B-FF7D-416F-8B43-46C7AA1468E6}"/>
    <cellStyle name="Comma 4 3 3 2 6 5" xfId="10909" xr:uid="{E9EF6EAB-B2A6-4100-9619-D99BC831C299}"/>
    <cellStyle name="Comma 4 3 3 2 7" xfId="2360" xr:uid="{00000000-0005-0000-0000-000082090000}"/>
    <cellStyle name="Comma 4 3 3 2 8" xfId="2781" xr:uid="{00000000-0005-0000-0000-000083090000}"/>
    <cellStyle name="Comma 4 3 3 2 8 2" xfId="7005" xr:uid="{00000000-0005-0000-0000-000084090000}"/>
    <cellStyle name="Comma 4 3 3 2 8 2 2" xfId="23882" xr:uid="{061706A3-4280-4952-926E-2FC005331193}"/>
    <cellStyle name="Comma 4 3 3 2 8 2 3" xfId="32316" xr:uid="{1BDDB0EB-A286-4547-8508-D0DBE52FD2EA}"/>
    <cellStyle name="Comma 4 3 3 2 8 2 4" xfId="15444" xr:uid="{066ED191-B896-4EFD-B689-E8F86A0C7011}"/>
    <cellStyle name="Comma 4 3 3 2 8 3" xfId="19664" xr:uid="{188C53A1-81C9-44A5-884F-C7809A6690A8}"/>
    <cellStyle name="Comma 4 3 3 2 8 4" xfId="28099" xr:uid="{02C03F61-AC8B-4818-ACC0-B3D4EA7A86C7}"/>
    <cellStyle name="Comma 4 3 3 2 8 5" xfId="11226" xr:uid="{0C364CC7-EACD-4D38-917B-20B52706796E}"/>
    <cellStyle name="Comma 4 3 3 2 9" xfId="4622" xr:uid="{00000000-0005-0000-0000-000085090000}"/>
    <cellStyle name="Comma 4 3 3 2 9 2" xfId="21499" xr:uid="{37F0F23A-E20A-4860-B42B-D1E4B8DA9090}"/>
    <cellStyle name="Comma 4 3 3 2 9 3" xfId="29933" xr:uid="{81A8B866-A73F-4808-B87A-E87C7626AA05}"/>
    <cellStyle name="Comma 4 3 3 2 9 4" xfId="13061" xr:uid="{3DEA7827-0E25-484D-8463-82E0CBFD9848}"/>
    <cellStyle name="Comma 4 3 3 3" xfId="686" xr:uid="{00000000-0005-0000-0000-000086090000}"/>
    <cellStyle name="Comma 4 3 3 3 2" xfId="2957" xr:uid="{00000000-0005-0000-0000-000087090000}"/>
    <cellStyle name="Comma 4 3 3 3 2 2" xfId="7180" xr:uid="{00000000-0005-0000-0000-000088090000}"/>
    <cellStyle name="Comma 4 3 3 3 2 2 2" xfId="24057" xr:uid="{6E52C756-137A-4FDE-8F64-AB03888147E6}"/>
    <cellStyle name="Comma 4 3 3 3 2 2 3" xfId="32491" xr:uid="{FB521B37-2999-467E-9FA5-BD36F78F2911}"/>
    <cellStyle name="Comma 4 3 3 3 2 2 4" xfId="15619" xr:uid="{E6095BBE-DB31-439C-987E-7F26F14BD521}"/>
    <cellStyle name="Comma 4 3 3 3 2 3" xfId="19839" xr:uid="{EEF1C5AF-3819-4538-B655-EEEAE06C2859}"/>
    <cellStyle name="Comma 4 3 3 3 2 4" xfId="28274" xr:uid="{719905D9-5591-42B1-8656-0B451F30F29E}"/>
    <cellStyle name="Comma 4 3 3 3 2 5" xfId="11401" xr:uid="{9DDD4BE5-EFF7-4780-A178-41E3E47B1E54}"/>
    <cellStyle name="Comma 4 3 3 3 3" xfId="5035" xr:uid="{00000000-0005-0000-0000-000089090000}"/>
    <cellStyle name="Comma 4 3 3 3 3 2" xfId="21912" xr:uid="{B6AABDAA-5B67-4D9C-A465-6D42964CD938}"/>
    <cellStyle name="Comma 4 3 3 3 3 3" xfId="30346" xr:uid="{4C77EECE-B6B8-4B37-A76B-79931490AAE0}"/>
    <cellStyle name="Comma 4 3 3 3 3 4" xfId="13474" xr:uid="{F0EFB124-12EC-40D0-9BC7-52B0C5745D62}"/>
    <cellStyle name="Comma 4 3 3 3 4" xfId="17694" xr:uid="{355F3603-E8CE-4644-BB04-48721C6DD7F6}"/>
    <cellStyle name="Comma 4 3 3 3 5" xfId="26129" xr:uid="{4D407172-34FA-467E-8ABF-A2975C9330B8}"/>
    <cellStyle name="Comma 4 3 3 3 6" xfId="9256" xr:uid="{D09AA7C6-FEA2-4324-A3DF-FFDD595F0B7F}"/>
    <cellStyle name="Comma 4 3 3 4" xfId="1139" xr:uid="{00000000-0005-0000-0000-00008A090000}"/>
    <cellStyle name="Comma 4 3 3 4 2" xfId="3370" xr:uid="{00000000-0005-0000-0000-00008B090000}"/>
    <cellStyle name="Comma 4 3 3 4 2 2" xfId="7593" xr:uid="{00000000-0005-0000-0000-00008C090000}"/>
    <cellStyle name="Comma 4 3 3 4 2 2 2" xfId="24470" xr:uid="{F2C3B472-C1D1-40AA-AB14-827F9D9A4B41}"/>
    <cellStyle name="Comma 4 3 3 4 2 2 3" xfId="32904" xr:uid="{A6BC1ED0-782E-4B2D-98C8-2CBF52CC7D6D}"/>
    <cellStyle name="Comma 4 3 3 4 2 2 4" xfId="16032" xr:uid="{037DBF38-2B78-4F41-915B-9B64308AD761}"/>
    <cellStyle name="Comma 4 3 3 4 2 3" xfId="20252" xr:uid="{3146CA45-9B75-4AEE-BC3C-3404E31C8F51}"/>
    <cellStyle name="Comma 4 3 3 4 2 4" xfId="28687" xr:uid="{C80EB6E8-C392-4465-B3C0-0C800FB63E66}"/>
    <cellStyle name="Comma 4 3 3 4 2 5" xfId="11814" xr:uid="{8F6302DF-EF54-4D81-8173-D95C6CF2884D}"/>
    <cellStyle name="Comma 4 3 3 4 3" xfId="5448" xr:uid="{00000000-0005-0000-0000-00008D090000}"/>
    <cellStyle name="Comma 4 3 3 4 3 2" xfId="22325" xr:uid="{C08CC40B-7944-4048-AE26-DB742788E749}"/>
    <cellStyle name="Comma 4 3 3 4 3 3" xfId="30759" xr:uid="{C12072EE-DBB4-4087-A1DD-8506F2B9586A}"/>
    <cellStyle name="Comma 4 3 3 4 3 4" xfId="13887" xr:uid="{C443C1AD-174E-4B7D-AD2E-5E5B8F147AC3}"/>
    <cellStyle name="Comma 4 3 3 4 4" xfId="18107" xr:uid="{0DF1E8BE-8F2D-4EA1-9B1B-01CAA68B2049}"/>
    <cellStyle name="Comma 4 3 3 4 5" xfId="26542" xr:uid="{56C6812F-AC90-44EC-9EC3-D180F7785C5B}"/>
    <cellStyle name="Comma 4 3 3 4 6" xfId="9669" xr:uid="{BC7BEB00-4613-4057-BF8A-AE39B742A18B}"/>
    <cellStyle name="Comma 4 3 3 5" xfId="1553" xr:uid="{00000000-0005-0000-0000-00008E090000}"/>
    <cellStyle name="Comma 4 3 3 5 2" xfId="3783" xr:uid="{00000000-0005-0000-0000-00008F090000}"/>
    <cellStyle name="Comma 4 3 3 5 2 2" xfId="8006" xr:uid="{00000000-0005-0000-0000-000090090000}"/>
    <cellStyle name="Comma 4 3 3 5 2 2 2" xfId="24883" xr:uid="{AF65314F-96CB-434F-AE8B-EE83533E1457}"/>
    <cellStyle name="Comma 4 3 3 5 2 2 3" xfId="33317" xr:uid="{C3AF7D48-5EBE-45CA-BD7B-7839A8B8F942}"/>
    <cellStyle name="Comma 4 3 3 5 2 2 4" xfId="16445" xr:uid="{C7BFAA4A-E73B-4F48-87B5-AB759F965E5C}"/>
    <cellStyle name="Comma 4 3 3 5 2 3" xfId="20665" xr:uid="{292B3FE1-C2F1-47C6-80A2-10278A4D095C}"/>
    <cellStyle name="Comma 4 3 3 5 2 4" xfId="29100" xr:uid="{94A63804-9BCB-4AD1-AFBF-B4822671E7F9}"/>
    <cellStyle name="Comma 4 3 3 5 2 5" xfId="12227" xr:uid="{A9A1F196-CFCA-4EBD-A4CF-9556794A84D1}"/>
    <cellStyle name="Comma 4 3 3 5 3" xfId="5861" xr:uid="{00000000-0005-0000-0000-000091090000}"/>
    <cellStyle name="Comma 4 3 3 5 3 2" xfId="22738" xr:uid="{6B1D0F38-AF89-4239-9B02-8DC2407AA945}"/>
    <cellStyle name="Comma 4 3 3 5 3 3" xfId="31172" xr:uid="{F03B7465-8212-4383-9419-0B8F6EFB3827}"/>
    <cellStyle name="Comma 4 3 3 5 3 4" xfId="14300" xr:uid="{1D2BA65A-93D2-41CC-A576-45265AFFF6CE}"/>
    <cellStyle name="Comma 4 3 3 5 4" xfId="18520" xr:uid="{21F41701-F872-4E1A-848D-5BB0FF3B11F7}"/>
    <cellStyle name="Comma 4 3 3 5 5" xfId="26955" xr:uid="{0860C4DB-631A-46E7-BD96-E0A0BB82B366}"/>
    <cellStyle name="Comma 4 3 3 5 6" xfId="10082" xr:uid="{09A09CA1-F5AB-47BC-89CC-2F1A72099147}"/>
    <cellStyle name="Comma 4 3 3 6" xfId="1967" xr:uid="{00000000-0005-0000-0000-000092090000}"/>
    <cellStyle name="Comma 4 3 3 6 2" xfId="4196" xr:uid="{00000000-0005-0000-0000-000093090000}"/>
    <cellStyle name="Comma 4 3 3 6 2 2" xfId="8419" xr:uid="{00000000-0005-0000-0000-000094090000}"/>
    <cellStyle name="Comma 4 3 3 6 2 2 2" xfId="25296" xr:uid="{D482723D-203E-4B72-A15A-48831E43F2B4}"/>
    <cellStyle name="Comma 4 3 3 6 2 2 3" xfId="33730" xr:uid="{F3E5FC94-1BB9-484D-A898-20D748B12788}"/>
    <cellStyle name="Comma 4 3 3 6 2 2 4" xfId="16858" xr:uid="{0AC53EE8-3AF4-435A-9B05-91F197F9D734}"/>
    <cellStyle name="Comma 4 3 3 6 2 3" xfId="21078" xr:uid="{BD40DD6E-C28F-4322-803A-CB329B708D30}"/>
    <cellStyle name="Comma 4 3 3 6 2 4" xfId="29513" xr:uid="{9391031E-BE59-43F7-A904-B09C2A994910}"/>
    <cellStyle name="Comma 4 3 3 6 2 5" xfId="12640" xr:uid="{2CC33A62-7F56-49CF-8AD9-9C3B799617EC}"/>
    <cellStyle name="Comma 4 3 3 6 3" xfId="6274" xr:uid="{00000000-0005-0000-0000-000095090000}"/>
    <cellStyle name="Comma 4 3 3 6 3 2" xfId="23151" xr:uid="{E4E4AAD4-B6E7-41ED-8902-96922305CE7B}"/>
    <cellStyle name="Comma 4 3 3 6 3 3" xfId="31585" xr:uid="{05B6A2C1-C9E7-478F-9F48-A922FAD6827B}"/>
    <cellStyle name="Comma 4 3 3 6 3 4" xfId="14713" xr:uid="{12172979-B8F8-4A9E-A71D-22EBE555E152}"/>
    <cellStyle name="Comma 4 3 3 6 4" xfId="18933" xr:uid="{00954D38-8D87-4729-8920-40852AC135FE}"/>
    <cellStyle name="Comma 4 3 3 6 5" xfId="27368" xr:uid="{0AD02158-D3F8-48A3-B33D-03CDC7C3B546}"/>
    <cellStyle name="Comma 4 3 3 6 6" xfId="10495" xr:uid="{E2C17D80-80CA-4ACE-BB15-2328EE8E5553}"/>
    <cellStyle name="Comma 4 3 3 7" xfId="2402" xr:uid="{00000000-0005-0000-0000-000096090000}"/>
    <cellStyle name="Comma 4 3 3 7 2" xfId="6687" xr:uid="{00000000-0005-0000-0000-000097090000}"/>
    <cellStyle name="Comma 4 3 3 7 2 2" xfId="23564" xr:uid="{F11996B6-27BE-4126-8086-1DE4145A3BCE}"/>
    <cellStyle name="Comma 4 3 3 7 2 3" xfId="31998" xr:uid="{F95DC38C-C109-4D81-B328-04998B10D928}"/>
    <cellStyle name="Comma 4 3 3 7 2 4" xfId="15126" xr:uid="{63E9F0F9-8858-4EBA-B664-B1F2201BE388}"/>
    <cellStyle name="Comma 4 3 3 7 3" xfId="19346" xr:uid="{D31BBDEB-F78B-46DE-95E3-E900BD0C793E}"/>
    <cellStyle name="Comma 4 3 3 7 4" xfId="27781" xr:uid="{FDE05A3A-D864-4ABE-939A-5CD245A533EB}"/>
    <cellStyle name="Comma 4 3 3 7 5" xfId="10908" xr:uid="{C620A7F9-7551-44E8-AD41-66F9D371420E}"/>
    <cellStyle name="Comma 4 3 3 8" xfId="2361" xr:uid="{00000000-0005-0000-0000-000098090000}"/>
    <cellStyle name="Comma 4 3 3 9" xfId="2780" xr:uid="{00000000-0005-0000-0000-000099090000}"/>
    <cellStyle name="Comma 4 3 3 9 2" xfId="7004" xr:uid="{00000000-0005-0000-0000-00009A090000}"/>
    <cellStyle name="Comma 4 3 3 9 2 2" xfId="23881" xr:uid="{248EC7D5-F8ED-4DB1-8274-173B2F4F27F8}"/>
    <cellStyle name="Comma 4 3 3 9 2 3" xfId="32315" xr:uid="{3DAC83D7-33E3-48E3-B38A-1EAE60BC41CE}"/>
    <cellStyle name="Comma 4 3 3 9 2 4" xfId="15443" xr:uid="{9A0F08B4-1488-45B9-AA25-641AAE47C4DB}"/>
    <cellStyle name="Comma 4 3 3 9 3" xfId="19663" xr:uid="{AC5BB688-5524-41BE-94E2-A2F13B10CF61}"/>
    <cellStyle name="Comma 4 3 3 9 4" xfId="28098" xr:uid="{E5AF812D-3045-467C-A997-4C96165C3B85}"/>
    <cellStyle name="Comma 4 3 3 9 5" xfId="11225" xr:uid="{BA78B50C-3333-4A12-8943-D63B9EDD5549}"/>
    <cellStyle name="Comma 4 3 4" xfId="151" xr:uid="{00000000-0005-0000-0000-00009B090000}"/>
    <cellStyle name="Comma 4 3 4 10" xfId="17282" xr:uid="{93D6E919-3974-4CE5-89F0-F1E9AA94513D}"/>
    <cellStyle name="Comma 4 3 4 11" xfId="25717" xr:uid="{457DCFC7-68A4-46A1-84A7-3DDEED30A5AB}"/>
    <cellStyle name="Comma 4 3 4 12" xfId="8844" xr:uid="{8E1AE872-C8DF-44F7-9E5F-ED8FBA9A3637}"/>
    <cellStyle name="Comma 4 3 4 2" xfId="688" xr:uid="{00000000-0005-0000-0000-00009C090000}"/>
    <cellStyle name="Comma 4 3 4 2 2" xfId="2959" xr:uid="{00000000-0005-0000-0000-00009D090000}"/>
    <cellStyle name="Comma 4 3 4 2 2 2" xfId="7182" xr:uid="{00000000-0005-0000-0000-00009E090000}"/>
    <cellStyle name="Comma 4 3 4 2 2 2 2" xfId="24059" xr:uid="{5D21CB0B-F579-4269-9080-6BED65E6E9B1}"/>
    <cellStyle name="Comma 4 3 4 2 2 2 3" xfId="32493" xr:uid="{D9EA57F1-AF68-42FB-AA97-9949C31899E8}"/>
    <cellStyle name="Comma 4 3 4 2 2 2 4" xfId="15621" xr:uid="{AD36556E-BEBF-466D-A1B3-3DAE5A92BDB7}"/>
    <cellStyle name="Comma 4 3 4 2 2 3" xfId="19841" xr:uid="{3157F4E7-9B15-4CA3-9639-66BDB99DF17A}"/>
    <cellStyle name="Comma 4 3 4 2 2 4" xfId="28276" xr:uid="{BD41EE3B-301E-4024-B0D9-9EB3556D6D59}"/>
    <cellStyle name="Comma 4 3 4 2 2 5" xfId="11403" xr:uid="{C39D8FEE-5016-45E7-8273-DE4F2FA51EF8}"/>
    <cellStyle name="Comma 4 3 4 2 3" xfId="5037" xr:uid="{00000000-0005-0000-0000-00009F090000}"/>
    <cellStyle name="Comma 4 3 4 2 3 2" xfId="21914" xr:uid="{C07CFCD5-286E-4BD0-B267-CE2609D7526C}"/>
    <cellStyle name="Comma 4 3 4 2 3 3" xfId="30348" xr:uid="{3BB5FAA3-9876-4799-977D-29075294675C}"/>
    <cellStyle name="Comma 4 3 4 2 3 4" xfId="13476" xr:uid="{60483F42-CB8A-41B4-B9D6-4C93944F3946}"/>
    <cellStyle name="Comma 4 3 4 2 4" xfId="17696" xr:uid="{C097C025-8095-4EE4-B1CD-2F8051CE1812}"/>
    <cellStyle name="Comma 4 3 4 2 5" xfId="26131" xr:uid="{86D6472E-925C-413A-90E9-DED07CAF52D9}"/>
    <cellStyle name="Comma 4 3 4 2 6" xfId="9258" xr:uid="{87A39778-0A52-49CB-A6E3-8E4D77BCAEB3}"/>
    <cellStyle name="Comma 4 3 4 3" xfId="1141" xr:uid="{00000000-0005-0000-0000-0000A0090000}"/>
    <cellStyle name="Comma 4 3 4 3 2" xfId="3372" xr:uid="{00000000-0005-0000-0000-0000A1090000}"/>
    <cellStyle name="Comma 4 3 4 3 2 2" xfId="7595" xr:uid="{00000000-0005-0000-0000-0000A2090000}"/>
    <cellStyle name="Comma 4 3 4 3 2 2 2" xfId="24472" xr:uid="{C2249BF5-F2FE-42E6-8E85-F0BE5DE94D05}"/>
    <cellStyle name="Comma 4 3 4 3 2 2 3" xfId="32906" xr:uid="{28776DEF-D4D5-4BB8-A8A2-0A92C830E927}"/>
    <cellStyle name="Comma 4 3 4 3 2 2 4" xfId="16034" xr:uid="{3CB9187E-1B14-463B-9327-22E4C3D5AAC7}"/>
    <cellStyle name="Comma 4 3 4 3 2 3" xfId="20254" xr:uid="{F0B4D41B-E1CD-4BB2-B0B2-08F0CBC7B7DF}"/>
    <cellStyle name="Comma 4 3 4 3 2 4" xfId="28689" xr:uid="{13F13949-4A9E-4AE0-BF64-F0F06F0A0285}"/>
    <cellStyle name="Comma 4 3 4 3 2 5" xfId="11816" xr:uid="{F1C291BD-B118-4CFC-8F28-72E15C9B12BC}"/>
    <cellStyle name="Comma 4 3 4 3 3" xfId="5450" xr:uid="{00000000-0005-0000-0000-0000A3090000}"/>
    <cellStyle name="Comma 4 3 4 3 3 2" xfId="22327" xr:uid="{9979E5B1-D38A-46C7-8A93-6163EADF4159}"/>
    <cellStyle name="Comma 4 3 4 3 3 3" xfId="30761" xr:uid="{DC1B740B-ACE8-4410-A6A0-7AA8027FCB72}"/>
    <cellStyle name="Comma 4 3 4 3 3 4" xfId="13889" xr:uid="{B1C01F0D-2E18-4CA3-8F7B-283B24AD1E01}"/>
    <cellStyle name="Comma 4 3 4 3 4" xfId="18109" xr:uid="{D6DA4983-4B22-41BC-965A-CBD24D062224}"/>
    <cellStyle name="Comma 4 3 4 3 5" xfId="26544" xr:uid="{45C3D52E-5D43-4184-9ACC-98E150F0F202}"/>
    <cellStyle name="Comma 4 3 4 3 6" xfId="9671" xr:uid="{DEA32EF3-65AE-44B0-BC59-BC6000953AD5}"/>
    <cellStyle name="Comma 4 3 4 4" xfId="1555" xr:uid="{00000000-0005-0000-0000-0000A4090000}"/>
    <cellStyle name="Comma 4 3 4 4 2" xfId="3785" xr:uid="{00000000-0005-0000-0000-0000A5090000}"/>
    <cellStyle name="Comma 4 3 4 4 2 2" xfId="8008" xr:uid="{00000000-0005-0000-0000-0000A6090000}"/>
    <cellStyle name="Comma 4 3 4 4 2 2 2" xfId="24885" xr:uid="{512F36D3-6AE6-46FA-8603-F8C4CF5A3FB3}"/>
    <cellStyle name="Comma 4 3 4 4 2 2 3" xfId="33319" xr:uid="{028B0D40-5040-478A-AEC0-28E84DC53138}"/>
    <cellStyle name="Comma 4 3 4 4 2 2 4" xfId="16447" xr:uid="{5503CC29-47E0-42BE-953A-8F0866A4A91E}"/>
    <cellStyle name="Comma 4 3 4 4 2 3" xfId="20667" xr:uid="{A333A032-6BCB-4245-A904-B9AB1AD5DD08}"/>
    <cellStyle name="Comma 4 3 4 4 2 4" xfId="29102" xr:uid="{8C60A4D9-C6CA-4DB8-8F23-AE6CBA97B928}"/>
    <cellStyle name="Comma 4 3 4 4 2 5" xfId="12229" xr:uid="{ACB0E225-0AAD-4D84-92D4-120D5F5B06F8}"/>
    <cellStyle name="Comma 4 3 4 4 3" xfId="5863" xr:uid="{00000000-0005-0000-0000-0000A7090000}"/>
    <cellStyle name="Comma 4 3 4 4 3 2" xfId="22740" xr:uid="{9DB94375-8E8D-4248-8708-E5DF4B7C4085}"/>
    <cellStyle name="Comma 4 3 4 4 3 3" xfId="31174" xr:uid="{22307768-63CD-4C06-8621-DF7471474622}"/>
    <cellStyle name="Comma 4 3 4 4 3 4" xfId="14302" xr:uid="{13B54159-F8CC-48D4-92A3-DEB838430CBD}"/>
    <cellStyle name="Comma 4 3 4 4 4" xfId="18522" xr:uid="{7E0C1FD7-47CF-47F9-B8D8-911E88D0C1D2}"/>
    <cellStyle name="Comma 4 3 4 4 5" xfId="26957" xr:uid="{144746F2-C263-4686-AFE9-4C6C3A40AC90}"/>
    <cellStyle name="Comma 4 3 4 4 6" xfId="10084" xr:uid="{EFE4CB57-3F0B-41A2-B64D-77CCDA4B4328}"/>
    <cellStyle name="Comma 4 3 4 5" xfId="1969" xr:uid="{00000000-0005-0000-0000-0000A8090000}"/>
    <cellStyle name="Comma 4 3 4 5 2" xfId="4198" xr:uid="{00000000-0005-0000-0000-0000A9090000}"/>
    <cellStyle name="Comma 4 3 4 5 2 2" xfId="8421" xr:uid="{00000000-0005-0000-0000-0000AA090000}"/>
    <cellStyle name="Comma 4 3 4 5 2 2 2" xfId="25298" xr:uid="{4B8E4901-5E6D-412B-BE0A-968ADE2F38D6}"/>
    <cellStyle name="Comma 4 3 4 5 2 2 3" xfId="33732" xr:uid="{10FD4044-4EBA-46E0-899B-20127A9ACEB0}"/>
    <cellStyle name="Comma 4 3 4 5 2 2 4" xfId="16860" xr:uid="{CB1320F5-EA9F-4FA2-AD0E-797950494672}"/>
    <cellStyle name="Comma 4 3 4 5 2 3" xfId="21080" xr:uid="{A96AA712-611B-4551-9410-92FF0D8DDFF7}"/>
    <cellStyle name="Comma 4 3 4 5 2 4" xfId="29515" xr:uid="{FE3C75BA-1219-46CF-8B22-1F3202DC56FD}"/>
    <cellStyle name="Comma 4 3 4 5 2 5" xfId="12642" xr:uid="{E2E3CDB5-3598-44AA-8F5C-AAE5F1628114}"/>
    <cellStyle name="Comma 4 3 4 5 3" xfId="6276" xr:uid="{00000000-0005-0000-0000-0000AB090000}"/>
    <cellStyle name="Comma 4 3 4 5 3 2" xfId="23153" xr:uid="{572DC7A7-756D-4CCB-9EE1-56E7C6CC6B56}"/>
    <cellStyle name="Comma 4 3 4 5 3 3" xfId="31587" xr:uid="{43C0233A-EC74-46AD-B175-73E9EA430A47}"/>
    <cellStyle name="Comma 4 3 4 5 3 4" xfId="14715" xr:uid="{32E6B45C-8135-4EB4-9295-F3017C930B17}"/>
    <cellStyle name="Comma 4 3 4 5 4" xfId="18935" xr:uid="{1EDF810D-717E-40CE-BEDE-36463B583DA6}"/>
    <cellStyle name="Comma 4 3 4 5 5" xfId="27370" xr:uid="{64FFBFEF-9051-4207-A608-2B58E7DB6839}"/>
    <cellStyle name="Comma 4 3 4 5 6" xfId="10497" xr:uid="{9F05DA1C-357D-453B-ACCE-CD3D2F4D17CA}"/>
    <cellStyle name="Comma 4 3 4 6" xfId="2404" xr:uid="{00000000-0005-0000-0000-0000AC090000}"/>
    <cellStyle name="Comma 4 3 4 6 2" xfId="6689" xr:uid="{00000000-0005-0000-0000-0000AD090000}"/>
    <cellStyle name="Comma 4 3 4 6 2 2" xfId="23566" xr:uid="{4E8DA2E3-7C1E-448E-808F-0FD65DC59DF8}"/>
    <cellStyle name="Comma 4 3 4 6 2 3" xfId="32000" xr:uid="{F3215DA0-A0DE-4A8A-8A38-520246330CF3}"/>
    <cellStyle name="Comma 4 3 4 6 2 4" xfId="15128" xr:uid="{32B590BC-0E77-4B49-8863-BFFBC0A8A36D}"/>
    <cellStyle name="Comma 4 3 4 6 3" xfId="19348" xr:uid="{99454E61-4A4E-45B6-9E4F-1E3D37A77760}"/>
    <cellStyle name="Comma 4 3 4 6 4" xfId="27783" xr:uid="{DADE8A1A-B11A-452E-BFAD-5340EC483C9A}"/>
    <cellStyle name="Comma 4 3 4 6 5" xfId="10910" xr:uid="{723CC8FB-CB5D-4C81-8738-34856F7FA7F4}"/>
    <cellStyle name="Comma 4 3 4 7" xfId="2700" xr:uid="{00000000-0005-0000-0000-0000AE090000}"/>
    <cellStyle name="Comma 4 3 4 8" xfId="2782" xr:uid="{00000000-0005-0000-0000-0000AF090000}"/>
    <cellStyle name="Comma 4 3 4 8 2" xfId="7006" xr:uid="{00000000-0005-0000-0000-0000B0090000}"/>
    <cellStyle name="Comma 4 3 4 8 2 2" xfId="23883" xr:uid="{251CD31A-BFE6-4088-AC84-25E4D5B6B796}"/>
    <cellStyle name="Comma 4 3 4 8 2 3" xfId="32317" xr:uid="{7F7BCF2E-789A-4CD5-BE1C-19F1FA3780B9}"/>
    <cellStyle name="Comma 4 3 4 8 2 4" xfId="15445" xr:uid="{B8580083-4BCA-409D-A44E-1A7308FF1D1B}"/>
    <cellStyle name="Comma 4 3 4 8 3" xfId="19665" xr:uid="{F58332BE-422A-4200-830C-E87BA07365C3}"/>
    <cellStyle name="Comma 4 3 4 8 4" xfId="28100" xr:uid="{9FBC74A5-408C-4C8E-A975-E85251B2DCAA}"/>
    <cellStyle name="Comma 4 3 4 8 5" xfId="11227" xr:uid="{82CA3087-F375-45C0-891E-B4995E8C2426}"/>
    <cellStyle name="Comma 4 3 4 9" xfId="4623" xr:uid="{00000000-0005-0000-0000-0000B1090000}"/>
    <cellStyle name="Comma 4 3 4 9 2" xfId="21500" xr:uid="{7A533577-D5D7-42A2-AB9C-862719C9D9FA}"/>
    <cellStyle name="Comma 4 3 4 9 3" xfId="29934" xr:uid="{AE510865-EE17-49CD-B070-6A2EBE5397DF}"/>
    <cellStyle name="Comma 4 3 4 9 4" xfId="13062" xr:uid="{351B6C7C-292D-4CFF-8714-0DD8C7354E56}"/>
    <cellStyle name="Comma 4 3 5" xfId="152" xr:uid="{00000000-0005-0000-0000-0000B2090000}"/>
    <cellStyle name="Comma 4 3 5 10" xfId="17283" xr:uid="{43454649-1F0C-43A5-BA3E-2B9BCB49AB86}"/>
    <cellStyle name="Comma 4 3 5 11" xfId="25718" xr:uid="{CEB7251B-88C5-4B97-85AE-4CD92E8B953B}"/>
    <cellStyle name="Comma 4 3 5 12" xfId="8845" xr:uid="{A92C5471-AE65-454E-A7D1-1C309C74F3B2}"/>
    <cellStyle name="Comma 4 3 5 2" xfId="689" xr:uid="{00000000-0005-0000-0000-0000B3090000}"/>
    <cellStyle name="Comma 4 3 5 2 2" xfId="2960" xr:uid="{00000000-0005-0000-0000-0000B4090000}"/>
    <cellStyle name="Comma 4 3 5 2 2 2" xfId="7183" xr:uid="{00000000-0005-0000-0000-0000B5090000}"/>
    <cellStyle name="Comma 4 3 5 2 2 2 2" xfId="24060" xr:uid="{5B07439A-545A-4F1D-BDAA-C95A22106B63}"/>
    <cellStyle name="Comma 4 3 5 2 2 2 3" xfId="32494" xr:uid="{EABDD978-8BBD-4DCF-B86C-89B6153ADEED}"/>
    <cellStyle name="Comma 4 3 5 2 2 2 4" xfId="15622" xr:uid="{9CD5BDA4-487B-4F48-BCEE-3B58A116CF87}"/>
    <cellStyle name="Comma 4 3 5 2 2 3" xfId="19842" xr:uid="{D254A021-32B0-4ACC-A1D8-C898DA79A4E4}"/>
    <cellStyle name="Comma 4 3 5 2 2 4" xfId="28277" xr:uid="{79D55F2B-20FF-46D5-B6EF-347B897C0F26}"/>
    <cellStyle name="Comma 4 3 5 2 2 5" xfId="11404" xr:uid="{BC4100A2-D952-47BD-87F7-CDAD12EBCC46}"/>
    <cellStyle name="Comma 4 3 5 2 3" xfId="5038" xr:uid="{00000000-0005-0000-0000-0000B6090000}"/>
    <cellStyle name="Comma 4 3 5 2 3 2" xfId="21915" xr:uid="{C092AC8C-2680-442B-85A4-A79B5D28CF25}"/>
    <cellStyle name="Comma 4 3 5 2 3 3" xfId="30349" xr:uid="{BCCC317A-D002-4507-81B9-41DB989D0524}"/>
    <cellStyle name="Comma 4 3 5 2 3 4" xfId="13477" xr:uid="{58B46BCE-0400-44FD-A156-C16BE900A60C}"/>
    <cellStyle name="Comma 4 3 5 2 4" xfId="17697" xr:uid="{6DAFCB6E-796F-4153-8311-4F2546EE9C1B}"/>
    <cellStyle name="Comma 4 3 5 2 5" xfId="26132" xr:uid="{3E254BB3-8CDD-410A-BBA5-54452555325E}"/>
    <cellStyle name="Comma 4 3 5 2 6" xfId="9259" xr:uid="{E3CA01F5-BF50-459B-AF8C-E3C3D43A25EF}"/>
    <cellStyle name="Comma 4 3 5 3" xfId="1142" xr:uid="{00000000-0005-0000-0000-0000B7090000}"/>
    <cellStyle name="Comma 4 3 5 3 2" xfId="3373" xr:uid="{00000000-0005-0000-0000-0000B8090000}"/>
    <cellStyle name="Comma 4 3 5 3 2 2" xfId="7596" xr:uid="{00000000-0005-0000-0000-0000B9090000}"/>
    <cellStyle name="Comma 4 3 5 3 2 2 2" xfId="24473" xr:uid="{8033BDDA-764A-4CAF-92DA-94A208356314}"/>
    <cellStyle name="Comma 4 3 5 3 2 2 3" xfId="32907" xr:uid="{41055373-E727-4DD4-BA9C-80FEA3F1E753}"/>
    <cellStyle name="Comma 4 3 5 3 2 2 4" xfId="16035" xr:uid="{819AD35A-C744-47B4-8B67-7FED6C08685C}"/>
    <cellStyle name="Comma 4 3 5 3 2 3" xfId="20255" xr:uid="{20F2429D-7960-440D-8F8F-8965EF6B6309}"/>
    <cellStyle name="Comma 4 3 5 3 2 4" xfId="28690" xr:uid="{C61A41C5-5D8F-4199-864B-B34B9286588C}"/>
    <cellStyle name="Comma 4 3 5 3 2 5" xfId="11817" xr:uid="{1B25E28F-4C34-491E-89F3-586CA5DF0DB3}"/>
    <cellStyle name="Comma 4 3 5 3 3" xfId="5451" xr:uid="{00000000-0005-0000-0000-0000BA090000}"/>
    <cellStyle name="Comma 4 3 5 3 3 2" xfId="22328" xr:uid="{D682564B-B264-4851-8AD6-09B520D9C90C}"/>
    <cellStyle name="Comma 4 3 5 3 3 3" xfId="30762" xr:uid="{E5805753-DA09-4403-B84C-6CFD71EC5B6F}"/>
    <cellStyle name="Comma 4 3 5 3 3 4" xfId="13890" xr:uid="{B955C814-8DCC-4172-883A-344A63D35B40}"/>
    <cellStyle name="Comma 4 3 5 3 4" xfId="18110" xr:uid="{C5654076-F352-496E-8D92-078DF1F552A6}"/>
    <cellStyle name="Comma 4 3 5 3 5" xfId="26545" xr:uid="{CB4DCF55-26EB-4F04-A0A2-6C245E02570B}"/>
    <cellStyle name="Comma 4 3 5 3 6" xfId="9672" xr:uid="{EB1EC0DC-8D7F-42F0-8654-F83A558E3470}"/>
    <cellStyle name="Comma 4 3 5 4" xfId="1556" xr:uid="{00000000-0005-0000-0000-0000BB090000}"/>
    <cellStyle name="Comma 4 3 5 4 2" xfId="3786" xr:uid="{00000000-0005-0000-0000-0000BC090000}"/>
    <cellStyle name="Comma 4 3 5 4 2 2" xfId="8009" xr:uid="{00000000-0005-0000-0000-0000BD090000}"/>
    <cellStyle name="Comma 4 3 5 4 2 2 2" xfId="24886" xr:uid="{09AC8823-CB90-454E-8732-5150A12828D8}"/>
    <cellStyle name="Comma 4 3 5 4 2 2 3" xfId="33320" xr:uid="{02C867D2-800F-490B-88B4-9EF233DF97B1}"/>
    <cellStyle name="Comma 4 3 5 4 2 2 4" xfId="16448" xr:uid="{F2F4DB1F-BCCF-4A9D-85C0-174199C39C21}"/>
    <cellStyle name="Comma 4 3 5 4 2 3" xfId="20668" xr:uid="{3F081B74-B09C-459A-A144-CAFB21EEF709}"/>
    <cellStyle name="Comma 4 3 5 4 2 4" xfId="29103" xr:uid="{368E9127-87AB-485E-B1A7-3BC53EA51B7D}"/>
    <cellStyle name="Comma 4 3 5 4 2 5" xfId="12230" xr:uid="{9C05B5E6-D7AB-42FB-B0E3-937EA20A9837}"/>
    <cellStyle name="Comma 4 3 5 4 3" xfId="5864" xr:uid="{00000000-0005-0000-0000-0000BE090000}"/>
    <cellStyle name="Comma 4 3 5 4 3 2" xfId="22741" xr:uid="{2FEC74C2-1D83-4E64-A73D-27C8BDF43E8D}"/>
    <cellStyle name="Comma 4 3 5 4 3 3" xfId="31175" xr:uid="{D74B7943-2F56-45E9-B171-C4B6B07A7876}"/>
    <cellStyle name="Comma 4 3 5 4 3 4" xfId="14303" xr:uid="{F450CD4F-7850-4229-BD85-D0786D67020D}"/>
    <cellStyle name="Comma 4 3 5 4 4" xfId="18523" xr:uid="{C90C932E-9CA4-4DEA-A79E-83090BAB9854}"/>
    <cellStyle name="Comma 4 3 5 4 5" xfId="26958" xr:uid="{EF2569FE-21F5-4FFB-B843-9386794238EB}"/>
    <cellStyle name="Comma 4 3 5 4 6" xfId="10085" xr:uid="{82A1C909-7CB1-48C6-AAC2-E5F5EEE3B2E0}"/>
    <cellStyle name="Comma 4 3 5 5" xfId="1970" xr:uid="{00000000-0005-0000-0000-0000BF090000}"/>
    <cellStyle name="Comma 4 3 5 5 2" xfId="4199" xr:uid="{00000000-0005-0000-0000-0000C0090000}"/>
    <cellStyle name="Comma 4 3 5 5 2 2" xfId="8422" xr:uid="{00000000-0005-0000-0000-0000C1090000}"/>
    <cellStyle name="Comma 4 3 5 5 2 2 2" xfId="25299" xr:uid="{7A91B65B-E3BD-49B7-B607-F04B20BD78F1}"/>
    <cellStyle name="Comma 4 3 5 5 2 2 3" xfId="33733" xr:uid="{DA61BF57-9AE7-44B9-832D-F2840A5329C4}"/>
    <cellStyle name="Comma 4 3 5 5 2 2 4" xfId="16861" xr:uid="{D12189DC-863F-4E7A-BAB5-767A8C9F7FAD}"/>
    <cellStyle name="Comma 4 3 5 5 2 3" xfId="21081" xr:uid="{23E5F333-DE5E-409E-A142-35D0F639D504}"/>
    <cellStyle name="Comma 4 3 5 5 2 4" xfId="29516" xr:uid="{8837DBE7-A401-4E86-A5E7-CD435A61801C}"/>
    <cellStyle name="Comma 4 3 5 5 2 5" xfId="12643" xr:uid="{8815C055-8372-459C-9264-4ED0009F0E3D}"/>
    <cellStyle name="Comma 4 3 5 5 3" xfId="6277" xr:uid="{00000000-0005-0000-0000-0000C2090000}"/>
    <cellStyle name="Comma 4 3 5 5 3 2" xfId="23154" xr:uid="{293A1F0B-3CF1-4881-BC29-9A931B639409}"/>
    <cellStyle name="Comma 4 3 5 5 3 3" xfId="31588" xr:uid="{EA581996-34A1-4A7B-873D-AB91997F9BF0}"/>
    <cellStyle name="Comma 4 3 5 5 3 4" xfId="14716" xr:uid="{F72C232C-5A8F-4DAB-B29C-7A41DA1FB80D}"/>
    <cellStyle name="Comma 4 3 5 5 4" xfId="18936" xr:uid="{88989A6C-6BEA-42DF-A820-7A27F040CDE8}"/>
    <cellStyle name="Comma 4 3 5 5 5" xfId="27371" xr:uid="{ED102D8F-32D7-47A0-B5F5-2D56C2C913D7}"/>
    <cellStyle name="Comma 4 3 5 5 6" xfId="10498" xr:uid="{8BCA95FC-9A64-4842-BC5F-E090B4B6C869}"/>
    <cellStyle name="Comma 4 3 5 6" xfId="2405" xr:uid="{00000000-0005-0000-0000-0000C3090000}"/>
    <cellStyle name="Comma 4 3 5 6 2" xfId="6690" xr:uid="{00000000-0005-0000-0000-0000C4090000}"/>
    <cellStyle name="Comma 4 3 5 6 2 2" xfId="23567" xr:uid="{34E3BB8C-BAA4-4490-886E-CE11F02FEB27}"/>
    <cellStyle name="Comma 4 3 5 6 2 3" xfId="32001" xr:uid="{71010F59-6453-4474-B005-E32018B75987}"/>
    <cellStyle name="Comma 4 3 5 6 2 4" xfId="15129" xr:uid="{7DC08DB4-0013-49EE-9C97-E87462545318}"/>
    <cellStyle name="Comma 4 3 5 6 3" xfId="19349" xr:uid="{F82BCB55-5319-4753-AF35-0BF959BE1731}"/>
    <cellStyle name="Comma 4 3 5 6 4" xfId="27784" xr:uid="{BE272EDD-24DB-4C26-B241-843C52456372}"/>
    <cellStyle name="Comma 4 3 5 6 5" xfId="10911" xr:uid="{336F2698-2BBA-476D-A62B-D5079E3F7BD3}"/>
    <cellStyle name="Comma 4 3 5 7" xfId="2701" xr:uid="{00000000-0005-0000-0000-0000C5090000}"/>
    <cellStyle name="Comma 4 3 5 8" xfId="2783" xr:uid="{00000000-0005-0000-0000-0000C6090000}"/>
    <cellStyle name="Comma 4 3 5 8 2" xfId="7007" xr:uid="{00000000-0005-0000-0000-0000C7090000}"/>
    <cellStyle name="Comma 4 3 5 8 2 2" xfId="23884" xr:uid="{18B67FD5-0921-492A-A73C-43200F4ED478}"/>
    <cellStyle name="Comma 4 3 5 8 2 3" xfId="32318" xr:uid="{A6A0F4E8-C481-4716-933F-8E2E9139D25F}"/>
    <cellStyle name="Comma 4 3 5 8 2 4" xfId="15446" xr:uid="{467577D0-E1C8-484A-881E-67E23EF1A3DF}"/>
    <cellStyle name="Comma 4 3 5 8 3" xfId="19666" xr:uid="{09C547C6-035A-4A72-A4AF-95A697A53565}"/>
    <cellStyle name="Comma 4 3 5 8 4" xfId="28101" xr:uid="{20C8E422-C1A9-45B4-A069-27C81D49D121}"/>
    <cellStyle name="Comma 4 3 5 8 5" xfId="11228" xr:uid="{3C630D42-39B2-4BC5-8765-8C1F388CFE6F}"/>
    <cellStyle name="Comma 4 3 5 9" xfId="4624" xr:uid="{00000000-0005-0000-0000-0000C8090000}"/>
    <cellStyle name="Comma 4 3 5 9 2" xfId="21501" xr:uid="{0C96F745-35C7-49CE-9D82-11817F739554}"/>
    <cellStyle name="Comma 4 3 5 9 3" xfId="29935" xr:uid="{959BD842-BA20-4BDD-859B-7BE6C9C68C24}"/>
    <cellStyle name="Comma 4 3 5 9 4" xfId="13063" xr:uid="{146583FC-E23C-4CCA-B3FC-6C2DE9F90792}"/>
    <cellStyle name="Comma 4 4" xfId="153" xr:uid="{00000000-0005-0000-0000-0000C9090000}"/>
    <cellStyle name="Comma 4 4 10" xfId="2784" xr:uid="{00000000-0005-0000-0000-0000CA090000}"/>
    <cellStyle name="Comma 4 4 10 2" xfId="7008" xr:uid="{00000000-0005-0000-0000-0000CB090000}"/>
    <cellStyle name="Comma 4 4 10 2 2" xfId="23885" xr:uid="{7C364CEC-2303-48D9-A010-A5FDEF718689}"/>
    <cellStyle name="Comma 4 4 10 2 3" xfId="32319" xr:uid="{81687FFA-A5B7-4B44-A574-53A195B2C243}"/>
    <cellStyle name="Comma 4 4 10 2 4" xfId="15447" xr:uid="{C9AA447B-8F56-4BA1-A4B8-79B370C0BBC7}"/>
    <cellStyle name="Comma 4 4 10 3" xfId="19667" xr:uid="{94495932-4E89-4EF3-8D9B-E556F4E8905E}"/>
    <cellStyle name="Comma 4 4 10 4" xfId="28102" xr:uid="{9D177614-8D9B-4EB5-AE8C-89C038CAFA56}"/>
    <cellStyle name="Comma 4 4 10 5" xfId="11229" xr:uid="{8387281F-DFA0-4A5F-BDF3-03B8FE2C0445}"/>
    <cellStyle name="Comma 4 4 11" xfId="4625" xr:uid="{00000000-0005-0000-0000-0000CC090000}"/>
    <cellStyle name="Comma 4 4 11 2" xfId="21502" xr:uid="{2BCAF8DF-73D5-4BEC-88A1-87E7D2C6F1A8}"/>
    <cellStyle name="Comma 4 4 11 3" xfId="29936" xr:uid="{4D4823F9-2C16-483A-843F-D5E9BDF0E684}"/>
    <cellStyle name="Comma 4 4 11 4" xfId="13064" xr:uid="{02FD5E1A-6094-4654-B97D-91C9CA4F201B}"/>
    <cellStyle name="Comma 4 4 12" xfId="17284" xr:uid="{10AF079D-0EE3-47E7-ABAA-8D1D80CC9AA7}"/>
    <cellStyle name="Comma 4 4 13" xfId="25719" xr:uid="{AF1B5AFD-ACE0-4E01-A1C2-30D6F54D6A62}"/>
    <cellStyle name="Comma 4 4 14" xfId="8846" xr:uid="{702F9205-49FC-4D59-BF6E-02AB667A477F}"/>
    <cellStyle name="Comma 4 4 2" xfId="154" xr:uid="{00000000-0005-0000-0000-0000CD090000}"/>
    <cellStyle name="Comma 4 4 2 10" xfId="4626" xr:uid="{00000000-0005-0000-0000-0000CE090000}"/>
    <cellStyle name="Comma 4 4 2 10 2" xfId="21503" xr:uid="{051D66FD-B030-4BC6-B29F-F629126EDEC9}"/>
    <cellStyle name="Comma 4 4 2 10 3" xfId="29937" xr:uid="{67FFDB18-B1C8-4839-B3A1-81F5A546DC8E}"/>
    <cellStyle name="Comma 4 4 2 10 4" xfId="13065" xr:uid="{AB43BE63-6E29-42E3-93FA-EC834E9C73EF}"/>
    <cellStyle name="Comma 4 4 2 11" xfId="17285" xr:uid="{4D3EB0B4-5A7B-45D8-B9CD-4D39F2FA6FE0}"/>
    <cellStyle name="Comma 4 4 2 12" xfId="25720" xr:uid="{43448C4B-9596-4C61-B0D7-CEF688A72C04}"/>
    <cellStyle name="Comma 4 4 2 13" xfId="8847" xr:uid="{A5E072B2-AA00-46D6-A2C7-4CBE2B8A3FD0}"/>
    <cellStyle name="Comma 4 4 2 2" xfId="155" xr:uid="{00000000-0005-0000-0000-0000CF090000}"/>
    <cellStyle name="Comma 4 4 2 2 10" xfId="17286" xr:uid="{803391EC-62BB-48AB-BD85-EE2937619C4C}"/>
    <cellStyle name="Comma 4 4 2 2 11" xfId="25721" xr:uid="{509294A8-0D2C-4A1D-8300-923371956EBA}"/>
    <cellStyle name="Comma 4 4 2 2 12" xfId="8848" xr:uid="{33FBD586-661D-4BFF-92E7-4438417C1F0E}"/>
    <cellStyle name="Comma 4 4 2 2 2" xfId="692" xr:uid="{00000000-0005-0000-0000-0000D0090000}"/>
    <cellStyle name="Comma 4 4 2 2 2 2" xfId="2963" xr:uid="{00000000-0005-0000-0000-0000D1090000}"/>
    <cellStyle name="Comma 4 4 2 2 2 2 2" xfId="7186" xr:uid="{00000000-0005-0000-0000-0000D2090000}"/>
    <cellStyle name="Comma 4 4 2 2 2 2 2 2" xfId="24063" xr:uid="{13AC7949-3389-4983-8FD3-F9140EC39CB6}"/>
    <cellStyle name="Comma 4 4 2 2 2 2 2 3" xfId="32497" xr:uid="{997BE688-1F89-49A8-8704-336333E6B0AD}"/>
    <cellStyle name="Comma 4 4 2 2 2 2 2 4" xfId="15625" xr:uid="{7B7B058F-1132-4239-8645-FBBD2CB185E8}"/>
    <cellStyle name="Comma 4 4 2 2 2 2 3" xfId="19845" xr:uid="{7781CC03-FA41-4243-9FC5-0FD0A05AAE89}"/>
    <cellStyle name="Comma 4 4 2 2 2 2 4" xfId="28280" xr:uid="{AC2FC8DB-50FB-4415-AF91-44C0BB95CA43}"/>
    <cellStyle name="Comma 4 4 2 2 2 2 5" xfId="11407" xr:uid="{138F5282-E72B-4C49-9D67-85F9F5065A45}"/>
    <cellStyle name="Comma 4 4 2 2 2 3" xfId="5041" xr:uid="{00000000-0005-0000-0000-0000D3090000}"/>
    <cellStyle name="Comma 4 4 2 2 2 3 2" xfId="21918" xr:uid="{8DD2F690-325E-48BE-92F2-5176B53ECFB2}"/>
    <cellStyle name="Comma 4 4 2 2 2 3 3" xfId="30352" xr:uid="{FB2D9AF7-5645-44C6-8C3B-1A0046BB2AD0}"/>
    <cellStyle name="Comma 4 4 2 2 2 3 4" xfId="13480" xr:uid="{5D5E7EAE-02EA-4ADB-9996-E9D9FAE0B003}"/>
    <cellStyle name="Comma 4 4 2 2 2 4" xfId="17700" xr:uid="{5635DE8C-41F6-488B-BE0F-8DB959254529}"/>
    <cellStyle name="Comma 4 4 2 2 2 5" xfId="26135" xr:uid="{5212F6F0-A258-4133-9627-AA25CC8A813D}"/>
    <cellStyle name="Comma 4 4 2 2 2 6" xfId="9262" xr:uid="{9E1E729A-9B19-483F-B5E1-1E8870DB09F4}"/>
    <cellStyle name="Comma 4 4 2 2 3" xfId="1145" xr:uid="{00000000-0005-0000-0000-0000D4090000}"/>
    <cellStyle name="Comma 4 4 2 2 3 2" xfId="3376" xr:uid="{00000000-0005-0000-0000-0000D5090000}"/>
    <cellStyle name="Comma 4 4 2 2 3 2 2" xfId="7599" xr:uid="{00000000-0005-0000-0000-0000D6090000}"/>
    <cellStyle name="Comma 4 4 2 2 3 2 2 2" xfId="24476" xr:uid="{AA656C7C-3955-4812-8195-7458924610AA}"/>
    <cellStyle name="Comma 4 4 2 2 3 2 2 3" xfId="32910" xr:uid="{E9DAC90C-B03E-449E-BC0C-11C56EE9AC5A}"/>
    <cellStyle name="Comma 4 4 2 2 3 2 2 4" xfId="16038" xr:uid="{964884AE-1863-4890-B949-F975BB9BD0DE}"/>
    <cellStyle name="Comma 4 4 2 2 3 2 3" xfId="20258" xr:uid="{509B5EBA-F08D-4067-A5B0-AE2B4502A12E}"/>
    <cellStyle name="Comma 4 4 2 2 3 2 4" xfId="28693" xr:uid="{134DA175-B056-400B-83AC-C259D537960F}"/>
    <cellStyle name="Comma 4 4 2 2 3 2 5" xfId="11820" xr:uid="{F97E09ED-2EF1-4FA1-A43B-5B72F2772866}"/>
    <cellStyle name="Comma 4 4 2 2 3 3" xfId="5454" xr:uid="{00000000-0005-0000-0000-0000D7090000}"/>
    <cellStyle name="Comma 4 4 2 2 3 3 2" xfId="22331" xr:uid="{937E605D-43E3-49DC-9DDE-434D36490395}"/>
    <cellStyle name="Comma 4 4 2 2 3 3 3" xfId="30765" xr:uid="{8940C043-C3FD-4385-B06C-9A46713CA6B3}"/>
    <cellStyle name="Comma 4 4 2 2 3 3 4" xfId="13893" xr:uid="{AB78C351-DE59-4A3F-800F-AF8D26832CD2}"/>
    <cellStyle name="Comma 4 4 2 2 3 4" xfId="18113" xr:uid="{9CE14115-0215-4C03-818F-D58F00F4BF4F}"/>
    <cellStyle name="Comma 4 4 2 2 3 5" xfId="26548" xr:uid="{21C80B4E-942D-4863-B05E-9A9CD8150B58}"/>
    <cellStyle name="Comma 4 4 2 2 3 6" xfId="9675" xr:uid="{F0321123-A869-4E97-922A-B06FD7C2540A}"/>
    <cellStyle name="Comma 4 4 2 2 4" xfId="1559" xr:uid="{00000000-0005-0000-0000-0000D8090000}"/>
    <cellStyle name="Comma 4 4 2 2 4 2" xfId="3789" xr:uid="{00000000-0005-0000-0000-0000D9090000}"/>
    <cellStyle name="Comma 4 4 2 2 4 2 2" xfId="8012" xr:uid="{00000000-0005-0000-0000-0000DA090000}"/>
    <cellStyle name="Comma 4 4 2 2 4 2 2 2" xfId="24889" xr:uid="{25B5B83A-1B9D-46CD-9228-6985EFFD461C}"/>
    <cellStyle name="Comma 4 4 2 2 4 2 2 3" xfId="33323" xr:uid="{6DF500EC-9508-4CFC-9BD8-8F92C46C53BB}"/>
    <cellStyle name="Comma 4 4 2 2 4 2 2 4" xfId="16451" xr:uid="{EB9FAE2B-1672-45F2-83D0-850C0F5BCBF5}"/>
    <cellStyle name="Comma 4 4 2 2 4 2 3" xfId="20671" xr:uid="{7DE056FD-9DEF-4345-AD31-FE151F1409EC}"/>
    <cellStyle name="Comma 4 4 2 2 4 2 4" xfId="29106" xr:uid="{7F2A5BC9-C9FA-49AD-AD92-9B3A02995557}"/>
    <cellStyle name="Comma 4 4 2 2 4 2 5" xfId="12233" xr:uid="{B38D9B84-17F2-43E6-B762-0CB00EAD9BE1}"/>
    <cellStyle name="Comma 4 4 2 2 4 3" xfId="5867" xr:uid="{00000000-0005-0000-0000-0000DB090000}"/>
    <cellStyle name="Comma 4 4 2 2 4 3 2" xfId="22744" xr:uid="{FF7A9BDC-3A22-4929-8B17-50799E87BD66}"/>
    <cellStyle name="Comma 4 4 2 2 4 3 3" xfId="31178" xr:uid="{3D11821E-6DEE-4A69-A748-AE90F39A18E1}"/>
    <cellStyle name="Comma 4 4 2 2 4 3 4" xfId="14306" xr:uid="{8BD84514-2458-4968-929B-33FF927DD339}"/>
    <cellStyle name="Comma 4 4 2 2 4 4" xfId="18526" xr:uid="{599FE3AF-B510-4995-88E4-9C24C2F67F88}"/>
    <cellStyle name="Comma 4 4 2 2 4 5" xfId="26961" xr:uid="{53858304-D913-4AEB-A655-1AF479E046FE}"/>
    <cellStyle name="Comma 4 4 2 2 4 6" xfId="10088" xr:uid="{1EE362BD-32BB-4CE9-B511-C89FA1DED27B}"/>
    <cellStyle name="Comma 4 4 2 2 5" xfId="1973" xr:uid="{00000000-0005-0000-0000-0000DC090000}"/>
    <cellStyle name="Comma 4 4 2 2 5 2" xfId="4202" xr:uid="{00000000-0005-0000-0000-0000DD090000}"/>
    <cellStyle name="Comma 4 4 2 2 5 2 2" xfId="8425" xr:uid="{00000000-0005-0000-0000-0000DE090000}"/>
    <cellStyle name="Comma 4 4 2 2 5 2 2 2" xfId="25302" xr:uid="{C05049DB-935D-44CF-9BE7-7C849BFCA467}"/>
    <cellStyle name="Comma 4 4 2 2 5 2 2 3" xfId="33736" xr:uid="{F6189F83-346B-4C57-A942-638ABEEFC300}"/>
    <cellStyle name="Comma 4 4 2 2 5 2 2 4" xfId="16864" xr:uid="{1AFB0236-FD84-4060-A727-DFD680738610}"/>
    <cellStyle name="Comma 4 4 2 2 5 2 3" xfId="21084" xr:uid="{F21FBFAD-0A0F-434B-9C3F-A17C8D2CC850}"/>
    <cellStyle name="Comma 4 4 2 2 5 2 4" xfId="29519" xr:uid="{17483D2D-37CE-44ED-AE71-541DB3DB0CA7}"/>
    <cellStyle name="Comma 4 4 2 2 5 2 5" xfId="12646" xr:uid="{36D0AAC1-86C2-47FA-93A4-0811CF38B48C}"/>
    <cellStyle name="Comma 4 4 2 2 5 3" xfId="6280" xr:uid="{00000000-0005-0000-0000-0000DF090000}"/>
    <cellStyle name="Comma 4 4 2 2 5 3 2" xfId="23157" xr:uid="{2F735DBC-CE72-4544-A788-36BDB2496A66}"/>
    <cellStyle name="Comma 4 4 2 2 5 3 3" xfId="31591" xr:uid="{6DC2AF84-6294-46C8-94D9-0AA7778F8B07}"/>
    <cellStyle name="Comma 4 4 2 2 5 3 4" xfId="14719" xr:uid="{6D28C5A0-974D-4E8B-A9F8-CB01FF9E6ECE}"/>
    <cellStyle name="Comma 4 4 2 2 5 4" xfId="18939" xr:uid="{098E9374-D64E-408B-B2D4-3994C6C7FF97}"/>
    <cellStyle name="Comma 4 4 2 2 5 5" xfId="27374" xr:uid="{B09A6DA7-13AD-4C85-887A-D94F92BD69B6}"/>
    <cellStyle name="Comma 4 4 2 2 5 6" xfId="10501" xr:uid="{5A14F8FD-B833-47F9-BF0D-968536338050}"/>
    <cellStyle name="Comma 4 4 2 2 6" xfId="2408" xr:uid="{00000000-0005-0000-0000-0000E0090000}"/>
    <cellStyle name="Comma 4 4 2 2 6 2" xfId="6693" xr:uid="{00000000-0005-0000-0000-0000E1090000}"/>
    <cellStyle name="Comma 4 4 2 2 6 2 2" xfId="23570" xr:uid="{73168858-F09D-4ED0-A953-CDE79F8EB0F4}"/>
    <cellStyle name="Comma 4 4 2 2 6 2 3" xfId="32004" xr:uid="{3937102C-00F9-4A7E-956C-CEF922DDEBAD}"/>
    <cellStyle name="Comma 4 4 2 2 6 2 4" xfId="15132" xr:uid="{88094BFA-D57F-4304-B19B-E9900CBF5E5F}"/>
    <cellStyle name="Comma 4 4 2 2 6 3" xfId="19352" xr:uid="{3B35B377-308A-4A3F-BFFF-0CFEDEC647EA}"/>
    <cellStyle name="Comma 4 4 2 2 6 4" xfId="27787" xr:uid="{4CE0B14D-8EA2-4278-92A5-3961734E27C6}"/>
    <cellStyle name="Comma 4 4 2 2 6 5" xfId="10914" xr:uid="{0192B678-F897-4F2F-80C8-B3C061C5C603}"/>
    <cellStyle name="Comma 4 4 2 2 7" xfId="2704" xr:uid="{00000000-0005-0000-0000-0000E2090000}"/>
    <cellStyle name="Comma 4 4 2 2 8" xfId="2786" xr:uid="{00000000-0005-0000-0000-0000E3090000}"/>
    <cellStyle name="Comma 4 4 2 2 8 2" xfId="7010" xr:uid="{00000000-0005-0000-0000-0000E4090000}"/>
    <cellStyle name="Comma 4 4 2 2 8 2 2" xfId="23887" xr:uid="{F447ED88-0D32-4C61-AB1A-29ED3CB3F614}"/>
    <cellStyle name="Comma 4 4 2 2 8 2 3" xfId="32321" xr:uid="{6AFC9113-D21D-4A2C-B9E8-BD4EFFA06358}"/>
    <cellStyle name="Comma 4 4 2 2 8 2 4" xfId="15449" xr:uid="{FE6F5AFB-581D-46BE-9C8B-6AB4D39B8728}"/>
    <cellStyle name="Comma 4 4 2 2 8 3" xfId="19669" xr:uid="{A6C3269A-B75F-4E91-AA07-24A8D9565147}"/>
    <cellStyle name="Comma 4 4 2 2 8 4" xfId="28104" xr:uid="{A6856CFE-CFA6-4F4F-9894-05D79ACB6351}"/>
    <cellStyle name="Comma 4 4 2 2 8 5" xfId="11231" xr:uid="{F744D9FB-7BC3-4F8A-82DF-196F90013CB1}"/>
    <cellStyle name="Comma 4 4 2 2 9" xfId="4627" xr:uid="{00000000-0005-0000-0000-0000E5090000}"/>
    <cellStyle name="Comma 4 4 2 2 9 2" xfId="21504" xr:uid="{4806021D-836D-4184-B00D-386530394AF8}"/>
    <cellStyle name="Comma 4 4 2 2 9 3" xfId="29938" xr:uid="{4D6A9048-EEE4-4EB5-8A85-AF233DBF678E}"/>
    <cellStyle name="Comma 4 4 2 2 9 4" xfId="13066" xr:uid="{4C101B25-6C69-4AE7-89CB-0179FF93E3CE}"/>
    <cellStyle name="Comma 4 4 2 3" xfId="691" xr:uid="{00000000-0005-0000-0000-0000E6090000}"/>
    <cellStyle name="Comma 4 4 2 3 2" xfId="2962" xr:uid="{00000000-0005-0000-0000-0000E7090000}"/>
    <cellStyle name="Comma 4 4 2 3 2 2" xfId="7185" xr:uid="{00000000-0005-0000-0000-0000E8090000}"/>
    <cellStyle name="Comma 4 4 2 3 2 2 2" xfId="24062" xr:uid="{F25FED66-7055-46F8-935F-BAEA013C21E7}"/>
    <cellStyle name="Comma 4 4 2 3 2 2 3" xfId="32496" xr:uid="{9F12582A-5420-428D-8DAB-5A14B2310B9E}"/>
    <cellStyle name="Comma 4 4 2 3 2 2 4" xfId="15624" xr:uid="{94B4D2AD-FC1F-422B-8855-D55E2B7641CB}"/>
    <cellStyle name="Comma 4 4 2 3 2 3" xfId="19844" xr:uid="{35CD1200-14F2-4370-93C7-DEB5C748D68F}"/>
    <cellStyle name="Comma 4 4 2 3 2 4" xfId="28279" xr:uid="{5C2A4B78-19A0-4439-92F1-4BC91D25FDDC}"/>
    <cellStyle name="Comma 4 4 2 3 2 5" xfId="11406" xr:uid="{1614ACF9-350D-44B4-9359-3D488F3F1F9B}"/>
    <cellStyle name="Comma 4 4 2 3 3" xfId="5040" xr:uid="{00000000-0005-0000-0000-0000E9090000}"/>
    <cellStyle name="Comma 4 4 2 3 3 2" xfId="21917" xr:uid="{DDCE15B7-46F7-482E-A94A-7AADA98584FB}"/>
    <cellStyle name="Comma 4 4 2 3 3 3" xfId="30351" xr:uid="{0D6267D2-74FB-4D92-9B7D-1A7B5341209B}"/>
    <cellStyle name="Comma 4 4 2 3 3 4" xfId="13479" xr:uid="{F573C7C4-C9B6-42E4-80BB-2D31922548E4}"/>
    <cellStyle name="Comma 4 4 2 3 4" xfId="17699" xr:uid="{1FDB49CD-E8FF-4FF1-8EE1-09C5FEC87ACE}"/>
    <cellStyle name="Comma 4 4 2 3 5" xfId="26134" xr:uid="{1A2BFD8A-62B4-44F4-956C-9FCBB6C8D6D1}"/>
    <cellStyle name="Comma 4 4 2 3 6" xfId="9261" xr:uid="{4195A0EF-F717-4221-BDB2-38E679F9146C}"/>
    <cellStyle name="Comma 4 4 2 4" xfId="1144" xr:uid="{00000000-0005-0000-0000-0000EA090000}"/>
    <cellStyle name="Comma 4 4 2 4 2" xfId="3375" xr:uid="{00000000-0005-0000-0000-0000EB090000}"/>
    <cellStyle name="Comma 4 4 2 4 2 2" xfId="7598" xr:uid="{00000000-0005-0000-0000-0000EC090000}"/>
    <cellStyle name="Comma 4 4 2 4 2 2 2" xfId="24475" xr:uid="{04698B73-16B4-42D7-AECA-04884964C888}"/>
    <cellStyle name="Comma 4 4 2 4 2 2 3" xfId="32909" xr:uid="{4FACF7FD-7027-45FA-B94C-5A5673EDB99C}"/>
    <cellStyle name="Comma 4 4 2 4 2 2 4" xfId="16037" xr:uid="{A51D618F-0AF8-4200-A676-672466086E85}"/>
    <cellStyle name="Comma 4 4 2 4 2 3" xfId="20257" xr:uid="{1E99F267-61AE-4D1D-AB5A-AA7F7B3656AD}"/>
    <cellStyle name="Comma 4 4 2 4 2 4" xfId="28692" xr:uid="{F9ADDEB4-35F8-47F5-8D89-D48AD50B67F0}"/>
    <cellStyle name="Comma 4 4 2 4 2 5" xfId="11819" xr:uid="{0FA5DB09-ABAC-4950-8BD2-036209223221}"/>
    <cellStyle name="Comma 4 4 2 4 3" xfId="5453" xr:uid="{00000000-0005-0000-0000-0000ED090000}"/>
    <cellStyle name="Comma 4 4 2 4 3 2" xfId="22330" xr:uid="{58A49841-72F0-447E-9A41-4165CD172EEA}"/>
    <cellStyle name="Comma 4 4 2 4 3 3" xfId="30764" xr:uid="{9D1D9F94-D8B5-47E0-A901-DFBDF84C821A}"/>
    <cellStyle name="Comma 4 4 2 4 3 4" xfId="13892" xr:uid="{A7C4C247-AAE7-459C-AF35-DED3BCC8C6FB}"/>
    <cellStyle name="Comma 4 4 2 4 4" xfId="18112" xr:uid="{E76D383F-7A83-4307-9B61-5D0F2F281142}"/>
    <cellStyle name="Comma 4 4 2 4 5" xfId="26547" xr:uid="{E5F12A75-5912-4AC3-97A7-8CEEB4953802}"/>
    <cellStyle name="Comma 4 4 2 4 6" xfId="9674" xr:uid="{74E5F4CC-C4DA-44CC-A462-BF8A51F99FB8}"/>
    <cellStyle name="Comma 4 4 2 5" xfId="1558" xr:uid="{00000000-0005-0000-0000-0000EE090000}"/>
    <cellStyle name="Comma 4 4 2 5 2" xfId="3788" xr:uid="{00000000-0005-0000-0000-0000EF090000}"/>
    <cellStyle name="Comma 4 4 2 5 2 2" xfId="8011" xr:uid="{00000000-0005-0000-0000-0000F0090000}"/>
    <cellStyle name="Comma 4 4 2 5 2 2 2" xfId="24888" xr:uid="{AABD960D-2770-4C02-A3BC-68CFEA1E6B9A}"/>
    <cellStyle name="Comma 4 4 2 5 2 2 3" xfId="33322" xr:uid="{9CE25F4F-49CC-4F3E-A2CB-5CD734585A31}"/>
    <cellStyle name="Comma 4 4 2 5 2 2 4" xfId="16450" xr:uid="{3B4E04A7-F0E6-4F5C-8115-5391A82C26F7}"/>
    <cellStyle name="Comma 4 4 2 5 2 3" xfId="20670" xr:uid="{1B31A839-C759-4E5F-9E7D-8310AA82191A}"/>
    <cellStyle name="Comma 4 4 2 5 2 4" xfId="29105" xr:uid="{DE76F820-5C10-4FEB-B3AA-ED6F4E7B7450}"/>
    <cellStyle name="Comma 4 4 2 5 2 5" xfId="12232" xr:uid="{DA2139D0-8240-4AEA-A854-7DF30A1381A4}"/>
    <cellStyle name="Comma 4 4 2 5 3" xfId="5866" xr:uid="{00000000-0005-0000-0000-0000F1090000}"/>
    <cellStyle name="Comma 4 4 2 5 3 2" xfId="22743" xr:uid="{3D70B4BA-2F12-4F0A-8CC5-104CE138BAD8}"/>
    <cellStyle name="Comma 4 4 2 5 3 3" xfId="31177" xr:uid="{0BB2043B-40FE-4DCF-B455-C111C24F3958}"/>
    <cellStyle name="Comma 4 4 2 5 3 4" xfId="14305" xr:uid="{A377B1DE-05FD-464B-B6B2-39C2C2335271}"/>
    <cellStyle name="Comma 4 4 2 5 4" xfId="18525" xr:uid="{1BE246EB-E17F-438F-9D19-964B6CD38149}"/>
    <cellStyle name="Comma 4 4 2 5 5" xfId="26960" xr:uid="{1A3D4761-A75B-4C51-A3E1-2D74EE5C315B}"/>
    <cellStyle name="Comma 4 4 2 5 6" xfId="10087" xr:uid="{B01D09D6-B75F-40AA-9BDD-1D2A99E36305}"/>
    <cellStyle name="Comma 4 4 2 6" xfId="1972" xr:uid="{00000000-0005-0000-0000-0000F2090000}"/>
    <cellStyle name="Comma 4 4 2 6 2" xfId="4201" xr:uid="{00000000-0005-0000-0000-0000F3090000}"/>
    <cellStyle name="Comma 4 4 2 6 2 2" xfId="8424" xr:uid="{00000000-0005-0000-0000-0000F4090000}"/>
    <cellStyle name="Comma 4 4 2 6 2 2 2" xfId="25301" xr:uid="{BC270475-B197-4CBA-BD6D-225F798BD3D4}"/>
    <cellStyle name="Comma 4 4 2 6 2 2 3" xfId="33735" xr:uid="{80B488C8-5ECF-4DDD-A741-2DC359699FCB}"/>
    <cellStyle name="Comma 4 4 2 6 2 2 4" xfId="16863" xr:uid="{02E2A012-9DE9-4D77-949B-F5DD87DF1890}"/>
    <cellStyle name="Comma 4 4 2 6 2 3" xfId="21083" xr:uid="{6D10A140-89AD-45CB-896D-236D0B10DCE7}"/>
    <cellStyle name="Comma 4 4 2 6 2 4" xfId="29518" xr:uid="{311A49BE-4575-4BC7-A39B-0D20F7B88886}"/>
    <cellStyle name="Comma 4 4 2 6 2 5" xfId="12645" xr:uid="{748D7C51-41BE-43B3-B824-0E7E585D880A}"/>
    <cellStyle name="Comma 4 4 2 6 3" xfId="6279" xr:uid="{00000000-0005-0000-0000-0000F5090000}"/>
    <cellStyle name="Comma 4 4 2 6 3 2" xfId="23156" xr:uid="{0B20B331-086E-40F7-9D89-15810FF785D4}"/>
    <cellStyle name="Comma 4 4 2 6 3 3" xfId="31590" xr:uid="{C799116B-2FD8-4CC3-B572-6C22BA87C640}"/>
    <cellStyle name="Comma 4 4 2 6 3 4" xfId="14718" xr:uid="{065FFFC0-5909-4A06-8D5A-0B8B5A364FA3}"/>
    <cellStyle name="Comma 4 4 2 6 4" xfId="18938" xr:uid="{231B653B-3A33-4243-A339-979F6E6AA15B}"/>
    <cellStyle name="Comma 4 4 2 6 5" xfId="27373" xr:uid="{11D5D1BB-FC6B-486E-9176-687BD035B0F5}"/>
    <cellStyle name="Comma 4 4 2 6 6" xfId="10500" xr:uid="{FECE5C5C-5386-411C-A615-119516DE7082}"/>
    <cellStyle name="Comma 4 4 2 7" xfId="2407" xr:uid="{00000000-0005-0000-0000-0000F6090000}"/>
    <cellStyle name="Comma 4 4 2 7 2" xfId="6692" xr:uid="{00000000-0005-0000-0000-0000F7090000}"/>
    <cellStyle name="Comma 4 4 2 7 2 2" xfId="23569" xr:uid="{2B857ADA-14C7-4037-AE6C-0427794BA64B}"/>
    <cellStyle name="Comma 4 4 2 7 2 3" xfId="32003" xr:uid="{57D2B01E-C566-4F0A-B90B-36E79B0B9DC6}"/>
    <cellStyle name="Comma 4 4 2 7 2 4" xfId="15131" xr:uid="{B27A6249-3516-48AA-8D02-9ED88E2BD04A}"/>
    <cellStyle name="Comma 4 4 2 7 3" xfId="19351" xr:uid="{450F1AC9-D6AC-4F4C-B879-7E235E25B507}"/>
    <cellStyle name="Comma 4 4 2 7 4" xfId="27786" xr:uid="{819BFC5E-33A8-43D4-BFEC-920E14D22041}"/>
    <cellStyle name="Comma 4 4 2 7 5" xfId="10913" xr:uid="{C4CAC6E3-8BAC-4AC0-94E6-16CD11E78228}"/>
    <cellStyle name="Comma 4 4 2 8" xfId="2703" xr:uid="{00000000-0005-0000-0000-0000F8090000}"/>
    <cellStyle name="Comma 4 4 2 9" xfId="2785" xr:uid="{00000000-0005-0000-0000-0000F9090000}"/>
    <cellStyle name="Comma 4 4 2 9 2" xfId="7009" xr:uid="{00000000-0005-0000-0000-0000FA090000}"/>
    <cellStyle name="Comma 4 4 2 9 2 2" xfId="23886" xr:uid="{E108F7F3-90C8-458C-AB42-5A4671BAF90A}"/>
    <cellStyle name="Comma 4 4 2 9 2 3" xfId="32320" xr:uid="{289282A7-370D-4183-8F10-265D667B14E3}"/>
    <cellStyle name="Comma 4 4 2 9 2 4" xfId="15448" xr:uid="{6B22A5D6-AA12-4782-83DA-0E615EA404FF}"/>
    <cellStyle name="Comma 4 4 2 9 3" xfId="19668" xr:uid="{16692A97-4D48-4918-A538-214A4AE02362}"/>
    <cellStyle name="Comma 4 4 2 9 4" xfId="28103" xr:uid="{D2E6E867-BCCE-4152-AD96-2E6984786DBA}"/>
    <cellStyle name="Comma 4 4 2 9 5" xfId="11230" xr:uid="{A042C6E7-2A11-4E7A-AFB4-9EB7E8A14DB6}"/>
    <cellStyle name="Comma 4 4 3" xfId="156" xr:uid="{00000000-0005-0000-0000-0000FB090000}"/>
    <cellStyle name="Comma 4 4 3 10" xfId="17287" xr:uid="{1DA76C07-ABF1-4162-8054-E9CA577E72CD}"/>
    <cellStyle name="Comma 4 4 3 11" xfId="25722" xr:uid="{EDA2E646-B463-4ECB-90D1-3505EE60F872}"/>
    <cellStyle name="Comma 4 4 3 12" xfId="8849" xr:uid="{855E4FD2-7FAB-483C-B5F2-78CFE6108B4A}"/>
    <cellStyle name="Comma 4 4 3 2" xfId="693" xr:uid="{00000000-0005-0000-0000-0000FC090000}"/>
    <cellStyle name="Comma 4 4 3 2 2" xfId="2964" xr:uid="{00000000-0005-0000-0000-0000FD090000}"/>
    <cellStyle name="Comma 4 4 3 2 2 2" xfId="7187" xr:uid="{00000000-0005-0000-0000-0000FE090000}"/>
    <cellStyle name="Comma 4 4 3 2 2 2 2" xfId="24064" xr:uid="{504951ED-723A-4F23-8411-CC1F4BC2724E}"/>
    <cellStyle name="Comma 4 4 3 2 2 2 3" xfId="32498" xr:uid="{EB3AAE4E-B6BD-47B5-B13E-67A3C21FD24C}"/>
    <cellStyle name="Comma 4 4 3 2 2 2 4" xfId="15626" xr:uid="{5C3ABC08-AD7F-47B5-BC0A-1B15233B8786}"/>
    <cellStyle name="Comma 4 4 3 2 2 3" xfId="19846" xr:uid="{02A42A55-8DE2-4389-8B7C-44D2635DF0F7}"/>
    <cellStyle name="Comma 4 4 3 2 2 4" xfId="28281" xr:uid="{7F8275E0-EB67-42A6-AB69-ED9427EBE8FE}"/>
    <cellStyle name="Comma 4 4 3 2 2 5" xfId="11408" xr:uid="{162455E6-F25B-4B0B-9357-8F4D82CC50EE}"/>
    <cellStyle name="Comma 4 4 3 2 3" xfId="5042" xr:uid="{00000000-0005-0000-0000-0000FF090000}"/>
    <cellStyle name="Comma 4 4 3 2 3 2" xfId="21919" xr:uid="{72395BB9-8B60-4170-8396-BA7715CCF2C5}"/>
    <cellStyle name="Comma 4 4 3 2 3 3" xfId="30353" xr:uid="{112E4E9E-02E7-4AC6-A891-76851DF3BF28}"/>
    <cellStyle name="Comma 4 4 3 2 3 4" xfId="13481" xr:uid="{E0AC3368-C24E-4C94-9487-3A1F8B5F1131}"/>
    <cellStyle name="Comma 4 4 3 2 4" xfId="17701" xr:uid="{DC96A142-FFF8-4B87-B8AE-86DA88FF9D45}"/>
    <cellStyle name="Comma 4 4 3 2 5" xfId="26136" xr:uid="{60870242-223C-44EC-9321-6B7FE2DA0EFA}"/>
    <cellStyle name="Comma 4 4 3 2 6" xfId="9263" xr:uid="{FB01DB56-8025-4A18-9417-88E75CBC1DB3}"/>
    <cellStyle name="Comma 4 4 3 3" xfId="1146" xr:uid="{00000000-0005-0000-0000-0000000A0000}"/>
    <cellStyle name="Comma 4 4 3 3 2" xfId="3377" xr:uid="{00000000-0005-0000-0000-0000010A0000}"/>
    <cellStyle name="Comma 4 4 3 3 2 2" xfId="7600" xr:uid="{00000000-0005-0000-0000-0000020A0000}"/>
    <cellStyle name="Comma 4 4 3 3 2 2 2" xfId="24477" xr:uid="{8D8C34DA-FD4E-4D5C-98B8-E14EE9545AA5}"/>
    <cellStyle name="Comma 4 4 3 3 2 2 3" xfId="32911" xr:uid="{D0D79C8F-1C96-42CE-B296-4A286FE8C65F}"/>
    <cellStyle name="Comma 4 4 3 3 2 2 4" xfId="16039" xr:uid="{E46E1770-A386-4F05-B0ED-AADEA641396B}"/>
    <cellStyle name="Comma 4 4 3 3 2 3" xfId="20259" xr:uid="{B10CEFDA-CE4C-4812-9835-24D718FFEFB8}"/>
    <cellStyle name="Comma 4 4 3 3 2 4" xfId="28694" xr:uid="{C4DE4E50-117C-4FDA-88AD-79BDC5B8B8FD}"/>
    <cellStyle name="Comma 4 4 3 3 2 5" xfId="11821" xr:uid="{27BED198-D347-47F3-B43A-1676E91CAEA7}"/>
    <cellStyle name="Comma 4 4 3 3 3" xfId="5455" xr:uid="{00000000-0005-0000-0000-0000030A0000}"/>
    <cellStyle name="Comma 4 4 3 3 3 2" xfId="22332" xr:uid="{B06A5E6B-CB6B-4C54-AD63-8B358AC98F02}"/>
    <cellStyle name="Comma 4 4 3 3 3 3" xfId="30766" xr:uid="{04DE67EA-BF68-4268-97F0-9A95474437F2}"/>
    <cellStyle name="Comma 4 4 3 3 3 4" xfId="13894" xr:uid="{4EF1147E-F381-4FD9-A4B7-32640E2B45F1}"/>
    <cellStyle name="Comma 4 4 3 3 4" xfId="18114" xr:uid="{C8D893DF-43C4-4DAB-975A-EEA2CEF597DA}"/>
    <cellStyle name="Comma 4 4 3 3 5" xfId="26549" xr:uid="{CD58888D-EB83-4DB3-86DE-AEF5E16EFDE0}"/>
    <cellStyle name="Comma 4 4 3 3 6" xfId="9676" xr:uid="{6F77C264-BF1E-4DA0-ADC6-7BFD02A3F20A}"/>
    <cellStyle name="Comma 4 4 3 4" xfId="1560" xr:uid="{00000000-0005-0000-0000-0000040A0000}"/>
    <cellStyle name="Comma 4 4 3 4 2" xfId="3790" xr:uid="{00000000-0005-0000-0000-0000050A0000}"/>
    <cellStyle name="Comma 4 4 3 4 2 2" xfId="8013" xr:uid="{00000000-0005-0000-0000-0000060A0000}"/>
    <cellStyle name="Comma 4 4 3 4 2 2 2" xfId="24890" xr:uid="{25A08C73-9CCA-425C-9C1B-DE0E364366C4}"/>
    <cellStyle name="Comma 4 4 3 4 2 2 3" xfId="33324" xr:uid="{EA84306A-84D2-4724-9D87-EDFF81796E94}"/>
    <cellStyle name="Comma 4 4 3 4 2 2 4" xfId="16452" xr:uid="{09A9C35A-6F48-421F-ABAC-161EFD811AF9}"/>
    <cellStyle name="Comma 4 4 3 4 2 3" xfId="20672" xr:uid="{067DB329-D37E-40AC-81D8-3A99D8482557}"/>
    <cellStyle name="Comma 4 4 3 4 2 4" xfId="29107" xr:uid="{0C7EA014-A0B0-47C0-BF94-548158E7B5A6}"/>
    <cellStyle name="Comma 4 4 3 4 2 5" xfId="12234" xr:uid="{ED2F43E2-B16E-4F72-AF30-B6BD5F7B0A61}"/>
    <cellStyle name="Comma 4 4 3 4 3" xfId="5868" xr:uid="{00000000-0005-0000-0000-0000070A0000}"/>
    <cellStyle name="Comma 4 4 3 4 3 2" xfId="22745" xr:uid="{136FD37E-3D47-466F-A8C3-96F6EE160B9B}"/>
    <cellStyle name="Comma 4 4 3 4 3 3" xfId="31179" xr:uid="{A334A92F-D423-4C6A-B0EE-673A9D791ABC}"/>
    <cellStyle name="Comma 4 4 3 4 3 4" xfId="14307" xr:uid="{FA57ADAC-00A4-468C-9625-D2E24EBF01D7}"/>
    <cellStyle name="Comma 4 4 3 4 4" xfId="18527" xr:uid="{E081BE73-81EA-4F6F-8FDC-67C07D93A095}"/>
    <cellStyle name="Comma 4 4 3 4 5" xfId="26962" xr:uid="{6E99F3F1-AA5A-451B-8B07-0AEACD968D01}"/>
    <cellStyle name="Comma 4 4 3 4 6" xfId="10089" xr:uid="{9DF89B62-65A2-4ACB-AC4A-1F45A4FECBA4}"/>
    <cellStyle name="Comma 4 4 3 5" xfId="1974" xr:uid="{00000000-0005-0000-0000-0000080A0000}"/>
    <cellStyle name="Comma 4 4 3 5 2" xfId="4203" xr:uid="{00000000-0005-0000-0000-0000090A0000}"/>
    <cellStyle name="Comma 4 4 3 5 2 2" xfId="8426" xr:uid="{00000000-0005-0000-0000-00000A0A0000}"/>
    <cellStyle name="Comma 4 4 3 5 2 2 2" xfId="25303" xr:uid="{304DD491-E06D-4088-9AD6-1FA86E0A3294}"/>
    <cellStyle name="Comma 4 4 3 5 2 2 3" xfId="33737" xr:uid="{F5D5F073-9BF9-4BBD-A8B9-825CE2B0AF0B}"/>
    <cellStyle name="Comma 4 4 3 5 2 2 4" xfId="16865" xr:uid="{81C91016-69BE-4AF1-B0AD-782D249B31A3}"/>
    <cellStyle name="Comma 4 4 3 5 2 3" xfId="21085" xr:uid="{E6FCA7A8-1FA0-4032-858C-826779FF84B3}"/>
    <cellStyle name="Comma 4 4 3 5 2 4" xfId="29520" xr:uid="{FAAD5486-C0B6-4E0A-869C-4CED9F8562B3}"/>
    <cellStyle name="Comma 4 4 3 5 2 5" xfId="12647" xr:uid="{42C969C0-228C-457C-8C10-39CFAC64BF9A}"/>
    <cellStyle name="Comma 4 4 3 5 3" xfId="6281" xr:uid="{00000000-0005-0000-0000-00000B0A0000}"/>
    <cellStyle name="Comma 4 4 3 5 3 2" xfId="23158" xr:uid="{AB0BA649-FDF2-4DBF-B356-B6C6F6662CB2}"/>
    <cellStyle name="Comma 4 4 3 5 3 3" xfId="31592" xr:uid="{8AF5142F-B62B-4EA0-9F0E-8408D2313C78}"/>
    <cellStyle name="Comma 4 4 3 5 3 4" xfId="14720" xr:uid="{F6855454-2322-4537-BC4A-3C037164065C}"/>
    <cellStyle name="Comma 4 4 3 5 4" xfId="18940" xr:uid="{2065CED7-C8C3-45EA-8772-11A42C6E7CF3}"/>
    <cellStyle name="Comma 4 4 3 5 5" xfId="27375" xr:uid="{784E5FE2-CA74-4725-A65C-F5A0D35F1B78}"/>
    <cellStyle name="Comma 4 4 3 5 6" xfId="10502" xr:uid="{39EC907A-8830-484C-9EC9-F80F9A4194F5}"/>
    <cellStyle name="Comma 4 4 3 6" xfId="2409" xr:uid="{00000000-0005-0000-0000-00000C0A0000}"/>
    <cellStyle name="Comma 4 4 3 6 2" xfId="6694" xr:uid="{00000000-0005-0000-0000-00000D0A0000}"/>
    <cellStyle name="Comma 4 4 3 6 2 2" xfId="23571" xr:uid="{9F6FCC1B-FDB1-49B3-ABB4-9E9C2001132D}"/>
    <cellStyle name="Comma 4 4 3 6 2 3" xfId="32005" xr:uid="{BA954C23-FF3F-4273-BEE6-B3CBE69DC0E9}"/>
    <cellStyle name="Comma 4 4 3 6 2 4" xfId="15133" xr:uid="{BAF5AECB-793C-477A-9701-E1BA1C7AA79A}"/>
    <cellStyle name="Comma 4 4 3 6 3" xfId="19353" xr:uid="{AC3A8356-0641-49F0-8AF3-3CAE28CC200B}"/>
    <cellStyle name="Comma 4 4 3 6 4" xfId="27788" xr:uid="{CD5E9594-6EC1-432B-8E73-519328093D8E}"/>
    <cellStyle name="Comma 4 4 3 6 5" xfId="10915" xr:uid="{5AA5D642-E100-47C1-9D00-A1BE349C70F2}"/>
    <cellStyle name="Comma 4 4 3 7" xfId="2705" xr:uid="{00000000-0005-0000-0000-00000E0A0000}"/>
    <cellStyle name="Comma 4 4 3 8" xfId="2787" xr:uid="{00000000-0005-0000-0000-00000F0A0000}"/>
    <cellStyle name="Comma 4 4 3 8 2" xfId="7011" xr:uid="{00000000-0005-0000-0000-0000100A0000}"/>
    <cellStyle name="Comma 4 4 3 8 2 2" xfId="23888" xr:uid="{FBFF2E8E-683B-45D3-807C-94F428776B0F}"/>
    <cellStyle name="Comma 4 4 3 8 2 3" xfId="32322" xr:uid="{785063CA-108A-4DE8-9D3D-93AAAD678A03}"/>
    <cellStyle name="Comma 4 4 3 8 2 4" xfId="15450" xr:uid="{2CFA44FC-024F-4F22-9C1D-8B88C0AAF9F2}"/>
    <cellStyle name="Comma 4 4 3 8 3" xfId="19670" xr:uid="{E7AAF7F4-29FC-41E9-8E56-ED3F4D4E360E}"/>
    <cellStyle name="Comma 4 4 3 8 4" xfId="28105" xr:uid="{A6DA683F-0931-4965-9328-44476077F76E}"/>
    <cellStyle name="Comma 4 4 3 8 5" xfId="11232" xr:uid="{A2473F45-44AD-4430-A707-D6FD5AA88F08}"/>
    <cellStyle name="Comma 4 4 3 9" xfId="4628" xr:uid="{00000000-0005-0000-0000-0000110A0000}"/>
    <cellStyle name="Comma 4 4 3 9 2" xfId="21505" xr:uid="{C83B928D-B65C-42E9-982A-E83A5597436B}"/>
    <cellStyle name="Comma 4 4 3 9 3" xfId="29939" xr:uid="{E1747E35-08F7-40BC-A8CE-544F2A2A2701}"/>
    <cellStyle name="Comma 4 4 3 9 4" xfId="13067" xr:uid="{34769FAE-C247-4B1E-A744-46FB749EF4A9}"/>
    <cellStyle name="Comma 4 4 4" xfId="690" xr:uid="{00000000-0005-0000-0000-0000120A0000}"/>
    <cellStyle name="Comma 4 4 4 2" xfId="2961" xr:uid="{00000000-0005-0000-0000-0000130A0000}"/>
    <cellStyle name="Comma 4 4 4 2 2" xfId="7184" xr:uid="{00000000-0005-0000-0000-0000140A0000}"/>
    <cellStyle name="Comma 4 4 4 2 2 2" xfId="24061" xr:uid="{3C7B32B8-CCB7-45D6-985B-4AFBBB916393}"/>
    <cellStyle name="Comma 4 4 4 2 2 3" xfId="32495" xr:uid="{8D721FEF-781C-4A25-84FB-FB09ED18A623}"/>
    <cellStyle name="Comma 4 4 4 2 2 4" xfId="15623" xr:uid="{7FE076F6-55CD-4CAB-AB61-B4B75CF47A09}"/>
    <cellStyle name="Comma 4 4 4 2 3" xfId="19843" xr:uid="{D7921140-9A9E-4189-AD1E-15066F8BDBC9}"/>
    <cellStyle name="Comma 4 4 4 2 4" xfId="28278" xr:uid="{1C313A5A-D050-43F8-94AB-F83D310BFF3D}"/>
    <cellStyle name="Comma 4 4 4 2 5" xfId="11405" xr:uid="{DDD03D61-71DC-4198-9FD7-8879D6BB1071}"/>
    <cellStyle name="Comma 4 4 4 3" xfId="5039" xr:uid="{00000000-0005-0000-0000-0000150A0000}"/>
    <cellStyle name="Comma 4 4 4 3 2" xfId="21916" xr:uid="{72CAE056-1D93-40DE-8D46-DADEA73B05F4}"/>
    <cellStyle name="Comma 4 4 4 3 3" xfId="30350" xr:uid="{2A87AA1E-41EE-4A43-A0F7-C84068D63669}"/>
    <cellStyle name="Comma 4 4 4 3 4" xfId="13478" xr:uid="{6834210E-680A-421E-9A70-C7DD312264D9}"/>
    <cellStyle name="Comma 4 4 4 4" xfId="17698" xr:uid="{3A92E8A3-5491-4B44-99D7-50F7FC44C5BC}"/>
    <cellStyle name="Comma 4 4 4 5" xfId="26133" xr:uid="{C87BB24B-64A5-4D9F-BB17-857D3E91BC52}"/>
    <cellStyle name="Comma 4 4 4 6" xfId="9260" xr:uid="{8275CBFC-22CD-4FC9-BE6A-D68F45EC2961}"/>
    <cellStyle name="Comma 4 4 5" xfId="1143" xr:uid="{00000000-0005-0000-0000-0000160A0000}"/>
    <cellStyle name="Comma 4 4 5 2" xfId="3374" xr:uid="{00000000-0005-0000-0000-0000170A0000}"/>
    <cellStyle name="Comma 4 4 5 2 2" xfId="7597" xr:uid="{00000000-0005-0000-0000-0000180A0000}"/>
    <cellStyle name="Comma 4 4 5 2 2 2" xfId="24474" xr:uid="{F7C0BAFD-A376-4990-A8BF-6407022A9DE3}"/>
    <cellStyle name="Comma 4 4 5 2 2 3" xfId="32908" xr:uid="{DD0F0B7D-AC1B-4B49-A358-6C6DE01AF2CD}"/>
    <cellStyle name="Comma 4 4 5 2 2 4" xfId="16036" xr:uid="{15762935-B557-4B67-8A4E-1C2D6123782D}"/>
    <cellStyle name="Comma 4 4 5 2 3" xfId="20256" xr:uid="{F3F4F83B-BE96-4D3A-925A-7136F6C2EA54}"/>
    <cellStyle name="Comma 4 4 5 2 4" xfId="28691" xr:uid="{2F0D0C7D-0569-4C41-A390-274D1645AE44}"/>
    <cellStyle name="Comma 4 4 5 2 5" xfId="11818" xr:uid="{8B0C7169-3F3C-45E1-A105-69A91F767D2D}"/>
    <cellStyle name="Comma 4 4 5 3" xfId="5452" xr:uid="{00000000-0005-0000-0000-0000190A0000}"/>
    <cellStyle name="Comma 4 4 5 3 2" xfId="22329" xr:uid="{96A9AA0F-2F89-416F-9337-B380C72DAEC8}"/>
    <cellStyle name="Comma 4 4 5 3 3" xfId="30763" xr:uid="{D1377F1B-60DF-489C-811C-EC0824AAF040}"/>
    <cellStyle name="Comma 4 4 5 3 4" xfId="13891" xr:uid="{615887F9-8FF5-42FD-9CFD-BA6FE2C1CEE3}"/>
    <cellStyle name="Comma 4 4 5 4" xfId="18111" xr:uid="{A9B2EC51-D96A-4B55-8FC8-D27D98C84270}"/>
    <cellStyle name="Comma 4 4 5 5" xfId="26546" xr:uid="{F219922A-785A-476B-B5F5-B87AAAB2E876}"/>
    <cellStyle name="Comma 4 4 5 6" xfId="9673" xr:uid="{3B00ED21-3F75-4E97-9AC3-737EBFDBD840}"/>
    <cellStyle name="Comma 4 4 6" xfId="1557" xr:uid="{00000000-0005-0000-0000-00001A0A0000}"/>
    <cellStyle name="Comma 4 4 6 2" xfId="3787" xr:uid="{00000000-0005-0000-0000-00001B0A0000}"/>
    <cellStyle name="Comma 4 4 6 2 2" xfId="8010" xr:uid="{00000000-0005-0000-0000-00001C0A0000}"/>
    <cellStyle name="Comma 4 4 6 2 2 2" xfId="24887" xr:uid="{E1506926-344D-4C0A-B82D-5AC30548CCC5}"/>
    <cellStyle name="Comma 4 4 6 2 2 3" xfId="33321" xr:uid="{8D26C074-6982-4E72-8E9D-F58D3929B43F}"/>
    <cellStyle name="Comma 4 4 6 2 2 4" xfId="16449" xr:uid="{70C8BBC5-A59F-455F-9022-027A8BFB9DBB}"/>
    <cellStyle name="Comma 4 4 6 2 3" xfId="20669" xr:uid="{F73E87BC-75FC-4736-930A-2EEC0A92FDB7}"/>
    <cellStyle name="Comma 4 4 6 2 4" xfId="29104" xr:uid="{FDDB3C12-1C98-4DDD-8B41-88154A5010E1}"/>
    <cellStyle name="Comma 4 4 6 2 5" xfId="12231" xr:uid="{89D45786-2E40-4863-83AE-46F7FA4F6AC9}"/>
    <cellStyle name="Comma 4 4 6 3" xfId="5865" xr:uid="{00000000-0005-0000-0000-00001D0A0000}"/>
    <cellStyle name="Comma 4 4 6 3 2" xfId="22742" xr:uid="{9FBCDB04-94BA-440B-A5DB-B13626FCB9E2}"/>
    <cellStyle name="Comma 4 4 6 3 3" xfId="31176" xr:uid="{7B57D7BF-AEE8-4007-8A10-E0A56CB08425}"/>
    <cellStyle name="Comma 4 4 6 3 4" xfId="14304" xr:uid="{0E9C9844-E823-43EA-A4DA-F3BCB5A0F935}"/>
    <cellStyle name="Comma 4 4 6 4" xfId="18524" xr:uid="{AC2BAEE7-6FCB-4BC5-87D8-46D7968485E7}"/>
    <cellStyle name="Comma 4 4 6 5" xfId="26959" xr:uid="{FEB3FDC6-E60E-459D-8972-CF0252FFBB15}"/>
    <cellStyle name="Comma 4 4 6 6" xfId="10086" xr:uid="{C9C01A57-8F73-4B6A-97AF-A125AC3E4DD1}"/>
    <cellStyle name="Comma 4 4 7" xfId="1971" xr:uid="{00000000-0005-0000-0000-00001E0A0000}"/>
    <cellStyle name="Comma 4 4 7 2" xfId="4200" xr:uid="{00000000-0005-0000-0000-00001F0A0000}"/>
    <cellStyle name="Comma 4 4 7 2 2" xfId="8423" xr:uid="{00000000-0005-0000-0000-0000200A0000}"/>
    <cellStyle name="Comma 4 4 7 2 2 2" xfId="25300" xr:uid="{2B668AED-EC42-470B-881C-70B11FD80620}"/>
    <cellStyle name="Comma 4 4 7 2 2 3" xfId="33734" xr:uid="{AA410E89-208E-4977-9621-A519718607FE}"/>
    <cellStyle name="Comma 4 4 7 2 2 4" xfId="16862" xr:uid="{214F3776-ECA7-4988-8022-97D7EC8D6633}"/>
    <cellStyle name="Comma 4 4 7 2 3" xfId="21082" xr:uid="{AF2F360A-A993-4A98-B666-C3E43C027528}"/>
    <cellStyle name="Comma 4 4 7 2 4" xfId="29517" xr:uid="{F9B43271-9EE4-46D9-823A-AE30E3AAF1E6}"/>
    <cellStyle name="Comma 4 4 7 2 5" xfId="12644" xr:uid="{26A36A34-9664-48C0-9169-58B18E551F36}"/>
    <cellStyle name="Comma 4 4 7 3" xfId="6278" xr:uid="{00000000-0005-0000-0000-0000210A0000}"/>
    <cellStyle name="Comma 4 4 7 3 2" xfId="23155" xr:uid="{7618D89F-CDC1-48CA-ACAA-262F70373FB9}"/>
    <cellStyle name="Comma 4 4 7 3 3" xfId="31589" xr:uid="{64633032-89FE-4535-B0F5-8C4BD97CEB1F}"/>
    <cellStyle name="Comma 4 4 7 3 4" xfId="14717" xr:uid="{FF8691F4-27E4-4974-920F-E2C07072FD2F}"/>
    <cellStyle name="Comma 4 4 7 4" xfId="18937" xr:uid="{A61FE9F1-320D-4E0C-B28D-67E445E602FF}"/>
    <cellStyle name="Comma 4 4 7 5" xfId="27372" xr:uid="{B30DE4C8-F3A7-49E5-88DB-6A9A5678F5F5}"/>
    <cellStyle name="Comma 4 4 7 6" xfId="10499" xr:uid="{0E868CEF-2B8E-4192-BF43-03663CE0CC0D}"/>
    <cellStyle name="Comma 4 4 8" xfId="2406" xr:uid="{00000000-0005-0000-0000-0000220A0000}"/>
    <cellStyle name="Comma 4 4 8 2" xfId="6691" xr:uid="{00000000-0005-0000-0000-0000230A0000}"/>
    <cellStyle name="Comma 4 4 8 2 2" xfId="23568" xr:uid="{74894551-FF35-4099-BA0F-1D8959F060E1}"/>
    <cellStyle name="Comma 4 4 8 2 3" xfId="32002" xr:uid="{E9D4864D-21FD-4028-8E16-3F35F3232403}"/>
    <cellStyle name="Comma 4 4 8 2 4" xfId="15130" xr:uid="{30232D13-6E49-485C-AD8A-FEFB2D36FDF0}"/>
    <cellStyle name="Comma 4 4 8 3" xfId="19350" xr:uid="{0AD589D5-DAA2-4437-80CC-5FA2F10F652C}"/>
    <cellStyle name="Comma 4 4 8 4" xfId="27785" xr:uid="{DB61096C-0E9C-4489-B0E0-637111E9F25D}"/>
    <cellStyle name="Comma 4 4 8 5" xfId="10912" xr:uid="{3421D538-4A3B-4FAC-A541-71C47C6D983B}"/>
    <cellStyle name="Comma 4 4 9" xfId="2702" xr:uid="{00000000-0005-0000-0000-0000240A0000}"/>
    <cellStyle name="Comma 4 5" xfId="157" xr:uid="{00000000-0005-0000-0000-0000250A0000}"/>
    <cellStyle name="Comma 4 5 10" xfId="4629" xr:uid="{00000000-0005-0000-0000-0000260A0000}"/>
    <cellStyle name="Comma 4 5 10 2" xfId="21506" xr:uid="{3C7A5DE0-4ADB-4C40-A206-8A1B4F334DF5}"/>
    <cellStyle name="Comma 4 5 10 3" xfId="29940" xr:uid="{B5439204-9A6E-4A90-BE32-B9EACB15932C}"/>
    <cellStyle name="Comma 4 5 10 4" xfId="13068" xr:uid="{B00AFE47-5DD3-429C-902A-930FE677141C}"/>
    <cellStyle name="Comma 4 5 11" xfId="17288" xr:uid="{FA71FBCF-C0B4-40AB-9AEF-00EFC6592AF4}"/>
    <cellStyle name="Comma 4 5 12" xfId="25723" xr:uid="{2D0D9B11-733E-458B-98A8-B5ABBC402658}"/>
    <cellStyle name="Comma 4 5 13" xfId="8850" xr:uid="{8D36AF1F-5EA6-4631-A20C-F1DEE80B20B6}"/>
    <cellStyle name="Comma 4 5 2" xfId="158" xr:uid="{00000000-0005-0000-0000-0000270A0000}"/>
    <cellStyle name="Comma 4 5 2 10" xfId="17289" xr:uid="{CE7B09B5-D285-4419-BBE4-66A5D22D60CC}"/>
    <cellStyle name="Comma 4 5 2 11" xfId="25724" xr:uid="{E2DB0457-9372-4EB9-82FA-F4ABE95C02E7}"/>
    <cellStyle name="Comma 4 5 2 12" xfId="8851" xr:uid="{AC4DA9D3-CE65-4103-AEB3-752BECBDFA72}"/>
    <cellStyle name="Comma 4 5 2 2" xfId="695" xr:uid="{00000000-0005-0000-0000-0000280A0000}"/>
    <cellStyle name="Comma 4 5 2 2 2" xfId="2966" xr:uid="{00000000-0005-0000-0000-0000290A0000}"/>
    <cellStyle name="Comma 4 5 2 2 2 2" xfId="7189" xr:uid="{00000000-0005-0000-0000-00002A0A0000}"/>
    <cellStyle name="Comma 4 5 2 2 2 2 2" xfId="24066" xr:uid="{0EE0C33C-01AF-4D43-9F7C-6D1013BAD3D8}"/>
    <cellStyle name="Comma 4 5 2 2 2 2 3" xfId="32500" xr:uid="{049EA4CC-2E9E-444D-9E0B-88E2BAE32B49}"/>
    <cellStyle name="Comma 4 5 2 2 2 2 4" xfId="15628" xr:uid="{284E3A27-E056-4147-AC28-AB1011EF4F46}"/>
    <cellStyle name="Comma 4 5 2 2 2 3" xfId="19848" xr:uid="{4ABAF3CD-860D-4F6B-A202-8C559988C4FD}"/>
    <cellStyle name="Comma 4 5 2 2 2 4" xfId="28283" xr:uid="{C7E6C20B-7EEA-48AB-8397-ACFF20C2DB64}"/>
    <cellStyle name="Comma 4 5 2 2 2 5" xfId="11410" xr:uid="{02B9C036-F49E-42FA-A202-AF264A264985}"/>
    <cellStyle name="Comma 4 5 2 2 3" xfId="5044" xr:uid="{00000000-0005-0000-0000-00002B0A0000}"/>
    <cellStyle name="Comma 4 5 2 2 3 2" xfId="21921" xr:uid="{B2B4E4E5-C815-40FF-8D48-4A190EBFC9DE}"/>
    <cellStyle name="Comma 4 5 2 2 3 3" xfId="30355" xr:uid="{4CEE6D38-FFBB-45D9-89AB-0475E7664374}"/>
    <cellStyle name="Comma 4 5 2 2 3 4" xfId="13483" xr:uid="{FC56C0F3-110C-460E-A862-255128973031}"/>
    <cellStyle name="Comma 4 5 2 2 4" xfId="17703" xr:uid="{2307A75A-6B24-4EEB-AA4C-AEA046D0CAFF}"/>
    <cellStyle name="Comma 4 5 2 2 5" xfId="26138" xr:uid="{C5E4F89C-89DA-4D7E-B365-73358B225048}"/>
    <cellStyle name="Comma 4 5 2 2 6" xfId="9265" xr:uid="{2409FB8F-4CD2-4B5E-89FF-3DDAA13967D8}"/>
    <cellStyle name="Comma 4 5 2 3" xfId="1148" xr:uid="{00000000-0005-0000-0000-00002C0A0000}"/>
    <cellStyle name="Comma 4 5 2 3 2" xfId="3379" xr:uid="{00000000-0005-0000-0000-00002D0A0000}"/>
    <cellStyle name="Comma 4 5 2 3 2 2" xfId="7602" xr:uid="{00000000-0005-0000-0000-00002E0A0000}"/>
    <cellStyle name="Comma 4 5 2 3 2 2 2" xfId="24479" xr:uid="{6F30888D-65FA-4536-8109-CC9C7314B6EF}"/>
    <cellStyle name="Comma 4 5 2 3 2 2 3" xfId="32913" xr:uid="{186C20DA-5120-4007-B81E-3F9E1EDA9F77}"/>
    <cellStyle name="Comma 4 5 2 3 2 2 4" xfId="16041" xr:uid="{B32100FA-9106-434C-AA39-A51D7F4F60D9}"/>
    <cellStyle name="Comma 4 5 2 3 2 3" xfId="20261" xr:uid="{783DE704-6ACC-4E4B-9D55-F9A5D2D8A72D}"/>
    <cellStyle name="Comma 4 5 2 3 2 4" xfId="28696" xr:uid="{79AB244A-5C63-47F7-B83B-BF594889C6B7}"/>
    <cellStyle name="Comma 4 5 2 3 2 5" xfId="11823" xr:uid="{22E0E6D4-8BCA-4014-BE2B-51149DD8DD38}"/>
    <cellStyle name="Comma 4 5 2 3 3" xfId="5457" xr:uid="{00000000-0005-0000-0000-00002F0A0000}"/>
    <cellStyle name="Comma 4 5 2 3 3 2" xfId="22334" xr:uid="{31D0EA35-C001-4383-BB3F-6EFD35785139}"/>
    <cellStyle name="Comma 4 5 2 3 3 3" xfId="30768" xr:uid="{A01908C8-92C1-4D40-9063-7A735D49EA1F}"/>
    <cellStyle name="Comma 4 5 2 3 3 4" xfId="13896" xr:uid="{2707CF37-27BA-460C-961F-9191ACA34B14}"/>
    <cellStyle name="Comma 4 5 2 3 4" xfId="18116" xr:uid="{1E820F27-69FE-4124-9551-3B01D117464F}"/>
    <cellStyle name="Comma 4 5 2 3 5" xfId="26551" xr:uid="{0E2132AE-A29F-4BA5-BC54-101358771760}"/>
    <cellStyle name="Comma 4 5 2 3 6" xfId="9678" xr:uid="{C6803EE5-A319-4AC5-82BB-E75C530C9E5C}"/>
    <cellStyle name="Comma 4 5 2 4" xfId="1562" xr:uid="{00000000-0005-0000-0000-0000300A0000}"/>
    <cellStyle name="Comma 4 5 2 4 2" xfId="3792" xr:uid="{00000000-0005-0000-0000-0000310A0000}"/>
    <cellStyle name="Comma 4 5 2 4 2 2" xfId="8015" xr:uid="{00000000-0005-0000-0000-0000320A0000}"/>
    <cellStyle name="Comma 4 5 2 4 2 2 2" xfId="24892" xr:uid="{5E60627B-CD44-49A2-900F-F16590658752}"/>
    <cellStyle name="Comma 4 5 2 4 2 2 3" xfId="33326" xr:uid="{F4B7812B-4A3B-429D-A2EA-2344A8BD5967}"/>
    <cellStyle name="Comma 4 5 2 4 2 2 4" xfId="16454" xr:uid="{A11501C0-5FC8-40E9-B556-A8610B4F5301}"/>
    <cellStyle name="Comma 4 5 2 4 2 3" xfId="20674" xr:uid="{F6E55EB6-A311-4C59-9FBC-F240BC246D7C}"/>
    <cellStyle name="Comma 4 5 2 4 2 4" xfId="29109" xr:uid="{A20476A0-48A9-42E8-82E7-5A1C91863F87}"/>
    <cellStyle name="Comma 4 5 2 4 2 5" xfId="12236" xr:uid="{EF7E74A6-64E5-4D63-BAB0-6FE3BCB48052}"/>
    <cellStyle name="Comma 4 5 2 4 3" xfId="5870" xr:uid="{00000000-0005-0000-0000-0000330A0000}"/>
    <cellStyle name="Comma 4 5 2 4 3 2" xfId="22747" xr:uid="{11185F56-03B9-41BC-8939-E5D9A04895A0}"/>
    <cellStyle name="Comma 4 5 2 4 3 3" xfId="31181" xr:uid="{4234745B-9DAD-492D-B10A-C6A13082D953}"/>
    <cellStyle name="Comma 4 5 2 4 3 4" xfId="14309" xr:uid="{8DBDA69D-08E9-4081-A2EF-515C9E229F2C}"/>
    <cellStyle name="Comma 4 5 2 4 4" xfId="18529" xr:uid="{BE37F29A-6DC5-4681-8956-24B0CB540825}"/>
    <cellStyle name="Comma 4 5 2 4 5" xfId="26964" xr:uid="{8B5D0881-18D1-4B2C-936D-CFCAB23D5309}"/>
    <cellStyle name="Comma 4 5 2 4 6" xfId="10091" xr:uid="{68CE13BF-CB6D-434D-86AC-BC6E65E42DA4}"/>
    <cellStyle name="Comma 4 5 2 5" xfId="1976" xr:uid="{00000000-0005-0000-0000-0000340A0000}"/>
    <cellStyle name="Comma 4 5 2 5 2" xfId="4205" xr:uid="{00000000-0005-0000-0000-0000350A0000}"/>
    <cellStyle name="Comma 4 5 2 5 2 2" xfId="8428" xr:uid="{00000000-0005-0000-0000-0000360A0000}"/>
    <cellStyle name="Comma 4 5 2 5 2 2 2" xfId="25305" xr:uid="{03EA138B-2C30-425A-A2D8-8BF9E3D39450}"/>
    <cellStyle name="Comma 4 5 2 5 2 2 3" xfId="33739" xr:uid="{95B79FBB-F8EF-47A1-A621-888029E5ED57}"/>
    <cellStyle name="Comma 4 5 2 5 2 2 4" xfId="16867" xr:uid="{FD6304BB-3A34-4D83-8BB6-EBA35558D49D}"/>
    <cellStyle name="Comma 4 5 2 5 2 3" xfId="21087" xr:uid="{B6711853-C40D-47D4-B980-58509EA08EAD}"/>
    <cellStyle name="Comma 4 5 2 5 2 4" xfId="29522" xr:uid="{4A983C27-FDB6-43C6-B4CD-0DB82B4E7581}"/>
    <cellStyle name="Comma 4 5 2 5 2 5" xfId="12649" xr:uid="{10017CD9-3A62-4AEB-AFBC-49E0625472B0}"/>
    <cellStyle name="Comma 4 5 2 5 3" xfId="6283" xr:uid="{00000000-0005-0000-0000-0000370A0000}"/>
    <cellStyle name="Comma 4 5 2 5 3 2" xfId="23160" xr:uid="{9475EEAB-93D2-4FEC-8C45-08A0A59ADDD9}"/>
    <cellStyle name="Comma 4 5 2 5 3 3" xfId="31594" xr:uid="{659C59BA-8DC2-4D20-8ECE-F13AC79753F0}"/>
    <cellStyle name="Comma 4 5 2 5 3 4" xfId="14722" xr:uid="{8A1773E3-FAD3-459E-8922-6EC5A690ACC1}"/>
    <cellStyle name="Comma 4 5 2 5 4" xfId="18942" xr:uid="{C030D0FF-8B1A-4139-A353-956DE109C542}"/>
    <cellStyle name="Comma 4 5 2 5 5" xfId="27377" xr:uid="{716E57DC-C610-4EBF-83DD-B2B0696D57F2}"/>
    <cellStyle name="Comma 4 5 2 5 6" xfId="10504" xr:uid="{0CF1D3ED-9290-463A-934F-0C348BDD7A3A}"/>
    <cellStyle name="Comma 4 5 2 6" xfId="2411" xr:uid="{00000000-0005-0000-0000-0000380A0000}"/>
    <cellStyle name="Comma 4 5 2 6 2" xfId="6696" xr:uid="{00000000-0005-0000-0000-0000390A0000}"/>
    <cellStyle name="Comma 4 5 2 6 2 2" xfId="23573" xr:uid="{D700AC97-429C-4F34-ADBA-575C9F1EE37A}"/>
    <cellStyle name="Comma 4 5 2 6 2 3" xfId="32007" xr:uid="{71679633-A8F9-4838-95DC-93D624BD6A16}"/>
    <cellStyle name="Comma 4 5 2 6 2 4" xfId="15135" xr:uid="{9FD77A06-7F46-4954-BFF6-03D79160C4BA}"/>
    <cellStyle name="Comma 4 5 2 6 3" xfId="19355" xr:uid="{AE511A1B-CE65-4983-9021-D076DED757B7}"/>
    <cellStyle name="Comma 4 5 2 6 4" xfId="27790" xr:uid="{F77A905D-8949-4B97-985E-9937D455C321}"/>
    <cellStyle name="Comma 4 5 2 6 5" xfId="10917" xr:uid="{7B4C5D4D-1C48-4840-B574-6F3E2398A6D3}"/>
    <cellStyle name="Comma 4 5 2 7" xfId="2707" xr:uid="{00000000-0005-0000-0000-00003A0A0000}"/>
    <cellStyle name="Comma 4 5 2 8" xfId="2789" xr:uid="{00000000-0005-0000-0000-00003B0A0000}"/>
    <cellStyle name="Comma 4 5 2 8 2" xfId="7013" xr:uid="{00000000-0005-0000-0000-00003C0A0000}"/>
    <cellStyle name="Comma 4 5 2 8 2 2" xfId="23890" xr:uid="{31C85352-105C-473C-B70B-9215D09039C4}"/>
    <cellStyle name="Comma 4 5 2 8 2 3" xfId="32324" xr:uid="{439DB3B3-4156-485C-92C4-933DC83ACBDD}"/>
    <cellStyle name="Comma 4 5 2 8 2 4" xfId="15452" xr:uid="{C4B01D4F-877C-4B65-BF68-A39369CA46ED}"/>
    <cellStyle name="Comma 4 5 2 8 3" xfId="19672" xr:uid="{76BEED62-5DB9-4A05-9E50-5EBCA19265B1}"/>
    <cellStyle name="Comma 4 5 2 8 4" xfId="28107" xr:uid="{B36E64CA-038B-4D7A-8164-65C08A8D4FA8}"/>
    <cellStyle name="Comma 4 5 2 8 5" xfId="11234" xr:uid="{1FADEACA-E992-4B9A-9268-F9705C7279C7}"/>
    <cellStyle name="Comma 4 5 2 9" xfId="4630" xr:uid="{00000000-0005-0000-0000-00003D0A0000}"/>
    <cellStyle name="Comma 4 5 2 9 2" xfId="21507" xr:uid="{40598FC2-DCCE-47B2-BB91-76869AACC24C}"/>
    <cellStyle name="Comma 4 5 2 9 3" xfId="29941" xr:uid="{84615F36-608F-4E81-8433-9902E6426B05}"/>
    <cellStyle name="Comma 4 5 2 9 4" xfId="13069" xr:uid="{F67DEFCE-7A65-467C-B33C-A39C62EB4588}"/>
    <cellStyle name="Comma 4 5 3" xfId="694" xr:uid="{00000000-0005-0000-0000-00003E0A0000}"/>
    <cellStyle name="Comma 4 5 3 2" xfId="2965" xr:uid="{00000000-0005-0000-0000-00003F0A0000}"/>
    <cellStyle name="Comma 4 5 3 2 2" xfId="7188" xr:uid="{00000000-0005-0000-0000-0000400A0000}"/>
    <cellStyle name="Comma 4 5 3 2 2 2" xfId="24065" xr:uid="{9C20E22A-4B4B-4FF1-A6D7-04AA8AB9307D}"/>
    <cellStyle name="Comma 4 5 3 2 2 3" xfId="32499" xr:uid="{4AE5473E-A789-458E-833F-0EC435422686}"/>
    <cellStyle name="Comma 4 5 3 2 2 4" xfId="15627" xr:uid="{FA4D67E7-875D-4C40-9DBD-9BB90A29B2BD}"/>
    <cellStyle name="Comma 4 5 3 2 3" xfId="19847" xr:uid="{3FB59B4D-E7C0-4943-8440-E4FAAAFB1DCC}"/>
    <cellStyle name="Comma 4 5 3 2 4" xfId="28282" xr:uid="{E8E50E01-5B08-4136-B074-14141CDEED3D}"/>
    <cellStyle name="Comma 4 5 3 2 5" xfId="11409" xr:uid="{E0B41F27-A225-47A7-9CCC-6F39AF19D2A7}"/>
    <cellStyle name="Comma 4 5 3 3" xfId="5043" xr:uid="{00000000-0005-0000-0000-0000410A0000}"/>
    <cellStyle name="Comma 4 5 3 3 2" xfId="21920" xr:uid="{8C723329-9AE8-477E-B833-677FD443F5CD}"/>
    <cellStyle name="Comma 4 5 3 3 3" xfId="30354" xr:uid="{F24DF611-48A7-4C7B-9CFD-0F5271B96D7D}"/>
    <cellStyle name="Comma 4 5 3 3 4" xfId="13482" xr:uid="{9300C2F4-EA59-42F9-994B-01DA1AE513CC}"/>
    <cellStyle name="Comma 4 5 3 4" xfId="17702" xr:uid="{C55E9924-4AC8-4A82-A614-4566FA739906}"/>
    <cellStyle name="Comma 4 5 3 5" xfId="26137" xr:uid="{5B10F604-B845-4C77-8598-7B341CE3DFB3}"/>
    <cellStyle name="Comma 4 5 3 6" xfId="9264" xr:uid="{86DC2E0D-E391-46CF-BAF3-5D1CF5CAAFC5}"/>
    <cellStyle name="Comma 4 5 4" xfId="1147" xr:uid="{00000000-0005-0000-0000-0000420A0000}"/>
    <cellStyle name="Comma 4 5 4 2" xfId="3378" xr:uid="{00000000-0005-0000-0000-0000430A0000}"/>
    <cellStyle name="Comma 4 5 4 2 2" xfId="7601" xr:uid="{00000000-0005-0000-0000-0000440A0000}"/>
    <cellStyle name="Comma 4 5 4 2 2 2" xfId="24478" xr:uid="{36571D36-4427-4A3E-9B0B-35F63CCB55B8}"/>
    <cellStyle name="Comma 4 5 4 2 2 3" xfId="32912" xr:uid="{38D20E6B-F87E-4FF6-9E10-C6D0FF66B7F8}"/>
    <cellStyle name="Comma 4 5 4 2 2 4" xfId="16040" xr:uid="{34E0D24E-BB81-4B7F-8D77-EDDBC2DF17AC}"/>
    <cellStyle name="Comma 4 5 4 2 3" xfId="20260" xr:uid="{07C6E7C3-0BBF-4852-88D2-7CE53B9A9D60}"/>
    <cellStyle name="Comma 4 5 4 2 4" xfId="28695" xr:uid="{0A8BD7CF-F553-44CB-AD98-84A9778328D3}"/>
    <cellStyle name="Comma 4 5 4 2 5" xfId="11822" xr:uid="{2B622089-FAB1-4912-B7EB-45956C603B73}"/>
    <cellStyle name="Comma 4 5 4 3" xfId="5456" xr:uid="{00000000-0005-0000-0000-0000450A0000}"/>
    <cellStyle name="Comma 4 5 4 3 2" xfId="22333" xr:uid="{C06F6E91-A6B8-4CFD-AFE7-382AD873E0BC}"/>
    <cellStyle name="Comma 4 5 4 3 3" xfId="30767" xr:uid="{C4CF2B36-EA6C-40D9-8DD2-D06F05E37F41}"/>
    <cellStyle name="Comma 4 5 4 3 4" xfId="13895" xr:uid="{3740C8BC-BCD3-480E-A430-609A3B2868C5}"/>
    <cellStyle name="Comma 4 5 4 4" xfId="18115" xr:uid="{5958EAD0-6E4B-4FB1-86A4-1CCA1DE9A782}"/>
    <cellStyle name="Comma 4 5 4 5" xfId="26550" xr:uid="{238C5CCE-A7E5-4D3E-8FB6-E8CD54BDA70B}"/>
    <cellStyle name="Comma 4 5 4 6" xfId="9677" xr:uid="{53912DE0-ECB9-44DF-A202-A85765E6305F}"/>
    <cellStyle name="Comma 4 5 5" xfId="1561" xr:uid="{00000000-0005-0000-0000-0000460A0000}"/>
    <cellStyle name="Comma 4 5 5 2" xfId="3791" xr:uid="{00000000-0005-0000-0000-0000470A0000}"/>
    <cellStyle name="Comma 4 5 5 2 2" xfId="8014" xr:uid="{00000000-0005-0000-0000-0000480A0000}"/>
    <cellStyle name="Comma 4 5 5 2 2 2" xfId="24891" xr:uid="{01FD5C3C-61DB-491A-8ECD-63BEC62F622F}"/>
    <cellStyle name="Comma 4 5 5 2 2 3" xfId="33325" xr:uid="{F237E9C4-217E-4114-8B3B-21C35856114B}"/>
    <cellStyle name="Comma 4 5 5 2 2 4" xfId="16453" xr:uid="{5B4C6EB5-38B0-4074-B109-0E5A93C918E9}"/>
    <cellStyle name="Comma 4 5 5 2 3" xfId="20673" xr:uid="{B1F3B6FB-E0EF-40F9-BF57-0B2C7ECFC41E}"/>
    <cellStyle name="Comma 4 5 5 2 4" xfId="29108" xr:uid="{218A7610-DDEF-4775-B4D0-C3C563FA3F7D}"/>
    <cellStyle name="Comma 4 5 5 2 5" xfId="12235" xr:uid="{B21A575D-6580-4C77-806E-6B12AEEA6667}"/>
    <cellStyle name="Comma 4 5 5 3" xfId="5869" xr:uid="{00000000-0005-0000-0000-0000490A0000}"/>
    <cellStyle name="Comma 4 5 5 3 2" xfId="22746" xr:uid="{09DC1B10-D3DC-49D8-A935-66B8CE41B868}"/>
    <cellStyle name="Comma 4 5 5 3 3" xfId="31180" xr:uid="{6FCB75F8-5AE0-4A4A-8C66-AA472FFBCBB6}"/>
    <cellStyle name="Comma 4 5 5 3 4" xfId="14308" xr:uid="{7A982D77-2218-401A-836E-E2CAE13A694F}"/>
    <cellStyle name="Comma 4 5 5 4" xfId="18528" xr:uid="{A632C336-241F-476D-A728-03D15A8643D8}"/>
    <cellStyle name="Comma 4 5 5 5" xfId="26963" xr:uid="{D68F7784-F406-45D7-82F5-7BC7FCE146C9}"/>
    <cellStyle name="Comma 4 5 5 6" xfId="10090" xr:uid="{0677C6D7-7969-4AC0-A284-90C739AAF68F}"/>
    <cellStyle name="Comma 4 5 6" xfId="1975" xr:uid="{00000000-0005-0000-0000-00004A0A0000}"/>
    <cellStyle name="Comma 4 5 6 2" xfId="4204" xr:uid="{00000000-0005-0000-0000-00004B0A0000}"/>
    <cellStyle name="Comma 4 5 6 2 2" xfId="8427" xr:uid="{00000000-0005-0000-0000-00004C0A0000}"/>
    <cellStyle name="Comma 4 5 6 2 2 2" xfId="25304" xr:uid="{B1465B05-8856-45CA-83DD-3E58574FBCF6}"/>
    <cellStyle name="Comma 4 5 6 2 2 3" xfId="33738" xr:uid="{EBE9D3DB-2B14-4A40-B978-76C00255311C}"/>
    <cellStyle name="Comma 4 5 6 2 2 4" xfId="16866" xr:uid="{C1F9E45A-ADB1-4AF2-AAF6-C77866737095}"/>
    <cellStyle name="Comma 4 5 6 2 3" xfId="21086" xr:uid="{97C9C7DC-86C8-40B6-9A94-70E69CB9EE4D}"/>
    <cellStyle name="Comma 4 5 6 2 4" xfId="29521" xr:uid="{AFCD6E9E-0A43-495B-98E8-5520162DF50A}"/>
    <cellStyle name="Comma 4 5 6 2 5" xfId="12648" xr:uid="{344EEABA-8E98-4E6C-884D-72FA9A5D5761}"/>
    <cellStyle name="Comma 4 5 6 3" xfId="6282" xr:uid="{00000000-0005-0000-0000-00004D0A0000}"/>
    <cellStyle name="Comma 4 5 6 3 2" xfId="23159" xr:uid="{5966BF72-6498-48C3-B62C-FF7DD2450C29}"/>
    <cellStyle name="Comma 4 5 6 3 3" xfId="31593" xr:uid="{F9DE6D31-1578-40E0-A5EC-4FA1CFC498B4}"/>
    <cellStyle name="Comma 4 5 6 3 4" xfId="14721" xr:uid="{604DC2C8-3656-45C1-A3E0-4CB6B08F6D44}"/>
    <cellStyle name="Comma 4 5 6 4" xfId="18941" xr:uid="{E482A3DA-994C-428E-94E5-16F805E6BC62}"/>
    <cellStyle name="Comma 4 5 6 5" xfId="27376" xr:uid="{7CBD3871-1AB5-4F29-BB6A-192A4E403CC5}"/>
    <cellStyle name="Comma 4 5 6 6" xfId="10503" xr:uid="{E5252401-E165-4DD5-9FFC-823A7B66DBFE}"/>
    <cellStyle name="Comma 4 5 7" xfId="2410" xr:uid="{00000000-0005-0000-0000-00004E0A0000}"/>
    <cellStyle name="Comma 4 5 7 2" xfId="6695" xr:uid="{00000000-0005-0000-0000-00004F0A0000}"/>
    <cellStyle name="Comma 4 5 7 2 2" xfId="23572" xr:uid="{CC263310-2CBD-42A9-BF21-716639C1C8E5}"/>
    <cellStyle name="Comma 4 5 7 2 3" xfId="32006" xr:uid="{039AD2B1-6EC9-4CA2-BECB-F1C7001ABB57}"/>
    <cellStyle name="Comma 4 5 7 2 4" xfId="15134" xr:uid="{5BB7FBBA-FC8B-4980-ACC1-909905C5A857}"/>
    <cellStyle name="Comma 4 5 7 3" xfId="19354" xr:uid="{C6ADB83D-94E6-4E6A-B465-F7BC868A13C1}"/>
    <cellStyle name="Comma 4 5 7 4" xfId="27789" xr:uid="{36D77215-5A35-4DC6-B4BE-4EBE80EE10A7}"/>
    <cellStyle name="Comma 4 5 7 5" xfId="10916" xr:uid="{650AF7B3-729A-492E-822D-21A6601A22AA}"/>
    <cellStyle name="Comma 4 5 8" xfId="2706" xr:uid="{00000000-0005-0000-0000-0000500A0000}"/>
    <cellStyle name="Comma 4 5 9" xfId="2788" xr:uid="{00000000-0005-0000-0000-0000510A0000}"/>
    <cellStyle name="Comma 4 5 9 2" xfId="7012" xr:uid="{00000000-0005-0000-0000-0000520A0000}"/>
    <cellStyle name="Comma 4 5 9 2 2" xfId="23889" xr:uid="{BD555B26-85D9-451D-A38F-5D72CE110F0C}"/>
    <cellStyle name="Comma 4 5 9 2 3" xfId="32323" xr:uid="{B09C90B5-F6A3-4735-8B33-4B1317B7CC25}"/>
    <cellStyle name="Comma 4 5 9 2 4" xfId="15451" xr:uid="{7FF3389E-9428-4991-A17E-46F1906E6908}"/>
    <cellStyle name="Comma 4 5 9 3" xfId="19671" xr:uid="{33A7DE44-F971-444C-8334-0545A810E260}"/>
    <cellStyle name="Comma 4 5 9 4" xfId="28106" xr:uid="{70FC7E6E-C2E9-4BE8-B016-92AB51C5CD00}"/>
    <cellStyle name="Comma 4 5 9 5" xfId="11233" xr:uid="{A4A3A767-A106-463C-9B7C-72DE9B82620E}"/>
    <cellStyle name="Comma 4 6" xfId="159" xr:uid="{00000000-0005-0000-0000-0000530A0000}"/>
    <cellStyle name="Comma 4 6 10" xfId="17290" xr:uid="{7038B24F-7A67-421B-9EDE-9E1BCDBF6580}"/>
    <cellStyle name="Comma 4 6 11" xfId="25725" xr:uid="{EEB37A44-D519-4202-940E-DA542E8C15BC}"/>
    <cellStyle name="Comma 4 6 12" xfId="8852" xr:uid="{183B8B55-F7E0-4223-9A16-F254F6B6B2A2}"/>
    <cellStyle name="Comma 4 6 2" xfId="696" xr:uid="{00000000-0005-0000-0000-0000540A0000}"/>
    <cellStyle name="Comma 4 6 2 2" xfId="2967" xr:uid="{00000000-0005-0000-0000-0000550A0000}"/>
    <cellStyle name="Comma 4 6 2 2 2" xfId="7190" xr:uid="{00000000-0005-0000-0000-0000560A0000}"/>
    <cellStyle name="Comma 4 6 2 2 2 2" xfId="24067" xr:uid="{209E5C02-C719-4755-BC01-ABBAB4DDD4E1}"/>
    <cellStyle name="Comma 4 6 2 2 2 3" xfId="32501" xr:uid="{1F70A4D1-8F1A-4F39-95B0-ACF36FDDE276}"/>
    <cellStyle name="Comma 4 6 2 2 2 4" xfId="15629" xr:uid="{72C84951-D384-42CB-9996-7C711AFC01C4}"/>
    <cellStyle name="Comma 4 6 2 2 3" xfId="19849" xr:uid="{0ED8AA23-32A7-4596-B58F-09B5E9B3870E}"/>
    <cellStyle name="Comma 4 6 2 2 4" xfId="28284" xr:uid="{5AC6DF7F-D0F2-4396-B29A-D0F678600741}"/>
    <cellStyle name="Comma 4 6 2 2 5" xfId="11411" xr:uid="{FDC99BD4-31B8-42C5-A860-AD4D44F5511A}"/>
    <cellStyle name="Comma 4 6 2 3" xfId="5045" xr:uid="{00000000-0005-0000-0000-0000570A0000}"/>
    <cellStyle name="Comma 4 6 2 3 2" xfId="21922" xr:uid="{8DA93261-DDF4-415C-8C45-FCF790C3DA1C}"/>
    <cellStyle name="Comma 4 6 2 3 3" xfId="30356" xr:uid="{E0BBED2A-D7C1-4BDD-A1C1-684F67182741}"/>
    <cellStyle name="Comma 4 6 2 3 4" xfId="13484" xr:uid="{5C0A2004-C095-4B26-B610-00F3C05546D6}"/>
    <cellStyle name="Comma 4 6 2 4" xfId="17704" xr:uid="{79C27F9C-7898-4042-B535-FA4145545D90}"/>
    <cellStyle name="Comma 4 6 2 5" xfId="26139" xr:uid="{FDF93330-AB8B-4E8B-A200-DE9AC6BA2108}"/>
    <cellStyle name="Comma 4 6 2 6" xfId="9266" xr:uid="{BDDD9BF3-8DC9-4533-8DD4-F510DC81F90A}"/>
    <cellStyle name="Comma 4 6 3" xfId="1149" xr:uid="{00000000-0005-0000-0000-0000580A0000}"/>
    <cellStyle name="Comma 4 6 3 2" xfId="3380" xr:uid="{00000000-0005-0000-0000-0000590A0000}"/>
    <cellStyle name="Comma 4 6 3 2 2" xfId="7603" xr:uid="{00000000-0005-0000-0000-00005A0A0000}"/>
    <cellStyle name="Comma 4 6 3 2 2 2" xfId="24480" xr:uid="{869AD2F3-21AA-4C32-86BA-0A559669CD1F}"/>
    <cellStyle name="Comma 4 6 3 2 2 3" xfId="32914" xr:uid="{9463E7B2-0A8E-4BA7-8A70-1FD415DC8EB8}"/>
    <cellStyle name="Comma 4 6 3 2 2 4" xfId="16042" xr:uid="{888862C3-C0C5-4DEC-AA81-43A362ECC011}"/>
    <cellStyle name="Comma 4 6 3 2 3" xfId="20262" xr:uid="{6CC9E090-65CC-4040-A0B5-18C1BDEECBED}"/>
    <cellStyle name="Comma 4 6 3 2 4" xfId="28697" xr:uid="{117B018A-B0B4-4D47-BA37-2045906149E3}"/>
    <cellStyle name="Comma 4 6 3 2 5" xfId="11824" xr:uid="{4A7AEC86-9623-4BF2-8368-2C4B16D5F0C6}"/>
    <cellStyle name="Comma 4 6 3 3" xfId="5458" xr:uid="{00000000-0005-0000-0000-00005B0A0000}"/>
    <cellStyle name="Comma 4 6 3 3 2" xfId="22335" xr:uid="{F42F1C60-172C-4C59-966A-0A26D9A81D99}"/>
    <cellStyle name="Comma 4 6 3 3 3" xfId="30769" xr:uid="{5473DE4A-1C83-4321-9A5F-642AD6B279E2}"/>
    <cellStyle name="Comma 4 6 3 3 4" xfId="13897" xr:uid="{2A3670FF-DD47-457B-8407-52036A664B66}"/>
    <cellStyle name="Comma 4 6 3 4" xfId="18117" xr:uid="{9F9A3EEF-1B18-41DE-9D55-DB9785E52D12}"/>
    <cellStyle name="Comma 4 6 3 5" xfId="26552" xr:uid="{4BBF0002-775A-4D98-A7B2-39A27D51E675}"/>
    <cellStyle name="Comma 4 6 3 6" xfId="9679" xr:uid="{6E0D8F59-891F-4C50-9EFD-A8A8CC81D17D}"/>
    <cellStyle name="Comma 4 6 4" xfId="1563" xr:uid="{00000000-0005-0000-0000-00005C0A0000}"/>
    <cellStyle name="Comma 4 6 4 2" xfId="3793" xr:uid="{00000000-0005-0000-0000-00005D0A0000}"/>
    <cellStyle name="Comma 4 6 4 2 2" xfId="8016" xr:uid="{00000000-0005-0000-0000-00005E0A0000}"/>
    <cellStyle name="Comma 4 6 4 2 2 2" xfId="24893" xr:uid="{E8DB8FDB-0BE6-44FB-AD48-231DBC47E503}"/>
    <cellStyle name="Comma 4 6 4 2 2 3" xfId="33327" xr:uid="{8904F793-E330-4ABF-A2D3-BE3D0049FE69}"/>
    <cellStyle name="Comma 4 6 4 2 2 4" xfId="16455" xr:uid="{ACC291F0-6E69-4C96-A1BE-9CEF28779326}"/>
    <cellStyle name="Comma 4 6 4 2 3" xfId="20675" xr:uid="{DFB05F82-799C-47F8-8B62-5790F5DFAB82}"/>
    <cellStyle name="Comma 4 6 4 2 4" xfId="29110" xr:uid="{7E24BD88-841B-40ED-AA8B-7896C2432E0F}"/>
    <cellStyle name="Comma 4 6 4 2 5" xfId="12237" xr:uid="{488302DA-57B6-4424-BE83-E52F6EA00BF3}"/>
    <cellStyle name="Comma 4 6 4 3" xfId="5871" xr:uid="{00000000-0005-0000-0000-00005F0A0000}"/>
    <cellStyle name="Comma 4 6 4 3 2" xfId="22748" xr:uid="{EF24AB27-FED7-457C-9930-52890C5BD698}"/>
    <cellStyle name="Comma 4 6 4 3 3" xfId="31182" xr:uid="{CE0A69D9-8817-4DFE-8231-5C129ABAEF7F}"/>
    <cellStyle name="Comma 4 6 4 3 4" xfId="14310" xr:uid="{A6EBBC77-7810-4C54-9BD0-E41F176B9C30}"/>
    <cellStyle name="Comma 4 6 4 4" xfId="18530" xr:uid="{B393CE06-85A0-4754-9B25-061F252CA9D8}"/>
    <cellStyle name="Comma 4 6 4 5" xfId="26965" xr:uid="{44443CD7-EEAE-43A8-AE5E-23A377510D84}"/>
    <cellStyle name="Comma 4 6 4 6" xfId="10092" xr:uid="{162B77C5-0D6C-4865-9366-2BAAE16E56F0}"/>
    <cellStyle name="Comma 4 6 5" xfId="1977" xr:uid="{00000000-0005-0000-0000-0000600A0000}"/>
    <cellStyle name="Comma 4 6 5 2" xfId="4206" xr:uid="{00000000-0005-0000-0000-0000610A0000}"/>
    <cellStyle name="Comma 4 6 5 2 2" xfId="8429" xr:uid="{00000000-0005-0000-0000-0000620A0000}"/>
    <cellStyle name="Comma 4 6 5 2 2 2" xfId="25306" xr:uid="{BA3070C5-BA4C-436B-A076-A24C0FEA014C}"/>
    <cellStyle name="Comma 4 6 5 2 2 3" xfId="33740" xr:uid="{D0B45160-18EB-4794-8A6C-35A41DE52076}"/>
    <cellStyle name="Comma 4 6 5 2 2 4" xfId="16868" xr:uid="{1E173979-199D-4FC1-8877-E06C80ADA082}"/>
    <cellStyle name="Comma 4 6 5 2 3" xfId="21088" xr:uid="{419D4233-3ACE-4139-B75E-97AA7396144A}"/>
    <cellStyle name="Comma 4 6 5 2 4" xfId="29523" xr:uid="{61C257B7-687E-4B7C-BA34-0E4905F25E70}"/>
    <cellStyle name="Comma 4 6 5 2 5" xfId="12650" xr:uid="{FE003E20-AAAD-4BE7-8EA2-E85546827FEE}"/>
    <cellStyle name="Comma 4 6 5 3" xfId="6284" xr:uid="{00000000-0005-0000-0000-0000630A0000}"/>
    <cellStyle name="Comma 4 6 5 3 2" xfId="23161" xr:uid="{7457CE62-64EB-40B1-A45D-E2264B6A09FA}"/>
    <cellStyle name="Comma 4 6 5 3 3" xfId="31595" xr:uid="{4490E3CD-DF0B-4CCC-8AF6-C07F935E6948}"/>
    <cellStyle name="Comma 4 6 5 3 4" xfId="14723" xr:uid="{48A55151-82E1-4439-B9C6-E718D465D6AC}"/>
    <cellStyle name="Comma 4 6 5 4" xfId="18943" xr:uid="{6A45CD36-9208-4E74-A1DE-A48B52CDD5E4}"/>
    <cellStyle name="Comma 4 6 5 5" xfId="27378" xr:uid="{C49C154B-B61E-4823-B685-1477373DFB3A}"/>
    <cellStyle name="Comma 4 6 5 6" xfId="10505" xr:uid="{6A173350-B72D-4548-B335-D9E878318A6A}"/>
    <cellStyle name="Comma 4 6 6" xfId="2412" xr:uid="{00000000-0005-0000-0000-0000640A0000}"/>
    <cellStyle name="Comma 4 6 6 2" xfId="6697" xr:uid="{00000000-0005-0000-0000-0000650A0000}"/>
    <cellStyle name="Comma 4 6 6 2 2" xfId="23574" xr:uid="{68D40137-A4EB-4C78-BEF2-F5E8B1B8B61F}"/>
    <cellStyle name="Comma 4 6 6 2 3" xfId="32008" xr:uid="{3F9689BC-CB6F-48F0-A7D7-4036B992A825}"/>
    <cellStyle name="Comma 4 6 6 2 4" xfId="15136" xr:uid="{E8A74593-27BD-413D-869C-14D51C399F6B}"/>
    <cellStyle name="Comma 4 6 6 3" xfId="19356" xr:uid="{F667BDBC-7576-48F2-8315-66C3ECFE9DBF}"/>
    <cellStyle name="Comma 4 6 6 4" xfId="27791" xr:uid="{4CB28FBC-C010-4801-8F3E-A259ACD8257B}"/>
    <cellStyle name="Comma 4 6 6 5" xfId="10918" xr:uid="{849981A2-4FC4-47AB-92FF-6EE9C86C8131}"/>
    <cellStyle name="Comma 4 6 7" xfId="2708" xr:uid="{00000000-0005-0000-0000-0000660A0000}"/>
    <cellStyle name="Comma 4 6 8" xfId="2790" xr:uid="{00000000-0005-0000-0000-0000670A0000}"/>
    <cellStyle name="Comma 4 6 8 2" xfId="7014" xr:uid="{00000000-0005-0000-0000-0000680A0000}"/>
    <cellStyle name="Comma 4 6 8 2 2" xfId="23891" xr:uid="{4CE0C393-359F-4006-B666-E50203F01D96}"/>
    <cellStyle name="Comma 4 6 8 2 3" xfId="32325" xr:uid="{5E98C6A8-520E-458E-ACF1-C922F994ED62}"/>
    <cellStyle name="Comma 4 6 8 2 4" xfId="15453" xr:uid="{9629D4E3-F904-4CA6-B6CB-D75B219C0593}"/>
    <cellStyle name="Comma 4 6 8 3" xfId="19673" xr:uid="{22E89B43-07F8-4F12-8FB4-95E5A0C5BF73}"/>
    <cellStyle name="Comma 4 6 8 4" xfId="28108" xr:uid="{0CC7CC32-8B06-4BF8-996A-5A591C9E24B0}"/>
    <cellStyle name="Comma 4 6 8 5" xfId="11235" xr:uid="{4944C63A-25FD-40F3-9530-805F9A3D3FCE}"/>
    <cellStyle name="Comma 4 6 9" xfId="4631" xr:uid="{00000000-0005-0000-0000-0000690A0000}"/>
    <cellStyle name="Comma 4 6 9 2" xfId="21508" xr:uid="{D4746B43-D0A6-485F-B0DB-22D0D3A750A9}"/>
    <cellStyle name="Comma 4 6 9 3" xfId="29942" xr:uid="{B2174ED5-6D43-41E0-B46B-3234241001D2}"/>
    <cellStyle name="Comma 4 6 9 4" xfId="13070" xr:uid="{0ABBA543-28EC-4F3B-B371-35365AE729EC}"/>
    <cellStyle name="Comma 4 7" xfId="160" xr:uid="{00000000-0005-0000-0000-00006A0A0000}"/>
    <cellStyle name="Comma 4 7 10" xfId="17291" xr:uid="{B2D9F71E-60E7-4271-A8A4-9ECDFF16FA00}"/>
    <cellStyle name="Comma 4 7 11" xfId="25726" xr:uid="{B5948587-1AE3-436C-956A-E96434E429F6}"/>
    <cellStyle name="Comma 4 7 12" xfId="8853" xr:uid="{F1F4BEB2-58BB-4142-8E14-6D98C2DAB39C}"/>
    <cellStyle name="Comma 4 7 2" xfId="697" xr:uid="{00000000-0005-0000-0000-00006B0A0000}"/>
    <cellStyle name="Comma 4 7 2 2" xfId="2968" xr:uid="{00000000-0005-0000-0000-00006C0A0000}"/>
    <cellStyle name="Comma 4 7 2 2 2" xfId="7191" xr:uid="{00000000-0005-0000-0000-00006D0A0000}"/>
    <cellStyle name="Comma 4 7 2 2 2 2" xfId="24068" xr:uid="{DEE2E8FC-270F-417C-B047-C278DFFF8042}"/>
    <cellStyle name="Comma 4 7 2 2 2 3" xfId="32502" xr:uid="{E0E0438D-485C-49BF-A46D-9AD3EFBD8575}"/>
    <cellStyle name="Comma 4 7 2 2 2 4" xfId="15630" xr:uid="{DCBF814B-1600-42AA-A4CD-ED270A42E96E}"/>
    <cellStyle name="Comma 4 7 2 2 3" xfId="19850" xr:uid="{A4F7C34D-F2CD-4692-8FC9-33FA5B885873}"/>
    <cellStyle name="Comma 4 7 2 2 4" xfId="28285" xr:uid="{5DE6E922-AD69-4252-9CAB-364EA30DEA50}"/>
    <cellStyle name="Comma 4 7 2 2 5" xfId="11412" xr:uid="{86E23AFF-94A3-4EF0-8802-25CBB10EDB37}"/>
    <cellStyle name="Comma 4 7 2 3" xfId="5046" xr:uid="{00000000-0005-0000-0000-00006E0A0000}"/>
    <cellStyle name="Comma 4 7 2 3 2" xfId="21923" xr:uid="{C427FD5B-9587-4D44-B059-A35F5A924448}"/>
    <cellStyle name="Comma 4 7 2 3 3" xfId="30357" xr:uid="{1BD3EDA4-42E4-444D-A6AB-273BCCF63046}"/>
    <cellStyle name="Comma 4 7 2 3 4" xfId="13485" xr:uid="{AE14958F-6147-4443-B7CF-12CF219F71F5}"/>
    <cellStyle name="Comma 4 7 2 4" xfId="17705" xr:uid="{8EEB49A6-E77A-457F-AFC4-87D53E292FBD}"/>
    <cellStyle name="Comma 4 7 2 5" xfId="26140" xr:uid="{BA244409-EB4D-4A16-B9C1-3A3B4CDF423D}"/>
    <cellStyle name="Comma 4 7 2 6" xfId="9267" xr:uid="{BF6F49CD-CD7D-4EDE-AD74-15C718D3BF5C}"/>
    <cellStyle name="Comma 4 7 3" xfId="1150" xr:uid="{00000000-0005-0000-0000-00006F0A0000}"/>
    <cellStyle name="Comma 4 7 3 2" xfId="3381" xr:uid="{00000000-0005-0000-0000-0000700A0000}"/>
    <cellStyle name="Comma 4 7 3 2 2" xfId="7604" xr:uid="{00000000-0005-0000-0000-0000710A0000}"/>
    <cellStyle name="Comma 4 7 3 2 2 2" xfId="24481" xr:uid="{EC773BB7-7DAF-486B-B0EA-91B6EAAC9A8E}"/>
    <cellStyle name="Comma 4 7 3 2 2 3" xfId="32915" xr:uid="{50694474-5E92-4A4F-8992-DCD240454787}"/>
    <cellStyle name="Comma 4 7 3 2 2 4" xfId="16043" xr:uid="{C8AAB71B-F114-4062-B94B-B88B1B7597DD}"/>
    <cellStyle name="Comma 4 7 3 2 3" xfId="20263" xr:uid="{203A6517-3FD7-49E5-9804-DE946A596A01}"/>
    <cellStyle name="Comma 4 7 3 2 4" xfId="28698" xr:uid="{A5E9BF44-7BF5-49A6-BD74-A6C66FF77AB3}"/>
    <cellStyle name="Comma 4 7 3 2 5" xfId="11825" xr:uid="{F7FDF22D-E209-44C3-88DA-BC444968E524}"/>
    <cellStyle name="Comma 4 7 3 3" xfId="5459" xr:uid="{00000000-0005-0000-0000-0000720A0000}"/>
    <cellStyle name="Comma 4 7 3 3 2" xfId="22336" xr:uid="{302AD004-7E78-4300-8C5F-7DFE80F4D369}"/>
    <cellStyle name="Comma 4 7 3 3 3" xfId="30770" xr:uid="{309CBC25-5EEA-41F6-BDEA-B46C32B72DC8}"/>
    <cellStyle name="Comma 4 7 3 3 4" xfId="13898" xr:uid="{44069F88-6FBB-4537-8527-63ED5B9913DE}"/>
    <cellStyle name="Comma 4 7 3 4" xfId="18118" xr:uid="{E6E17691-027D-4D34-ACBA-E8DAC24F3F2B}"/>
    <cellStyle name="Comma 4 7 3 5" xfId="26553" xr:uid="{4FF9A0A4-A406-4757-A3B3-FE89079ADD3D}"/>
    <cellStyle name="Comma 4 7 3 6" xfId="9680" xr:uid="{BC9143AB-2D48-4CF8-9CBC-E8FB02480E6C}"/>
    <cellStyle name="Comma 4 7 4" xfId="1564" xr:uid="{00000000-0005-0000-0000-0000730A0000}"/>
    <cellStyle name="Comma 4 7 4 2" xfId="3794" xr:uid="{00000000-0005-0000-0000-0000740A0000}"/>
    <cellStyle name="Comma 4 7 4 2 2" xfId="8017" xr:uid="{00000000-0005-0000-0000-0000750A0000}"/>
    <cellStyle name="Comma 4 7 4 2 2 2" xfId="24894" xr:uid="{30E1B8FC-931F-475F-8D50-4D45D1DF1F2B}"/>
    <cellStyle name="Comma 4 7 4 2 2 3" xfId="33328" xr:uid="{B2E75124-0D8D-49DF-AF38-32A6EA56F009}"/>
    <cellStyle name="Comma 4 7 4 2 2 4" xfId="16456" xr:uid="{68F0679F-8163-4E19-9652-5096044C4F62}"/>
    <cellStyle name="Comma 4 7 4 2 3" xfId="20676" xr:uid="{63850E09-6BDE-4A6E-A41A-289300DEA02C}"/>
    <cellStyle name="Comma 4 7 4 2 4" xfId="29111" xr:uid="{BB56ACD9-CDB6-48E2-A753-51325C016A1D}"/>
    <cellStyle name="Comma 4 7 4 2 5" xfId="12238" xr:uid="{B63CE664-192A-4140-B43F-1A76A40059D7}"/>
    <cellStyle name="Comma 4 7 4 3" xfId="5872" xr:uid="{00000000-0005-0000-0000-0000760A0000}"/>
    <cellStyle name="Comma 4 7 4 3 2" xfId="22749" xr:uid="{2FFEDFA6-0E58-4505-86C5-1EA5B9240F8D}"/>
    <cellStyle name="Comma 4 7 4 3 3" xfId="31183" xr:uid="{9C1EA552-66AE-43D2-BCBC-3FE2408AEF4B}"/>
    <cellStyle name="Comma 4 7 4 3 4" xfId="14311" xr:uid="{F0B85A5C-993B-4712-8BB4-8E98588512B2}"/>
    <cellStyle name="Comma 4 7 4 4" xfId="18531" xr:uid="{97A16847-8524-4E46-BFBD-CDD3754D4B6C}"/>
    <cellStyle name="Comma 4 7 4 5" xfId="26966" xr:uid="{0C05DACA-861E-4F88-8A1F-2C9918686E6C}"/>
    <cellStyle name="Comma 4 7 4 6" xfId="10093" xr:uid="{F50346A9-74D4-4A15-A484-580AA7B874A6}"/>
    <cellStyle name="Comma 4 7 5" xfId="1978" xr:uid="{00000000-0005-0000-0000-0000770A0000}"/>
    <cellStyle name="Comma 4 7 5 2" xfId="4207" xr:uid="{00000000-0005-0000-0000-0000780A0000}"/>
    <cellStyle name="Comma 4 7 5 2 2" xfId="8430" xr:uid="{00000000-0005-0000-0000-0000790A0000}"/>
    <cellStyle name="Comma 4 7 5 2 2 2" xfId="25307" xr:uid="{7F73E16A-E15A-4C0D-B180-E0384C4A7EAD}"/>
    <cellStyle name="Comma 4 7 5 2 2 3" xfId="33741" xr:uid="{7DD1EDAC-DECA-4A96-A112-0C2A6A616C28}"/>
    <cellStyle name="Comma 4 7 5 2 2 4" xfId="16869" xr:uid="{513F3745-54D2-41CC-868A-C3B532170790}"/>
    <cellStyle name="Comma 4 7 5 2 3" xfId="21089" xr:uid="{E0632752-C854-4F16-995C-D0D6569D78F7}"/>
    <cellStyle name="Comma 4 7 5 2 4" xfId="29524" xr:uid="{D4D06EC9-0267-4B5D-8B01-35B80D4FBA44}"/>
    <cellStyle name="Comma 4 7 5 2 5" xfId="12651" xr:uid="{7675E00C-11E1-48EC-BDA2-9E6730F91B0F}"/>
    <cellStyle name="Comma 4 7 5 3" xfId="6285" xr:uid="{00000000-0005-0000-0000-00007A0A0000}"/>
    <cellStyle name="Comma 4 7 5 3 2" xfId="23162" xr:uid="{AA808BC1-13DA-463C-A5D0-E187474B1A25}"/>
    <cellStyle name="Comma 4 7 5 3 3" xfId="31596" xr:uid="{E6D4B868-6F79-4BFD-B95A-F35F74C50B39}"/>
    <cellStyle name="Comma 4 7 5 3 4" xfId="14724" xr:uid="{48F9A936-FEA6-4AC1-8CA7-68F918F1A985}"/>
    <cellStyle name="Comma 4 7 5 4" xfId="18944" xr:uid="{D7FE818C-DE59-4E72-AE26-7DF6B6B13AC7}"/>
    <cellStyle name="Comma 4 7 5 5" xfId="27379" xr:uid="{07992078-3C2D-444E-BBAB-27B1A5F4F9D4}"/>
    <cellStyle name="Comma 4 7 5 6" xfId="10506" xr:uid="{1392E5A8-5A70-455F-BB7C-234F99558730}"/>
    <cellStyle name="Comma 4 7 6" xfId="2413" xr:uid="{00000000-0005-0000-0000-00007B0A0000}"/>
    <cellStyle name="Comma 4 7 6 2" xfId="6698" xr:uid="{00000000-0005-0000-0000-00007C0A0000}"/>
    <cellStyle name="Comma 4 7 6 2 2" xfId="23575" xr:uid="{E8313E50-0F78-491E-8A9F-1F355A844E70}"/>
    <cellStyle name="Comma 4 7 6 2 3" xfId="32009" xr:uid="{A7959942-83E9-41BC-AD32-4272F2390F60}"/>
    <cellStyle name="Comma 4 7 6 2 4" xfId="15137" xr:uid="{AE429A08-EBFC-40FE-9F5F-7C33A9232738}"/>
    <cellStyle name="Comma 4 7 6 3" xfId="19357" xr:uid="{7775AE03-BEC0-4241-A4AA-82801EB9F56C}"/>
    <cellStyle name="Comma 4 7 6 4" xfId="27792" xr:uid="{DA4610BA-2D89-4EDE-B10E-083C23FFDCB6}"/>
    <cellStyle name="Comma 4 7 6 5" xfId="10919" xr:uid="{E22E64E0-B6E7-43CC-A57F-0C251606A71C}"/>
    <cellStyle name="Comma 4 7 7" xfId="2709" xr:uid="{00000000-0005-0000-0000-00007D0A0000}"/>
    <cellStyle name="Comma 4 7 8" xfId="2791" xr:uid="{00000000-0005-0000-0000-00007E0A0000}"/>
    <cellStyle name="Comma 4 7 8 2" xfId="7015" xr:uid="{00000000-0005-0000-0000-00007F0A0000}"/>
    <cellStyle name="Comma 4 7 8 2 2" xfId="23892" xr:uid="{E6B701ED-234F-439F-AEBF-17061249B757}"/>
    <cellStyle name="Comma 4 7 8 2 3" xfId="32326" xr:uid="{08E4FDE4-33DD-4B2C-B611-8405C3F3A7FD}"/>
    <cellStyle name="Comma 4 7 8 2 4" xfId="15454" xr:uid="{B1252E5E-8549-4FBB-A8E8-D635DC8FAA1E}"/>
    <cellStyle name="Comma 4 7 8 3" xfId="19674" xr:uid="{5CE3ED37-B5C0-405E-9C45-A73485031454}"/>
    <cellStyle name="Comma 4 7 8 4" xfId="28109" xr:uid="{69A90824-6FD6-4BEB-9A1D-0685E1FB4889}"/>
    <cellStyle name="Comma 4 7 8 5" xfId="11236" xr:uid="{AFE7D7A7-44D7-4D39-A9B1-411CB42174D7}"/>
    <cellStyle name="Comma 4 7 9" xfId="4632" xr:uid="{00000000-0005-0000-0000-0000800A0000}"/>
    <cellStyle name="Comma 4 7 9 2" xfId="21509" xr:uid="{DCF54193-1F5F-43F8-86BB-E6BB5928300A}"/>
    <cellStyle name="Comma 4 7 9 3" xfId="29943" xr:uid="{BCB0B318-8BB9-46B9-B84E-19CC85E22AA0}"/>
    <cellStyle name="Comma 4 7 9 4" xfId="13071" xr:uid="{13883492-6488-4F30-9474-0F597FD88AEE}"/>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1377" xr:uid="{2DF54E8E-1280-4B33-901C-9AAD3205FC11}"/>
    <cellStyle name="Comma 7 3" xfId="29811" xr:uid="{BAE9403C-D442-40A6-9E3B-09BCB9CF7B1E}"/>
    <cellStyle name="Comma 7 4" xfId="12939" xr:uid="{B49E1FF4-423B-4652-AC90-1F9F0275F82D}"/>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25594" xr:uid="{FA1D0D49-DDE1-4772-8F6A-7D5C9A0D01BF}"/>
    <cellStyle name="Currency 14 2 3" xfId="34028" xr:uid="{9260B18F-B8C3-4956-A836-DE3D53D70040}"/>
    <cellStyle name="Currency 14 2 4" xfId="17156" xr:uid="{538B22BF-9630-42E0-8DA0-FC78C8284BF2}"/>
    <cellStyle name="Currency 14 3" xfId="8720" xr:uid="{729B09A7-2394-4D7C-912C-1471FB3455A3}"/>
    <cellStyle name="Currency 14 3 2" xfId="8724" xr:uid="{1945FB0F-31EC-4D98-B64C-BAFBADA341A1}"/>
    <cellStyle name="Currency 14 3 2 2" xfId="17162" xr:uid="{ECF1CED2-89A8-46C4-B328-A4FABF88C96B}"/>
    <cellStyle name="Currency 14 3 3" xfId="25597" xr:uid="{B08D59B6-32AC-4FC0-8980-3359DDD17E30}"/>
    <cellStyle name="Currency 14 3 4" xfId="34031" xr:uid="{ED7AE8BF-CF68-4924-895C-2A489498D447}"/>
    <cellStyle name="Currency 14 3 5" xfId="17159" xr:uid="{A2B2D152-D2A8-4DAA-AF39-9BDF87AE8D6B}"/>
    <cellStyle name="Currency 14 4" xfId="21380" xr:uid="{9030880C-4936-4576-BAC2-669136E56E90}"/>
    <cellStyle name="Currency 14 5" xfId="29814" xr:uid="{3ED65202-5D9F-4500-9261-B63DB7559977}"/>
    <cellStyle name="Currency 14 6" xfId="12942" xr:uid="{9B8414DB-F35E-4638-B4D6-BB7A17BDCBDA}"/>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23893" xr:uid="{95129FD8-25BC-49DC-8B52-8F8DDF45179A}"/>
    <cellStyle name="Currency 3 2 2 10 2 3" xfId="32327" xr:uid="{9C6F4924-A12C-45FA-B1E3-F0A63E66A732}"/>
    <cellStyle name="Currency 3 2 2 10 2 4" xfId="15455" xr:uid="{C9B4F1C8-B70D-490A-B4EA-F129F7C16799}"/>
    <cellStyle name="Currency 3 2 2 10 3" xfId="19675" xr:uid="{465BFF20-8810-4091-B844-4EDAAB751922}"/>
    <cellStyle name="Currency 3 2 2 10 4" xfId="28110" xr:uid="{CBA15B13-309A-4390-93EA-977E2C02F495}"/>
    <cellStyle name="Currency 3 2 2 10 5" xfId="11237" xr:uid="{5185F78D-E97E-4489-8F4A-05D7CA9F0CBE}"/>
    <cellStyle name="Currency 3 2 2 11" xfId="4633" xr:uid="{00000000-0005-0000-0000-0000A50A0000}"/>
    <cellStyle name="Currency 3 2 2 11 2" xfId="21510" xr:uid="{AD2D73FC-1929-49A2-ACF3-03BE422E9429}"/>
    <cellStyle name="Currency 3 2 2 11 3" xfId="29944" xr:uid="{E63BB8BD-10E0-4C6C-808C-3B524D82BDD1}"/>
    <cellStyle name="Currency 3 2 2 11 4" xfId="13072" xr:uid="{0DCFCCC2-C161-40F9-8952-1F15861B6DDD}"/>
    <cellStyle name="Currency 3 2 2 12" xfId="17292" xr:uid="{0938AFF2-7E0C-4C77-9553-A307CC2D8224}"/>
    <cellStyle name="Currency 3 2 2 13" xfId="25727" xr:uid="{57FEC865-9C12-42FE-BDC1-623776570009}"/>
    <cellStyle name="Currency 3 2 2 14" xfId="8854" xr:uid="{7F91AABE-B293-49C3-8179-EB280D20A903}"/>
    <cellStyle name="Currency 3 2 2 2" xfId="179" xr:uid="{00000000-0005-0000-0000-0000A60A0000}"/>
    <cellStyle name="Currency 3 2 2 2 10" xfId="4634" xr:uid="{00000000-0005-0000-0000-0000A70A0000}"/>
    <cellStyle name="Currency 3 2 2 2 10 2" xfId="21511" xr:uid="{2F6229D9-FEC1-49B5-A64C-D19A272ABB9D}"/>
    <cellStyle name="Currency 3 2 2 2 10 3" xfId="29945" xr:uid="{49A0DF81-5058-45BC-B4E6-94EB307C68E7}"/>
    <cellStyle name="Currency 3 2 2 2 10 4" xfId="13073" xr:uid="{7FB82106-A5FE-4EF4-83BC-F537CBE0BDC0}"/>
    <cellStyle name="Currency 3 2 2 2 11" xfId="17293" xr:uid="{5350678A-84E2-475D-9515-6EB7B3841ED3}"/>
    <cellStyle name="Currency 3 2 2 2 12" xfId="25728" xr:uid="{4FFB7C46-9426-48F0-964D-BCC069951A73}"/>
    <cellStyle name="Currency 3 2 2 2 13" xfId="8855" xr:uid="{A0037DC7-82DA-4DB8-81DA-38AEB92323B7}"/>
    <cellStyle name="Currency 3 2 2 2 2" xfId="180" xr:uid="{00000000-0005-0000-0000-0000A80A0000}"/>
    <cellStyle name="Currency 3 2 2 2 2 10" xfId="17294" xr:uid="{6A5D88A6-14BF-49E8-86D5-597CEBEB3A2C}"/>
    <cellStyle name="Currency 3 2 2 2 2 11" xfId="25729" xr:uid="{D5068411-9DFD-4080-BF52-438C391A2FC4}"/>
    <cellStyle name="Currency 3 2 2 2 2 12" xfId="8856" xr:uid="{ED314DED-0761-40FA-BD05-86ED79A695B1}"/>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24071" xr:uid="{37B9FEE7-7B20-4701-A7DB-844AEFF97493}"/>
    <cellStyle name="Currency 3 2 2 2 2 2 2 2 3" xfId="32505" xr:uid="{2D3D217A-08C2-431A-A7D8-CF09D81BB1A6}"/>
    <cellStyle name="Currency 3 2 2 2 2 2 2 2 4" xfId="15633" xr:uid="{40C45C63-8FE2-4550-98A3-E2498996DBAE}"/>
    <cellStyle name="Currency 3 2 2 2 2 2 2 3" xfId="19853" xr:uid="{A84C8185-A5EE-47EE-9C19-BB602E78207D}"/>
    <cellStyle name="Currency 3 2 2 2 2 2 2 4" xfId="28288" xr:uid="{E9A8B0BB-7B3F-421E-B618-87C8FF9499BE}"/>
    <cellStyle name="Currency 3 2 2 2 2 2 2 5" xfId="11415" xr:uid="{B1E256E8-C846-4FA9-BADC-A48C5CE11739}"/>
    <cellStyle name="Currency 3 2 2 2 2 2 3" xfId="5049" xr:uid="{00000000-0005-0000-0000-0000AC0A0000}"/>
    <cellStyle name="Currency 3 2 2 2 2 2 3 2" xfId="21926" xr:uid="{4F109387-4749-49BD-84E5-F9711B2590C9}"/>
    <cellStyle name="Currency 3 2 2 2 2 2 3 3" xfId="30360" xr:uid="{CEA46372-8994-41B3-A3F0-F35030EB03D0}"/>
    <cellStyle name="Currency 3 2 2 2 2 2 3 4" xfId="13488" xr:uid="{85D58B9C-5AC6-4B21-AAFD-31685411159F}"/>
    <cellStyle name="Currency 3 2 2 2 2 2 4" xfId="17708" xr:uid="{8DEC30A7-6A97-4234-9A40-B5F2BFA22FD4}"/>
    <cellStyle name="Currency 3 2 2 2 2 2 5" xfId="26143" xr:uid="{BA0D8123-9FE0-4359-AB3A-EC02D068EBC4}"/>
    <cellStyle name="Currency 3 2 2 2 2 2 6" xfId="9270" xr:uid="{CD7D047A-3CA7-470E-A97B-3C43AD812C9A}"/>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24484" xr:uid="{37F3A316-A002-4372-88CD-A5BD8C82CBA4}"/>
    <cellStyle name="Currency 3 2 2 2 2 3 2 2 3" xfId="32918" xr:uid="{67E388EB-6E90-4089-A351-543712E00190}"/>
    <cellStyle name="Currency 3 2 2 2 2 3 2 2 4" xfId="16046" xr:uid="{FFD9EBBC-E736-4F22-8783-122B720CB8A0}"/>
    <cellStyle name="Currency 3 2 2 2 2 3 2 3" xfId="20266" xr:uid="{172CF571-A010-4AEE-B545-8F2A92E3A2EF}"/>
    <cellStyle name="Currency 3 2 2 2 2 3 2 4" xfId="28701" xr:uid="{B9345931-5EF6-4402-B380-4C2ACB9595AF}"/>
    <cellStyle name="Currency 3 2 2 2 2 3 2 5" xfId="11828" xr:uid="{120FE3DF-5721-41B6-B35E-C329D76E581D}"/>
    <cellStyle name="Currency 3 2 2 2 2 3 3" xfId="5462" xr:uid="{00000000-0005-0000-0000-0000B00A0000}"/>
    <cellStyle name="Currency 3 2 2 2 2 3 3 2" xfId="22339" xr:uid="{60E9EC2B-775A-417D-8C48-2FB4AF868B60}"/>
    <cellStyle name="Currency 3 2 2 2 2 3 3 3" xfId="30773" xr:uid="{D90DE429-5685-4429-A4B1-60AABE4144B3}"/>
    <cellStyle name="Currency 3 2 2 2 2 3 3 4" xfId="13901" xr:uid="{59986B1E-D2ED-4B27-AEC0-A233168F0176}"/>
    <cellStyle name="Currency 3 2 2 2 2 3 4" xfId="18121" xr:uid="{CFAB768A-0760-4A40-86CC-E54F76CC74AC}"/>
    <cellStyle name="Currency 3 2 2 2 2 3 5" xfId="26556" xr:uid="{E53E25A9-4776-4B75-9AFC-8F9084FE6711}"/>
    <cellStyle name="Currency 3 2 2 2 2 3 6" xfId="9683" xr:uid="{D6706275-B7D3-444C-B1EA-558816F39A5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24897" xr:uid="{CBC66290-9A03-448D-BA10-7FBBE75D1909}"/>
    <cellStyle name="Currency 3 2 2 2 2 4 2 2 3" xfId="33331" xr:uid="{1F11E78D-4C71-41EA-9829-E31CEECA6A7B}"/>
    <cellStyle name="Currency 3 2 2 2 2 4 2 2 4" xfId="16459" xr:uid="{003C0DAC-F6AA-467D-B373-17C2FDF59E2A}"/>
    <cellStyle name="Currency 3 2 2 2 2 4 2 3" xfId="20679" xr:uid="{67D24A01-60DC-4C40-B826-6A0661C24ED8}"/>
    <cellStyle name="Currency 3 2 2 2 2 4 2 4" xfId="29114" xr:uid="{67F1CAEE-8843-4C75-BF30-5D42B605D83E}"/>
    <cellStyle name="Currency 3 2 2 2 2 4 2 5" xfId="12241" xr:uid="{252B7361-FA64-4399-85F0-EB9F55BE3F1C}"/>
    <cellStyle name="Currency 3 2 2 2 2 4 3" xfId="5875" xr:uid="{00000000-0005-0000-0000-0000B40A0000}"/>
    <cellStyle name="Currency 3 2 2 2 2 4 3 2" xfId="22752" xr:uid="{89EBFA23-2D81-4701-8F05-725733B435D7}"/>
    <cellStyle name="Currency 3 2 2 2 2 4 3 3" xfId="31186" xr:uid="{C8923FE3-A92A-47A2-B4DF-0D9300B40EA0}"/>
    <cellStyle name="Currency 3 2 2 2 2 4 3 4" xfId="14314" xr:uid="{1FF938F8-623A-47A4-B0BF-6FAF36A9A6AF}"/>
    <cellStyle name="Currency 3 2 2 2 2 4 4" xfId="18534" xr:uid="{0E89F3DF-B4DD-4B90-A6AC-C59D64636809}"/>
    <cellStyle name="Currency 3 2 2 2 2 4 5" xfId="26969" xr:uid="{BE799911-9D6B-4EBB-9E1A-98C2F62BD3C4}"/>
    <cellStyle name="Currency 3 2 2 2 2 4 6" xfId="10096" xr:uid="{9EB1AFD3-01DA-43F2-BE98-65479E24B828}"/>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25310" xr:uid="{4B80AA00-C13B-47FC-986E-65EE9280B8F5}"/>
    <cellStyle name="Currency 3 2 2 2 2 5 2 2 3" xfId="33744" xr:uid="{D875A9BA-9880-4AD3-B999-D4CAB7976F9A}"/>
    <cellStyle name="Currency 3 2 2 2 2 5 2 2 4" xfId="16872" xr:uid="{EA3C435D-1A8B-4F8D-9C2A-8C34D3DA0023}"/>
    <cellStyle name="Currency 3 2 2 2 2 5 2 3" xfId="21092" xr:uid="{804D8367-4B58-490B-985C-BF5B53B5EE29}"/>
    <cellStyle name="Currency 3 2 2 2 2 5 2 4" xfId="29527" xr:uid="{3C6FB36D-6E2F-46CD-9744-BFDC2FC3ABB2}"/>
    <cellStyle name="Currency 3 2 2 2 2 5 2 5" xfId="12654" xr:uid="{E70BFD04-BE23-4C3E-94C6-A8F160E88079}"/>
    <cellStyle name="Currency 3 2 2 2 2 5 3" xfId="6288" xr:uid="{00000000-0005-0000-0000-0000B80A0000}"/>
    <cellStyle name="Currency 3 2 2 2 2 5 3 2" xfId="23165" xr:uid="{645E0B75-0374-485F-9F99-E9EAB5AB8D60}"/>
    <cellStyle name="Currency 3 2 2 2 2 5 3 3" xfId="31599" xr:uid="{FEA5705B-558A-42CF-91F3-CD68179EED6D}"/>
    <cellStyle name="Currency 3 2 2 2 2 5 3 4" xfId="14727" xr:uid="{59AE331D-BE0A-4D87-9FAB-819880BA1DEC}"/>
    <cellStyle name="Currency 3 2 2 2 2 5 4" xfId="18947" xr:uid="{1F494C39-5DEC-4EE0-99DD-6958A4138792}"/>
    <cellStyle name="Currency 3 2 2 2 2 5 5" xfId="27382" xr:uid="{6F9E016F-F68A-41D2-83F2-2FBAD818B5E5}"/>
    <cellStyle name="Currency 3 2 2 2 2 5 6" xfId="10509" xr:uid="{7C383889-EA98-4497-80A0-34DDA5BD0891}"/>
    <cellStyle name="Currency 3 2 2 2 2 6" xfId="2416" xr:uid="{00000000-0005-0000-0000-0000B90A0000}"/>
    <cellStyle name="Currency 3 2 2 2 2 6 2" xfId="6701" xr:uid="{00000000-0005-0000-0000-0000BA0A0000}"/>
    <cellStyle name="Currency 3 2 2 2 2 6 2 2" xfId="23578" xr:uid="{7338D2D8-EE07-450A-AC4E-E8AD0B7F140C}"/>
    <cellStyle name="Currency 3 2 2 2 2 6 2 3" xfId="32012" xr:uid="{6392CE03-0CA9-4832-AD05-36CE89C0962E}"/>
    <cellStyle name="Currency 3 2 2 2 2 6 2 4" xfId="15140" xr:uid="{E06FF5CE-0D52-4DB0-A901-390380A8744E}"/>
    <cellStyle name="Currency 3 2 2 2 2 6 3" xfId="19360" xr:uid="{82062065-99A4-46DA-8BD6-5261B84CADCB}"/>
    <cellStyle name="Currency 3 2 2 2 2 6 4" xfId="27795" xr:uid="{59A8FE2D-8227-442F-95EA-11B958037500}"/>
    <cellStyle name="Currency 3 2 2 2 2 6 5" xfId="10922" xr:uid="{C8F2857E-C2BF-4D31-BCF8-DBEF1328EC06}"/>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23895" xr:uid="{A03E93D1-5BFE-4E3C-8B59-40FD1349CEE7}"/>
    <cellStyle name="Currency 3 2 2 2 2 8 2 3" xfId="32329" xr:uid="{066FAFD0-C7A6-4B1C-8E9C-1F59479E3DA4}"/>
    <cellStyle name="Currency 3 2 2 2 2 8 2 4" xfId="15457" xr:uid="{E2FF295C-D2F2-4D88-9DBD-5E08306E88C5}"/>
    <cellStyle name="Currency 3 2 2 2 2 8 3" xfId="19677" xr:uid="{EAE15145-9F3D-4B98-84A9-DD0D44E05462}"/>
    <cellStyle name="Currency 3 2 2 2 2 8 4" xfId="28112" xr:uid="{F536646C-52A8-4AEB-A76D-029C0DB68FA6}"/>
    <cellStyle name="Currency 3 2 2 2 2 8 5" xfId="11239" xr:uid="{BA3CE276-6606-4F21-AAF0-F736D9ADB7B8}"/>
    <cellStyle name="Currency 3 2 2 2 2 9" xfId="4635" xr:uid="{00000000-0005-0000-0000-0000BE0A0000}"/>
    <cellStyle name="Currency 3 2 2 2 2 9 2" xfId="21512" xr:uid="{1A2A2F96-AC9F-49DF-BA82-3F17A5CA299F}"/>
    <cellStyle name="Currency 3 2 2 2 2 9 3" xfId="29946" xr:uid="{42E4AE09-3092-4413-A028-F604D401ABB5}"/>
    <cellStyle name="Currency 3 2 2 2 2 9 4" xfId="13074" xr:uid="{631313F4-1020-4745-AC4C-4F9B7063AA0F}"/>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24070" xr:uid="{7E69CD73-A523-42CE-A8E4-0D4CD9DCF73E}"/>
    <cellStyle name="Currency 3 2 2 2 3 2 2 3" xfId="32504" xr:uid="{B75234CE-BA0D-4EBA-9992-0B559041573C}"/>
    <cellStyle name="Currency 3 2 2 2 3 2 2 4" xfId="15632" xr:uid="{431DFABA-917F-4394-8951-E93079F5E315}"/>
    <cellStyle name="Currency 3 2 2 2 3 2 3" xfId="19852" xr:uid="{0A24D9E1-E317-4779-B119-A017BF842CB8}"/>
    <cellStyle name="Currency 3 2 2 2 3 2 4" xfId="28287" xr:uid="{CC818D4D-ADAF-4CD9-B6E4-1DF047B93BD3}"/>
    <cellStyle name="Currency 3 2 2 2 3 2 5" xfId="11414" xr:uid="{D5227A9B-C520-4131-95BE-3CDA7BFCA798}"/>
    <cellStyle name="Currency 3 2 2 2 3 3" xfId="5048" xr:uid="{00000000-0005-0000-0000-0000C20A0000}"/>
    <cellStyle name="Currency 3 2 2 2 3 3 2" xfId="21925" xr:uid="{C0FC6BFB-8D11-4339-A1A1-0E180F2D6241}"/>
    <cellStyle name="Currency 3 2 2 2 3 3 3" xfId="30359" xr:uid="{BF19D7F8-BD03-4238-AB52-FFF68EFF3ADF}"/>
    <cellStyle name="Currency 3 2 2 2 3 3 4" xfId="13487" xr:uid="{F922AA8D-CCFF-439F-BA2C-6051C8ADA531}"/>
    <cellStyle name="Currency 3 2 2 2 3 4" xfId="17707" xr:uid="{859D66E9-EE06-4299-A868-074BF188849D}"/>
    <cellStyle name="Currency 3 2 2 2 3 5" xfId="26142" xr:uid="{9422FE6E-88EF-4148-91FF-722E96F0C92F}"/>
    <cellStyle name="Currency 3 2 2 2 3 6" xfId="9269" xr:uid="{A584B940-DB56-416D-8BEA-4C4A534A0C7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24483" xr:uid="{6492477F-FEF7-4516-8652-CAB267059B9D}"/>
    <cellStyle name="Currency 3 2 2 2 4 2 2 3" xfId="32917" xr:uid="{22821E1B-1882-421A-A3F3-E95263EBB33F}"/>
    <cellStyle name="Currency 3 2 2 2 4 2 2 4" xfId="16045" xr:uid="{C1827047-01BA-41F1-B9B0-301A60DD081A}"/>
    <cellStyle name="Currency 3 2 2 2 4 2 3" xfId="20265" xr:uid="{4FB68401-03B8-4085-A033-5144C503F881}"/>
    <cellStyle name="Currency 3 2 2 2 4 2 4" xfId="28700" xr:uid="{DB712644-57C5-4B0B-9FF9-3D57D3D4C65C}"/>
    <cellStyle name="Currency 3 2 2 2 4 2 5" xfId="11827" xr:uid="{F4E507F3-F73F-45F5-A815-65B0FAFA22F2}"/>
    <cellStyle name="Currency 3 2 2 2 4 3" xfId="5461" xr:uid="{00000000-0005-0000-0000-0000C60A0000}"/>
    <cellStyle name="Currency 3 2 2 2 4 3 2" xfId="22338" xr:uid="{EE44B89F-7808-4BB7-9EC1-1984541BD06C}"/>
    <cellStyle name="Currency 3 2 2 2 4 3 3" xfId="30772" xr:uid="{FB47F152-B1F9-495C-A131-9DDCFED4E805}"/>
    <cellStyle name="Currency 3 2 2 2 4 3 4" xfId="13900" xr:uid="{0929538F-7DD1-4C12-83B6-8489BCAF5CC9}"/>
    <cellStyle name="Currency 3 2 2 2 4 4" xfId="18120" xr:uid="{B887226C-3FDB-462C-9C27-4748AF095A02}"/>
    <cellStyle name="Currency 3 2 2 2 4 5" xfId="26555" xr:uid="{D1EA2960-D44F-48CA-BE55-2DE76D817D5B}"/>
    <cellStyle name="Currency 3 2 2 2 4 6" xfId="9682" xr:uid="{324F8A02-F30E-464E-9B18-1799FF237ADA}"/>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24896" xr:uid="{6086A827-90F0-4ADE-8509-9B92AB133E44}"/>
    <cellStyle name="Currency 3 2 2 2 5 2 2 3" xfId="33330" xr:uid="{7014BE2B-8723-477F-B121-7EB4F5ACD52C}"/>
    <cellStyle name="Currency 3 2 2 2 5 2 2 4" xfId="16458" xr:uid="{60F36602-FB72-4B9D-9B70-8CE62560974C}"/>
    <cellStyle name="Currency 3 2 2 2 5 2 3" xfId="20678" xr:uid="{A8689ED6-BAE3-4ACE-9B6A-9EC112499331}"/>
    <cellStyle name="Currency 3 2 2 2 5 2 4" xfId="29113" xr:uid="{8E5E15E6-8EA2-4B01-9971-53FA876A1D9E}"/>
    <cellStyle name="Currency 3 2 2 2 5 2 5" xfId="12240" xr:uid="{985670C9-1AB4-4763-A11C-B6C3262BB8AA}"/>
    <cellStyle name="Currency 3 2 2 2 5 3" xfId="5874" xr:uid="{00000000-0005-0000-0000-0000CA0A0000}"/>
    <cellStyle name="Currency 3 2 2 2 5 3 2" xfId="22751" xr:uid="{A226EDB2-0AFF-4E22-B31D-52EEB75775F7}"/>
    <cellStyle name="Currency 3 2 2 2 5 3 3" xfId="31185" xr:uid="{6AF58FEF-8A6E-4AF0-9885-E11CE126D318}"/>
    <cellStyle name="Currency 3 2 2 2 5 3 4" xfId="14313" xr:uid="{C160CF40-F0DF-43E7-8A98-05A7055A193A}"/>
    <cellStyle name="Currency 3 2 2 2 5 4" xfId="18533" xr:uid="{763962F1-D302-43E9-AB7F-7977E89F1B8F}"/>
    <cellStyle name="Currency 3 2 2 2 5 5" xfId="26968" xr:uid="{E5E566A9-05C9-475F-951B-1F17524EFD2A}"/>
    <cellStyle name="Currency 3 2 2 2 5 6" xfId="10095" xr:uid="{2907BAAD-63C6-4C1D-A299-6683CEE4A64F}"/>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25309" xr:uid="{ACB542C6-F194-42EC-A8E0-25B1F09C2FC8}"/>
    <cellStyle name="Currency 3 2 2 2 6 2 2 3" xfId="33743" xr:uid="{F76FF03E-FA54-4716-A608-1D2F1372CFD7}"/>
    <cellStyle name="Currency 3 2 2 2 6 2 2 4" xfId="16871" xr:uid="{5D4BB8CB-FA3A-48E1-8A61-952DAB5FF472}"/>
    <cellStyle name="Currency 3 2 2 2 6 2 3" xfId="21091" xr:uid="{034A4E65-821C-4A04-AC95-C1F0AB9B6A56}"/>
    <cellStyle name="Currency 3 2 2 2 6 2 4" xfId="29526" xr:uid="{78C87483-60F2-422A-9E7E-7C95E8647872}"/>
    <cellStyle name="Currency 3 2 2 2 6 2 5" xfId="12653" xr:uid="{F4E94966-1606-4DF5-94F8-0F31C0391DC8}"/>
    <cellStyle name="Currency 3 2 2 2 6 3" xfId="6287" xr:uid="{00000000-0005-0000-0000-0000CE0A0000}"/>
    <cellStyle name="Currency 3 2 2 2 6 3 2" xfId="23164" xr:uid="{F3CCF2A4-F2DB-4ED5-967C-F27EAF16229F}"/>
    <cellStyle name="Currency 3 2 2 2 6 3 3" xfId="31598" xr:uid="{625EF19D-F115-4841-913D-20284B412A1D}"/>
    <cellStyle name="Currency 3 2 2 2 6 3 4" xfId="14726" xr:uid="{A9267FFE-0377-4C73-95B1-CAFF87F85197}"/>
    <cellStyle name="Currency 3 2 2 2 6 4" xfId="18946" xr:uid="{57367B5D-DFA2-450C-BB76-52F37830E0B9}"/>
    <cellStyle name="Currency 3 2 2 2 6 5" xfId="27381" xr:uid="{BB7DEF15-25C0-4B71-961C-0FEFB091E422}"/>
    <cellStyle name="Currency 3 2 2 2 6 6" xfId="10508" xr:uid="{60DD4B73-ACC1-4F1E-81AB-8C6CDE6B0F99}"/>
    <cellStyle name="Currency 3 2 2 2 7" xfId="2415" xr:uid="{00000000-0005-0000-0000-0000CF0A0000}"/>
    <cellStyle name="Currency 3 2 2 2 7 2" xfId="6700" xr:uid="{00000000-0005-0000-0000-0000D00A0000}"/>
    <cellStyle name="Currency 3 2 2 2 7 2 2" xfId="23577" xr:uid="{5EE7E019-D72A-4D6E-BA58-8C0135CC3D4F}"/>
    <cellStyle name="Currency 3 2 2 2 7 2 3" xfId="32011" xr:uid="{04B68874-938F-4D22-B2AB-5E5452BE487C}"/>
    <cellStyle name="Currency 3 2 2 2 7 2 4" xfId="15139" xr:uid="{D7C7875F-1EC7-46D9-A945-76A3D5FF5348}"/>
    <cellStyle name="Currency 3 2 2 2 7 3" xfId="19359" xr:uid="{3CB3910B-CB0D-42C7-ABA9-AE49A7C873CC}"/>
    <cellStyle name="Currency 3 2 2 2 7 4" xfId="27794" xr:uid="{1572B76C-B058-4256-AD16-4945D52BCBF3}"/>
    <cellStyle name="Currency 3 2 2 2 7 5" xfId="10921" xr:uid="{799A5744-6EE2-4DF7-B73C-F3CAE304D683}"/>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23894" xr:uid="{040CA8B0-80B6-4529-AF32-291C6E32603F}"/>
    <cellStyle name="Currency 3 2 2 2 9 2 3" xfId="32328" xr:uid="{1F30B676-0750-4181-9138-8C2328A734D4}"/>
    <cellStyle name="Currency 3 2 2 2 9 2 4" xfId="15456" xr:uid="{65686CA2-24CA-4DAB-996D-6EE216946521}"/>
    <cellStyle name="Currency 3 2 2 2 9 3" xfId="19676" xr:uid="{6EC11BDD-7C0A-47C5-B1DC-BAB52857C183}"/>
    <cellStyle name="Currency 3 2 2 2 9 4" xfId="28111" xr:uid="{F10B7155-24F3-474B-81C6-1EE55246FDA6}"/>
    <cellStyle name="Currency 3 2 2 2 9 5" xfId="11238" xr:uid="{30506CA0-108B-4AEF-8B22-AA2E2A8EA9A7}"/>
    <cellStyle name="Currency 3 2 2 3" xfId="181" xr:uid="{00000000-0005-0000-0000-0000D40A0000}"/>
    <cellStyle name="Currency 3 2 2 3 10" xfId="17295" xr:uid="{0363A5F1-A6D5-4FBC-B529-B59C3D2F6BE7}"/>
    <cellStyle name="Currency 3 2 2 3 11" xfId="25730" xr:uid="{1F4E59BD-62D8-47E3-A60F-4DE70302A318}"/>
    <cellStyle name="Currency 3 2 2 3 12" xfId="8857" xr:uid="{88B32247-C37A-457B-B8AC-53DF44A827A4}"/>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24072" xr:uid="{1F18FC7D-6608-461F-80C1-196DB71D854C}"/>
    <cellStyle name="Currency 3 2 2 3 2 2 2 3" xfId="32506" xr:uid="{883C8D5D-BF3F-4724-8565-9437A7018A8D}"/>
    <cellStyle name="Currency 3 2 2 3 2 2 2 4" xfId="15634" xr:uid="{129BA7B0-7A44-41B0-955D-0A9FD6495B95}"/>
    <cellStyle name="Currency 3 2 2 3 2 2 3" xfId="19854" xr:uid="{61F7159F-25FD-4E03-AD38-F1C3C9C82803}"/>
    <cellStyle name="Currency 3 2 2 3 2 2 4" xfId="28289" xr:uid="{B9438FFB-55E4-410C-8B24-83EE572A36CD}"/>
    <cellStyle name="Currency 3 2 2 3 2 2 5" xfId="11416" xr:uid="{C8ED8146-9B27-4291-8C31-74D287E191CB}"/>
    <cellStyle name="Currency 3 2 2 3 2 3" xfId="5050" xr:uid="{00000000-0005-0000-0000-0000D80A0000}"/>
    <cellStyle name="Currency 3 2 2 3 2 3 2" xfId="21927" xr:uid="{BCE7C5C3-B782-47C5-887A-2F996EB2D90D}"/>
    <cellStyle name="Currency 3 2 2 3 2 3 3" xfId="30361" xr:uid="{E4997E17-FACC-4927-B134-9BFBC8060D2C}"/>
    <cellStyle name="Currency 3 2 2 3 2 3 4" xfId="13489" xr:uid="{628346A9-958A-48A1-87AA-C3257861465D}"/>
    <cellStyle name="Currency 3 2 2 3 2 4" xfId="17709" xr:uid="{14BBCA40-3BA1-47D6-9B42-36867FA3F4A6}"/>
    <cellStyle name="Currency 3 2 2 3 2 5" xfId="26144" xr:uid="{8B110F49-6F4C-4A5C-9FCA-68FE044C041F}"/>
    <cellStyle name="Currency 3 2 2 3 2 6" xfId="9271" xr:uid="{ACB77924-C32C-4AF9-A444-C5ACD851CE24}"/>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24485" xr:uid="{DA01E002-6413-4585-8F4D-43E9C1CCE73D}"/>
    <cellStyle name="Currency 3 2 2 3 3 2 2 3" xfId="32919" xr:uid="{EE026010-A271-41BB-91CC-E77AA33D5861}"/>
    <cellStyle name="Currency 3 2 2 3 3 2 2 4" xfId="16047" xr:uid="{7AA84C07-B515-46B4-8298-AA241E821A34}"/>
    <cellStyle name="Currency 3 2 2 3 3 2 3" xfId="20267" xr:uid="{6916468E-AB70-4C81-95A1-3607A1F7F4CF}"/>
    <cellStyle name="Currency 3 2 2 3 3 2 4" xfId="28702" xr:uid="{1E83D66A-89A9-4611-BCC0-AAC498862AA8}"/>
    <cellStyle name="Currency 3 2 2 3 3 2 5" xfId="11829" xr:uid="{CCF354A2-B4AA-4225-A9F5-174D12EB5536}"/>
    <cellStyle name="Currency 3 2 2 3 3 3" xfId="5463" xr:uid="{00000000-0005-0000-0000-0000DC0A0000}"/>
    <cellStyle name="Currency 3 2 2 3 3 3 2" xfId="22340" xr:uid="{89053EAF-0CB1-472F-9ADE-5C441F349065}"/>
    <cellStyle name="Currency 3 2 2 3 3 3 3" xfId="30774" xr:uid="{45EB28BD-36AA-417B-9871-857908531F74}"/>
    <cellStyle name="Currency 3 2 2 3 3 3 4" xfId="13902" xr:uid="{9A6271CE-C0DF-4946-BF5B-344C7C2DA8C6}"/>
    <cellStyle name="Currency 3 2 2 3 3 4" xfId="18122" xr:uid="{01FC63F3-8121-4620-9D82-98630B444DCD}"/>
    <cellStyle name="Currency 3 2 2 3 3 5" xfId="26557" xr:uid="{526A1965-2D6E-4C31-A4D2-A6F643F5A292}"/>
    <cellStyle name="Currency 3 2 2 3 3 6" xfId="9684" xr:uid="{B1C63CFC-240B-4ADA-85A9-9685DF235226}"/>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24898" xr:uid="{6764711F-D5C8-411F-A9F5-74555152DF75}"/>
    <cellStyle name="Currency 3 2 2 3 4 2 2 3" xfId="33332" xr:uid="{43774370-5C7C-4E5E-B911-8CB53F523A15}"/>
    <cellStyle name="Currency 3 2 2 3 4 2 2 4" xfId="16460" xr:uid="{A4813334-3DAC-4180-B82A-0CD571A7D288}"/>
    <cellStyle name="Currency 3 2 2 3 4 2 3" xfId="20680" xr:uid="{FB20D849-01B2-4FDB-9FC5-FF5840C965FA}"/>
    <cellStyle name="Currency 3 2 2 3 4 2 4" xfId="29115" xr:uid="{1A56351C-C71E-4FC1-BEE3-F7062E300EDB}"/>
    <cellStyle name="Currency 3 2 2 3 4 2 5" xfId="12242" xr:uid="{7C90E28E-0B19-4023-9770-60F30706672C}"/>
    <cellStyle name="Currency 3 2 2 3 4 3" xfId="5876" xr:uid="{00000000-0005-0000-0000-0000E00A0000}"/>
    <cellStyle name="Currency 3 2 2 3 4 3 2" xfId="22753" xr:uid="{535D677D-5543-4109-95BD-1DB75FC5EC75}"/>
    <cellStyle name="Currency 3 2 2 3 4 3 3" xfId="31187" xr:uid="{FC62A574-8DC9-48CC-8A30-E2360AC33E30}"/>
    <cellStyle name="Currency 3 2 2 3 4 3 4" xfId="14315" xr:uid="{041D48A6-8B51-4F64-A7C0-EBA5995BAA9A}"/>
    <cellStyle name="Currency 3 2 2 3 4 4" xfId="18535" xr:uid="{ED288657-43BC-4F3C-B5B9-D0407684D549}"/>
    <cellStyle name="Currency 3 2 2 3 4 5" xfId="26970" xr:uid="{DC8E1ED8-4C30-42E4-8CB4-E1D98EDA7EB8}"/>
    <cellStyle name="Currency 3 2 2 3 4 6" xfId="10097" xr:uid="{11242C70-5D8F-4840-82DD-216D1521BD01}"/>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25311" xr:uid="{293F7E7B-36AA-482A-9AD5-3657D9102B40}"/>
    <cellStyle name="Currency 3 2 2 3 5 2 2 3" xfId="33745" xr:uid="{03A71ADF-9A7C-454D-895D-8114A02FDB52}"/>
    <cellStyle name="Currency 3 2 2 3 5 2 2 4" xfId="16873" xr:uid="{5B8011C3-AF92-4CF8-BF60-A4DE48534DEC}"/>
    <cellStyle name="Currency 3 2 2 3 5 2 3" xfId="21093" xr:uid="{4B96BB0B-1164-4845-9F9F-089DA01A53A8}"/>
    <cellStyle name="Currency 3 2 2 3 5 2 4" xfId="29528" xr:uid="{6F3CD112-CD6E-4761-9CDA-1AEBA9D57CC9}"/>
    <cellStyle name="Currency 3 2 2 3 5 2 5" xfId="12655" xr:uid="{60B97A5F-9631-4FB5-9556-562F6A664486}"/>
    <cellStyle name="Currency 3 2 2 3 5 3" xfId="6289" xr:uid="{00000000-0005-0000-0000-0000E40A0000}"/>
    <cellStyle name="Currency 3 2 2 3 5 3 2" xfId="23166" xr:uid="{95A6CDA7-B5EB-4981-9809-7049F416E5CF}"/>
    <cellStyle name="Currency 3 2 2 3 5 3 3" xfId="31600" xr:uid="{348EEE30-A3EE-4F39-890C-3BFE4B58F3F3}"/>
    <cellStyle name="Currency 3 2 2 3 5 3 4" xfId="14728" xr:uid="{32949872-5F11-41AF-90A6-57C3604BA72B}"/>
    <cellStyle name="Currency 3 2 2 3 5 4" xfId="18948" xr:uid="{F9DEE414-45AC-481F-9497-E4F8648D231A}"/>
    <cellStyle name="Currency 3 2 2 3 5 5" xfId="27383" xr:uid="{DD32D8DA-22A0-495C-8704-23BBF6FAE6F4}"/>
    <cellStyle name="Currency 3 2 2 3 5 6" xfId="10510" xr:uid="{992E6FE5-E7A9-4B5F-AB31-32C5C0E27553}"/>
    <cellStyle name="Currency 3 2 2 3 6" xfId="2417" xr:uid="{00000000-0005-0000-0000-0000E50A0000}"/>
    <cellStyle name="Currency 3 2 2 3 6 2" xfId="6702" xr:uid="{00000000-0005-0000-0000-0000E60A0000}"/>
    <cellStyle name="Currency 3 2 2 3 6 2 2" xfId="23579" xr:uid="{59964F4F-E588-4602-AF72-716CF1B1A02A}"/>
    <cellStyle name="Currency 3 2 2 3 6 2 3" xfId="32013" xr:uid="{07BCFC6A-3EBF-42A6-9BBF-08EDEB01E0AE}"/>
    <cellStyle name="Currency 3 2 2 3 6 2 4" xfId="15141" xr:uid="{DA4F5798-9F04-4576-AE6A-730314EC9588}"/>
    <cellStyle name="Currency 3 2 2 3 6 3" xfId="19361" xr:uid="{7DE2857C-B830-4553-9109-6DD92E3E084C}"/>
    <cellStyle name="Currency 3 2 2 3 6 4" xfId="27796" xr:uid="{30037753-778A-4E8D-883E-35D1525431FF}"/>
    <cellStyle name="Currency 3 2 2 3 6 5" xfId="10923" xr:uid="{157F7582-DF45-4A24-AF55-C743AFBA2373}"/>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23896" xr:uid="{ADD0365B-8139-4D0D-8F1F-7EF2FCA1DFA4}"/>
    <cellStyle name="Currency 3 2 2 3 8 2 3" xfId="32330" xr:uid="{207A9BD9-362D-4E76-9171-559CF1B2E155}"/>
    <cellStyle name="Currency 3 2 2 3 8 2 4" xfId="15458" xr:uid="{802658A2-B663-42BE-88A9-F043B235F6F5}"/>
    <cellStyle name="Currency 3 2 2 3 8 3" xfId="19678" xr:uid="{93906FFC-7713-4927-B94C-7DC080AB8FC9}"/>
    <cellStyle name="Currency 3 2 2 3 8 4" xfId="28113" xr:uid="{DC897F06-EF59-4FBF-9B29-B542DB911008}"/>
    <cellStyle name="Currency 3 2 2 3 8 5" xfId="11240" xr:uid="{9E58D567-A3EE-41C6-A6B0-99C7A3EB2A6E}"/>
    <cellStyle name="Currency 3 2 2 3 9" xfId="4636" xr:uid="{00000000-0005-0000-0000-0000EA0A0000}"/>
    <cellStyle name="Currency 3 2 2 3 9 2" xfId="21513" xr:uid="{34988D33-43AB-4CCF-B8FB-2285F3E14101}"/>
    <cellStyle name="Currency 3 2 2 3 9 3" xfId="29947" xr:uid="{C5499024-4F8A-4073-9FF7-7024428323E5}"/>
    <cellStyle name="Currency 3 2 2 3 9 4" xfId="13075" xr:uid="{06D31AED-CC6C-4F78-8D81-11E1077583F1}"/>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24069" xr:uid="{BDA1C2E5-8E90-43CE-9458-98AAE7D1480C}"/>
    <cellStyle name="Currency 3 2 2 4 2 2 3" xfId="32503" xr:uid="{702800BA-B941-481B-BBFB-C3FEB4B0C55A}"/>
    <cellStyle name="Currency 3 2 2 4 2 2 4" xfId="15631" xr:uid="{98B0F99B-E50A-4C61-B982-DD23DB4CACDC}"/>
    <cellStyle name="Currency 3 2 2 4 2 3" xfId="19851" xr:uid="{38920CB0-6D90-44C6-8AEA-5B9D2D2B5A6A}"/>
    <cellStyle name="Currency 3 2 2 4 2 4" xfId="28286" xr:uid="{F4007A42-8C13-4C4B-AC93-5B939426A878}"/>
    <cellStyle name="Currency 3 2 2 4 2 5" xfId="11413" xr:uid="{F14E4B4F-8A1E-41F2-8902-EB2E721B1D5B}"/>
    <cellStyle name="Currency 3 2 2 4 3" xfId="5047" xr:uid="{00000000-0005-0000-0000-0000EE0A0000}"/>
    <cellStyle name="Currency 3 2 2 4 3 2" xfId="21924" xr:uid="{964E3D1F-40B1-4145-A5E3-A6E894DAC545}"/>
    <cellStyle name="Currency 3 2 2 4 3 3" xfId="30358" xr:uid="{2AE5E0CD-C67D-4521-AFF2-DB3010061559}"/>
    <cellStyle name="Currency 3 2 2 4 3 4" xfId="13486" xr:uid="{D8194056-8841-40F5-92E7-D43BA7903463}"/>
    <cellStyle name="Currency 3 2 2 4 4" xfId="17706" xr:uid="{82A8C357-D2F9-481B-9983-4128E1F10D9C}"/>
    <cellStyle name="Currency 3 2 2 4 5" xfId="26141" xr:uid="{2F1A11D7-CC61-44A2-BA88-2639D8DA1FAB}"/>
    <cellStyle name="Currency 3 2 2 4 6" xfId="9268" xr:uid="{27C9E4A0-0952-4089-9510-1CADA4365175}"/>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24482" xr:uid="{A99C09CA-1B97-42C1-9D58-0607DAAAB44A}"/>
    <cellStyle name="Currency 3 2 2 5 2 2 3" xfId="32916" xr:uid="{60FE3B40-8B50-41ED-8CC0-6CB4968D9B04}"/>
    <cellStyle name="Currency 3 2 2 5 2 2 4" xfId="16044" xr:uid="{08458D6D-B610-4048-B39E-667953EFA1A1}"/>
    <cellStyle name="Currency 3 2 2 5 2 3" xfId="20264" xr:uid="{2476C7AE-2A1E-4942-AF8A-09E65701D8BB}"/>
    <cellStyle name="Currency 3 2 2 5 2 4" xfId="28699" xr:uid="{51EA2716-1883-4A14-A063-00BAACF27B1B}"/>
    <cellStyle name="Currency 3 2 2 5 2 5" xfId="11826" xr:uid="{12990563-2968-43AE-94C7-2845C22B922E}"/>
    <cellStyle name="Currency 3 2 2 5 3" xfId="5460" xr:uid="{00000000-0005-0000-0000-0000F20A0000}"/>
    <cellStyle name="Currency 3 2 2 5 3 2" xfId="22337" xr:uid="{759D9BDE-B969-41E5-ADE5-EBA39C37604F}"/>
    <cellStyle name="Currency 3 2 2 5 3 3" xfId="30771" xr:uid="{59F65E26-D7AB-4BCA-8C1D-5D79B8676A5D}"/>
    <cellStyle name="Currency 3 2 2 5 3 4" xfId="13899" xr:uid="{C55C042C-EBB6-44FD-9BF4-F0249445D9CC}"/>
    <cellStyle name="Currency 3 2 2 5 4" xfId="18119" xr:uid="{7D0303CF-3361-48B3-BD27-162153E01716}"/>
    <cellStyle name="Currency 3 2 2 5 5" xfId="26554" xr:uid="{3A0BCE3D-9C6F-4B67-9880-FBFC3A8060F1}"/>
    <cellStyle name="Currency 3 2 2 5 6" xfId="9681" xr:uid="{AF80781E-8F6F-46F7-8F9B-227A02FDD1C4}"/>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24895" xr:uid="{D2A173FB-86C7-4510-88BD-4F41DEC11B52}"/>
    <cellStyle name="Currency 3 2 2 6 2 2 3" xfId="33329" xr:uid="{7A21790E-FB7B-48DF-A4D5-11F3438D8494}"/>
    <cellStyle name="Currency 3 2 2 6 2 2 4" xfId="16457" xr:uid="{C8BDA142-DAAB-4D85-BD91-D2B6D54C3DE6}"/>
    <cellStyle name="Currency 3 2 2 6 2 3" xfId="20677" xr:uid="{FC184FBA-4537-40D2-8563-F27235951B36}"/>
    <cellStyle name="Currency 3 2 2 6 2 4" xfId="29112" xr:uid="{C9C756DB-3A6F-40A6-A826-B975FEFA0DEB}"/>
    <cellStyle name="Currency 3 2 2 6 2 5" xfId="12239" xr:uid="{24F08DA5-DF07-495E-8A95-C659D71616A7}"/>
    <cellStyle name="Currency 3 2 2 6 3" xfId="5873" xr:uid="{00000000-0005-0000-0000-0000F60A0000}"/>
    <cellStyle name="Currency 3 2 2 6 3 2" xfId="22750" xr:uid="{05D5C1B0-DE03-499E-A40E-CACAD4302242}"/>
    <cellStyle name="Currency 3 2 2 6 3 3" xfId="31184" xr:uid="{1F0CED7C-94A2-46FA-9F6A-A9ECE40F21E9}"/>
    <cellStyle name="Currency 3 2 2 6 3 4" xfId="14312" xr:uid="{C7DFD975-7EA6-4611-BD34-6BEF633D5A44}"/>
    <cellStyle name="Currency 3 2 2 6 4" xfId="18532" xr:uid="{CE526509-D244-403F-89FC-E626FB9AC776}"/>
    <cellStyle name="Currency 3 2 2 6 5" xfId="26967" xr:uid="{D934BC6A-F4F0-46EE-9044-1FB8DB53E995}"/>
    <cellStyle name="Currency 3 2 2 6 6" xfId="10094" xr:uid="{7DA83989-0C7D-4E1E-B42B-A9412843650B}"/>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25308" xr:uid="{299F80F0-7AFB-4961-9F7B-BE3AB547BD01}"/>
    <cellStyle name="Currency 3 2 2 7 2 2 3" xfId="33742" xr:uid="{C458A289-66EC-4821-A955-CDDBA3F3BF5B}"/>
    <cellStyle name="Currency 3 2 2 7 2 2 4" xfId="16870" xr:uid="{773B2435-7C62-4020-BEB1-95CF40955F74}"/>
    <cellStyle name="Currency 3 2 2 7 2 3" xfId="21090" xr:uid="{59043448-4EC2-455E-94F1-ACFE914D6004}"/>
    <cellStyle name="Currency 3 2 2 7 2 4" xfId="29525" xr:uid="{9895998A-D90C-41DC-A8E5-1F18F6CBD317}"/>
    <cellStyle name="Currency 3 2 2 7 2 5" xfId="12652" xr:uid="{8DEBF245-94BF-4388-BF1E-2FC4AACA408C}"/>
    <cellStyle name="Currency 3 2 2 7 3" xfId="6286" xr:uid="{00000000-0005-0000-0000-0000FA0A0000}"/>
    <cellStyle name="Currency 3 2 2 7 3 2" xfId="23163" xr:uid="{E912C4C2-D3A2-42D2-97EB-D6E20CBAEEE3}"/>
    <cellStyle name="Currency 3 2 2 7 3 3" xfId="31597" xr:uid="{98AB64EE-FD76-43DC-8CA5-5B34A6195903}"/>
    <cellStyle name="Currency 3 2 2 7 3 4" xfId="14725" xr:uid="{AD16C4FB-DA02-4A06-8FD3-C4668630E229}"/>
    <cellStyle name="Currency 3 2 2 7 4" xfId="18945" xr:uid="{C92D99C9-7FBE-4B22-BF83-F72AA8FC871E}"/>
    <cellStyle name="Currency 3 2 2 7 5" xfId="27380" xr:uid="{49D8DB5A-777A-4A88-ABA2-4C7CFE552746}"/>
    <cellStyle name="Currency 3 2 2 7 6" xfId="10507" xr:uid="{05D8AAFD-D625-4912-8992-DE787EEB6B83}"/>
    <cellStyle name="Currency 3 2 2 8" xfId="2414" xr:uid="{00000000-0005-0000-0000-0000FB0A0000}"/>
    <cellStyle name="Currency 3 2 2 8 2" xfId="6699" xr:uid="{00000000-0005-0000-0000-0000FC0A0000}"/>
    <cellStyle name="Currency 3 2 2 8 2 2" xfId="23576" xr:uid="{15EB46BE-E545-4F82-A859-C22C7513C60B}"/>
    <cellStyle name="Currency 3 2 2 8 2 3" xfId="32010" xr:uid="{C6F745D5-5519-4FB0-BC8E-25F0B8A6B05B}"/>
    <cellStyle name="Currency 3 2 2 8 2 4" xfId="15138" xr:uid="{7893ED87-A553-4286-8247-662B07AB1C08}"/>
    <cellStyle name="Currency 3 2 2 8 3" xfId="19358" xr:uid="{F9A71D47-6150-4C83-B0C3-AB82AE4C2C7A}"/>
    <cellStyle name="Currency 3 2 2 8 4" xfId="27793" xr:uid="{DDAA5A24-FB6D-4863-BF4B-31C92968C22D}"/>
    <cellStyle name="Currency 3 2 2 8 5" xfId="10920" xr:uid="{3195DC60-CB0B-4AFE-B116-A4F4D81F7F4E}"/>
    <cellStyle name="Currency 3 2 2 9" xfId="2711" xr:uid="{00000000-0005-0000-0000-0000FD0A0000}"/>
    <cellStyle name="Currency 3 2 3" xfId="182" xr:uid="{00000000-0005-0000-0000-0000FE0A0000}"/>
    <cellStyle name="Currency 3 2 3 10" xfId="4637" xr:uid="{00000000-0005-0000-0000-0000FF0A0000}"/>
    <cellStyle name="Currency 3 2 3 10 2" xfId="21514" xr:uid="{D03F993E-58D1-4157-BCB6-6BD8F689B46B}"/>
    <cellStyle name="Currency 3 2 3 10 3" xfId="29948" xr:uid="{C6FDED77-DE4D-4C5B-904A-5CA9434FECBD}"/>
    <cellStyle name="Currency 3 2 3 10 4" xfId="13076" xr:uid="{6D97C75F-6227-47E3-9DF9-2776456D6E29}"/>
    <cellStyle name="Currency 3 2 3 11" xfId="17296" xr:uid="{DC9D522A-43C0-44DA-8FD8-BFE9EFCCCF11}"/>
    <cellStyle name="Currency 3 2 3 12" xfId="25731" xr:uid="{8478EBFD-2788-409F-A8EA-D29A43095D53}"/>
    <cellStyle name="Currency 3 2 3 13" xfId="8858" xr:uid="{517B419A-73B0-4FC1-98A6-851D3726D075}"/>
    <cellStyle name="Currency 3 2 3 2" xfId="183" xr:uid="{00000000-0005-0000-0000-0000000B0000}"/>
    <cellStyle name="Currency 3 2 3 2 10" xfId="17297" xr:uid="{D0897720-8BEA-4F6C-B2B9-0E86E94F26B8}"/>
    <cellStyle name="Currency 3 2 3 2 11" xfId="25732" xr:uid="{AC3F1A28-2F26-465E-8871-4E87DA070EEF}"/>
    <cellStyle name="Currency 3 2 3 2 12" xfId="8859" xr:uid="{CE477456-AE76-4E30-B99E-9DB51D9B69AF}"/>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24074" xr:uid="{551DF253-85F9-4217-8F2C-A6CD57B5713F}"/>
    <cellStyle name="Currency 3 2 3 2 2 2 2 3" xfId="32508" xr:uid="{EA363E3F-BAC6-4D79-A333-076417128639}"/>
    <cellStyle name="Currency 3 2 3 2 2 2 2 4" xfId="15636" xr:uid="{742C2835-7B42-45C6-ABE3-DDD7687D57F5}"/>
    <cellStyle name="Currency 3 2 3 2 2 2 3" xfId="19856" xr:uid="{655ADA5F-BB25-4B83-9D10-4ACB53BD1965}"/>
    <cellStyle name="Currency 3 2 3 2 2 2 4" xfId="28291" xr:uid="{21FB8350-46CA-42A8-9563-FDABAEF8F603}"/>
    <cellStyle name="Currency 3 2 3 2 2 2 5" xfId="11418" xr:uid="{7066597E-4D88-4646-ACBE-80A8FB22F857}"/>
    <cellStyle name="Currency 3 2 3 2 2 3" xfId="5052" xr:uid="{00000000-0005-0000-0000-0000040B0000}"/>
    <cellStyle name="Currency 3 2 3 2 2 3 2" xfId="21929" xr:uid="{E70248DC-7C0E-4A73-8C52-69F1E5DDA2DF}"/>
    <cellStyle name="Currency 3 2 3 2 2 3 3" xfId="30363" xr:uid="{5C258F2C-3798-4DF0-81EF-33F75C9034AE}"/>
    <cellStyle name="Currency 3 2 3 2 2 3 4" xfId="13491" xr:uid="{64294883-5FF7-4A05-9AF9-83339BFB2EA3}"/>
    <cellStyle name="Currency 3 2 3 2 2 4" xfId="17711" xr:uid="{FC941C29-88F8-4ABB-B0A5-60DA35687978}"/>
    <cellStyle name="Currency 3 2 3 2 2 5" xfId="26146" xr:uid="{66D76A6E-FF25-4D65-8971-7E336200AAC0}"/>
    <cellStyle name="Currency 3 2 3 2 2 6" xfId="9273" xr:uid="{82BCFA09-11C3-4E97-8A13-A41EA23C834E}"/>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24487" xr:uid="{F4FF19C0-22AA-4094-B26D-E37833B1E5D0}"/>
    <cellStyle name="Currency 3 2 3 2 3 2 2 3" xfId="32921" xr:uid="{DE73FB5A-C008-4378-9166-327BEBC948F3}"/>
    <cellStyle name="Currency 3 2 3 2 3 2 2 4" xfId="16049" xr:uid="{425A3898-F697-4F0E-B07F-1452CA00F07E}"/>
    <cellStyle name="Currency 3 2 3 2 3 2 3" xfId="20269" xr:uid="{2F1E73A5-37AD-4C41-8AF1-56F8CFFA46F2}"/>
    <cellStyle name="Currency 3 2 3 2 3 2 4" xfId="28704" xr:uid="{F6648FF8-5F35-42DC-8F6C-8741C970740B}"/>
    <cellStyle name="Currency 3 2 3 2 3 2 5" xfId="11831" xr:uid="{73680478-4A47-4154-B796-FF8D30B1512E}"/>
    <cellStyle name="Currency 3 2 3 2 3 3" xfId="5465" xr:uid="{00000000-0005-0000-0000-0000080B0000}"/>
    <cellStyle name="Currency 3 2 3 2 3 3 2" xfId="22342" xr:uid="{E4780600-7FFE-4798-8580-1DF3C185CB9B}"/>
    <cellStyle name="Currency 3 2 3 2 3 3 3" xfId="30776" xr:uid="{4D8B43CB-3A05-43D7-A8E5-5E6FA6AC4079}"/>
    <cellStyle name="Currency 3 2 3 2 3 3 4" xfId="13904" xr:uid="{C852CD20-FB4C-4973-83FA-D2229E275B10}"/>
    <cellStyle name="Currency 3 2 3 2 3 4" xfId="18124" xr:uid="{9456CA39-49B1-4BBA-8B50-069D2E5714F5}"/>
    <cellStyle name="Currency 3 2 3 2 3 5" xfId="26559" xr:uid="{F80C6C4E-67AA-4B3D-9816-EAA4D4626C88}"/>
    <cellStyle name="Currency 3 2 3 2 3 6" xfId="9686" xr:uid="{E6DE864D-91AA-4A1E-924B-65FAA2BBEED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24900" xr:uid="{535A5C7D-CC77-467A-998C-BD4E0451CA60}"/>
    <cellStyle name="Currency 3 2 3 2 4 2 2 3" xfId="33334" xr:uid="{D3DA34B6-9D25-40CC-B2C7-07E597820381}"/>
    <cellStyle name="Currency 3 2 3 2 4 2 2 4" xfId="16462" xr:uid="{5E8149F6-A57E-4573-A24C-080B986D6851}"/>
    <cellStyle name="Currency 3 2 3 2 4 2 3" xfId="20682" xr:uid="{83A3B12C-BF10-4BCD-A851-C422D11BA89D}"/>
    <cellStyle name="Currency 3 2 3 2 4 2 4" xfId="29117" xr:uid="{92FE0799-5BD7-4147-8F79-AEDE96302C5C}"/>
    <cellStyle name="Currency 3 2 3 2 4 2 5" xfId="12244" xr:uid="{E208A206-3B31-4EF5-BAAF-FC0411A5A590}"/>
    <cellStyle name="Currency 3 2 3 2 4 3" xfId="5878" xr:uid="{00000000-0005-0000-0000-00000C0B0000}"/>
    <cellStyle name="Currency 3 2 3 2 4 3 2" xfId="22755" xr:uid="{43F5C7C6-84EC-4508-B658-81378BF16265}"/>
    <cellStyle name="Currency 3 2 3 2 4 3 3" xfId="31189" xr:uid="{044AFAD8-FD41-44E1-97D6-0EF8E6653716}"/>
    <cellStyle name="Currency 3 2 3 2 4 3 4" xfId="14317" xr:uid="{92BA8C34-897B-4897-B6A5-607811E9607C}"/>
    <cellStyle name="Currency 3 2 3 2 4 4" xfId="18537" xr:uid="{197BABF8-B062-4D9E-8D53-6338C274F5B5}"/>
    <cellStyle name="Currency 3 2 3 2 4 5" xfId="26972" xr:uid="{2F8189C4-D3AC-4CD1-BEB4-1353586A26C8}"/>
    <cellStyle name="Currency 3 2 3 2 4 6" xfId="10099" xr:uid="{48746088-C525-4159-B068-C250348D477C}"/>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25313" xr:uid="{2B29F4D9-FC22-45ED-8293-AD7900F23324}"/>
    <cellStyle name="Currency 3 2 3 2 5 2 2 3" xfId="33747" xr:uid="{F3C634FB-28A0-4A1C-928E-8037DF789B4C}"/>
    <cellStyle name="Currency 3 2 3 2 5 2 2 4" xfId="16875" xr:uid="{A28B8E04-7B48-4858-A555-2037EAD2F016}"/>
    <cellStyle name="Currency 3 2 3 2 5 2 3" xfId="21095" xr:uid="{85F89339-FAFE-4482-955A-DAC86164A042}"/>
    <cellStyle name="Currency 3 2 3 2 5 2 4" xfId="29530" xr:uid="{E1477BAC-AE2A-475D-80CB-6BCD104D2EF7}"/>
    <cellStyle name="Currency 3 2 3 2 5 2 5" xfId="12657" xr:uid="{31A5CE25-6FBC-4441-9075-CD11C3A6FC28}"/>
    <cellStyle name="Currency 3 2 3 2 5 3" xfId="6291" xr:uid="{00000000-0005-0000-0000-0000100B0000}"/>
    <cellStyle name="Currency 3 2 3 2 5 3 2" xfId="23168" xr:uid="{9F47EAA7-D2AC-46AD-91E2-9CEFFF76B710}"/>
    <cellStyle name="Currency 3 2 3 2 5 3 3" xfId="31602" xr:uid="{2485753C-91D1-4D7D-9EF2-11195AC1A0A3}"/>
    <cellStyle name="Currency 3 2 3 2 5 3 4" xfId="14730" xr:uid="{B5D5251D-FA71-4D56-9FCE-49F8888E5789}"/>
    <cellStyle name="Currency 3 2 3 2 5 4" xfId="18950" xr:uid="{54E3FC0A-63AC-4E2B-949B-B2643AD10AFE}"/>
    <cellStyle name="Currency 3 2 3 2 5 5" xfId="27385" xr:uid="{5B0CB40D-6500-47F6-B2D1-2BF4354E5334}"/>
    <cellStyle name="Currency 3 2 3 2 5 6" xfId="10512" xr:uid="{B23D1216-CEB6-4D3C-BC60-F77A4C7D749D}"/>
    <cellStyle name="Currency 3 2 3 2 6" xfId="2419" xr:uid="{00000000-0005-0000-0000-0000110B0000}"/>
    <cellStyle name="Currency 3 2 3 2 6 2" xfId="6704" xr:uid="{00000000-0005-0000-0000-0000120B0000}"/>
    <cellStyle name="Currency 3 2 3 2 6 2 2" xfId="23581" xr:uid="{95A1D284-C935-4BBD-A995-7D7003ECB6EC}"/>
    <cellStyle name="Currency 3 2 3 2 6 2 3" xfId="32015" xr:uid="{53BC4666-CBBE-4BA1-B476-6BC67BC687D4}"/>
    <cellStyle name="Currency 3 2 3 2 6 2 4" xfId="15143" xr:uid="{ADCFF8E0-D9A2-4E56-97D8-AF4C459A89C5}"/>
    <cellStyle name="Currency 3 2 3 2 6 3" xfId="19363" xr:uid="{2CAAA8E6-4B86-48F2-A1E4-A0DC164C20A3}"/>
    <cellStyle name="Currency 3 2 3 2 6 4" xfId="27798" xr:uid="{F511BED2-9DBB-4FB7-8D07-768071318072}"/>
    <cellStyle name="Currency 3 2 3 2 6 5" xfId="10925" xr:uid="{C76BDA43-0675-4DA1-9A60-083FD0C86F39}"/>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23898" xr:uid="{3E2D9552-D88A-4354-BA40-8C5A73AD8DA6}"/>
    <cellStyle name="Currency 3 2 3 2 8 2 3" xfId="32332" xr:uid="{5D10797F-4C69-4FB9-BE8F-BC55EA80D4C6}"/>
    <cellStyle name="Currency 3 2 3 2 8 2 4" xfId="15460" xr:uid="{D98DB1F6-8962-4E50-8506-681D52910634}"/>
    <cellStyle name="Currency 3 2 3 2 8 3" xfId="19680" xr:uid="{9C78C9A1-D3B0-4318-BFEC-46633B428D1E}"/>
    <cellStyle name="Currency 3 2 3 2 8 4" xfId="28115" xr:uid="{7129F5A5-A649-4DE9-935C-8D06906494AA}"/>
    <cellStyle name="Currency 3 2 3 2 8 5" xfId="11242" xr:uid="{505C0CC9-C4A0-4D33-8D7D-D7BA7ADC3257}"/>
    <cellStyle name="Currency 3 2 3 2 9" xfId="4638" xr:uid="{00000000-0005-0000-0000-0000160B0000}"/>
    <cellStyle name="Currency 3 2 3 2 9 2" xfId="21515" xr:uid="{57762676-C94F-4155-AC25-94B699A74BF2}"/>
    <cellStyle name="Currency 3 2 3 2 9 3" xfId="29949" xr:uid="{9BFB972D-1F1A-4D1C-B4F7-D8C3541AAE7D}"/>
    <cellStyle name="Currency 3 2 3 2 9 4" xfId="13077" xr:uid="{3BD1B41C-93A3-4D51-8622-008FE946AC3A}"/>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24073" xr:uid="{929B63EE-FC72-4B17-A2A2-C6BCB0D2C785}"/>
    <cellStyle name="Currency 3 2 3 3 2 2 3" xfId="32507" xr:uid="{BF079D95-988A-4076-8D37-D2B947D2C24C}"/>
    <cellStyle name="Currency 3 2 3 3 2 2 4" xfId="15635" xr:uid="{290B470B-9617-4506-B91C-E7277946A431}"/>
    <cellStyle name="Currency 3 2 3 3 2 3" xfId="19855" xr:uid="{D92175C9-A52C-45DA-849C-7EF30BDFFFE8}"/>
    <cellStyle name="Currency 3 2 3 3 2 4" xfId="28290" xr:uid="{6A5339A1-C700-4793-A4D0-1DF514F1547E}"/>
    <cellStyle name="Currency 3 2 3 3 2 5" xfId="11417" xr:uid="{A1CC7252-9CD4-46D5-9921-BA9367E90709}"/>
    <cellStyle name="Currency 3 2 3 3 3" xfId="5051" xr:uid="{00000000-0005-0000-0000-00001A0B0000}"/>
    <cellStyle name="Currency 3 2 3 3 3 2" xfId="21928" xr:uid="{F4401F3D-4BF2-41D9-A145-C25EC046396B}"/>
    <cellStyle name="Currency 3 2 3 3 3 3" xfId="30362" xr:uid="{688753F9-8D9E-4A4D-B2DC-9B3714680811}"/>
    <cellStyle name="Currency 3 2 3 3 3 4" xfId="13490" xr:uid="{3ED4392C-8D6E-4A7D-ABE9-94780C2C2D7E}"/>
    <cellStyle name="Currency 3 2 3 3 4" xfId="17710" xr:uid="{F3EC82E6-A9C3-4C0E-B25B-29DC113C1117}"/>
    <cellStyle name="Currency 3 2 3 3 5" xfId="26145" xr:uid="{6B8A3A94-E715-4B4B-982B-C8118F8833A6}"/>
    <cellStyle name="Currency 3 2 3 3 6" xfId="9272" xr:uid="{0C81FF98-7458-4A82-8B93-56E44BE5015F}"/>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24486" xr:uid="{F99E6D53-DADD-4049-AFA7-D71F4045E489}"/>
    <cellStyle name="Currency 3 2 3 4 2 2 3" xfId="32920" xr:uid="{B4209662-A9B6-4363-9E31-37016483196B}"/>
    <cellStyle name="Currency 3 2 3 4 2 2 4" xfId="16048" xr:uid="{FFE80CFD-856E-4D56-B21D-7246A143CDC6}"/>
    <cellStyle name="Currency 3 2 3 4 2 3" xfId="20268" xr:uid="{08B8DAE9-ED79-4700-BE59-48DE71ECA627}"/>
    <cellStyle name="Currency 3 2 3 4 2 4" xfId="28703" xr:uid="{55FA8F3F-3C9D-4D4B-8840-41CC8E516497}"/>
    <cellStyle name="Currency 3 2 3 4 2 5" xfId="11830" xr:uid="{BF8ACB56-C20F-4CBA-8F29-B8417793A4D3}"/>
    <cellStyle name="Currency 3 2 3 4 3" xfId="5464" xr:uid="{00000000-0005-0000-0000-00001E0B0000}"/>
    <cellStyle name="Currency 3 2 3 4 3 2" xfId="22341" xr:uid="{4269B9F3-6774-47D9-9D71-2C88EBFF48C9}"/>
    <cellStyle name="Currency 3 2 3 4 3 3" xfId="30775" xr:uid="{79EFA61E-9763-4002-A3A5-4E6A76FCD56C}"/>
    <cellStyle name="Currency 3 2 3 4 3 4" xfId="13903" xr:uid="{1C133C92-2551-4C04-BD34-4E98BE729386}"/>
    <cellStyle name="Currency 3 2 3 4 4" xfId="18123" xr:uid="{F5063EDD-53C1-4E70-81B6-B3145ECB3E0C}"/>
    <cellStyle name="Currency 3 2 3 4 5" xfId="26558" xr:uid="{0616CDE7-3650-4260-9840-8FA332E4C72A}"/>
    <cellStyle name="Currency 3 2 3 4 6" xfId="9685" xr:uid="{4025D282-BD34-4D1B-A9AA-910BEA093ED1}"/>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24899" xr:uid="{05B789E4-245C-4666-BA0D-FBFFB7ACF0BF}"/>
    <cellStyle name="Currency 3 2 3 5 2 2 3" xfId="33333" xr:uid="{5B43E801-8C50-4A7C-A79B-747D17B7758E}"/>
    <cellStyle name="Currency 3 2 3 5 2 2 4" xfId="16461" xr:uid="{B9C6290E-20CE-4C71-8DEA-4E766814B723}"/>
    <cellStyle name="Currency 3 2 3 5 2 3" xfId="20681" xr:uid="{629CC2FD-51F3-493F-A5B6-0D30771B8F4A}"/>
    <cellStyle name="Currency 3 2 3 5 2 4" xfId="29116" xr:uid="{47263C29-06CF-4B26-9E80-250FD007AF82}"/>
    <cellStyle name="Currency 3 2 3 5 2 5" xfId="12243" xr:uid="{F365BFDB-C9F0-4548-AD77-648708D436C2}"/>
    <cellStyle name="Currency 3 2 3 5 3" xfId="5877" xr:uid="{00000000-0005-0000-0000-0000220B0000}"/>
    <cellStyle name="Currency 3 2 3 5 3 2" xfId="22754" xr:uid="{0C49327B-6B18-4164-8E0C-6C4BA517F29E}"/>
    <cellStyle name="Currency 3 2 3 5 3 3" xfId="31188" xr:uid="{84A400D4-CBC8-4B31-8B6F-D32C4FA8CDA4}"/>
    <cellStyle name="Currency 3 2 3 5 3 4" xfId="14316" xr:uid="{B91F57C3-A25C-401A-A760-E039B2B9F44F}"/>
    <cellStyle name="Currency 3 2 3 5 4" xfId="18536" xr:uid="{88583C24-98E8-4C9B-810C-C6D1F66BAA2E}"/>
    <cellStyle name="Currency 3 2 3 5 5" xfId="26971" xr:uid="{287A5D97-9590-4C31-9197-3C40CDAEFF41}"/>
    <cellStyle name="Currency 3 2 3 5 6" xfId="10098" xr:uid="{765EC336-D90D-410A-90E1-FD4FD1E0E29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25312" xr:uid="{69BBDE81-CDFD-4A79-B539-87DC46920DB7}"/>
    <cellStyle name="Currency 3 2 3 6 2 2 3" xfId="33746" xr:uid="{10A26E07-8546-4F71-895D-C325BD7BA57E}"/>
    <cellStyle name="Currency 3 2 3 6 2 2 4" xfId="16874" xr:uid="{3C51812A-2A02-4647-B953-927972DC03F8}"/>
    <cellStyle name="Currency 3 2 3 6 2 3" xfId="21094" xr:uid="{F32EB521-FDFF-4A97-9EC8-24BEAC766B3D}"/>
    <cellStyle name="Currency 3 2 3 6 2 4" xfId="29529" xr:uid="{9B47259A-BC06-4BCB-9989-510F0C94E2CE}"/>
    <cellStyle name="Currency 3 2 3 6 2 5" xfId="12656" xr:uid="{8124A7E4-4B3F-4D00-A165-1BF1E37E6E03}"/>
    <cellStyle name="Currency 3 2 3 6 3" xfId="6290" xr:uid="{00000000-0005-0000-0000-0000260B0000}"/>
    <cellStyle name="Currency 3 2 3 6 3 2" xfId="23167" xr:uid="{A7D9F2E1-98A1-465E-B557-9C0205E0B479}"/>
    <cellStyle name="Currency 3 2 3 6 3 3" xfId="31601" xr:uid="{70D2172C-D27C-4722-8B4A-5B3FAD2B5B7A}"/>
    <cellStyle name="Currency 3 2 3 6 3 4" xfId="14729" xr:uid="{A5053379-4247-47E3-A303-55F3305ABDAD}"/>
    <cellStyle name="Currency 3 2 3 6 4" xfId="18949" xr:uid="{383E75A1-3F19-4B12-9C24-4D79882DE866}"/>
    <cellStyle name="Currency 3 2 3 6 5" xfId="27384" xr:uid="{7D094B1C-CA67-4F3B-80E1-37E3BB15BFFB}"/>
    <cellStyle name="Currency 3 2 3 6 6" xfId="10511" xr:uid="{E8E6009B-C880-4B85-A2C2-625FBF36E2C3}"/>
    <cellStyle name="Currency 3 2 3 7" xfId="2418" xr:uid="{00000000-0005-0000-0000-0000270B0000}"/>
    <cellStyle name="Currency 3 2 3 7 2" xfId="6703" xr:uid="{00000000-0005-0000-0000-0000280B0000}"/>
    <cellStyle name="Currency 3 2 3 7 2 2" xfId="23580" xr:uid="{036FEF17-4FAF-4688-8EF1-BB0D251D6E00}"/>
    <cellStyle name="Currency 3 2 3 7 2 3" xfId="32014" xr:uid="{59395301-904B-4F5F-898A-42195125D561}"/>
    <cellStyle name="Currency 3 2 3 7 2 4" xfId="15142" xr:uid="{67D77CA5-C9E5-4741-9252-A75E18ABD128}"/>
    <cellStyle name="Currency 3 2 3 7 3" xfId="19362" xr:uid="{FEB83FF2-7148-476F-83FC-1F3E484DFBEF}"/>
    <cellStyle name="Currency 3 2 3 7 4" xfId="27797" xr:uid="{A405DC90-00C5-4C45-9EE9-178027C9249C}"/>
    <cellStyle name="Currency 3 2 3 7 5" xfId="10924" xr:uid="{00147C14-D4E4-4F2F-B371-61E8B25098DD}"/>
    <cellStyle name="Currency 3 2 3 8" xfId="2715" xr:uid="{00000000-0005-0000-0000-0000290B0000}"/>
    <cellStyle name="Currency 3 2 3 9" xfId="2796" xr:uid="{00000000-0005-0000-0000-00002A0B0000}"/>
    <cellStyle name="Currency 3 2 3 9 2" xfId="7020" xr:uid="{00000000-0005-0000-0000-00002B0B0000}"/>
    <cellStyle name="Currency 3 2 3 9 2 2" xfId="23897" xr:uid="{58E62FED-3EAD-4CF2-9F23-C587E5FB208C}"/>
    <cellStyle name="Currency 3 2 3 9 2 3" xfId="32331" xr:uid="{28ED18B3-D045-41AB-BABD-0EDEEC38D673}"/>
    <cellStyle name="Currency 3 2 3 9 2 4" xfId="15459" xr:uid="{048DF9D1-ABF4-4A48-B67A-BAE4E786957C}"/>
    <cellStyle name="Currency 3 2 3 9 3" xfId="19679" xr:uid="{75E2C820-C558-460B-836F-FF89D141C8EE}"/>
    <cellStyle name="Currency 3 2 3 9 4" xfId="28114" xr:uid="{D3EDAD29-2E2A-4268-B725-DFFBDE0E66A7}"/>
    <cellStyle name="Currency 3 2 3 9 5" xfId="11241" xr:uid="{DA4E08F1-F087-4638-AD80-3FB681154360}"/>
    <cellStyle name="Currency 3 2 4" xfId="184" xr:uid="{00000000-0005-0000-0000-00002C0B0000}"/>
    <cellStyle name="Currency 3 2 4 10" xfId="17298" xr:uid="{6C3D28EB-2D57-4C7C-BC3C-05A7476AB959}"/>
    <cellStyle name="Currency 3 2 4 11" xfId="25733" xr:uid="{86477661-1EBC-4FDF-A828-46C937522E16}"/>
    <cellStyle name="Currency 3 2 4 12" xfId="8860" xr:uid="{9331401D-4291-45E2-A818-1145DA0BB71D}"/>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24075" xr:uid="{AD082272-B573-4651-B801-E320304DE493}"/>
    <cellStyle name="Currency 3 2 4 2 2 2 3" xfId="32509" xr:uid="{C7C30B6E-0F15-4C76-86C7-BE557D0F6144}"/>
    <cellStyle name="Currency 3 2 4 2 2 2 4" xfId="15637" xr:uid="{51755B3D-0CCC-4565-B5A4-E6131CEB837B}"/>
    <cellStyle name="Currency 3 2 4 2 2 3" xfId="19857" xr:uid="{C2DD862E-F6BD-4AF0-A4E9-73A23F00A0D5}"/>
    <cellStyle name="Currency 3 2 4 2 2 4" xfId="28292" xr:uid="{1F9B0D7D-FCBF-443C-A802-30F9AEAA9CEE}"/>
    <cellStyle name="Currency 3 2 4 2 2 5" xfId="11419" xr:uid="{FFB41F23-345B-4B75-A0A7-DDAE4A20E26E}"/>
    <cellStyle name="Currency 3 2 4 2 3" xfId="5053" xr:uid="{00000000-0005-0000-0000-0000300B0000}"/>
    <cellStyle name="Currency 3 2 4 2 3 2" xfId="21930" xr:uid="{2E8F921D-E9DE-42A1-882A-4093E14CB25C}"/>
    <cellStyle name="Currency 3 2 4 2 3 3" xfId="30364" xr:uid="{1FB0CF50-3B4A-4AAC-BEC1-B520819C753E}"/>
    <cellStyle name="Currency 3 2 4 2 3 4" xfId="13492" xr:uid="{58C14F50-8D8F-495D-9673-3AC219057F4F}"/>
    <cellStyle name="Currency 3 2 4 2 4" xfId="17712" xr:uid="{3F847252-2F9A-40F4-AB1E-24A0F2C147BA}"/>
    <cellStyle name="Currency 3 2 4 2 5" xfId="26147" xr:uid="{1AEFFB69-6286-4258-AF08-DCA4EA79EDB5}"/>
    <cellStyle name="Currency 3 2 4 2 6" xfId="9274" xr:uid="{32935E5C-3C45-47AE-9E1A-F418D895701B}"/>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24488" xr:uid="{6E1A65FA-6678-4510-8C6D-6A05535FB1FC}"/>
    <cellStyle name="Currency 3 2 4 3 2 2 3" xfId="32922" xr:uid="{002D6B31-175A-4430-83CE-BEA2262C9581}"/>
    <cellStyle name="Currency 3 2 4 3 2 2 4" xfId="16050" xr:uid="{5E21F222-9269-4CAD-8B20-06D7CCCEB2E6}"/>
    <cellStyle name="Currency 3 2 4 3 2 3" xfId="20270" xr:uid="{EA1864B7-C472-41DB-8622-0AE0E769BC82}"/>
    <cellStyle name="Currency 3 2 4 3 2 4" xfId="28705" xr:uid="{A0E9C50B-B15B-4D15-B88C-75C66583BDEA}"/>
    <cellStyle name="Currency 3 2 4 3 2 5" xfId="11832" xr:uid="{22AD89E3-FC67-4B39-B91C-C75B750F8527}"/>
    <cellStyle name="Currency 3 2 4 3 3" xfId="5466" xr:uid="{00000000-0005-0000-0000-0000340B0000}"/>
    <cellStyle name="Currency 3 2 4 3 3 2" xfId="22343" xr:uid="{1D575B15-A7F7-4F63-B3D6-4F82B9AE4D1B}"/>
    <cellStyle name="Currency 3 2 4 3 3 3" xfId="30777" xr:uid="{F25CC5D5-34FD-47EE-A75F-C656657B74B9}"/>
    <cellStyle name="Currency 3 2 4 3 3 4" xfId="13905" xr:uid="{71E20549-B515-436D-9757-A2D2EAA670D2}"/>
    <cellStyle name="Currency 3 2 4 3 4" xfId="18125" xr:uid="{C8086D32-6928-4651-BBAE-AD00190FB262}"/>
    <cellStyle name="Currency 3 2 4 3 5" xfId="26560" xr:uid="{ED68FF38-99B2-4F1B-8006-1D7D8591EBC1}"/>
    <cellStyle name="Currency 3 2 4 3 6" xfId="9687" xr:uid="{2C9D2536-8729-454C-91F3-C0B0E4F6316A}"/>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24901" xr:uid="{B572A5D7-0771-4D2F-84B2-5E03B31C8493}"/>
    <cellStyle name="Currency 3 2 4 4 2 2 3" xfId="33335" xr:uid="{36F9EB0D-FE91-453C-865D-322233717378}"/>
    <cellStyle name="Currency 3 2 4 4 2 2 4" xfId="16463" xr:uid="{33AA7293-2812-479B-BAE2-6B6E007A09DE}"/>
    <cellStyle name="Currency 3 2 4 4 2 3" xfId="20683" xr:uid="{F8BEDCEF-E932-45F1-A395-20E361FD80DF}"/>
    <cellStyle name="Currency 3 2 4 4 2 4" xfId="29118" xr:uid="{A4971EA0-E286-44B9-BADB-D09DE45D6C0F}"/>
    <cellStyle name="Currency 3 2 4 4 2 5" xfId="12245" xr:uid="{836A5AE4-8418-41C3-8775-048F2D05B668}"/>
    <cellStyle name="Currency 3 2 4 4 3" xfId="5879" xr:uid="{00000000-0005-0000-0000-0000380B0000}"/>
    <cellStyle name="Currency 3 2 4 4 3 2" xfId="22756" xr:uid="{8B4176D8-BBC0-4C35-8B0D-95F6A886855C}"/>
    <cellStyle name="Currency 3 2 4 4 3 3" xfId="31190" xr:uid="{D0C1DC30-F9BE-4E7D-A576-553760C921FE}"/>
    <cellStyle name="Currency 3 2 4 4 3 4" xfId="14318" xr:uid="{80689463-D8EA-4B6A-9C6E-49DF4398709D}"/>
    <cellStyle name="Currency 3 2 4 4 4" xfId="18538" xr:uid="{B0C42C70-CD9F-46BD-9815-97BDB7B0ED98}"/>
    <cellStyle name="Currency 3 2 4 4 5" xfId="26973" xr:uid="{ECC81D9A-6FD7-4F20-9C00-B6BE92712A67}"/>
    <cellStyle name="Currency 3 2 4 4 6" xfId="10100" xr:uid="{F8B195B3-1AED-4576-AA21-BC40ECD1F99A}"/>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25314" xr:uid="{4D0B4761-EC59-449B-8F4B-C8D991623C98}"/>
    <cellStyle name="Currency 3 2 4 5 2 2 3" xfId="33748" xr:uid="{22C161A5-885B-4188-B48D-D8506EDB9D33}"/>
    <cellStyle name="Currency 3 2 4 5 2 2 4" xfId="16876" xr:uid="{18A9134F-661A-4827-9EF9-86DF7FACFA73}"/>
    <cellStyle name="Currency 3 2 4 5 2 3" xfId="21096" xr:uid="{5F1471AC-41A5-4974-85CA-0736ABDB0622}"/>
    <cellStyle name="Currency 3 2 4 5 2 4" xfId="29531" xr:uid="{FAE68D61-9CD4-43A0-A26E-144BBAEE3323}"/>
    <cellStyle name="Currency 3 2 4 5 2 5" xfId="12658" xr:uid="{AADB7455-9ABC-469F-9073-0EEEF94DF916}"/>
    <cellStyle name="Currency 3 2 4 5 3" xfId="6292" xr:uid="{00000000-0005-0000-0000-00003C0B0000}"/>
    <cellStyle name="Currency 3 2 4 5 3 2" xfId="23169" xr:uid="{04D1E6E3-3EE6-45A1-BB32-E57578A9426C}"/>
    <cellStyle name="Currency 3 2 4 5 3 3" xfId="31603" xr:uid="{A58073EE-0C79-4E66-A966-FE09EA6E38EC}"/>
    <cellStyle name="Currency 3 2 4 5 3 4" xfId="14731" xr:uid="{FDA8FE2A-4FFF-43B4-A06D-17869B45BC47}"/>
    <cellStyle name="Currency 3 2 4 5 4" xfId="18951" xr:uid="{1A82D579-5F47-4D79-830C-54B4FC73194F}"/>
    <cellStyle name="Currency 3 2 4 5 5" xfId="27386" xr:uid="{4161DE05-B28F-497B-BF9F-E94FF70E3A19}"/>
    <cellStyle name="Currency 3 2 4 5 6" xfId="10513" xr:uid="{36958BA6-6584-4526-8993-BA17599BA2B4}"/>
    <cellStyle name="Currency 3 2 4 6" xfId="2420" xr:uid="{00000000-0005-0000-0000-00003D0B0000}"/>
    <cellStyle name="Currency 3 2 4 6 2" xfId="6705" xr:uid="{00000000-0005-0000-0000-00003E0B0000}"/>
    <cellStyle name="Currency 3 2 4 6 2 2" xfId="23582" xr:uid="{92F58418-8C5A-4187-B01D-B7F87BB3C866}"/>
    <cellStyle name="Currency 3 2 4 6 2 3" xfId="32016" xr:uid="{2C304789-7E0A-40E0-A7FC-ABCF2828B444}"/>
    <cellStyle name="Currency 3 2 4 6 2 4" xfId="15144" xr:uid="{ADEF4A0D-73ED-46E8-BE69-7F6220EDF2CC}"/>
    <cellStyle name="Currency 3 2 4 6 3" xfId="19364" xr:uid="{BC057F4A-EA4E-47A2-A7BD-AC9FEC296693}"/>
    <cellStyle name="Currency 3 2 4 6 4" xfId="27799" xr:uid="{F5FCC94E-D52F-4EBF-BD7C-C7B3A4202213}"/>
    <cellStyle name="Currency 3 2 4 6 5" xfId="10926" xr:uid="{98C50E46-C7D9-48CB-95D8-E29AE514033F}"/>
    <cellStyle name="Currency 3 2 4 7" xfId="2717" xr:uid="{00000000-0005-0000-0000-00003F0B0000}"/>
    <cellStyle name="Currency 3 2 4 8" xfId="2798" xr:uid="{00000000-0005-0000-0000-0000400B0000}"/>
    <cellStyle name="Currency 3 2 4 8 2" xfId="7022" xr:uid="{00000000-0005-0000-0000-0000410B0000}"/>
    <cellStyle name="Currency 3 2 4 8 2 2" xfId="23899" xr:uid="{18240314-F433-4F23-99C4-AAED9D8BDD1A}"/>
    <cellStyle name="Currency 3 2 4 8 2 3" xfId="32333" xr:uid="{0CA10698-E060-458B-90F8-84250E6B69DA}"/>
    <cellStyle name="Currency 3 2 4 8 2 4" xfId="15461" xr:uid="{DC6D9AFA-5E46-476C-9FF2-42483F747C56}"/>
    <cellStyle name="Currency 3 2 4 8 3" xfId="19681" xr:uid="{EB3A1D35-80F3-4B97-9BF5-BF3507EC8BA2}"/>
    <cellStyle name="Currency 3 2 4 8 4" xfId="28116" xr:uid="{580BBB61-EB25-4DF4-BF09-9DBCF6FC609C}"/>
    <cellStyle name="Currency 3 2 4 8 5" xfId="11243" xr:uid="{DDF5FDEE-CDA5-4709-A8EA-326A3845060B}"/>
    <cellStyle name="Currency 3 2 4 9" xfId="4639" xr:uid="{00000000-0005-0000-0000-0000420B0000}"/>
    <cellStyle name="Currency 3 2 4 9 2" xfId="21516" xr:uid="{CD2E6E47-CCB4-4FD9-838A-4414C342D4DC}"/>
    <cellStyle name="Currency 3 2 4 9 3" xfId="29950" xr:uid="{CA3D245A-F2B2-4EF0-9D70-9C83F67DA094}"/>
    <cellStyle name="Currency 3 2 4 9 4" xfId="13078" xr:uid="{4CD8DDBE-F627-45A5-B61B-C5DDA0E07BAB}"/>
    <cellStyle name="Currency 3 2 5" xfId="185" xr:uid="{00000000-0005-0000-0000-0000430B0000}"/>
    <cellStyle name="Currency 3 2 5 10" xfId="17299" xr:uid="{F5425ECA-A519-464B-B67E-AD214249EA35}"/>
    <cellStyle name="Currency 3 2 5 11" xfId="25734" xr:uid="{F2134A17-BC1D-4C17-A941-F70B3D628A24}"/>
    <cellStyle name="Currency 3 2 5 12" xfId="8861" xr:uid="{76F086C0-3EE3-432E-B99D-20BD9A634F5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24076" xr:uid="{307C602E-1BD1-44FD-A96B-67FF9EAE1354}"/>
    <cellStyle name="Currency 3 2 5 2 2 2 3" xfId="32510" xr:uid="{90A1F62E-11D8-4A46-8A43-BB73A8AA7536}"/>
    <cellStyle name="Currency 3 2 5 2 2 2 4" xfId="15638" xr:uid="{EDFD9984-3F09-426E-B3C3-2DE4E4348904}"/>
    <cellStyle name="Currency 3 2 5 2 2 3" xfId="19858" xr:uid="{F77F2512-2A30-4525-BDD7-D872111014C2}"/>
    <cellStyle name="Currency 3 2 5 2 2 4" xfId="28293" xr:uid="{FAFE2FDC-9183-482D-B495-E9A4B3024D12}"/>
    <cellStyle name="Currency 3 2 5 2 2 5" xfId="11420" xr:uid="{A6B843FE-4362-40B7-8762-9F469F3C5F4E}"/>
    <cellStyle name="Currency 3 2 5 2 3" xfId="5054" xr:uid="{00000000-0005-0000-0000-0000470B0000}"/>
    <cellStyle name="Currency 3 2 5 2 3 2" xfId="21931" xr:uid="{5AEE5D40-901B-4ADB-BD3A-80D40A70DA56}"/>
    <cellStyle name="Currency 3 2 5 2 3 3" xfId="30365" xr:uid="{35061A15-5B56-4342-9DF2-33A69E20D8FD}"/>
    <cellStyle name="Currency 3 2 5 2 3 4" xfId="13493" xr:uid="{B7BF75FD-C57D-4453-89A2-258C02E3FC70}"/>
    <cellStyle name="Currency 3 2 5 2 4" xfId="17713" xr:uid="{64228C69-AB7B-41E1-A9E1-2512911190C5}"/>
    <cellStyle name="Currency 3 2 5 2 5" xfId="26148" xr:uid="{9858A960-4657-4E20-945B-5E87A7580240}"/>
    <cellStyle name="Currency 3 2 5 2 6" xfId="9275" xr:uid="{BA444810-052B-48A5-B6A6-DDFD4A643FDB}"/>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24489" xr:uid="{18E20B03-D02D-4A0A-A339-8B906E9996C0}"/>
    <cellStyle name="Currency 3 2 5 3 2 2 3" xfId="32923" xr:uid="{84D0D252-CE1E-42EE-8D78-1312E5E1B48A}"/>
    <cellStyle name="Currency 3 2 5 3 2 2 4" xfId="16051" xr:uid="{7E10CC18-02B6-4BA7-A422-9303DDDE41DC}"/>
    <cellStyle name="Currency 3 2 5 3 2 3" xfId="20271" xr:uid="{97485411-00A1-4762-8507-206F736EB2C5}"/>
    <cellStyle name="Currency 3 2 5 3 2 4" xfId="28706" xr:uid="{A4A5B41E-A38B-434A-B07F-55001A6B21B2}"/>
    <cellStyle name="Currency 3 2 5 3 2 5" xfId="11833" xr:uid="{564DEFCD-D178-4261-8E7C-56E9148CA4B3}"/>
    <cellStyle name="Currency 3 2 5 3 3" xfId="5467" xr:uid="{00000000-0005-0000-0000-00004B0B0000}"/>
    <cellStyle name="Currency 3 2 5 3 3 2" xfId="22344" xr:uid="{91F6B654-747D-4C6D-8876-83CF69EC4408}"/>
    <cellStyle name="Currency 3 2 5 3 3 3" xfId="30778" xr:uid="{60F8502F-3B36-4499-A0B7-52A1B9A136D6}"/>
    <cellStyle name="Currency 3 2 5 3 3 4" xfId="13906" xr:uid="{3CB638A2-03A7-4BE0-A9BA-A692CA5E569F}"/>
    <cellStyle name="Currency 3 2 5 3 4" xfId="18126" xr:uid="{C4B66BC6-8413-46C8-A963-6E3827CD1458}"/>
    <cellStyle name="Currency 3 2 5 3 5" xfId="26561" xr:uid="{A5A6E7C9-57C5-4BD5-865C-6BBD4B161FAD}"/>
    <cellStyle name="Currency 3 2 5 3 6" xfId="9688" xr:uid="{2F9FE3D4-3065-4A9A-B18E-2ACB33C7174C}"/>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24902" xr:uid="{9FCA6AB7-43D6-439A-AADE-CA7A5EC5E914}"/>
    <cellStyle name="Currency 3 2 5 4 2 2 3" xfId="33336" xr:uid="{4DF7DF0F-0CFB-4015-BDCE-442DB4BECB1F}"/>
    <cellStyle name="Currency 3 2 5 4 2 2 4" xfId="16464" xr:uid="{A7516A05-45B0-4E6C-982B-89AE6A442ED2}"/>
    <cellStyle name="Currency 3 2 5 4 2 3" xfId="20684" xr:uid="{751B5F76-17C8-4269-8169-9513F45DD5E9}"/>
    <cellStyle name="Currency 3 2 5 4 2 4" xfId="29119" xr:uid="{A8BF9357-13F2-427D-826E-AE9DCEE11DBF}"/>
    <cellStyle name="Currency 3 2 5 4 2 5" xfId="12246" xr:uid="{5C5EA6E5-F20A-4C34-B698-ED5D0BCC9D54}"/>
    <cellStyle name="Currency 3 2 5 4 3" xfId="5880" xr:uid="{00000000-0005-0000-0000-00004F0B0000}"/>
    <cellStyle name="Currency 3 2 5 4 3 2" xfId="22757" xr:uid="{ADE76C06-E0A2-47E4-AD0D-831688B608C2}"/>
    <cellStyle name="Currency 3 2 5 4 3 3" xfId="31191" xr:uid="{CD3E8ABB-61E0-4425-B69D-58B5E3F9E4D1}"/>
    <cellStyle name="Currency 3 2 5 4 3 4" xfId="14319" xr:uid="{A6E62225-A91D-4A04-84D8-2EB07223B772}"/>
    <cellStyle name="Currency 3 2 5 4 4" xfId="18539" xr:uid="{54FBBC01-91B2-46EE-ABB6-BAA2B2504232}"/>
    <cellStyle name="Currency 3 2 5 4 5" xfId="26974" xr:uid="{DE0533F1-562B-4581-A8CF-8F6F93A5A407}"/>
    <cellStyle name="Currency 3 2 5 4 6" xfId="10101" xr:uid="{9582D16F-F6EB-4310-A798-20F22B7BF29A}"/>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25315" xr:uid="{3432C5CC-9694-4811-9E34-50EC9EC036C5}"/>
    <cellStyle name="Currency 3 2 5 5 2 2 3" xfId="33749" xr:uid="{5D883F1B-C4DC-42F2-B65D-8504FB403BE4}"/>
    <cellStyle name="Currency 3 2 5 5 2 2 4" xfId="16877" xr:uid="{9C1D9CC2-68C2-43E0-B4FC-424DAC54C65F}"/>
    <cellStyle name="Currency 3 2 5 5 2 3" xfId="21097" xr:uid="{1346DA22-5BC3-4913-B8B3-21B4E8B5C73F}"/>
    <cellStyle name="Currency 3 2 5 5 2 4" xfId="29532" xr:uid="{145622BC-CC2C-4883-A208-4114EB753043}"/>
    <cellStyle name="Currency 3 2 5 5 2 5" xfId="12659" xr:uid="{F5F16719-296A-4FE5-A4BB-FC1ADB5D32C7}"/>
    <cellStyle name="Currency 3 2 5 5 3" xfId="6293" xr:uid="{00000000-0005-0000-0000-0000530B0000}"/>
    <cellStyle name="Currency 3 2 5 5 3 2" xfId="23170" xr:uid="{0855D327-E7D6-4F09-9AA3-89FF01B04FF8}"/>
    <cellStyle name="Currency 3 2 5 5 3 3" xfId="31604" xr:uid="{524D76A5-EF3E-4E8B-8CDA-1F5A5737B9E5}"/>
    <cellStyle name="Currency 3 2 5 5 3 4" xfId="14732" xr:uid="{3CA44569-C38B-4572-A6B3-24183C5FBA6A}"/>
    <cellStyle name="Currency 3 2 5 5 4" xfId="18952" xr:uid="{BC9FFDAE-96DC-4074-82CB-3EF5D87FD51C}"/>
    <cellStyle name="Currency 3 2 5 5 5" xfId="27387" xr:uid="{2CC3A143-08AC-4842-9236-47CC828A2B6A}"/>
    <cellStyle name="Currency 3 2 5 5 6" xfId="10514" xr:uid="{7266896A-F593-4A11-AD2D-E40498D3F3A5}"/>
    <cellStyle name="Currency 3 2 5 6" xfId="2421" xr:uid="{00000000-0005-0000-0000-0000540B0000}"/>
    <cellStyle name="Currency 3 2 5 6 2" xfId="6706" xr:uid="{00000000-0005-0000-0000-0000550B0000}"/>
    <cellStyle name="Currency 3 2 5 6 2 2" xfId="23583" xr:uid="{29A57A0E-6D4B-44C3-94B4-FF727D584DE4}"/>
    <cellStyle name="Currency 3 2 5 6 2 3" xfId="32017" xr:uid="{EDED9085-2AE5-4F56-AD79-B501CB916F16}"/>
    <cellStyle name="Currency 3 2 5 6 2 4" xfId="15145" xr:uid="{B6CD0243-E89B-4CA4-8CE6-BBF78473271E}"/>
    <cellStyle name="Currency 3 2 5 6 3" xfId="19365" xr:uid="{89ABB47A-B55A-43B7-AE2E-DF42577743A1}"/>
    <cellStyle name="Currency 3 2 5 6 4" xfId="27800" xr:uid="{A00242AB-7C72-4E12-9020-20F0675742A6}"/>
    <cellStyle name="Currency 3 2 5 6 5" xfId="10927" xr:uid="{F1634588-0845-4E37-927D-CF8CF9B31D5D}"/>
    <cellStyle name="Currency 3 2 5 7" xfId="2718" xr:uid="{00000000-0005-0000-0000-0000560B0000}"/>
    <cellStyle name="Currency 3 2 5 8" xfId="2799" xr:uid="{00000000-0005-0000-0000-0000570B0000}"/>
    <cellStyle name="Currency 3 2 5 8 2" xfId="7023" xr:uid="{00000000-0005-0000-0000-0000580B0000}"/>
    <cellStyle name="Currency 3 2 5 8 2 2" xfId="23900" xr:uid="{3F3B1EE8-DF4F-485E-97AB-DDAEFB616E2F}"/>
    <cellStyle name="Currency 3 2 5 8 2 3" xfId="32334" xr:uid="{503B630A-2C5B-4CB6-8167-5164B8099B8D}"/>
    <cellStyle name="Currency 3 2 5 8 2 4" xfId="15462" xr:uid="{F13CB47A-86AA-49EE-B920-74DE50238420}"/>
    <cellStyle name="Currency 3 2 5 8 3" xfId="19682" xr:uid="{43884AE0-595F-4F52-8A76-576468AEE757}"/>
    <cellStyle name="Currency 3 2 5 8 4" xfId="28117" xr:uid="{55B4EEDB-9A61-4C53-9489-A8E605F059DB}"/>
    <cellStyle name="Currency 3 2 5 8 5" xfId="11244" xr:uid="{DF1705FF-D513-4F1A-A344-BF7AED7CE5EF}"/>
    <cellStyle name="Currency 3 2 5 9" xfId="4640" xr:uid="{00000000-0005-0000-0000-0000590B0000}"/>
    <cellStyle name="Currency 3 2 5 9 2" xfId="21517" xr:uid="{9C567FDB-FEA8-4A88-BF45-680657AD23EA}"/>
    <cellStyle name="Currency 3 2 5 9 3" xfId="29951" xr:uid="{1BEFA6F1-4F81-4845-BCAB-0C3758A490C8}"/>
    <cellStyle name="Currency 3 2 5 9 4" xfId="13079" xr:uid="{E645AF12-B287-4D18-9724-0E1EE91466A3}"/>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23901" xr:uid="{7E86C366-01C8-45A2-9878-42CAF464BD5C}"/>
    <cellStyle name="Currency 5 2 2 2 10 2 3" xfId="32335" xr:uid="{46D82C13-58CF-4E88-85D3-9534F8A8C72A}"/>
    <cellStyle name="Currency 5 2 2 2 10 2 4" xfId="15463" xr:uid="{9B293849-392B-4F42-8A5D-70F021B32AED}"/>
    <cellStyle name="Currency 5 2 2 2 10 3" xfId="19683" xr:uid="{F150C365-5BC3-4AD2-B0DD-550B1C4063A5}"/>
    <cellStyle name="Currency 5 2 2 2 10 4" xfId="28118" xr:uid="{0F458147-CFC4-4DD6-87DD-04442C4A006C}"/>
    <cellStyle name="Currency 5 2 2 2 10 5" xfId="11245" xr:uid="{0D1483F3-DDB1-4935-B64D-5369B7C2F193}"/>
    <cellStyle name="Currency 5 2 2 2 11" xfId="4641" xr:uid="{00000000-0005-0000-0000-00006C0B0000}"/>
    <cellStyle name="Currency 5 2 2 2 11 2" xfId="21518" xr:uid="{0A4984BB-0E24-4092-9C15-1C54C1F1FD1E}"/>
    <cellStyle name="Currency 5 2 2 2 11 3" xfId="29952" xr:uid="{5C90CC24-793C-4DBA-993A-FA77D548D0FF}"/>
    <cellStyle name="Currency 5 2 2 2 11 4" xfId="13080" xr:uid="{FBD6B726-190F-4E7C-864C-D23D27D49DFD}"/>
    <cellStyle name="Currency 5 2 2 2 12" xfId="17300" xr:uid="{473CBA0D-BCA1-4C44-8FF5-CB1FF1430FC1}"/>
    <cellStyle name="Currency 5 2 2 2 13" xfId="25735" xr:uid="{83A23507-11E6-42C9-8CE3-7C5546838F07}"/>
    <cellStyle name="Currency 5 2 2 2 14" xfId="8862" xr:uid="{5DC2675B-BCA5-479C-B4E5-067AE65838DE}"/>
    <cellStyle name="Currency 5 2 2 2 2" xfId="197" xr:uid="{00000000-0005-0000-0000-00006D0B0000}"/>
    <cellStyle name="Currency 5 2 2 2 2 10" xfId="4642" xr:uid="{00000000-0005-0000-0000-00006E0B0000}"/>
    <cellStyle name="Currency 5 2 2 2 2 10 2" xfId="21519" xr:uid="{5B365730-83D0-4456-89F8-E796DF88ECEB}"/>
    <cellStyle name="Currency 5 2 2 2 2 10 3" xfId="29953" xr:uid="{AA8917D8-54F7-4DD2-93D7-32BDCB78BFAD}"/>
    <cellStyle name="Currency 5 2 2 2 2 10 4" xfId="13081" xr:uid="{82223AE6-D324-4CBD-B3B4-078761E0D294}"/>
    <cellStyle name="Currency 5 2 2 2 2 11" xfId="17301" xr:uid="{91B8EE9A-98E8-43E7-AF67-886258E7D680}"/>
    <cellStyle name="Currency 5 2 2 2 2 12" xfId="25736" xr:uid="{AA78D7D1-B55F-4CC6-AA01-3866FCF4702F}"/>
    <cellStyle name="Currency 5 2 2 2 2 13" xfId="8863" xr:uid="{7C01165D-BBB5-4ACE-AEBE-8F17BB83560D}"/>
    <cellStyle name="Currency 5 2 2 2 2 2" xfId="198" xr:uid="{00000000-0005-0000-0000-00006F0B0000}"/>
    <cellStyle name="Currency 5 2 2 2 2 2 10" xfId="17302" xr:uid="{40DFCCDB-27C4-42A7-895D-7922163F7745}"/>
    <cellStyle name="Currency 5 2 2 2 2 2 11" xfId="25737" xr:uid="{D7808298-56DC-494E-9F16-784A564B0838}"/>
    <cellStyle name="Currency 5 2 2 2 2 2 12" xfId="8864" xr:uid="{7AA07D69-7DAD-47B8-9EDC-9524EA745AEE}"/>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24079" xr:uid="{E1DCB8F7-7F67-435E-B234-E0C8AE071D61}"/>
    <cellStyle name="Currency 5 2 2 2 2 2 2 2 2 3" xfId="32513" xr:uid="{BECBFEFC-0E18-4B88-AC57-00663B315084}"/>
    <cellStyle name="Currency 5 2 2 2 2 2 2 2 2 4" xfId="15641" xr:uid="{BA8CEFF0-E41F-4C7F-8109-7BF5C87A4744}"/>
    <cellStyle name="Currency 5 2 2 2 2 2 2 2 3" xfId="19861" xr:uid="{20DEBBA4-536F-4317-A9D2-A5E707DD4571}"/>
    <cellStyle name="Currency 5 2 2 2 2 2 2 2 4" xfId="28296" xr:uid="{D81ED8EC-C260-419E-BDB3-7B1BE831A308}"/>
    <cellStyle name="Currency 5 2 2 2 2 2 2 2 5" xfId="11423" xr:uid="{4B22A7D7-7009-4AEE-8F5F-E54E6648B36A}"/>
    <cellStyle name="Currency 5 2 2 2 2 2 2 3" xfId="5057" xr:uid="{00000000-0005-0000-0000-0000730B0000}"/>
    <cellStyle name="Currency 5 2 2 2 2 2 2 3 2" xfId="21934" xr:uid="{E074FC2A-4895-4569-BC0D-50991FF179E3}"/>
    <cellStyle name="Currency 5 2 2 2 2 2 2 3 3" xfId="30368" xr:uid="{1D17D88C-35A3-477E-907B-4D5D77E647B2}"/>
    <cellStyle name="Currency 5 2 2 2 2 2 2 3 4" xfId="13496" xr:uid="{55907FB1-8B0B-4749-93A6-5134F4A2CFA6}"/>
    <cellStyle name="Currency 5 2 2 2 2 2 2 4" xfId="17716" xr:uid="{3538AF1D-57AD-4530-8016-573ECA7F8F72}"/>
    <cellStyle name="Currency 5 2 2 2 2 2 2 5" xfId="26151" xr:uid="{B5E922C4-DB44-4D47-BBD9-7FEF6B013AF0}"/>
    <cellStyle name="Currency 5 2 2 2 2 2 2 6" xfId="9278" xr:uid="{1D7284D4-39A0-4C9F-AA0E-C0007805378E}"/>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24492" xr:uid="{26796434-6820-408B-B69E-3B2F0C150FFD}"/>
    <cellStyle name="Currency 5 2 2 2 2 2 3 2 2 3" xfId="32926" xr:uid="{F48A72E5-4E6B-413E-8FAE-4A0DD782705B}"/>
    <cellStyle name="Currency 5 2 2 2 2 2 3 2 2 4" xfId="16054" xr:uid="{298EBD79-3BA8-434B-8B6C-F952E3D22234}"/>
    <cellStyle name="Currency 5 2 2 2 2 2 3 2 3" xfId="20274" xr:uid="{1A7E79D5-33B6-4A53-88CE-AEDCB887F51C}"/>
    <cellStyle name="Currency 5 2 2 2 2 2 3 2 4" xfId="28709" xr:uid="{57C06DD7-ABD1-41E9-A23C-569BD6BA0A18}"/>
    <cellStyle name="Currency 5 2 2 2 2 2 3 2 5" xfId="11836" xr:uid="{071CFFA5-5647-47E5-BE3C-F0D4097581C7}"/>
    <cellStyle name="Currency 5 2 2 2 2 2 3 3" xfId="5470" xr:uid="{00000000-0005-0000-0000-0000770B0000}"/>
    <cellStyle name="Currency 5 2 2 2 2 2 3 3 2" xfId="22347" xr:uid="{C8B5BE1C-5732-4236-A9A5-BD93348576AB}"/>
    <cellStyle name="Currency 5 2 2 2 2 2 3 3 3" xfId="30781" xr:uid="{6023EEDA-2EF2-41DD-AA19-7189830E557F}"/>
    <cellStyle name="Currency 5 2 2 2 2 2 3 3 4" xfId="13909" xr:uid="{47CF7E32-56FC-4BD2-9FF0-DFF9E27ABF58}"/>
    <cellStyle name="Currency 5 2 2 2 2 2 3 4" xfId="18129" xr:uid="{85BDD2CC-B6C8-4616-90E0-BD78636260A0}"/>
    <cellStyle name="Currency 5 2 2 2 2 2 3 5" xfId="26564" xr:uid="{618BFCAF-5A1F-4E29-A18F-D4FB83F2F230}"/>
    <cellStyle name="Currency 5 2 2 2 2 2 3 6" xfId="9691" xr:uid="{6B252EA3-C03E-4685-A8B9-72F4371FA47E}"/>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24905" xr:uid="{3DC47A67-044D-460F-8CF6-10B7FCCDA1DA}"/>
    <cellStyle name="Currency 5 2 2 2 2 2 4 2 2 3" xfId="33339" xr:uid="{40054052-1A67-4BF9-937D-C441534CC523}"/>
    <cellStyle name="Currency 5 2 2 2 2 2 4 2 2 4" xfId="16467" xr:uid="{9F8B8B10-9C66-4D1D-BF2E-1A2222B88589}"/>
    <cellStyle name="Currency 5 2 2 2 2 2 4 2 3" xfId="20687" xr:uid="{F9FACB8B-1B05-4D4A-9CE6-F7E0E608D9E3}"/>
    <cellStyle name="Currency 5 2 2 2 2 2 4 2 4" xfId="29122" xr:uid="{ED37D5E5-B9DA-4294-9FB0-0CC78C2EF9D1}"/>
    <cellStyle name="Currency 5 2 2 2 2 2 4 2 5" xfId="12249" xr:uid="{B462F6F0-7AA2-4244-BCA6-B3425FF69877}"/>
    <cellStyle name="Currency 5 2 2 2 2 2 4 3" xfId="5883" xr:uid="{00000000-0005-0000-0000-00007B0B0000}"/>
    <cellStyle name="Currency 5 2 2 2 2 2 4 3 2" xfId="22760" xr:uid="{30B92483-A62F-44D6-BF52-C031949FED5B}"/>
    <cellStyle name="Currency 5 2 2 2 2 2 4 3 3" xfId="31194" xr:uid="{BAF20A04-7526-4949-BE77-BD2EE7935DBD}"/>
    <cellStyle name="Currency 5 2 2 2 2 2 4 3 4" xfId="14322" xr:uid="{42338834-66A4-4E1A-980B-192378FD2714}"/>
    <cellStyle name="Currency 5 2 2 2 2 2 4 4" xfId="18542" xr:uid="{97D1C160-8EB0-4D43-9F73-CB71C3ABF85A}"/>
    <cellStyle name="Currency 5 2 2 2 2 2 4 5" xfId="26977" xr:uid="{B842AD40-3B91-49C8-9F97-3791FDF59ABC}"/>
    <cellStyle name="Currency 5 2 2 2 2 2 4 6" xfId="10104" xr:uid="{59062E9E-F7F3-4A3E-AABA-2B1A18695A52}"/>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25318" xr:uid="{08236817-A783-413F-A0B6-3485C1E99429}"/>
    <cellStyle name="Currency 5 2 2 2 2 2 5 2 2 3" xfId="33752" xr:uid="{8B2DC91F-CFBA-4CCA-B360-04A8A9298E31}"/>
    <cellStyle name="Currency 5 2 2 2 2 2 5 2 2 4" xfId="16880" xr:uid="{4421E468-FC95-4828-B076-A05E8F403F10}"/>
    <cellStyle name="Currency 5 2 2 2 2 2 5 2 3" xfId="21100" xr:uid="{8B81BCDD-9FBC-4E77-989B-02AC3B662A3E}"/>
    <cellStyle name="Currency 5 2 2 2 2 2 5 2 4" xfId="29535" xr:uid="{3D0B9864-B37E-4D9A-9D58-6CBDA905E385}"/>
    <cellStyle name="Currency 5 2 2 2 2 2 5 2 5" xfId="12662" xr:uid="{EFDEFB2E-D720-4012-A532-53E384DC61BD}"/>
    <cellStyle name="Currency 5 2 2 2 2 2 5 3" xfId="6296" xr:uid="{00000000-0005-0000-0000-00007F0B0000}"/>
    <cellStyle name="Currency 5 2 2 2 2 2 5 3 2" xfId="23173" xr:uid="{CE26FE39-AFD0-4534-8713-77D570BBE254}"/>
    <cellStyle name="Currency 5 2 2 2 2 2 5 3 3" xfId="31607" xr:uid="{D535DB88-5E42-40B9-A380-453B8529E1F5}"/>
    <cellStyle name="Currency 5 2 2 2 2 2 5 3 4" xfId="14735" xr:uid="{15DC899D-81F6-4D7C-9CAE-D0F0E92BEF00}"/>
    <cellStyle name="Currency 5 2 2 2 2 2 5 4" xfId="18955" xr:uid="{BC3848D2-CC67-4904-810E-19D55ACB0687}"/>
    <cellStyle name="Currency 5 2 2 2 2 2 5 5" xfId="27390" xr:uid="{C2388538-1F4F-40D6-9A6D-88F39879F4E6}"/>
    <cellStyle name="Currency 5 2 2 2 2 2 5 6" xfId="10517" xr:uid="{F5A26493-2287-46BA-AA4F-B75A2326FE2D}"/>
    <cellStyle name="Currency 5 2 2 2 2 2 6" xfId="2424" xr:uid="{00000000-0005-0000-0000-0000800B0000}"/>
    <cellStyle name="Currency 5 2 2 2 2 2 6 2" xfId="6709" xr:uid="{00000000-0005-0000-0000-0000810B0000}"/>
    <cellStyle name="Currency 5 2 2 2 2 2 6 2 2" xfId="23586" xr:uid="{5E4F74BF-70BF-4295-A3D1-B20AF1B681F1}"/>
    <cellStyle name="Currency 5 2 2 2 2 2 6 2 3" xfId="32020" xr:uid="{2D19D523-2634-429F-9885-2BD919F436C6}"/>
    <cellStyle name="Currency 5 2 2 2 2 2 6 2 4" xfId="15148" xr:uid="{891E56EA-975D-427F-BD2E-E682652F3AE8}"/>
    <cellStyle name="Currency 5 2 2 2 2 2 6 3" xfId="19368" xr:uid="{CD2F3FAB-3FFA-4D21-B9B6-27BC688EEB4A}"/>
    <cellStyle name="Currency 5 2 2 2 2 2 6 4" xfId="27803" xr:uid="{CC187EF3-6460-4A61-BD84-9BE621004A4C}"/>
    <cellStyle name="Currency 5 2 2 2 2 2 6 5" xfId="10930" xr:uid="{618B9CF7-8885-4CC8-87C5-7E1DFE90D4A4}"/>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23903" xr:uid="{6FB7C952-14EA-4FDA-B72C-7310FEEBD8CB}"/>
    <cellStyle name="Currency 5 2 2 2 2 2 8 2 3" xfId="32337" xr:uid="{81F57373-3DD0-4A2A-BC00-D76A8585A474}"/>
    <cellStyle name="Currency 5 2 2 2 2 2 8 2 4" xfId="15465" xr:uid="{569D08AB-B2EE-45C9-AF48-DDCB0F48AECF}"/>
    <cellStyle name="Currency 5 2 2 2 2 2 8 3" xfId="19685" xr:uid="{144BB644-A0EB-403A-8BD6-4417B4A8EF0D}"/>
    <cellStyle name="Currency 5 2 2 2 2 2 8 4" xfId="28120" xr:uid="{6A3FA983-69E1-4C93-A342-84D1AC024E4E}"/>
    <cellStyle name="Currency 5 2 2 2 2 2 8 5" xfId="11247" xr:uid="{61FB5919-A821-46AF-B575-DCCA02EA0D80}"/>
    <cellStyle name="Currency 5 2 2 2 2 2 9" xfId="4643" xr:uid="{00000000-0005-0000-0000-0000850B0000}"/>
    <cellStyle name="Currency 5 2 2 2 2 2 9 2" xfId="21520" xr:uid="{55990795-4207-4A0C-963E-C0FB069DF799}"/>
    <cellStyle name="Currency 5 2 2 2 2 2 9 3" xfId="29954" xr:uid="{F39FE598-E309-4B33-BD39-BF249143CA51}"/>
    <cellStyle name="Currency 5 2 2 2 2 2 9 4" xfId="13082" xr:uid="{4BBDDB7B-B6B1-4072-BFA9-DD3104DCED03}"/>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24078" xr:uid="{3D3FD4B7-E366-43A0-8C34-ECF318091F9A}"/>
    <cellStyle name="Currency 5 2 2 2 2 3 2 2 3" xfId="32512" xr:uid="{579480F4-09BA-49C3-8ACA-4E163AB6EBF6}"/>
    <cellStyle name="Currency 5 2 2 2 2 3 2 2 4" xfId="15640" xr:uid="{F6ACF000-4265-4402-987B-FD6FAFDFAECD}"/>
    <cellStyle name="Currency 5 2 2 2 2 3 2 3" xfId="19860" xr:uid="{1CCAA588-293D-4D60-9C00-36BB954EFF25}"/>
    <cellStyle name="Currency 5 2 2 2 2 3 2 4" xfId="28295" xr:uid="{248A9E8B-61DE-448E-912C-1008ECFC3344}"/>
    <cellStyle name="Currency 5 2 2 2 2 3 2 5" xfId="11422" xr:uid="{07651D58-A4D1-47B0-B2C5-6BB7699B7864}"/>
    <cellStyle name="Currency 5 2 2 2 2 3 3" xfId="5056" xr:uid="{00000000-0005-0000-0000-0000890B0000}"/>
    <cellStyle name="Currency 5 2 2 2 2 3 3 2" xfId="21933" xr:uid="{39693B72-A08E-4C09-935D-6E1410D4A877}"/>
    <cellStyle name="Currency 5 2 2 2 2 3 3 3" xfId="30367" xr:uid="{3686E78A-A550-41C2-860A-0CC386FAC318}"/>
    <cellStyle name="Currency 5 2 2 2 2 3 3 4" xfId="13495" xr:uid="{C1FEBD9D-98F8-48E3-9D29-238E6808F145}"/>
    <cellStyle name="Currency 5 2 2 2 2 3 4" xfId="17715" xr:uid="{2F04B659-3345-4C53-AFB6-C379829F3F98}"/>
    <cellStyle name="Currency 5 2 2 2 2 3 5" xfId="26150" xr:uid="{1F64F1CD-2C54-462D-A238-885A76A233EE}"/>
    <cellStyle name="Currency 5 2 2 2 2 3 6" xfId="9277" xr:uid="{6C8B8C67-44A5-4CF3-83D1-30BD28C5CF0D}"/>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24491" xr:uid="{5F9EC631-D78D-40B5-B7C1-F3B60A7EA8F5}"/>
    <cellStyle name="Currency 5 2 2 2 2 4 2 2 3" xfId="32925" xr:uid="{D605CD32-2695-489B-A8FF-9A0E68785821}"/>
    <cellStyle name="Currency 5 2 2 2 2 4 2 2 4" xfId="16053" xr:uid="{80073724-2374-47A3-9DC3-71911DE88354}"/>
    <cellStyle name="Currency 5 2 2 2 2 4 2 3" xfId="20273" xr:uid="{E7E476E5-4C1F-47F7-96C5-EB14B8C08750}"/>
    <cellStyle name="Currency 5 2 2 2 2 4 2 4" xfId="28708" xr:uid="{BE4532A6-3D78-4679-8998-46D50B3F12CD}"/>
    <cellStyle name="Currency 5 2 2 2 2 4 2 5" xfId="11835" xr:uid="{7461D813-B124-4BFC-8B44-23D6D597D0B8}"/>
    <cellStyle name="Currency 5 2 2 2 2 4 3" xfId="5469" xr:uid="{00000000-0005-0000-0000-00008D0B0000}"/>
    <cellStyle name="Currency 5 2 2 2 2 4 3 2" xfId="22346" xr:uid="{B1D09973-2512-4227-819A-90ABAF9F9188}"/>
    <cellStyle name="Currency 5 2 2 2 2 4 3 3" xfId="30780" xr:uid="{76B5AA27-5F9A-464E-A12E-145E57C464C8}"/>
    <cellStyle name="Currency 5 2 2 2 2 4 3 4" xfId="13908" xr:uid="{0D43F716-A940-4D8A-A396-AD06B8B1C7D1}"/>
    <cellStyle name="Currency 5 2 2 2 2 4 4" xfId="18128" xr:uid="{2AFAF17F-BF47-43B5-A286-3295D76F4B6A}"/>
    <cellStyle name="Currency 5 2 2 2 2 4 5" xfId="26563" xr:uid="{7F74474E-C913-4A51-94AD-F26CDF7F105A}"/>
    <cellStyle name="Currency 5 2 2 2 2 4 6" xfId="9690" xr:uid="{17E973FD-9D56-42C2-845E-FBDF4E59CF92}"/>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24904" xr:uid="{A29A9D9C-B351-40EC-8212-BFBA50EA9F82}"/>
    <cellStyle name="Currency 5 2 2 2 2 5 2 2 3" xfId="33338" xr:uid="{3D8CEAF3-FC66-4701-81CB-BE4DEC2DA75B}"/>
    <cellStyle name="Currency 5 2 2 2 2 5 2 2 4" xfId="16466" xr:uid="{6DBFA99D-E54A-47D7-ABA3-0F7A0120ACBE}"/>
    <cellStyle name="Currency 5 2 2 2 2 5 2 3" xfId="20686" xr:uid="{F3FD6EFE-1838-444B-8DE4-0B6022CB650A}"/>
    <cellStyle name="Currency 5 2 2 2 2 5 2 4" xfId="29121" xr:uid="{24D83012-1748-4306-BF46-DBA4F489350E}"/>
    <cellStyle name="Currency 5 2 2 2 2 5 2 5" xfId="12248" xr:uid="{D6D45CE3-1911-4D4D-BD36-249A20E8A474}"/>
    <cellStyle name="Currency 5 2 2 2 2 5 3" xfId="5882" xr:uid="{00000000-0005-0000-0000-0000910B0000}"/>
    <cellStyle name="Currency 5 2 2 2 2 5 3 2" xfId="22759" xr:uid="{CB0855F7-AC2A-469D-85A1-A189943DA6E1}"/>
    <cellStyle name="Currency 5 2 2 2 2 5 3 3" xfId="31193" xr:uid="{846DD5AE-7810-4473-8F9B-267F9099B4B3}"/>
    <cellStyle name="Currency 5 2 2 2 2 5 3 4" xfId="14321" xr:uid="{EB4EDC0C-0079-4B0D-9A13-0ED2D491B69A}"/>
    <cellStyle name="Currency 5 2 2 2 2 5 4" xfId="18541" xr:uid="{B1334B65-0FF9-4269-8BB7-0EF6D3B67982}"/>
    <cellStyle name="Currency 5 2 2 2 2 5 5" xfId="26976" xr:uid="{21148A24-31F8-40A9-8274-59EBDB6B2016}"/>
    <cellStyle name="Currency 5 2 2 2 2 5 6" xfId="10103" xr:uid="{299A2D26-1F0D-45F2-ACA9-5C825572F952}"/>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25317" xr:uid="{F3BDAC87-C05D-4446-9C74-568CE9866BDB}"/>
    <cellStyle name="Currency 5 2 2 2 2 6 2 2 3" xfId="33751" xr:uid="{986715BB-83D1-41DF-B0C9-A6553D46EB64}"/>
    <cellStyle name="Currency 5 2 2 2 2 6 2 2 4" xfId="16879" xr:uid="{02251886-CD01-4A68-9797-05A85B0463D5}"/>
    <cellStyle name="Currency 5 2 2 2 2 6 2 3" xfId="21099" xr:uid="{CB768C1B-5C03-47B8-9AD2-E485621AC94C}"/>
    <cellStyle name="Currency 5 2 2 2 2 6 2 4" xfId="29534" xr:uid="{2A36615F-929D-47D6-969A-626E2516A6D1}"/>
    <cellStyle name="Currency 5 2 2 2 2 6 2 5" xfId="12661" xr:uid="{B9BCAE16-B353-4494-8183-B04085CB1505}"/>
    <cellStyle name="Currency 5 2 2 2 2 6 3" xfId="6295" xr:uid="{00000000-0005-0000-0000-0000950B0000}"/>
    <cellStyle name="Currency 5 2 2 2 2 6 3 2" xfId="23172" xr:uid="{40C42EEA-4BA8-47A2-8137-C716FFC33DBA}"/>
    <cellStyle name="Currency 5 2 2 2 2 6 3 3" xfId="31606" xr:uid="{60CBCD06-4A9C-48EB-957C-C7191740F1CE}"/>
    <cellStyle name="Currency 5 2 2 2 2 6 3 4" xfId="14734" xr:uid="{B8C26206-256C-425E-96B4-4E45F2B20730}"/>
    <cellStyle name="Currency 5 2 2 2 2 6 4" xfId="18954" xr:uid="{8C2698D4-77A6-403C-9A2C-EC835A986A52}"/>
    <cellStyle name="Currency 5 2 2 2 2 6 5" xfId="27389" xr:uid="{2364BD7F-842E-4AAD-97CE-1591AF082716}"/>
    <cellStyle name="Currency 5 2 2 2 2 6 6" xfId="10516" xr:uid="{C62FEBCA-13CD-4E92-A6D5-4FCBAFD9AF86}"/>
    <cellStyle name="Currency 5 2 2 2 2 7" xfId="2423" xr:uid="{00000000-0005-0000-0000-0000960B0000}"/>
    <cellStyle name="Currency 5 2 2 2 2 7 2" xfId="6708" xr:uid="{00000000-0005-0000-0000-0000970B0000}"/>
    <cellStyle name="Currency 5 2 2 2 2 7 2 2" xfId="23585" xr:uid="{524C9C36-817A-47F8-AEC5-D95DC9CE5B7A}"/>
    <cellStyle name="Currency 5 2 2 2 2 7 2 3" xfId="32019" xr:uid="{DD60CA68-EA49-482D-97A2-0096C09CCDBF}"/>
    <cellStyle name="Currency 5 2 2 2 2 7 2 4" xfId="15147" xr:uid="{13BCC2DF-002A-4818-850B-565CAED3B4D2}"/>
    <cellStyle name="Currency 5 2 2 2 2 7 3" xfId="19367" xr:uid="{67CE7644-221F-47AB-8991-7D6744BA88F7}"/>
    <cellStyle name="Currency 5 2 2 2 2 7 4" xfId="27802" xr:uid="{EFE39E17-3510-4A62-966B-23E5CF87FB28}"/>
    <cellStyle name="Currency 5 2 2 2 2 7 5" xfId="10929" xr:uid="{5ED2FEF7-850A-486B-95C1-842513717D8A}"/>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23902" xr:uid="{F8372935-92FA-48AE-A9A7-9D1520550BBE}"/>
    <cellStyle name="Currency 5 2 2 2 2 9 2 3" xfId="32336" xr:uid="{BF12048B-D69F-4621-A8A0-5928946A2651}"/>
    <cellStyle name="Currency 5 2 2 2 2 9 2 4" xfId="15464" xr:uid="{60ACBE5E-F2AB-4062-A0A0-26D38368C994}"/>
    <cellStyle name="Currency 5 2 2 2 2 9 3" xfId="19684" xr:uid="{EC6754BA-27F8-4FC8-BC71-718183A9EDD6}"/>
    <cellStyle name="Currency 5 2 2 2 2 9 4" xfId="28119" xr:uid="{82F00D1C-A6B0-4AF4-8DF8-E03465244F45}"/>
    <cellStyle name="Currency 5 2 2 2 2 9 5" xfId="11246" xr:uid="{97768257-241A-49B3-8354-1B41A4770049}"/>
    <cellStyle name="Currency 5 2 2 2 3" xfId="199" xr:uid="{00000000-0005-0000-0000-00009B0B0000}"/>
    <cellStyle name="Currency 5 2 2 2 3 10" xfId="17303" xr:uid="{7CB89FAE-E00E-43AE-9D31-C0EA6ABB0F6B}"/>
    <cellStyle name="Currency 5 2 2 2 3 11" xfId="25738" xr:uid="{94DA2518-8F11-4468-893B-70FF7D9FB487}"/>
    <cellStyle name="Currency 5 2 2 2 3 12" xfId="8865" xr:uid="{B7971D8C-7E0E-4001-9922-3BD89D6649C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24080" xr:uid="{85CF8ED7-DEA5-4144-8341-D8ECC1E0B70F}"/>
    <cellStyle name="Currency 5 2 2 2 3 2 2 2 3" xfId="32514" xr:uid="{65E82533-414B-4B5B-99A2-E0887032F48D}"/>
    <cellStyle name="Currency 5 2 2 2 3 2 2 2 4" xfId="15642" xr:uid="{03D463B5-E943-4E0F-AADA-5732546C7E8D}"/>
    <cellStyle name="Currency 5 2 2 2 3 2 2 3" xfId="19862" xr:uid="{F17DFFB5-8AA6-4ECC-B4DA-21A323653F0B}"/>
    <cellStyle name="Currency 5 2 2 2 3 2 2 4" xfId="28297" xr:uid="{24DA4769-B83A-466D-A600-863A12547E3F}"/>
    <cellStyle name="Currency 5 2 2 2 3 2 2 5" xfId="11424" xr:uid="{61249706-5B4F-4AA5-9157-5E44C6D4AE90}"/>
    <cellStyle name="Currency 5 2 2 2 3 2 3" xfId="5058" xr:uid="{00000000-0005-0000-0000-00009F0B0000}"/>
    <cellStyle name="Currency 5 2 2 2 3 2 3 2" xfId="21935" xr:uid="{F9A9DA0C-14EC-45D9-BDAA-713E3E01B81A}"/>
    <cellStyle name="Currency 5 2 2 2 3 2 3 3" xfId="30369" xr:uid="{7E39D5EC-A770-4A1F-86E8-26583A52BC8D}"/>
    <cellStyle name="Currency 5 2 2 2 3 2 3 4" xfId="13497" xr:uid="{B8672E11-3EE1-4E48-A72A-B787CFC8F1E6}"/>
    <cellStyle name="Currency 5 2 2 2 3 2 4" xfId="17717" xr:uid="{7EEFF58D-72D1-4C1C-87A1-BD2D574A83DC}"/>
    <cellStyle name="Currency 5 2 2 2 3 2 5" xfId="26152" xr:uid="{F40ECDF9-9AE8-4946-A05C-1433816031B9}"/>
    <cellStyle name="Currency 5 2 2 2 3 2 6" xfId="9279" xr:uid="{055DC522-8E7A-4975-8030-71CEBF0B655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24493" xr:uid="{41129A18-9E62-4AF6-9872-0529C22010C6}"/>
    <cellStyle name="Currency 5 2 2 2 3 3 2 2 3" xfId="32927" xr:uid="{08DA4BB3-4A01-4521-BD23-220F9AFD7CA7}"/>
    <cellStyle name="Currency 5 2 2 2 3 3 2 2 4" xfId="16055" xr:uid="{5C0194C1-F5BD-4C83-8CC4-7C298A6449C6}"/>
    <cellStyle name="Currency 5 2 2 2 3 3 2 3" xfId="20275" xr:uid="{C7E91B13-51B5-4CB9-9AB5-2645E0F55890}"/>
    <cellStyle name="Currency 5 2 2 2 3 3 2 4" xfId="28710" xr:uid="{BD381B96-2B86-47FA-9ED4-C017FA85E3F7}"/>
    <cellStyle name="Currency 5 2 2 2 3 3 2 5" xfId="11837" xr:uid="{AC98F05C-9057-4312-906C-32415D6BF6D6}"/>
    <cellStyle name="Currency 5 2 2 2 3 3 3" xfId="5471" xr:uid="{00000000-0005-0000-0000-0000A30B0000}"/>
    <cellStyle name="Currency 5 2 2 2 3 3 3 2" xfId="22348" xr:uid="{065ABEE5-02D2-4BD6-AB83-0E92C4F7F380}"/>
    <cellStyle name="Currency 5 2 2 2 3 3 3 3" xfId="30782" xr:uid="{ADA31470-9F1A-4252-8EAC-80E8C98B40F9}"/>
    <cellStyle name="Currency 5 2 2 2 3 3 3 4" xfId="13910" xr:uid="{4A1B9FDF-88A5-4550-B2F0-FA864F0C915F}"/>
    <cellStyle name="Currency 5 2 2 2 3 3 4" xfId="18130" xr:uid="{B3EC07EA-5E08-47FF-A7AC-A7E3F5F69AD2}"/>
    <cellStyle name="Currency 5 2 2 2 3 3 5" xfId="26565" xr:uid="{A6A3FC95-D433-4EF8-9FFB-5DC539B299F3}"/>
    <cellStyle name="Currency 5 2 2 2 3 3 6" xfId="9692" xr:uid="{730090D0-10A7-4D46-9D62-24B1066D63DB}"/>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24906" xr:uid="{E1527DCD-9F5C-442D-AC10-9EE4B8B0483D}"/>
    <cellStyle name="Currency 5 2 2 2 3 4 2 2 3" xfId="33340" xr:uid="{54D7B19C-BC26-4D44-B841-772E8ACB5C63}"/>
    <cellStyle name="Currency 5 2 2 2 3 4 2 2 4" xfId="16468" xr:uid="{0D857B6F-7CE4-4B5F-866A-AEFBF9159D8F}"/>
    <cellStyle name="Currency 5 2 2 2 3 4 2 3" xfId="20688" xr:uid="{39EA427A-DA4B-4422-8D21-DE6BDD9AE6F8}"/>
    <cellStyle name="Currency 5 2 2 2 3 4 2 4" xfId="29123" xr:uid="{9906CE07-91F2-4C3B-BF85-B7F8101D3748}"/>
    <cellStyle name="Currency 5 2 2 2 3 4 2 5" xfId="12250" xr:uid="{3CFC8F12-4DEF-4EAB-BB32-CA4576225862}"/>
    <cellStyle name="Currency 5 2 2 2 3 4 3" xfId="5884" xr:uid="{00000000-0005-0000-0000-0000A70B0000}"/>
    <cellStyle name="Currency 5 2 2 2 3 4 3 2" xfId="22761" xr:uid="{9403266E-0EC7-49CA-A46E-797F81E8561F}"/>
    <cellStyle name="Currency 5 2 2 2 3 4 3 3" xfId="31195" xr:uid="{6A2836AE-2780-43C7-8F51-470F6051089B}"/>
    <cellStyle name="Currency 5 2 2 2 3 4 3 4" xfId="14323" xr:uid="{58C4D941-A2D0-4E1D-A2CD-CD7BC8220C80}"/>
    <cellStyle name="Currency 5 2 2 2 3 4 4" xfId="18543" xr:uid="{10FD9538-3798-4267-8E59-F96BBDFD0E09}"/>
    <cellStyle name="Currency 5 2 2 2 3 4 5" xfId="26978" xr:uid="{35DD5321-25FC-46D9-B43A-6EDAE24A260D}"/>
    <cellStyle name="Currency 5 2 2 2 3 4 6" xfId="10105" xr:uid="{B2D2EA1F-5FB3-4374-B3A1-1CF6685FC34F}"/>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25319" xr:uid="{68CACD59-7156-42C3-99BE-13F6A1012AA5}"/>
    <cellStyle name="Currency 5 2 2 2 3 5 2 2 3" xfId="33753" xr:uid="{0E0C734A-FD4B-4E1C-9302-B73372D561EB}"/>
    <cellStyle name="Currency 5 2 2 2 3 5 2 2 4" xfId="16881" xr:uid="{69AC2890-DB21-47F9-A239-1CAF5E4C4369}"/>
    <cellStyle name="Currency 5 2 2 2 3 5 2 3" xfId="21101" xr:uid="{C9810690-EB4D-4633-9899-EB2446D29A8F}"/>
    <cellStyle name="Currency 5 2 2 2 3 5 2 4" xfId="29536" xr:uid="{2102E632-8EA4-4FC4-8615-47F829D62E92}"/>
    <cellStyle name="Currency 5 2 2 2 3 5 2 5" xfId="12663" xr:uid="{7DD3F8B9-9A03-443C-8E3A-2CDBE603CBA8}"/>
    <cellStyle name="Currency 5 2 2 2 3 5 3" xfId="6297" xr:uid="{00000000-0005-0000-0000-0000AB0B0000}"/>
    <cellStyle name="Currency 5 2 2 2 3 5 3 2" xfId="23174" xr:uid="{50B8DA0F-6BAB-4B70-BEF7-296097455D5A}"/>
    <cellStyle name="Currency 5 2 2 2 3 5 3 3" xfId="31608" xr:uid="{4039A52A-4A4A-4F0E-9836-0604AADC0DE0}"/>
    <cellStyle name="Currency 5 2 2 2 3 5 3 4" xfId="14736" xr:uid="{D2AA5864-F7B8-4113-97E8-A3F87CFCBDF8}"/>
    <cellStyle name="Currency 5 2 2 2 3 5 4" xfId="18956" xr:uid="{920F4F37-FCAD-4CA0-969D-6A05F8E82504}"/>
    <cellStyle name="Currency 5 2 2 2 3 5 5" xfId="27391" xr:uid="{12A6820E-E738-46ED-BA6D-8829A1D54D8C}"/>
    <cellStyle name="Currency 5 2 2 2 3 5 6" xfId="10518" xr:uid="{2481BB56-F4D0-4425-A93B-580D3A6DD681}"/>
    <cellStyle name="Currency 5 2 2 2 3 6" xfId="2425" xr:uid="{00000000-0005-0000-0000-0000AC0B0000}"/>
    <cellStyle name="Currency 5 2 2 2 3 6 2" xfId="6710" xr:uid="{00000000-0005-0000-0000-0000AD0B0000}"/>
    <cellStyle name="Currency 5 2 2 2 3 6 2 2" xfId="23587" xr:uid="{296DF023-33AC-4D63-9030-47578C5BF9FB}"/>
    <cellStyle name="Currency 5 2 2 2 3 6 2 3" xfId="32021" xr:uid="{F9AEAED3-7099-4AFA-BCB2-2F14A4EB7732}"/>
    <cellStyle name="Currency 5 2 2 2 3 6 2 4" xfId="15149" xr:uid="{253E3324-C8DA-4E7C-99AC-EB5AD37A98C2}"/>
    <cellStyle name="Currency 5 2 2 2 3 6 3" xfId="19369" xr:uid="{EED2E609-3E8E-4EFC-A872-D03CAA7D6A5B}"/>
    <cellStyle name="Currency 5 2 2 2 3 6 4" xfId="27804" xr:uid="{2F74C906-8892-463F-8459-B299B209EFA6}"/>
    <cellStyle name="Currency 5 2 2 2 3 6 5" xfId="10931" xr:uid="{CC129892-A09C-4D42-BA4F-48CED12738DC}"/>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23904" xr:uid="{007CA50B-E255-41EC-B272-3AEC33CE8183}"/>
    <cellStyle name="Currency 5 2 2 2 3 8 2 3" xfId="32338" xr:uid="{49BD11D0-E927-49AB-977C-389DF5E0F81F}"/>
    <cellStyle name="Currency 5 2 2 2 3 8 2 4" xfId="15466" xr:uid="{D06EC83C-D9B7-4CBA-94E1-B4F8BF09CF97}"/>
    <cellStyle name="Currency 5 2 2 2 3 8 3" xfId="19686" xr:uid="{1B8222DF-4F53-4C72-B99B-A633A7564347}"/>
    <cellStyle name="Currency 5 2 2 2 3 8 4" xfId="28121" xr:uid="{A9BC1698-F247-4312-A73B-68E64425DB65}"/>
    <cellStyle name="Currency 5 2 2 2 3 8 5" xfId="11248" xr:uid="{6F56A9F4-9C72-42B8-B551-CAAEFE43ECFB}"/>
    <cellStyle name="Currency 5 2 2 2 3 9" xfId="4644" xr:uid="{00000000-0005-0000-0000-0000B10B0000}"/>
    <cellStyle name="Currency 5 2 2 2 3 9 2" xfId="21521" xr:uid="{1F944B51-3780-4818-8FC6-5B3D55935041}"/>
    <cellStyle name="Currency 5 2 2 2 3 9 3" xfId="29955" xr:uid="{17D91436-207A-4B0E-9313-F24A780B3AD4}"/>
    <cellStyle name="Currency 5 2 2 2 3 9 4" xfId="13083" xr:uid="{7A0FC34F-A82E-4F8E-86B2-D45355FE6C9F}"/>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24077" xr:uid="{52E27863-9E2A-4D2E-9F93-E88EB8C9D3F5}"/>
    <cellStyle name="Currency 5 2 2 2 4 2 2 3" xfId="32511" xr:uid="{06B3CFA3-A47E-4F82-8EA9-D694AFED3ABD}"/>
    <cellStyle name="Currency 5 2 2 2 4 2 2 4" xfId="15639" xr:uid="{2953FC6B-642C-4FFF-B32A-56AD34A3B55E}"/>
    <cellStyle name="Currency 5 2 2 2 4 2 3" xfId="19859" xr:uid="{2276BA15-6DE9-42F5-A909-91F666F073FE}"/>
    <cellStyle name="Currency 5 2 2 2 4 2 4" xfId="28294" xr:uid="{C2227518-8EA8-4978-9D10-DC3B28685229}"/>
    <cellStyle name="Currency 5 2 2 2 4 2 5" xfId="11421" xr:uid="{3391EF64-1B1E-485D-96C8-95E35B0154CE}"/>
    <cellStyle name="Currency 5 2 2 2 4 3" xfId="5055" xr:uid="{00000000-0005-0000-0000-0000B50B0000}"/>
    <cellStyle name="Currency 5 2 2 2 4 3 2" xfId="21932" xr:uid="{B87BE162-C0F2-4E39-937E-8CA7176D1B66}"/>
    <cellStyle name="Currency 5 2 2 2 4 3 3" xfId="30366" xr:uid="{E26B848D-38FF-4662-A856-EB510E773110}"/>
    <cellStyle name="Currency 5 2 2 2 4 3 4" xfId="13494" xr:uid="{D033B4F5-546A-4061-BCAA-81D104F44F8B}"/>
    <cellStyle name="Currency 5 2 2 2 4 4" xfId="17714" xr:uid="{52B0B58E-532E-4903-AC08-471A54BD0FD3}"/>
    <cellStyle name="Currency 5 2 2 2 4 5" xfId="26149" xr:uid="{726380AE-D31B-4294-8DA6-99E496BA3C7C}"/>
    <cellStyle name="Currency 5 2 2 2 4 6" xfId="9276" xr:uid="{E314C9EE-04BE-4E74-AB3A-5B5C7F30173F}"/>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24490" xr:uid="{54D5A4E4-6FAB-4781-8972-0E2640F9F8C0}"/>
    <cellStyle name="Currency 5 2 2 2 5 2 2 3" xfId="32924" xr:uid="{F45C5022-8ED2-4220-8E27-08D8ED334455}"/>
    <cellStyle name="Currency 5 2 2 2 5 2 2 4" xfId="16052" xr:uid="{E582324D-C734-4992-A0B5-B5D2C09EBC5F}"/>
    <cellStyle name="Currency 5 2 2 2 5 2 3" xfId="20272" xr:uid="{3CB866CC-FFC3-44E7-8BC4-1F8E64979576}"/>
    <cellStyle name="Currency 5 2 2 2 5 2 4" xfId="28707" xr:uid="{B03AD159-5496-4CD5-A5F1-3D9DBC0A3951}"/>
    <cellStyle name="Currency 5 2 2 2 5 2 5" xfId="11834" xr:uid="{57FB85F1-E6DD-475E-A9C9-F60317CD8B11}"/>
    <cellStyle name="Currency 5 2 2 2 5 3" xfId="5468" xr:uid="{00000000-0005-0000-0000-0000B90B0000}"/>
    <cellStyle name="Currency 5 2 2 2 5 3 2" xfId="22345" xr:uid="{14052E22-0B3D-473D-9B18-7906156C7B41}"/>
    <cellStyle name="Currency 5 2 2 2 5 3 3" xfId="30779" xr:uid="{9AAF03BC-B8C0-482D-BFB8-76F42F988446}"/>
    <cellStyle name="Currency 5 2 2 2 5 3 4" xfId="13907" xr:uid="{EADBCA04-5623-42A1-806B-8665A9BF0860}"/>
    <cellStyle name="Currency 5 2 2 2 5 4" xfId="18127" xr:uid="{4A28E9F6-C079-46CE-A8E6-E864E34A00A3}"/>
    <cellStyle name="Currency 5 2 2 2 5 5" xfId="26562" xr:uid="{49D87D5C-E774-4A7C-AC31-E0181F19513E}"/>
    <cellStyle name="Currency 5 2 2 2 5 6" xfId="9689" xr:uid="{DBF8DD7D-32C1-4615-A5BC-9598914CC6F6}"/>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24903" xr:uid="{74076191-E580-4B6E-A374-59B1578523C1}"/>
    <cellStyle name="Currency 5 2 2 2 6 2 2 3" xfId="33337" xr:uid="{92BF9F19-ED30-41C6-B4B0-BD92FDE4D02E}"/>
    <cellStyle name="Currency 5 2 2 2 6 2 2 4" xfId="16465" xr:uid="{AE5D8F10-A96E-491F-8133-CE0DBE27AB7D}"/>
    <cellStyle name="Currency 5 2 2 2 6 2 3" xfId="20685" xr:uid="{C9930019-BC79-4482-B0B6-C5AC4452488F}"/>
    <cellStyle name="Currency 5 2 2 2 6 2 4" xfId="29120" xr:uid="{F0AC79EB-D651-447D-A84D-2F2D543665E0}"/>
    <cellStyle name="Currency 5 2 2 2 6 2 5" xfId="12247" xr:uid="{C6EB0CC5-EF27-44C0-91CE-60A7DA5C6E96}"/>
    <cellStyle name="Currency 5 2 2 2 6 3" xfId="5881" xr:uid="{00000000-0005-0000-0000-0000BD0B0000}"/>
    <cellStyle name="Currency 5 2 2 2 6 3 2" xfId="22758" xr:uid="{E4EF1928-574C-4709-84A9-9C93EEE0285A}"/>
    <cellStyle name="Currency 5 2 2 2 6 3 3" xfId="31192" xr:uid="{3FDBB4AC-3E99-4F4A-8DC6-479328838C60}"/>
    <cellStyle name="Currency 5 2 2 2 6 3 4" xfId="14320" xr:uid="{2A5F75E8-25D6-424C-84EB-29F583CE32E7}"/>
    <cellStyle name="Currency 5 2 2 2 6 4" xfId="18540" xr:uid="{4B46D530-D60F-4109-88E9-9C198A059733}"/>
    <cellStyle name="Currency 5 2 2 2 6 5" xfId="26975" xr:uid="{6850BE45-3C19-4820-801B-95995BA52D2B}"/>
    <cellStyle name="Currency 5 2 2 2 6 6" xfId="10102" xr:uid="{B11D51B1-07F3-4AB3-BAC1-74B536C1A645}"/>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25316" xr:uid="{AC8E7378-9ECB-4FAB-BDB2-11A6D5712283}"/>
    <cellStyle name="Currency 5 2 2 2 7 2 2 3" xfId="33750" xr:uid="{DBE89538-9893-45D0-A706-105C434CED50}"/>
    <cellStyle name="Currency 5 2 2 2 7 2 2 4" xfId="16878" xr:uid="{A99E8B1F-E87D-4875-B118-C0C3F4F0D07A}"/>
    <cellStyle name="Currency 5 2 2 2 7 2 3" xfId="21098" xr:uid="{D978B347-74B5-4E10-A2B5-D31C877783BF}"/>
    <cellStyle name="Currency 5 2 2 2 7 2 4" xfId="29533" xr:uid="{EF7B9A60-1A0E-42C3-9750-7632FEF1AA4B}"/>
    <cellStyle name="Currency 5 2 2 2 7 2 5" xfId="12660" xr:uid="{0480DB14-6205-4728-B73B-EBDE06522FE6}"/>
    <cellStyle name="Currency 5 2 2 2 7 3" xfId="6294" xr:uid="{00000000-0005-0000-0000-0000C10B0000}"/>
    <cellStyle name="Currency 5 2 2 2 7 3 2" xfId="23171" xr:uid="{1730A605-583C-4A10-90A1-10B7A361C848}"/>
    <cellStyle name="Currency 5 2 2 2 7 3 3" xfId="31605" xr:uid="{93B38A04-DF87-4F74-828B-A57B1FF28794}"/>
    <cellStyle name="Currency 5 2 2 2 7 3 4" xfId="14733" xr:uid="{25530B67-27A3-46AA-9B4B-A2FC32F657E2}"/>
    <cellStyle name="Currency 5 2 2 2 7 4" xfId="18953" xr:uid="{2AB9AF4C-3DA9-43E7-AAA1-431168B3EA11}"/>
    <cellStyle name="Currency 5 2 2 2 7 5" xfId="27388" xr:uid="{303014BE-E130-4561-A9B8-28E49518864C}"/>
    <cellStyle name="Currency 5 2 2 2 7 6" xfId="10515" xr:uid="{C70C19A4-9D00-404E-84B8-D36F3CC5B667}"/>
    <cellStyle name="Currency 5 2 2 2 8" xfId="2422" xr:uid="{00000000-0005-0000-0000-0000C20B0000}"/>
    <cellStyle name="Currency 5 2 2 2 8 2" xfId="6707" xr:uid="{00000000-0005-0000-0000-0000C30B0000}"/>
    <cellStyle name="Currency 5 2 2 2 8 2 2" xfId="23584" xr:uid="{8E4A1E3D-4A52-42A0-9ACB-D9F751A5E957}"/>
    <cellStyle name="Currency 5 2 2 2 8 2 3" xfId="32018" xr:uid="{AEA8DF97-4478-4155-9932-A4B2C986601A}"/>
    <cellStyle name="Currency 5 2 2 2 8 2 4" xfId="15146" xr:uid="{68F1703A-99EB-47D8-B693-8736CD53815E}"/>
    <cellStyle name="Currency 5 2 2 2 8 3" xfId="19366" xr:uid="{BFBBE0EF-7892-4546-8A11-38E1CAECFB1C}"/>
    <cellStyle name="Currency 5 2 2 2 8 4" xfId="27801" xr:uid="{776BA17A-9A2E-4C4B-8C63-9C2BDD801D2C}"/>
    <cellStyle name="Currency 5 2 2 2 8 5" xfId="10928" xr:uid="{A3E1C281-63A6-4E4B-9245-D2B1B30A4660}"/>
    <cellStyle name="Currency 5 2 2 2 9" xfId="2719" xr:uid="{00000000-0005-0000-0000-0000C40B0000}"/>
    <cellStyle name="Currency 5 2 2 3" xfId="200" xr:uid="{00000000-0005-0000-0000-0000C50B0000}"/>
    <cellStyle name="Currency 5 2 2 3 10" xfId="4645" xr:uid="{00000000-0005-0000-0000-0000C60B0000}"/>
    <cellStyle name="Currency 5 2 2 3 10 2" xfId="21522" xr:uid="{DD2E11C4-7C23-45E9-9511-63216C7FBBCE}"/>
    <cellStyle name="Currency 5 2 2 3 10 3" xfId="29956" xr:uid="{C6F771FA-D63D-426E-BE71-3CA41A29AF86}"/>
    <cellStyle name="Currency 5 2 2 3 10 4" xfId="13084" xr:uid="{CA54236F-56C1-4EF8-9D6A-2592F67D2A83}"/>
    <cellStyle name="Currency 5 2 2 3 11" xfId="17304" xr:uid="{AFDDDFA0-20A2-4073-9885-A5156BC398EB}"/>
    <cellStyle name="Currency 5 2 2 3 12" xfId="25739" xr:uid="{CBACD5CF-E6E4-4F3A-8BC6-FE9EEB83322B}"/>
    <cellStyle name="Currency 5 2 2 3 13" xfId="8866" xr:uid="{40E8D925-F134-47F8-B874-5A9462E0DA87}"/>
    <cellStyle name="Currency 5 2 2 3 2" xfId="201" xr:uid="{00000000-0005-0000-0000-0000C70B0000}"/>
    <cellStyle name="Currency 5 2 2 3 2 10" xfId="17305" xr:uid="{2A85FFC3-7911-4737-AF77-04B35540D9BC}"/>
    <cellStyle name="Currency 5 2 2 3 2 11" xfId="25740" xr:uid="{69AF6930-C38C-4842-B576-5A94BE6BC0B1}"/>
    <cellStyle name="Currency 5 2 2 3 2 12" xfId="8867" xr:uid="{9A17BF9B-8C08-4323-B165-FC39CB0B1B2F}"/>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24082" xr:uid="{785EDFD9-2FAF-4E60-8E6D-4901C44EC05B}"/>
    <cellStyle name="Currency 5 2 2 3 2 2 2 2 3" xfId="32516" xr:uid="{85A28F7F-D24A-4EA6-93E5-9EFB0327C845}"/>
    <cellStyle name="Currency 5 2 2 3 2 2 2 2 4" xfId="15644" xr:uid="{CF328AED-A81F-4082-ADEE-B4FB93517F0C}"/>
    <cellStyle name="Currency 5 2 2 3 2 2 2 3" xfId="19864" xr:uid="{92E19A6E-64BD-4B67-8FDD-DD234FB8B003}"/>
    <cellStyle name="Currency 5 2 2 3 2 2 2 4" xfId="28299" xr:uid="{8FDEEE24-0599-4392-BFC8-17520D379BF2}"/>
    <cellStyle name="Currency 5 2 2 3 2 2 2 5" xfId="11426" xr:uid="{A7B0CD6F-372B-4248-A446-7BEA09B54DAB}"/>
    <cellStyle name="Currency 5 2 2 3 2 2 3" xfId="5060" xr:uid="{00000000-0005-0000-0000-0000CB0B0000}"/>
    <cellStyle name="Currency 5 2 2 3 2 2 3 2" xfId="21937" xr:uid="{75AFA95B-44DD-4D90-B0EA-584C99C86F1F}"/>
    <cellStyle name="Currency 5 2 2 3 2 2 3 3" xfId="30371" xr:uid="{4141D579-B60C-427B-B8DF-7ED1537773EF}"/>
    <cellStyle name="Currency 5 2 2 3 2 2 3 4" xfId="13499" xr:uid="{42BFB0FF-F1A1-42AC-A95B-8D930447A584}"/>
    <cellStyle name="Currency 5 2 2 3 2 2 4" xfId="17719" xr:uid="{C15FF394-8BC5-4D95-9842-CACA4B82F412}"/>
    <cellStyle name="Currency 5 2 2 3 2 2 5" xfId="26154" xr:uid="{A4EDAA68-B79B-4834-9FE3-5A792EAEB859}"/>
    <cellStyle name="Currency 5 2 2 3 2 2 6" xfId="9281" xr:uid="{F52BAC3B-13C2-4034-8B59-B19DFAF848BC}"/>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24495" xr:uid="{20849E1F-3DFD-4B08-B7F0-01A8AEA5F488}"/>
    <cellStyle name="Currency 5 2 2 3 2 3 2 2 3" xfId="32929" xr:uid="{2CCE90CF-CEAF-4EF4-8987-3DF658DC1349}"/>
    <cellStyle name="Currency 5 2 2 3 2 3 2 2 4" xfId="16057" xr:uid="{C231B637-C473-4A3D-9F24-DA684B0B5A9A}"/>
    <cellStyle name="Currency 5 2 2 3 2 3 2 3" xfId="20277" xr:uid="{E701AB51-ACF9-45E7-AB8A-92EF8E2247DD}"/>
    <cellStyle name="Currency 5 2 2 3 2 3 2 4" xfId="28712" xr:uid="{6E46BA91-9CF0-48E4-8408-72D5218DEE0D}"/>
    <cellStyle name="Currency 5 2 2 3 2 3 2 5" xfId="11839" xr:uid="{0D1B3D06-6B64-4C29-B5CB-855B47F1C304}"/>
    <cellStyle name="Currency 5 2 2 3 2 3 3" xfId="5473" xr:uid="{00000000-0005-0000-0000-0000CF0B0000}"/>
    <cellStyle name="Currency 5 2 2 3 2 3 3 2" xfId="22350" xr:uid="{DB19C74C-4CF3-49AE-A4CA-1236416153A9}"/>
    <cellStyle name="Currency 5 2 2 3 2 3 3 3" xfId="30784" xr:uid="{F775529A-B64D-4285-BEB8-B485135C9051}"/>
    <cellStyle name="Currency 5 2 2 3 2 3 3 4" xfId="13912" xr:uid="{7879C2AB-F7A3-444D-8E5C-A9CFFE26715C}"/>
    <cellStyle name="Currency 5 2 2 3 2 3 4" xfId="18132" xr:uid="{A8D1CA5F-48A4-4CA5-9172-251324436094}"/>
    <cellStyle name="Currency 5 2 2 3 2 3 5" xfId="26567" xr:uid="{569245F7-E543-47D6-998D-74F5354C9C77}"/>
    <cellStyle name="Currency 5 2 2 3 2 3 6" xfId="9694" xr:uid="{EC9711AA-4F20-4B13-B480-AE79931A262C}"/>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24908" xr:uid="{201AB852-17AD-4A1A-91CA-4BCF92759A68}"/>
    <cellStyle name="Currency 5 2 2 3 2 4 2 2 3" xfId="33342" xr:uid="{038C05DE-32DB-4D01-AF7D-92DA53B39D3F}"/>
    <cellStyle name="Currency 5 2 2 3 2 4 2 2 4" xfId="16470" xr:uid="{E0887163-E96E-4FA4-B4DD-2FCF18CF8B9A}"/>
    <cellStyle name="Currency 5 2 2 3 2 4 2 3" xfId="20690" xr:uid="{C9AC1C9F-789C-48D7-BB48-47804FA621A6}"/>
    <cellStyle name="Currency 5 2 2 3 2 4 2 4" xfId="29125" xr:uid="{64367175-FC2B-4EA4-8916-37EA143CF9AB}"/>
    <cellStyle name="Currency 5 2 2 3 2 4 2 5" xfId="12252" xr:uid="{04F91BBD-FF51-4BB2-BA11-CB696201CD06}"/>
    <cellStyle name="Currency 5 2 2 3 2 4 3" xfId="5886" xr:uid="{00000000-0005-0000-0000-0000D30B0000}"/>
    <cellStyle name="Currency 5 2 2 3 2 4 3 2" xfId="22763" xr:uid="{C73C979C-22AF-430F-ABEF-E34323D87898}"/>
    <cellStyle name="Currency 5 2 2 3 2 4 3 3" xfId="31197" xr:uid="{71212FCA-2C24-41BE-8BB9-B4387B009C72}"/>
    <cellStyle name="Currency 5 2 2 3 2 4 3 4" xfId="14325" xr:uid="{EA6A249E-005D-4D74-BFFB-48314C9253DC}"/>
    <cellStyle name="Currency 5 2 2 3 2 4 4" xfId="18545" xr:uid="{3AE8C6D8-6343-4606-A857-30CD98B993C2}"/>
    <cellStyle name="Currency 5 2 2 3 2 4 5" xfId="26980" xr:uid="{CE29517A-5EAA-43B7-8520-3445D55FD12B}"/>
    <cellStyle name="Currency 5 2 2 3 2 4 6" xfId="10107" xr:uid="{8ED253BC-E2A6-4AE3-A2B8-A7F5D23C1516}"/>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25321" xr:uid="{2142D3BA-71EB-4C02-BDF9-64BB16E59FCC}"/>
    <cellStyle name="Currency 5 2 2 3 2 5 2 2 3" xfId="33755" xr:uid="{FC1D7BDD-2D08-41DA-8C16-7F7B0B9D6F51}"/>
    <cellStyle name="Currency 5 2 2 3 2 5 2 2 4" xfId="16883" xr:uid="{3899D4B9-E282-4F19-A21B-D1FF6E478157}"/>
    <cellStyle name="Currency 5 2 2 3 2 5 2 3" xfId="21103" xr:uid="{D3093083-E23B-46F4-A880-F6FFD20599D6}"/>
    <cellStyle name="Currency 5 2 2 3 2 5 2 4" xfId="29538" xr:uid="{04265119-8963-45C3-ADAA-36F3FC8419EE}"/>
    <cellStyle name="Currency 5 2 2 3 2 5 2 5" xfId="12665" xr:uid="{8971FC78-F246-4C3D-9B11-433EA0B6B19F}"/>
    <cellStyle name="Currency 5 2 2 3 2 5 3" xfId="6299" xr:uid="{00000000-0005-0000-0000-0000D70B0000}"/>
    <cellStyle name="Currency 5 2 2 3 2 5 3 2" xfId="23176" xr:uid="{7CD866B5-484A-491B-A34E-1A2433C0641F}"/>
    <cellStyle name="Currency 5 2 2 3 2 5 3 3" xfId="31610" xr:uid="{5E813749-8F8C-40CA-ADA7-BE472ADB9EE0}"/>
    <cellStyle name="Currency 5 2 2 3 2 5 3 4" xfId="14738" xr:uid="{E6BC394B-524C-4757-BA8E-F62A68F74218}"/>
    <cellStyle name="Currency 5 2 2 3 2 5 4" xfId="18958" xr:uid="{0D894B7C-34F4-4539-8453-FECC7A3A8F9A}"/>
    <cellStyle name="Currency 5 2 2 3 2 5 5" xfId="27393" xr:uid="{F684A0AE-DD29-41A0-8462-9D0CAB86DBF2}"/>
    <cellStyle name="Currency 5 2 2 3 2 5 6" xfId="10520" xr:uid="{28162C2F-1EED-4B6E-8009-D47245B3AC9A}"/>
    <cellStyle name="Currency 5 2 2 3 2 6" xfId="2427" xr:uid="{00000000-0005-0000-0000-0000D80B0000}"/>
    <cellStyle name="Currency 5 2 2 3 2 6 2" xfId="6712" xr:uid="{00000000-0005-0000-0000-0000D90B0000}"/>
    <cellStyle name="Currency 5 2 2 3 2 6 2 2" xfId="23589" xr:uid="{632AAFD6-B5FE-4A58-92E3-24BCC6AE3E23}"/>
    <cellStyle name="Currency 5 2 2 3 2 6 2 3" xfId="32023" xr:uid="{B56B7F81-F8E7-457A-8D98-289A5D962076}"/>
    <cellStyle name="Currency 5 2 2 3 2 6 2 4" xfId="15151" xr:uid="{B306FE6B-A47B-49EB-A92F-7A4FCAB8DCCA}"/>
    <cellStyle name="Currency 5 2 2 3 2 6 3" xfId="19371" xr:uid="{5E3A3483-C727-47E4-A821-E0E6328066E7}"/>
    <cellStyle name="Currency 5 2 2 3 2 6 4" xfId="27806" xr:uid="{7F319B2C-A33D-45D1-9E5C-73C34EDFD546}"/>
    <cellStyle name="Currency 5 2 2 3 2 6 5" xfId="10933" xr:uid="{A5ACDEB1-FD94-4451-9663-864A1AED8D8D}"/>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23906" xr:uid="{AD91C613-DDFD-4EAE-8DCE-F2CC8AC2D90B}"/>
    <cellStyle name="Currency 5 2 2 3 2 8 2 3" xfId="32340" xr:uid="{F8AAA3C5-0C76-43C6-9A90-F809D0DE71AB}"/>
    <cellStyle name="Currency 5 2 2 3 2 8 2 4" xfId="15468" xr:uid="{14A269D7-5911-4AF8-983F-01064465411A}"/>
    <cellStyle name="Currency 5 2 2 3 2 8 3" xfId="19688" xr:uid="{ADB05041-7B57-4A4C-AC98-1E72EF9DF696}"/>
    <cellStyle name="Currency 5 2 2 3 2 8 4" xfId="28123" xr:uid="{D2ABA2F3-A11C-48F8-B38D-E10496952B5B}"/>
    <cellStyle name="Currency 5 2 2 3 2 8 5" xfId="11250" xr:uid="{61DC5DE8-BD4F-46C8-B908-30BDB818EDA5}"/>
    <cellStyle name="Currency 5 2 2 3 2 9" xfId="4646" xr:uid="{00000000-0005-0000-0000-0000DD0B0000}"/>
    <cellStyle name="Currency 5 2 2 3 2 9 2" xfId="21523" xr:uid="{D209AF15-1B0B-47E3-90F7-C1A26479D9B2}"/>
    <cellStyle name="Currency 5 2 2 3 2 9 3" xfId="29957" xr:uid="{5984E83A-E64E-4270-969A-35A35B499C1F}"/>
    <cellStyle name="Currency 5 2 2 3 2 9 4" xfId="13085" xr:uid="{E10ECAA1-606F-4F9F-A3B0-4A7B33CB6424}"/>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24081" xr:uid="{0CE9B69F-BE62-4F62-9186-32325181AE29}"/>
    <cellStyle name="Currency 5 2 2 3 3 2 2 3" xfId="32515" xr:uid="{61B57A91-A497-4023-9D74-BD2946381214}"/>
    <cellStyle name="Currency 5 2 2 3 3 2 2 4" xfId="15643" xr:uid="{D7186B18-9942-4BC4-8E3D-8314F16D0414}"/>
    <cellStyle name="Currency 5 2 2 3 3 2 3" xfId="19863" xr:uid="{D091B0B5-E477-4D41-B4CF-424FF2B06B11}"/>
    <cellStyle name="Currency 5 2 2 3 3 2 4" xfId="28298" xr:uid="{71322580-18C3-4050-8C2D-BAB2D02F3F13}"/>
    <cellStyle name="Currency 5 2 2 3 3 2 5" xfId="11425" xr:uid="{DCEC568E-15BC-4CEF-BBD7-A10701A7F805}"/>
    <cellStyle name="Currency 5 2 2 3 3 3" xfId="5059" xr:uid="{00000000-0005-0000-0000-0000E10B0000}"/>
    <cellStyle name="Currency 5 2 2 3 3 3 2" xfId="21936" xr:uid="{AE2CB3CF-EBFB-4F90-ABBB-23C3C9F1A63C}"/>
    <cellStyle name="Currency 5 2 2 3 3 3 3" xfId="30370" xr:uid="{49471AE1-F8E0-497C-BF2A-3527BB53E546}"/>
    <cellStyle name="Currency 5 2 2 3 3 3 4" xfId="13498" xr:uid="{0288F58E-E7A9-492F-9E12-5CC952435A83}"/>
    <cellStyle name="Currency 5 2 2 3 3 4" xfId="17718" xr:uid="{B56BDBDD-167E-48EB-8F6F-A4BFEBE0394B}"/>
    <cellStyle name="Currency 5 2 2 3 3 5" xfId="26153" xr:uid="{3B24D482-5CD2-4445-9DDA-55C26834579C}"/>
    <cellStyle name="Currency 5 2 2 3 3 6" xfId="9280" xr:uid="{C4F5E325-230F-460E-83A1-EF4107227ECC}"/>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24494" xr:uid="{DCF2943A-13DE-40E4-BE4A-F3B830949F5A}"/>
    <cellStyle name="Currency 5 2 2 3 4 2 2 3" xfId="32928" xr:uid="{98D0AC5C-E727-46DB-8162-7D8974F6C284}"/>
    <cellStyle name="Currency 5 2 2 3 4 2 2 4" xfId="16056" xr:uid="{50738B7B-EB8D-456B-80BE-26C8EA9558BF}"/>
    <cellStyle name="Currency 5 2 2 3 4 2 3" xfId="20276" xr:uid="{733BD826-E7AC-4247-A52E-1C3A1609B9AA}"/>
    <cellStyle name="Currency 5 2 2 3 4 2 4" xfId="28711" xr:uid="{E59B202B-B2B5-4DCB-BFAB-C38424959E04}"/>
    <cellStyle name="Currency 5 2 2 3 4 2 5" xfId="11838" xr:uid="{7BCF6427-9F73-4D1E-B2BF-C3C2D00C406A}"/>
    <cellStyle name="Currency 5 2 2 3 4 3" xfId="5472" xr:uid="{00000000-0005-0000-0000-0000E50B0000}"/>
    <cellStyle name="Currency 5 2 2 3 4 3 2" xfId="22349" xr:uid="{3E3D37EB-650E-4B14-8DE4-89F0D28F9ACF}"/>
    <cellStyle name="Currency 5 2 2 3 4 3 3" xfId="30783" xr:uid="{34D620DD-7188-4D9D-AE38-77B246DBF42A}"/>
    <cellStyle name="Currency 5 2 2 3 4 3 4" xfId="13911" xr:uid="{822BC088-87E0-4D04-8691-2A5FC9D95A77}"/>
    <cellStyle name="Currency 5 2 2 3 4 4" xfId="18131" xr:uid="{8549C3EA-1C00-46F3-A0DB-026D47699026}"/>
    <cellStyle name="Currency 5 2 2 3 4 5" xfId="26566" xr:uid="{5FD01EF4-389A-402D-A5F7-C1908A3D6D77}"/>
    <cellStyle name="Currency 5 2 2 3 4 6" xfId="9693" xr:uid="{65941B25-1E6B-481E-94DB-418BBCDF800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24907" xr:uid="{1A713E99-5844-45B2-8DA7-AAD05E6EAACB}"/>
    <cellStyle name="Currency 5 2 2 3 5 2 2 3" xfId="33341" xr:uid="{D3E307FF-5262-4E46-BEC4-B6C75D7DAC71}"/>
    <cellStyle name="Currency 5 2 2 3 5 2 2 4" xfId="16469" xr:uid="{740CC209-9F95-431E-84CB-6AAF97A7CBBD}"/>
    <cellStyle name="Currency 5 2 2 3 5 2 3" xfId="20689" xr:uid="{0BE20F16-7C0D-4CBA-A1CA-FBBDBAFCB94F}"/>
    <cellStyle name="Currency 5 2 2 3 5 2 4" xfId="29124" xr:uid="{CBA6C540-990B-4407-A6FE-C3019B2F3B4D}"/>
    <cellStyle name="Currency 5 2 2 3 5 2 5" xfId="12251" xr:uid="{0A294300-4FF9-49F4-9149-CBF5EFC0DD91}"/>
    <cellStyle name="Currency 5 2 2 3 5 3" xfId="5885" xr:uid="{00000000-0005-0000-0000-0000E90B0000}"/>
    <cellStyle name="Currency 5 2 2 3 5 3 2" xfId="22762" xr:uid="{66ABA83C-F214-43A5-9819-BB38B4DEDA79}"/>
    <cellStyle name="Currency 5 2 2 3 5 3 3" xfId="31196" xr:uid="{5BC0AB8E-4987-4BED-9138-C33D0027383B}"/>
    <cellStyle name="Currency 5 2 2 3 5 3 4" xfId="14324" xr:uid="{12A9BE34-6242-4BA6-8FC5-C5B616866520}"/>
    <cellStyle name="Currency 5 2 2 3 5 4" xfId="18544" xr:uid="{B27FFB02-D58F-4BF6-9963-2E6C781F9D22}"/>
    <cellStyle name="Currency 5 2 2 3 5 5" xfId="26979" xr:uid="{1D6605D6-1634-44D9-9226-3AC749168DED}"/>
    <cellStyle name="Currency 5 2 2 3 5 6" xfId="10106" xr:uid="{D5AF7685-8DAB-48DC-AD11-34D0D78355B3}"/>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25320" xr:uid="{06AB2D21-A608-415A-A8D2-CB4B48B80AD9}"/>
    <cellStyle name="Currency 5 2 2 3 6 2 2 3" xfId="33754" xr:uid="{E9CE2430-1248-4E72-AEBF-FDE269AD95D6}"/>
    <cellStyle name="Currency 5 2 2 3 6 2 2 4" xfId="16882" xr:uid="{4A35C20D-81FF-4718-877E-8EB5481BBFFF}"/>
    <cellStyle name="Currency 5 2 2 3 6 2 3" xfId="21102" xr:uid="{06C5CE0E-60D9-41AA-A195-40222C821D36}"/>
    <cellStyle name="Currency 5 2 2 3 6 2 4" xfId="29537" xr:uid="{4482E1D4-AC5F-4CE7-AC58-6907B544DDBC}"/>
    <cellStyle name="Currency 5 2 2 3 6 2 5" xfId="12664" xr:uid="{412D2C80-5779-44CB-86F2-BBC0D2D0D7C6}"/>
    <cellStyle name="Currency 5 2 2 3 6 3" xfId="6298" xr:uid="{00000000-0005-0000-0000-0000ED0B0000}"/>
    <cellStyle name="Currency 5 2 2 3 6 3 2" xfId="23175" xr:uid="{E6268BD2-7324-4EFD-BFBE-80F41F8C6F4F}"/>
    <cellStyle name="Currency 5 2 2 3 6 3 3" xfId="31609" xr:uid="{DC18FEFF-E550-4036-83A7-8B689C334039}"/>
    <cellStyle name="Currency 5 2 2 3 6 3 4" xfId="14737" xr:uid="{2522D76E-4420-4A49-83C8-61069C956575}"/>
    <cellStyle name="Currency 5 2 2 3 6 4" xfId="18957" xr:uid="{9E07CF73-193D-466C-B203-AEF2E0DD642A}"/>
    <cellStyle name="Currency 5 2 2 3 6 5" xfId="27392" xr:uid="{74F2CEDF-1A2F-43D1-9AAF-1BBCAB6563D0}"/>
    <cellStyle name="Currency 5 2 2 3 6 6" xfId="10519" xr:uid="{318480B9-2AAD-4999-BDDB-9962A0CD1B3A}"/>
    <cellStyle name="Currency 5 2 2 3 7" xfId="2426" xr:uid="{00000000-0005-0000-0000-0000EE0B0000}"/>
    <cellStyle name="Currency 5 2 2 3 7 2" xfId="6711" xr:uid="{00000000-0005-0000-0000-0000EF0B0000}"/>
    <cellStyle name="Currency 5 2 2 3 7 2 2" xfId="23588" xr:uid="{C5E64F29-36F9-46C1-BE3B-D8FDE9A704C2}"/>
    <cellStyle name="Currency 5 2 2 3 7 2 3" xfId="32022" xr:uid="{B34B10CD-641F-4C2D-BDF6-42D8AAA78535}"/>
    <cellStyle name="Currency 5 2 2 3 7 2 4" xfId="15150" xr:uid="{D3CE6D44-4A15-44A4-B4B1-2E76E8C2A757}"/>
    <cellStyle name="Currency 5 2 2 3 7 3" xfId="19370" xr:uid="{9DC16432-18D6-4E52-8B90-97D8BC49B537}"/>
    <cellStyle name="Currency 5 2 2 3 7 4" xfId="27805" xr:uid="{67351B34-D88B-47BD-841E-43540BABD408}"/>
    <cellStyle name="Currency 5 2 2 3 7 5" xfId="10932" xr:uid="{373D8A69-7C4C-4EA2-8BC7-7389BDB253CA}"/>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23905" xr:uid="{EB34295E-06B9-42E7-8705-B4EDF597C6E2}"/>
    <cellStyle name="Currency 5 2 2 3 9 2 3" xfId="32339" xr:uid="{61D71849-07AC-4C30-ACA1-32ADAAE93082}"/>
    <cellStyle name="Currency 5 2 2 3 9 2 4" xfId="15467" xr:uid="{8CF2790A-C8D5-43A8-BE22-73F1A0E7F155}"/>
    <cellStyle name="Currency 5 2 2 3 9 3" xfId="19687" xr:uid="{1E153ACF-4548-40EB-9C94-8A961855D75E}"/>
    <cellStyle name="Currency 5 2 2 3 9 4" xfId="28122" xr:uid="{01BBC000-C474-4198-ADDD-E151A6663D9B}"/>
    <cellStyle name="Currency 5 2 2 3 9 5" xfId="11249" xr:uid="{89F8D82F-CAEF-49BC-9445-45DFE4E0B0B8}"/>
    <cellStyle name="Currency 5 2 2 4" xfId="202" xr:uid="{00000000-0005-0000-0000-0000F30B0000}"/>
    <cellStyle name="Currency 5 2 2 4 10" xfId="17306" xr:uid="{23FBCAAE-923C-4EEA-B2A1-020E2155606A}"/>
    <cellStyle name="Currency 5 2 2 4 11" xfId="25741" xr:uid="{9F68183C-7CBA-4B7C-8D70-9B5E5986B8B8}"/>
    <cellStyle name="Currency 5 2 2 4 12" xfId="8868" xr:uid="{69F08F45-7835-4855-A0F1-55188DA3D4CF}"/>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24083" xr:uid="{4B5F6F91-30B2-41AD-B8E7-BADA980EA544}"/>
    <cellStyle name="Currency 5 2 2 4 2 2 2 3" xfId="32517" xr:uid="{526BA11A-8B8B-4758-9898-A48DD871E5BD}"/>
    <cellStyle name="Currency 5 2 2 4 2 2 2 4" xfId="15645" xr:uid="{FF03DF3A-3B69-4FCF-A490-5F9632925793}"/>
    <cellStyle name="Currency 5 2 2 4 2 2 3" xfId="19865" xr:uid="{C4883126-9F3D-46CF-876E-84CB701D4CAC}"/>
    <cellStyle name="Currency 5 2 2 4 2 2 4" xfId="28300" xr:uid="{18BC9A6B-3FC7-4C44-AC99-B12FF409068E}"/>
    <cellStyle name="Currency 5 2 2 4 2 2 5" xfId="11427" xr:uid="{CEB93D15-3F9D-4605-9086-C1B4C294DDC1}"/>
    <cellStyle name="Currency 5 2 2 4 2 3" xfId="5061" xr:uid="{00000000-0005-0000-0000-0000F70B0000}"/>
    <cellStyle name="Currency 5 2 2 4 2 3 2" xfId="21938" xr:uid="{554715D6-AC1E-4417-BD20-ED23100EC620}"/>
    <cellStyle name="Currency 5 2 2 4 2 3 3" xfId="30372" xr:uid="{E7E70D5D-1499-4B3A-BEC0-34038AC39884}"/>
    <cellStyle name="Currency 5 2 2 4 2 3 4" xfId="13500" xr:uid="{E58C5EB2-3DF0-47A5-B418-E9D8035F1822}"/>
    <cellStyle name="Currency 5 2 2 4 2 4" xfId="17720" xr:uid="{CA65B75D-AC43-462F-8CA2-D1F003FECB8A}"/>
    <cellStyle name="Currency 5 2 2 4 2 5" xfId="26155" xr:uid="{4C3E5DA7-3B68-4246-93F8-E85D2AACBD78}"/>
    <cellStyle name="Currency 5 2 2 4 2 6" xfId="9282" xr:uid="{1789D877-9BBF-4586-BDB6-96C786C9FDA3}"/>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24496" xr:uid="{95A6AE60-AB84-451A-81C3-A50C5E9F1773}"/>
    <cellStyle name="Currency 5 2 2 4 3 2 2 3" xfId="32930" xr:uid="{28A6AE8D-FBBE-4B37-ACEB-26D2CE882255}"/>
    <cellStyle name="Currency 5 2 2 4 3 2 2 4" xfId="16058" xr:uid="{3EADE843-6BBC-44DC-85BE-928ECD8E97AA}"/>
    <cellStyle name="Currency 5 2 2 4 3 2 3" xfId="20278" xr:uid="{17226AB8-48E2-43DC-A5AB-F8A063495238}"/>
    <cellStyle name="Currency 5 2 2 4 3 2 4" xfId="28713" xr:uid="{609044BF-9514-4EFB-AC59-B4FDCBD2F887}"/>
    <cellStyle name="Currency 5 2 2 4 3 2 5" xfId="11840" xr:uid="{09A58555-9FB0-478F-B939-174227286A35}"/>
    <cellStyle name="Currency 5 2 2 4 3 3" xfId="5474" xr:uid="{00000000-0005-0000-0000-0000FB0B0000}"/>
    <cellStyle name="Currency 5 2 2 4 3 3 2" xfId="22351" xr:uid="{BCA2B19B-9935-4D42-9D34-E555ED9DB524}"/>
    <cellStyle name="Currency 5 2 2 4 3 3 3" xfId="30785" xr:uid="{D205827D-810D-4E97-A1CF-5C4DC7495373}"/>
    <cellStyle name="Currency 5 2 2 4 3 3 4" xfId="13913" xr:uid="{D6AA8E08-B455-4489-9BB0-569C7860CBC9}"/>
    <cellStyle name="Currency 5 2 2 4 3 4" xfId="18133" xr:uid="{0E42DBDF-6F8B-4872-A642-B13511CE90BC}"/>
    <cellStyle name="Currency 5 2 2 4 3 5" xfId="26568" xr:uid="{94469912-1108-4232-86BB-18B07E287A7F}"/>
    <cellStyle name="Currency 5 2 2 4 3 6" xfId="9695" xr:uid="{78A22BD7-165E-4EF3-92E2-ED1083517B6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24909" xr:uid="{902EAB13-E2B4-49AE-9929-B95CE2D1F6CB}"/>
    <cellStyle name="Currency 5 2 2 4 4 2 2 3" xfId="33343" xr:uid="{48481299-43C6-40F8-91A3-E3B3530D3861}"/>
    <cellStyle name="Currency 5 2 2 4 4 2 2 4" xfId="16471" xr:uid="{59CACD4A-DF6D-4E34-9246-3768D65B13BE}"/>
    <cellStyle name="Currency 5 2 2 4 4 2 3" xfId="20691" xr:uid="{97C14737-F669-477D-BEC5-47EE550DF60A}"/>
    <cellStyle name="Currency 5 2 2 4 4 2 4" xfId="29126" xr:uid="{014EF53C-80BC-4B17-B964-F5BE742A77CD}"/>
    <cellStyle name="Currency 5 2 2 4 4 2 5" xfId="12253" xr:uid="{06F3F723-E4A0-4F10-AB63-FFE3B8718B7E}"/>
    <cellStyle name="Currency 5 2 2 4 4 3" xfId="5887" xr:uid="{00000000-0005-0000-0000-0000FF0B0000}"/>
    <cellStyle name="Currency 5 2 2 4 4 3 2" xfId="22764" xr:uid="{CFE20499-27A6-42A8-8AC0-B8F1B8A0892B}"/>
    <cellStyle name="Currency 5 2 2 4 4 3 3" xfId="31198" xr:uid="{01BCF810-F807-4F0F-80A0-D66770828620}"/>
    <cellStyle name="Currency 5 2 2 4 4 3 4" xfId="14326" xr:uid="{03062FCC-27A8-4C62-8971-D2ECD1C2ED07}"/>
    <cellStyle name="Currency 5 2 2 4 4 4" xfId="18546" xr:uid="{6758551C-4BE4-49D5-B148-33B1603EC017}"/>
    <cellStyle name="Currency 5 2 2 4 4 5" xfId="26981" xr:uid="{920D5038-C641-4F2A-A24C-4CC3031C7479}"/>
    <cellStyle name="Currency 5 2 2 4 4 6" xfId="10108" xr:uid="{1EDD4F62-6195-487F-9DFE-F8280A56306B}"/>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25322" xr:uid="{85F3CE75-5922-4413-8119-33C7AD7D82D2}"/>
    <cellStyle name="Currency 5 2 2 4 5 2 2 3" xfId="33756" xr:uid="{5623F804-17B0-42AE-99EC-445E1590BB04}"/>
    <cellStyle name="Currency 5 2 2 4 5 2 2 4" xfId="16884" xr:uid="{9D499F05-CE52-425F-9B3C-DFDBE4FA3F0F}"/>
    <cellStyle name="Currency 5 2 2 4 5 2 3" xfId="21104" xr:uid="{07361E09-602D-453C-9625-1570B335A1A3}"/>
    <cellStyle name="Currency 5 2 2 4 5 2 4" xfId="29539" xr:uid="{47A3E56D-5983-4710-BE5C-B7577158042B}"/>
    <cellStyle name="Currency 5 2 2 4 5 2 5" xfId="12666" xr:uid="{96DF985D-0311-4AC7-95A9-3335D801FDE1}"/>
    <cellStyle name="Currency 5 2 2 4 5 3" xfId="6300" xr:uid="{00000000-0005-0000-0000-0000030C0000}"/>
    <cellStyle name="Currency 5 2 2 4 5 3 2" xfId="23177" xr:uid="{467CF7EF-2487-4FA5-95B6-688CD436612B}"/>
    <cellStyle name="Currency 5 2 2 4 5 3 3" xfId="31611" xr:uid="{4BFBEC29-91CC-4197-9AE4-890187E31EFB}"/>
    <cellStyle name="Currency 5 2 2 4 5 3 4" xfId="14739" xr:uid="{40CE3CCF-0202-4584-8BF5-07939C3728BE}"/>
    <cellStyle name="Currency 5 2 2 4 5 4" xfId="18959" xr:uid="{706A7640-A80A-44D3-A560-743E5CB99BDC}"/>
    <cellStyle name="Currency 5 2 2 4 5 5" xfId="27394" xr:uid="{011A395B-67D5-4062-8C2A-5225FA4C5377}"/>
    <cellStyle name="Currency 5 2 2 4 5 6" xfId="10521" xr:uid="{72690F8D-D5A1-4F08-9F5A-9C6970608EAF}"/>
    <cellStyle name="Currency 5 2 2 4 6" xfId="2428" xr:uid="{00000000-0005-0000-0000-0000040C0000}"/>
    <cellStyle name="Currency 5 2 2 4 6 2" xfId="6713" xr:uid="{00000000-0005-0000-0000-0000050C0000}"/>
    <cellStyle name="Currency 5 2 2 4 6 2 2" xfId="23590" xr:uid="{4AF43DF3-3130-417C-9DEE-E6F700FE29A1}"/>
    <cellStyle name="Currency 5 2 2 4 6 2 3" xfId="32024" xr:uid="{D448AD44-80C3-4C16-8309-682CADF8B7E0}"/>
    <cellStyle name="Currency 5 2 2 4 6 2 4" xfId="15152" xr:uid="{4D384786-67CD-4C02-8F54-3257570B1E39}"/>
    <cellStyle name="Currency 5 2 2 4 6 3" xfId="19372" xr:uid="{A106FF95-055E-4DC0-AA00-A90B533DC252}"/>
    <cellStyle name="Currency 5 2 2 4 6 4" xfId="27807" xr:uid="{F76DC298-68AE-4DAB-A289-C189B777BA6E}"/>
    <cellStyle name="Currency 5 2 2 4 6 5" xfId="10934" xr:uid="{28D6549D-584F-43FB-9F27-31A650A9E9ED}"/>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23907" xr:uid="{1138031A-E0CD-499C-ADB7-F5D411785C25}"/>
    <cellStyle name="Currency 5 2 2 4 8 2 3" xfId="32341" xr:uid="{3ACCF05C-A8DB-4B55-BC71-A1BEBF7ABD0B}"/>
    <cellStyle name="Currency 5 2 2 4 8 2 4" xfId="15469" xr:uid="{23DB5CDE-3C94-493F-9893-F39FB1CA25B9}"/>
    <cellStyle name="Currency 5 2 2 4 8 3" xfId="19689" xr:uid="{5C0F7490-5BE1-40A5-9D49-EF4CD58DDE40}"/>
    <cellStyle name="Currency 5 2 2 4 8 4" xfId="28124" xr:uid="{89FDEC31-F267-4D70-B9E7-91696994A3B8}"/>
    <cellStyle name="Currency 5 2 2 4 8 5" xfId="11251" xr:uid="{D62BFDAE-3B93-478D-A12A-84DD7DB838ED}"/>
    <cellStyle name="Currency 5 2 2 4 9" xfId="4647" xr:uid="{00000000-0005-0000-0000-0000090C0000}"/>
    <cellStyle name="Currency 5 2 2 4 9 2" xfId="21524" xr:uid="{F5E761F5-80B8-4823-94B1-8B2D6EEDB6FC}"/>
    <cellStyle name="Currency 5 2 2 4 9 3" xfId="29958" xr:uid="{5DDB3EF1-92B3-4524-9642-F8C7AE435340}"/>
    <cellStyle name="Currency 5 2 2 4 9 4" xfId="13086" xr:uid="{51AC891B-A4C2-4EE1-84BE-C49904C038A1}"/>
    <cellStyle name="Currency 5 2 2 5" xfId="203" xr:uid="{00000000-0005-0000-0000-00000A0C0000}"/>
    <cellStyle name="Currency 5 2 2 5 10" xfId="17307" xr:uid="{F9192A1A-1C8D-4F01-8789-8222A42093F7}"/>
    <cellStyle name="Currency 5 2 2 5 11" xfId="25742" xr:uid="{EDE09275-2F1F-4290-9373-CEC3972D17A1}"/>
    <cellStyle name="Currency 5 2 2 5 12" xfId="8869" xr:uid="{96010A0F-D7E4-412D-BFEE-E3BF2619FD5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24084" xr:uid="{DEA24ADC-CDAB-4D37-823C-CA2E95809CB9}"/>
    <cellStyle name="Currency 5 2 2 5 2 2 2 3" xfId="32518" xr:uid="{895A344A-502A-4BAD-BDB5-BE041378A7AD}"/>
    <cellStyle name="Currency 5 2 2 5 2 2 2 4" xfId="15646" xr:uid="{F0ACB894-AF86-47AF-BB53-087CE2EB5CE0}"/>
    <cellStyle name="Currency 5 2 2 5 2 2 3" xfId="19866" xr:uid="{EEAABB8E-25C9-4B41-BB56-FDDDF28AE4ED}"/>
    <cellStyle name="Currency 5 2 2 5 2 2 4" xfId="28301" xr:uid="{B0BACF97-745D-47AC-96C4-A7F5386CD1DF}"/>
    <cellStyle name="Currency 5 2 2 5 2 2 5" xfId="11428" xr:uid="{F3D1C6A2-AA1D-42DC-A868-558FC1135D9D}"/>
    <cellStyle name="Currency 5 2 2 5 2 3" xfId="5062" xr:uid="{00000000-0005-0000-0000-00000E0C0000}"/>
    <cellStyle name="Currency 5 2 2 5 2 3 2" xfId="21939" xr:uid="{B1DC9329-7A5C-4C9A-95B5-1BB43A5871B8}"/>
    <cellStyle name="Currency 5 2 2 5 2 3 3" xfId="30373" xr:uid="{7375006F-9E0B-457A-9104-5261E973EAFE}"/>
    <cellStyle name="Currency 5 2 2 5 2 3 4" xfId="13501" xr:uid="{F7A1703E-8CD5-4F94-BDB7-1D5363221188}"/>
    <cellStyle name="Currency 5 2 2 5 2 4" xfId="17721" xr:uid="{6A4EC4CF-880A-4F2D-AD18-0DCF7D5F653E}"/>
    <cellStyle name="Currency 5 2 2 5 2 5" xfId="26156" xr:uid="{067BAB49-8EBA-4A98-A3F8-42D9B0F5AF89}"/>
    <cellStyle name="Currency 5 2 2 5 2 6" xfId="9283" xr:uid="{6CFBDBA9-7CBE-45C5-AE9D-2E6087A76CA2}"/>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24497" xr:uid="{1287CB2F-D832-4359-8C8B-4F64BA0F1A1D}"/>
    <cellStyle name="Currency 5 2 2 5 3 2 2 3" xfId="32931" xr:uid="{6EA764B6-7150-4500-A1C1-ECF80A2466B3}"/>
    <cellStyle name="Currency 5 2 2 5 3 2 2 4" xfId="16059" xr:uid="{A7D930D0-E9FB-48FE-82FD-3C66E5A3EAFE}"/>
    <cellStyle name="Currency 5 2 2 5 3 2 3" xfId="20279" xr:uid="{61592BFF-332B-4ACE-97C7-053D0217779D}"/>
    <cellStyle name="Currency 5 2 2 5 3 2 4" xfId="28714" xr:uid="{322CBA6C-6C8C-49DC-8B79-532E87ED6EC5}"/>
    <cellStyle name="Currency 5 2 2 5 3 2 5" xfId="11841" xr:uid="{881F3F7C-F6E6-4432-BEB0-A3F9EF742DA8}"/>
    <cellStyle name="Currency 5 2 2 5 3 3" xfId="5475" xr:uid="{00000000-0005-0000-0000-0000120C0000}"/>
    <cellStyle name="Currency 5 2 2 5 3 3 2" xfId="22352" xr:uid="{88EF72D7-4273-4238-AA24-9D1CC3960D23}"/>
    <cellStyle name="Currency 5 2 2 5 3 3 3" xfId="30786" xr:uid="{17E35975-C511-43F7-8E1E-8623C4192FFA}"/>
    <cellStyle name="Currency 5 2 2 5 3 3 4" xfId="13914" xr:uid="{5FFDAA6F-8B64-4682-9571-7176A7EA090D}"/>
    <cellStyle name="Currency 5 2 2 5 3 4" xfId="18134" xr:uid="{D9B3C10E-C2FD-47DC-AB89-9B09098BBC1C}"/>
    <cellStyle name="Currency 5 2 2 5 3 5" xfId="26569" xr:uid="{4BC4B351-5689-4CEC-B6CA-C6FE596936EE}"/>
    <cellStyle name="Currency 5 2 2 5 3 6" xfId="9696" xr:uid="{EA328389-036C-4ACE-8986-B59A12A08BD5}"/>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24910" xr:uid="{9359A88B-B01F-46A9-AD65-D42C80AC32D1}"/>
    <cellStyle name="Currency 5 2 2 5 4 2 2 3" xfId="33344" xr:uid="{167A7B17-C76A-4900-B285-4ADE3C6165A5}"/>
    <cellStyle name="Currency 5 2 2 5 4 2 2 4" xfId="16472" xr:uid="{1DBEC2EB-0875-4C1E-BAF6-010E04CE7CA6}"/>
    <cellStyle name="Currency 5 2 2 5 4 2 3" xfId="20692" xr:uid="{B94A9B4C-BD72-4130-AB9F-F021E86679BE}"/>
    <cellStyle name="Currency 5 2 2 5 4 2 4" xfId="29127" xr:uid="{DFFB905A-7E78-4E52-8721-95557F8ADC7D}"/>
    <cellStyle name="Currency 5 2 2 5 4 2 5" xfId="12254" xr:uid="{E6E71D06-2B4B-4596-B8D8-5F892E1B7F0B}"/>
    <cellStyle name="Currency 5 2 2 5 4 3" xfId="5888" xr:uid="{00000000-0005-0000-0000-0000160C0000}"/>
    <cellStyle name="Currency 5 2 2 5 4 3 2" xfId="22765" xr:uid="{CD4C7267-E3A8-4248-9297-CB94EB8CFA24}"/>
    <cellStyle name="Currency 5 2 2 5 4 3 3" xfId="31199" xr:uid="{4A18BF37-53E7-4C5C-A87C-322471956E92}"/>
    <cellStyle name="Currency 5 2 2 5 4 3 4" xfId="14327" xr:uid="{4B61EEBC-7EED-486A-8D2F-4BA9DE449BA9}"/>
    <cellStyle name="Currency 5 2 2 5 4 4" xfId="18547" xr:uid="{EE7D1DDB-CA93-46F0-BACB-85C6D4D4B6CD}"/>
    <cellStyle name="Currency 5 2 2 5 4 5" xfId="26982" xr:uid="{3FBF86BF-F2E6-41D2-894E-77E5C00EB908}"/>
    <cellStyle name="Currency 5 2 2 5 4 6" xfId="10109" xr:uid="{0BABFD85-0CDF-4713-9187-ED8C0B5CDDDB}"/>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25323" xr:uid="{11188AEE-61ED-4E6F-8F9E-12973A7027CA}"/>
    <cellStyle name="Currency 5 2 2 5 5 2 2 3" xfId="33757" xr:uid="{34581E8D-1DBD-4007-A628-DF5CF87D25A7}"/>
    <cellStyle name="Currency 5 2 2 5 5 2 2 4" xfId="16885" xr:uid="{7931EFF5-A9B9-4E4D-B712-FAC3C82DCAE2}"/>
    <cellStyle name="Currency 5 2 2 5 5 2 3" xfId="21105" xr:uid="{59E1D963-3A9E-40B9-8BEA-125D3584FF41}"/>
    <cellStyle name="Currency 5 2 2 5 5 2 4" xfId="29540" xr:uid="{835CD7D0-6B56-49DC-B9AE-A4595E3562C9}"/>
    <cellStyle name="Currency 5 2 2 5 5 2 5" xfId="12667" xr:uid="{1CB3DE00-A2D7-45C5-8DCE-2D5DF1972328}"/>
    <cellStyle name="Currency 5 2 2 5 5 3" xfId="6301" xr:uid="{00000000-0005-0000-0000-00001A0C0000}"/>
    <cellStyle name="Currency 5 2 2 5 5 3 2" xfId="23178" xr:uid="{64317E7A-8612-4E22-8E47-F59DCD14F817}"/>
    <cellStyle name="Currency 5 2 2 5 5 3 3" xfId="31612" xr:uid="{DCC78B92-508A-4515-8B84-551AF2E42F66}"/>
    <cellStyle name="Currency 5 2 2 5 5 3 4" xfId="14740" xr:uid="{5A18668E-F5C1-4F3F-A724-7AB9CACAEA14}"/>
    <cellStyle name="Currency 5 2 2 5 5 4" xfId="18960" xr:uid="{4050160F-B034-4032-A4EF-CC253A544457}"/>
    <cellStyle name="Currency 5 2 2 5 5 5" xfId="27395" xr:uid="{82DAD17F-B027-40BE-A379-A692FDDE9CFC}"/>
    <cellStyle name="Currency 5 2 2 5 5 6" xfId="10522" xr:uid="{A1EAE105-9528-4EFE-A2F0-EB26DC498ACE}"/>
    <cellStyle name="Currency 5 2 2 5 6" xfId="2429" xr:uid="{00000000-0005-0000-0000-00001B0C0000}"/>
    <cellStyle name="Currency 5 2 2 5 6 2" xfId="6714" xr:uid="{00000000-0005-0000-0000-00001C0C0000}"/>
    <cellStyle name="Currency 5 2 2 5 6 2 2" xfId="23591" xr:uid="{4A43DA7F-CDB6-44A4-9D27-A5D6BB64442F}"/>
    <cellStyle name="Currency 5 2 2 5 6 2 3" xfId="32025" xr:uid="{87039844-1B5C-4029-84E1-29BF09060E13}"/>
    <cellStyle name="Currency 5 2 2 5 6 2 4" xfId="15153" xr:uid="{23059CBB-41D3-4F82-BCFC-7E6F9C2F59B1}"/>
    <cellStyle name="Currency 5 2 2 5 6 3" xfId="19373" xr:uid="{5E68760E-DACF-41BD-801B-1F9366A57B15}"/>
    <cellStyle name="Currency 5 2 2 5 6 4" xfId="27808" xr:uid="{4E31089A-0C4E-4F49-8E85-1B11066D5E69}"/>
    <cellStyle name="Currency 5 2 2 5 6 5" xfId="10935" xr:uid="{B8637F7D-8988-4ACB-8B1C-11157F06855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23908" xr:uid="{03B28946-6999-4B6A-B769-662B6656BA34}"/>
    <cellStyle name="Currency 5 2 2 5 8 2 3" xfId="32342" xr:uid="{BA2C3EBA-06C4-499A-8B56-7FD3ED977DA9}"/>
    <cellStyle name="Currency 5 2 2 5 8 2 4" xfId="15470" xr:uid="{4B932443-6CB9-4BC7-98B3-C66545AB41AF}"/>
    <cellStyle name="Currency 5 2 2 5 8 3" xfId="19690" xr:uid="{49232A9F-1170-497E-B8D7-6E8AC338D4A5}"/>
    <cellStyle name="Currency 5 2 2 5 8 4" xfId="28125" xr:uid="{0CFE8496-2442-40A9-BA4B-47A0E1356B2A}"/>
    <cellStyle name="Currency 5 2 2 5 8 5" xfId="11252" xr:uid="{5F524F63-A526-4418-B5D7-F4C420ED9C25}"/>
    <cellStyle name="Currency 5 2 2 5 9" xfId="4648" xr:uid="{00000000-0005-0000-0000-0000200C0000}"/>
    <cellStyle name="Currency 5 2 2 5 9 2" xfId="21525" xr:uid="{15C1094B-2A3C-43C2-B3AA-DEB60737712A}"/>
    <cellStyle name="Currency 5 2 2 5 9 3" xfId="29959" xr:uid="{DC5F3274-ACF4-429F-BDA1-D9E89CE6F69C}"/>
    <cellStyle name="Currency 5 2 2 5 9 4" xfId="13087" xr:uid="{7E33571D-68AB-4A4D-A49E-5A4B31433188}"/>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21526" xr:uid="{C21CDBFA-6EEE-40DA-BA4C-CA2400638565}"/>
    <cellStyle name="Currency 5 2 4 10 3" xfId="29960" xr:uid="{C13C29E1-0E36-4960-8F88-E3A12C09474B}"/>
    <cellStyle name="Currency 5 2 4 10 4" xfId="13088" xr:uid="{EBE36E15-EB37-4EA4-9E4C-21761DB28120}"/>
    <cellStyle name="Currency 5 2 4 11" xfId="17308" xr:uid="{974B223C-C98D-4A9B-801B-EA96ED0F4FA3}"/>
    <cellStyle name="Currency 5 2 4 12" xfId="25743" xr:uid="{C9716358-967A-4EEB-A96D-3D435B18D503}"/>
    <cellStyle name="Currency 5 2 4 13" xfId="8870" xr:uid="{78BD7684-CC45-461F-874B-52A0084121C3}"/>
    <cellStyle name="Currency 5 2 4 2" xfId="206" xr:uid="{00000000-0005-0000-0000-0000250C0000}"/>
    <cellStyle name="Currency 5 2 4 2 10" xfId="17309" xr:uid="{6D155857-5275-46DD-AEC1-3E3585818B37}"/>
    <cellStyle name="Currency 5 2 4 2 11" xfId="25744" xr:uid="{3CB73DFE-FA72-403C-B5E0-EEE877796830}"/>
    <cellStyle name="Currency 5 2 4 2 12" xfId="8871" xr:uid="{F3F410CE-A092-49AC-BB8C-0C324B7F5794}"/>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24086" xr:uid="{E8D89EBD-5C20-4D74-A66A-BCC5D3A90872}"/>
    <cellStyle name="Currency 5 2 4 2 2 2 2 3" xfId="32520" xr:uid="{20799C97-4798-4DD0-9365-59F70F5B8715}"/>
    <cellStyle name="Currency 5 2 4 2 2 2 2 4" xfId="15648" xr:uid="{5AB38CF0-D345-45E6-BD85-EFF91FA61D70}"/>
    <cellStyle name="Currency 5 2 4 2 2 2 3" xfId="19868" xr:uid="{A794D925-6238-4EA5-A90E-E7B450C6AA21}"/>
    <cellStyle name="Currency 5 2 4 2 2 2 4" xfId="28303" xr:uid="{D8400D4C-8EA2-41D8-B8FF-B60F44E992DF}"/>
    <cellStyle name="Currency 5 2 4 2 2 2 5" xfId="11430" xr:uid="{0FA75F7A-D49A-4265-8F2B-398F4829142E}"/>
    <cellStyle name="Currency 5 2 4 2 2 3" xfId="5064" xr:uid="{00000000-0005-0000-0000-0000290C0000}"/>
    <cellStyle name="Currency 5 2 4 2 2 3 2" xfId="21941" xr:uid="{C1993246-966A-4691-BD3A-D850D0409B77}"/>
    <cellStyle name="Currency 5 2 4 2 2 3 3" xfId="30375" xr:uid="{BF1431D0-8D06-49AD-80E4-54D502DA3F58}"/>
    <cellStyle name="Currency 5 2 4 2 2 3 4" xfId="13503" xr:uid="{4298EB42-C2B1-4958-A251-68B7904969AA}"/>
    <cellStyle name="Currency 5 2 4 2 2 4" xfId="17723" xr:uid="{AF9F3FEC-64F3-4792-AF61-C0CA83C3341F}"/>
    <cellStyle name="Currency 5 2 4 2 2 5" xfId="26158" xr:uid="{09FA54C4-0288-464D-9C9C-0F15F2F7D4BF}"/>
    <cellStyle name="Currency 5 2 4 2 2 6" xfId="9285" xr:uid="{D3107603-D892-47BD-8F1F-8531DEBCD3F9}"/>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24499" xr:uid="{3AFBEF01-5B71-4D5A-8A0E-7A0CF7E2DF18}"/>
    <cellStyle name="Currency 5 2 4 2 3 2 2 3" xfId="32933" xr:uid="{164F4D75-26E1-461B-A939-7AAF9C471EF2}"/>
    <cellStyle name="Currency 5 2 4 2 3 2 2 4" xfId="16061" xr:uid="{523A805A-01E5-4FA2-B4D6-5A4F56A5201F}"/>
    <cellStyle name="Currency 5 2 4 2 3 2 3" xfId="20281" xr:uid="{F9F15678-B287-460F-89A3-9986585488F8}"/>
    <cellStyle name="Currency 5 2 4 2 3 2 4" xfId="28716" xr:uid="{06499ABE-BEF7-46E4-AD6A-F19EE0CB83C5}"/>
    <cellStyle name="Currency 5 2 4 2 3 2 5" xfId="11843" xr:uid="{2ED03F30-7BC5-4007-B584-3609F1AFC4FA}"/>
    <cellStyle name="Currency 5 2 4 2 3 3" xfId="5477" xr:uid="{00000000-0005-0000-0000-00002D0C0000}"/>
    <cellStyle name="Currency 5 2 4 2 3 3 2" xfId="22354" xr:uid="{5C1824B6-70F1-4CCC-A12E-F883BDCFDC96}"/>
    <cellStyle name="Currency 5 2 4 2 3 3 3" xfId="30788" xr:uid="{42588EAB-B820-47D4-B543-B0E27A845723}"/>
    <cellStyle name="Currency 5 2 4 2 3 3 4" xfId="13916" xr:uid="{C0700141-1280-4598-948C-B4E25ADD88A5}"/>
    <cellStyle name="Currency 5 2 4 2 3 4" xfId="18136" xr:uid="{5CE38E79-8C2F-4E51-B363-47DAAABC858D}"/>
    <cellStyle name="Currency 5 2 4 2 3 5" xfId="26571" xr:uid="{B6E88824-8AA1-4F4D-8422-BEDE542DBE5A}"/>
    <cellStyle name="Currency 5 2 4 2 3 6" xfId="9698" xr:uid="{54933E2A-F074-4F40-A109-D13EFC8FECDC}"/>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24912" xr:uid="{57130013-7AEC-48C1-BE9D-CB1FFE9DEF15}"/>
    <cellStyle name="Currency 5 2 4 2 4 2 2 3" xfId="33346" xr:uid="{640FAECE-194F-421F-9DCE-240423A118E4}"/>
    <cellStyle name="Currency 5 2 4 2 4 2 2 4" xfId="16474" xr:uid="{65DFAC78-BD2D-4B3B-A1CE-B479B22B4C47}"/>
    <cellStyle name="Currency 5 2 4 2 4 2 3" xfId="20694" xr:uid="{DEAFE42D-3F1D-4B77-97F4-1F43C48F7A10}"/>
    <cellStyle name="Currency 5 2 4 2 4 2 4" xfId="29129" xr:uid="{A89599AB-3229-41EA-ABCF-8C1036C641AE}"/>
    <cellStyle name="Currency 5 2 4 2 4 2 5" xfId="12256" xr:uid="{5D9C05EC-B387-4164-9423-A6380C7F9581}"/>
    <cellStyle name="Currency 5 2 4 2 4 3" xfId="5890" xr:uid="{00000000-0005-0000-0000-0000310C0000}"/>
    <cellStyle name="Currency 5 2 4 2 4 3 2" xfId="22767" xr:uid="{3013D496-F7D5-4BD5-808B-7271500FFB2F}"/>
    <cellStyle name="Currency 5 2 4 2 4 3 3" xfId="31201" xr:uid="{A2A26A9B-CC29-48A1-9072-29A91C4E3062}"/>
    <cellStyle name="Currency 5 2 4 2 4 3 4" xfId="14329" xr:uid="{3BAE0A9F-DFAC-48E6-8B86-9637A93C36EC}"/>
    <cellStyle name="Currency 5 2 4 2 4 4" xfId="18549" xr:uid="{B2DA4E74-D622-41BF-8920-0A9BC25B677C}"/>
    <cellStyle name="Currency 5 2 4 2 4 5" xfId="26984" xr:uid="{3F534A0C-9B5A-4160-B5BB-B0171664CBEF}"/>
    <cellStyle name="Currency 5 2 4 2 4 6" xfId="10111" xr:uid="{E28BD509-F192-4692-8736-2442E4446CF9}"/>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25325" xr:uid="{96568A95-274E-44EA-8270-AE2410D64F10}"/>
    <cellStyle name="Currency 5 2 4 2 5 2 2 3" xfId="33759" xr:uid="{7836D397-144C-4B8A-AF99-C93DDE269B19}"/>
    <cellStyle name="Currency 5 2 4 2 5 2 2 4" xfId="16887" xr:uid="{20CC0734-0B7F-4238-8A64-4C858346D4C4}"/>
    <cellStyle name="Currency 5 2 4 2 5 2 3" xfId="21107" xr:uid="{FD45C803-38EA-4E0D-AC23-12D5B88410CA}"/>
    <cellStyle name="Currency 5 2 4 2 5 2 4" xfId="29542" xr:uid="{6D2B850A-96A7-4302-97B0-105898926E0F}"/>
    <cellStyle name="Currency 5 2 4 2 5 2 5" xfId="12669" xr:uid="{6834DB06-1A66-4E36-9F20-BE1FA3D021D7}"/>
    <cellStyle name="Currency 5 2 4 2 5 3" xfId="6303" xr:uid="{00000000-0005-0000-0000-0000350C0000}"/>
    <cellStyle name="Currency 5 2 4 2 5 3 2" xfId="23180" xr:uid="{14080A13-B17A-48D9-B62F-6A23C5F21505}"/>
    <cellStyle name="Currency 5 2 4 2 5 3 3" xfId="31614" xr:uid="{CAD6103F-D412-4BB3-BD6E-5FB282E55C2A}"/>
    <cellStyle name="Currency 5 2 4 2 5 3 4" xfId="14742" xr:uid="{47130162-9764-41EF-8AD2-2203719D234E}"/>
    <cellStyle name="Currency 5 2 4 2 5 4" xfId="18962" xr:uid="{28B18237-C20C-4431-9031-B4C7CFCD231D}"/>
    <cellStyle name="Currency 5 2 4 2 5 5" xfId="27397" xr:uid="{3487860B-06C9-425D-82C9-BA90C592C2AA}"/>
    <cellStyle name="Currency 5 2 4 2 5 6" xfId="10524" xr:uid="{7DD38CD6-4091-48A0-8892-E1EE651CAF5E}"/>
    <cellStyle name="Currency 5 2 4 2 6" xfId="2431" xr:uid="{00000000-0005-0000-0000-0000360C0000}"/>
    <cellStyle name="Currency 5 2 4 2 6 2" xfId="6716" xr:uid="{00000000-0005-0000-0000-0000370C0000}"/>
    <cellStyle name="Currency 5 2 4 2 6 2 2" xfId="23593" xr:uid="{729D1CBA-086A-4C94-99FF-3528563E7069}"/>
    <cellStyle name="Currency 5 2 4 2 6 2 3" xfId="32027" xr:uid="{E6AFA2B2-6E30-435C-A221-9F254535D63F}"/>
    <cellStyle name="Currency 5 2 4 2 6 2 4" xfId="15155" xr:uid="{34D3018E-1F67-4E06-A79C-493778114EC7}"/>
    <cellStyle name="Currency 5 2 4 2 6 3" xfId="19375" xr:uid="{B3A2E25C-CF2F-4501-A854-3C545B3A84F7}"/>
    <cellStyle name="Currency 5 2 4 2 6 4" xfId="27810" xr:uid="{20BFBD0C-57D7-4C25-A83F-CCABB7EAB2EA}"/>
    <cellStyle name="Currency 5 2 4 2 6 5" xfId="10937" xr:uid="{D344F681-FB10-480B-8D6B-3B9DFBDD4F89}"/>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23910" xr:uid="{B618B60E-81E6-4EC0-BA18-BEBD02944CED}"/>
    <cellStyle name="Currency 5 2 4 2 8 2 3" xfId="32344" xr:uid="{54E45004-23BC-457B-A051-C59F85BBFAD4}"/>
    <cellStyle name="Currency 5 2 4 2 8 2 4" xfId="15472" xr:uid="{28F56F91-340F-4ABB-BCB7-486E122AC143}"/>
    <cellStyle name="Currency 5 2 4 2 8 3" xfId="19692" xr:uid="{C33645B3-8C33-41A8-84ED-2E536EED7A58}"/>
    <cellStyle name="Currency 5 2 4 2 8 4" xfId="28127" xr:uid="{96201ED0-7D39-40BF-9C0E-F07B1F971E4E}"/>
    <cellStyle name="Currency 5 2 4 2 8 5" xfId="11254" xr:uid="{1DB35DC2-28D3-4794-B07A-81C40C7CC8AF}"/>
    <cellStyle name="Currency 5 2 4 2 9" xfId="4650" xr:uid="{00000000-0005-0000-0000-00003B0C0000}"/>
    <cellStyle name="Currency 5 2 4 2 9 2" xfId="21527" xr:uid="{EF882BB2-DB3E-406A-90D0-1E20CE8B3236}"/>
    <cellStyle name="Currency 5 2 4 2 9 3" xfId="29961" xr:uid="{915E2AAD-CC46-498F-B4FE-7B8ACB0105A4}"/>
    <cellStyle name="Currency 5 2 4 2 9 4" xfId="13089" xr:uid="{3F4DBA10-BA0C-4F87-9FA6-A9E94646B4C1}"/>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24085" xr:uid="{AE31216A-03FA-41C8-A93B-B3EF50F68329}"/>
    <cellStyle name="Currency 5 2 4 3 2 2 3" xfId="32519" xr:uid="{2BE77F4F-74F1-40A0-B23E-65E5D8B3EAF0}"/>
    <cellStyle name="Currency 5 2 4 3 2 2 4" xfId="15647" xr:uid="{8EB0B7B2-79E4-401B-BA77-82ECEDC1894B}"/>
    <cellStyle name="Currency 5 2 4 3 2 3" xfId="19867" xr:uid="{73748988-3839-4677-A788-5B3932BBF54D}"/>
    <cellStyle name="Currency 5 2 4 3 2 4" xfId="28302" xr:uid="{092F9181-C17C-4081-8E7E-2DC98184C88A}"/>
    <cellStyle name="Currency 5 2 4 3 2 5" xfId="11429" xr:uid="{F59FEC92-7A2A-4CF8-9FA9-11903F264560}"/>
    <cellStyle name="Currency 5 2 4 3 3" xfId="5063" xr:uid="{00000000-0005-0000-0000-00003F0C0000}"/>
    <cellStyle name="Currency 5 2 4 3 3 2" xfId="21940" xr:uid="{6E710973-B23F-48CA-AEF5-D9D91D041CE7}"/>
    <cellStyle name="Currency 5 2 4 3 3 3" xfId="30374" xr:uid="{2902CBE9-F02F-48A0-8C4A-0380851D23F5}"/>
    <cellStyle name="Currency 5 2 4 3 3 4" xfId="13502" xr:uid="{B03A47FF-D289-4A25-875C-4590C81B6432}"/>
    <cellStyle name="Currency 5 2 4 3 4" xfId="17722" xr:uid="{057C0500-C835-4BEB-8425-196C595A9ABE}"/>
    <cellStyle name="Currency 5 2 4 3 5" xfId="26157" xr:uid="{F426F99B-83EE-4E51-AFA8-B1E4536B18EE}"/>
    <cellStyle name="Currency 5 2 4 3 6" xfId="9284" xr:uid="{FF221A8C-5C6B-4721-BCE1-E813B57BCC69}"/>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24498" xr:uid="{4AB8A37A-3920-48B1-AB3D-B5AED783354D}"/>
    <cellStyle name="Currency 5 2 4 4 2 2 3" xfId="32932" xr:uid="{67B770AE-6C5E-4CB9-A3AE-0303DEADB137}"/>
    <cellStyle name="Currency 5 2 4 4 2 2 4" xfId="16060" xr:uid="{C32A232F-A96B-47AC-A495-44AA48B9B4EE}"/>
    <cellStyle name="Currency 5 2 4 4 2 3" xfId="20280" xr:uid="{6A2D85D0-7C00-4363-A807-CB5251843581}"/>
    <cellStyle name="Currency 5 2 4 4 2 4" xfId="28715" xr:uid="{7A512D7E-AA2F-46AE-8602-73A3C9B6347B}"/>
    <cellStyle name="Currency 5 2 4 4 2 5" xfId="11842" xr:uid="{4A3E9DCA-5F09-45A0-9E2D-320358407DC5}"/>
    <cellStyle name="Currency 5 2 4 4 3" xfId="5476" xr:uid="{00000000-0005-0000-0000-0000430C0000}"/>
    <cellStyle name="Currency 5 2 4 4 3 2" xfId="22353" xr:uid="{C570F45E-2A88-47E6-B9FD-A6367C0B0B7D}"/>
    <cellStyle name="Currency 5 2 4 4 3 3" xfId="30787" xr:uid="{2ECEF016-7F67-4A2F-9DC5-9000474AB774}"/>
    <cellStyle name="Currency 5 2 4 4 3 4" xfId="13915" xr:uid="{C71C9309-15BB-4566-9396-E68BA9BAA74A}"/>
    <cellStyle name="Currency 5 2 4 4 4" xfId="18135" xr:uid="{FFFF12D4-3860-4FA7-B4D9-0C3D784D8C03}"/>
    <cellStyle name="Currency 5 2 4 4 5" xfId="26570" xr:uid="{CE855790-5F2F-4C81-BA6C-84D5F9E5F017}"/>
    <cellStyle name="Currency 5 2 4 4 6" xfId="9697" xr:uid="{C3ADB0F0-90F8-497F-9198-4E3420C71DC3}"/>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24911" xr:uid="{1FF617B6-ED5A-4EFE-9A99-DB8445AC5893}"/>
    <cellStyle name="Currency 5 2 4 5 2 2 3" xfId="33345" xr:uid="{DF5EBC5E-F51D-4639-9893-75B756183626}"/>
    <cellStyle name="Currency 5 2 4 5 2 2 4" xfId="16473" xr:uid="{2F7D7ECB-AEFF-462E-B466-A742161D533F}"/>
    <cellStyle name="Currency 5 2 4 5 2 3" xfId="20693" xr:uid="{1CEF87D3-F53E-45B4-A535-A2A853BA40C8}"/>
    <cellStyle name="Currency 5 2 4 5 2 4" xfId="29128" xr:uid="{7D187A73-6331-40C1-9A8A-25349886CF32}"/>
    <cellStyle name="Currency 5 2 4 5 2 5" xfId="12255" xr:uid="{03A33D9C-E462-4CBC-81DD-564475919A3D}"/>
    <cellStyle name="Currency 5 2 4 5 3" xfId="5889" xr:uid="{00000000-0005-0000-0000-0000470C0000}"/>
    <cellStyle name="Currency 5 2 4 5 3 2" xfId="22766" xr:uid="{E581E687-D690-4932-878C-3CC2C1E88997}"/>
    <cellStyle name="Currency 5 2 4 5 3 3" xfId="31200" xr:uid="{7462CDFB-BC31-4AE5-B9A7-3866288C21CA}"/>
    <cellStyle name="Currency 5 2 4 5 3 4" xfId="14328" xr:uid="{9F2BB233-AB93-42AE-9C61-4CD6CD5DF44B}"/>
    <cellStyle name="Currency 5 2 4 5 4" xfId="18548" xr:uid="{085B52F2-F04F-4785-9C82-8B0D562BDD0D}"/>
    <cellStyle name="Currency 5 2 4 5 5" xfId="26983" xr:uid="{7D23FDE3-2C74-45D4-B269-A83D6417C116}"/>
    <cellStyle name="Currency 5 2 4 5 6" xfId="10110" xr:uid="{20893279-BB30-49B3-9529-5E9086A5C0B3}"/>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25324" xr:uid="{FFCF2BE0-DEF1-45CA-A884-35FADA08470E}"/>
    <cellStyle name="Currency 5 2 4 6 2 2 3" xfId="33758" xr:uid="{0352A6C3-8A47-4EF4-8814-9DA0FB20B6B7}"/>
    <cellStyle name="Currency 5 2 4 6 2 2 4" xfId="16886" xr:uid="{BB2128BF-0001-4736-B8CE-0309C3D0BCE1}"/>
    <cellStyle name="Currency 5 2 4 6 2 3" xfId="21106" xr:uid="{CA2E07DD-5A76-4B09-BDC8-7268B34A479E}"/>
    <cellStyle name="Currency 5 2 4 6 2 4" xfId="29541" xr:uid="{FB06AFBB-131A-4339-8614-8206D714915D}"/>
    <cellStyle name="Currency 5 2 4 6 2 5" xfId="12668" xr:uid="{4043B11B-B0FE-4E5D-96EE-7A5D476980A8}"/>
    <cellStyle name="Currency 5 2 4 6 3" xfId="6302" xr:uid="{00000000-0005-0000-0000-00004B0C0000}"/>
    <cellStyle name="Currency 5 2 4 6 3 2" xfId="23179" xr:uid="{98B296F1-1F69-40D3-88F4-E6DF60A47B06}"/>
    <cellStyle name="Currency 5 2 4 6 3 3" xfId="31613" xr:uid="{8FD7DBA9-E7C5-450D-B489-AD837505136B}"/>
    <cellStyle name="Currency 5 2 4 6 3 4" xfId="14741" xr:uid="{AB7E4B7C-3C18-481A-A38F-45183FBBD67D}"/>
    <cellStyle name="Currency 5 2 4 6 4" xfId="18961" xr:uid="{B579460B-7370-49A6-9ED0-AECBDB14EE26}"/>
    <cellStyle name="Currency 5 2 4 6 5" xfId="27396" xr:uid="{2FC58514-E8C2-4E08-88B8-05DD26528BF0}"/>
    <cellStyle name="Currency 5 2 4 6 6" xfId="10523" xr:uid="{15FDC020-BD62-4A76-83E6-BF2120239A4B}"/>
    <cellStyle name="Currency 5 2 4 7" xfId="2430" xr:uid="{00000000-0005-0000-0000-00004C0C0000}"/>
    <cellStyle name="Currency 5 2 4 7 2" xfId="6715" xr:uid="{00000000-0005-0000-0000-00004D0C0000}"/>
    <cellStyle name="Currency 5 2 4 7 2 2" xfId="23592" xr:uid="{3D8C49A8-E698-48ED-BAB6-24CA94665411}"/>
    <cellStyle name="Currency 5 2 4 7 2 3" xfId="32026" xr:uid="{60AAF958-71AF-45B1-88E9-22A91C34724A}"/>
    <cellStyle name="Currency 5 2 4 7 2 4" xfId="15154" xr:uid="{7804EAEA-2D26-4D18-A9BA-26AE3C063B58}"/>
    <cellStyle name="Currency 5 2 4 7 3" xfId="19374" xr:uid="{1AD66F48-B839-4BF8-B3BF-685C9F258D0C}"/>
    <cellStyle name="Currency 5 2 4 7 4" xfId="27809" xr:uid="{DD153FFD-56C8-4EE7-8AA9-851DBCDDB153}"/>
    <cellStyle name="Currency 5 2 4 7 5" xfId="10936" xr:uid="{7971665D-79CD-4240-847B-0D78926D82A2}"/>
    <cellStyle name="Currency 5 2 4 8" xfId="2727" xr:uid="{00000000-0005-0000-0000-00004E0C0000}"/>
    <cellStyle name="Currency 5 2 4 9" xfId="2808" xr:uid="{00000000-0005-0000-0000-00004F0C0000}"/>
    <cellStyle name="Currency 5 2 4 9 2" xfId="7032" xr:uid="{00000000-0005-0000-0000-0000500C0000}"/>
    <cellStyle name="Currency 5 2 4 9 2 2" xfId="23909" xr:uid="{5040A6B7-6389-40BF-B5D4-FE04ED595031}"/>
    <cellStyle name="Currency 5 2 4 9 2 3" xfId="32343" xr:uid="{7E14C6FC-20F1-481F-93E5-E71D9980353B}"/>
    <cellStyle name="Currency 5 2 4 9 2 4" xfId="15471" xr:uid="{99F1BDF6-CFC4-458D-A3E4-EC026616149E}"/>
    <cellStyle name="Currency 5 2 4 9 3" xfId="19691" xr:uid="{675BF0FD-96C2-4DC0-9670-EF31F2235B6E}"/>
    <cellStyle name="Currency 5 2 4 9 4" xfId="28126" xr:uid="{0D3DEF7B-4C20-4B08-84A3-21CADF6FC41A}"/>
    <cellStyle name="Currency 5 2 4 9 5" xfId="11253" xr:uid="{C17AEA19-1AD3-48B3-88F2-CF25E6F4BF59}"/>
    <cellStyle name="Currency 5 2 5" xfId="207" xr:uid="{00000000-0005-0000-0000-0000510C0000}"/>
    <cellStyle name="Currency 5 2 5 10" xfId="17310" xr:uid="{4C2ECAF8-0FB5-4179-A28F-18F31E87103F}"/>
    <cellStyle name="Currency 5 2 5 11" xfId="25745" xr:uid="{D84B1B7A-FDA1-4853-AC61-D93A7585D5F9}"/>
    <cellStyle name="Currency 5 2 5 12" xfId="8872" xr:uid="{E378E055-E4B3-482F-A459-34510CD15B0A}"/>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24087" xr:uid="{4D336F1D-1521-40C0-8667-C17AEE591459}"/>
    <cellStyle name="Currency 5 2 5 2 2 2 3" xfId="32521" xr:uid="{E296BD0B-039D-4437-A714-69D529DEDA7C}"/>
    <cellStyle name="Currency 5 2 5 2 2 2 4" xfId="15649" xr:uid="{D437B314-756C-4D50-8D06-8F90622AB372}"/>
    <cellStyle name="Currency 5 2 5 2 2 3" xfId="19869" xr:uid="{43022E45-8AF1-467A-8A82-4ED9AE34B436}"/>
    <cellStyle name="Currency 5 2 5 2 2 4" xfId="28304" xr:uid="{AE1AC5C6-8E5B-4ED7-BD83-967CD27EE8B6}"/>
    <cellStyle name="Currency 5 2 5 2 2 5" xfId="11431" xr:uid="{ECD1F03F-3902-422E-913F-47EBC56F4190}"/>
    <cellStyle name="Currency 5 2 5 2 3" xfId="5065" xr:uid="{00000000-0005-0000-0000-0000550C0000}"/>
    <cellStyle name="Currency 5 2 5 2 3 2" xfId="21942" xr:uid="{AA42A147-D0ED-451C-830D-0978A8BBDC6C}"/>
    <cellStyle name="Currency 5 2 5 2 3 3" xfId="30376" xr:uid="{4ECAB6FD-27C0-46E4-BBE4-982735EE7767}"/>
    <cellStyle name="Currency 5 2 5 2 3 4" xfId="13504" xr:uid="{300DC5D3-8729-43AD-A506-1930A1D5E964}"/>
    <cellStyle name="Currency 5 2 5 2 4" xfId="17724" xr:uid="{03324375-DDD7-499B-A388-9D08E78B6441}"/>
    <cellStyle name="Currency 5 2 5 2 5" xfId="26159" xr:uid="{57FF6C81-E612-4F10-8EBE-86CB742B187D}"/>
    <cellStyle name="Currency 5 2 5 2 6" xfId="9286" xr:uid="{DBC7224F-50BB-4ACF-94FD-33DD85708D32}"/>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24500" xr:uid="{B7078DB8-9438-45F7-9C4B-1048633A5A8A}"/>
    <cellStyle name="Currency 5 2 5 3 2 2 3" xfId="32934" xr:uid="{92437717-3CD1-465A-B705-B44740904CE2}"/>
    <cellStyle name="Currency 5 2 5 3 2 2 4" xfId="16062" xr:uid="{5052549E-79F2-4C5D-B7F4-9F7837F516D9}"/>
    <cellStyle name="Currency 5 2 5 3 2 3" xfId="20282" xr:uid="{0233BB4C-3ECB-4782-B5B7-0CEB9588AFA4}"/>
    <cellStyle name="Currency 5 2 5 3 2 4" xfId="28717" xr:uid="{D83D1980-CA87-4B3A-BD3E-6FC1EAA69537}"/>
    <cellStyle name="Currency 5 2 5 3 2 5" xfId="11844" xr:uid="{190DD301-6064-41D6-8B82-CB652AD4B2EE}"/>
    <cellStyle name="Currency 5 2 5 3 3" xfId="5478" xr:uid="{00000000-0005-0000-0000-0000590C0000}"/>
    <cellStyle name="Currency 5 2 5 3 3 2" xfId="22355" xr:uid="{1A03C732-B6EB-4DE8-B989-334F7EF40633}"/>
    <cellStyle name="Currency 5 2 5 3 3 3" xfId="30789" xr:uid="{82040011-F857-43A8-9AFC-F1001C6A459D}"/>
    <cellStyle name="Currency 5 2 5 3 3 4" xfId="13917" xr:uid="{1209BB85-2D3B-4B1B-BBCE-F7D943B6FFEC}"/>
    <cellStyle name="Currency 5 2 5 3 4" xfId="18137" xr:uid="{860FB647-6381-4AF2-B090-AD221AC0C908}"/>
    <cellStyle name="Currency 5 2 5 3 5" xfId="26572" xr:uid="{718ED354-D2CF-4B30-9BB5-27CC6B2EA17C}"/>
    <cellStyle name="Currency 5 2 5 3 6" xfId="9699" xr:uid="{60F1ED70-E1AF-4CDB-8B96-7B22FD50703E}"/>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24913" xr:uid="{FFE499DB-58C1-4766-A5A1-C6183C83C663}"/>
    <cellStyle name="Currency 5 2 5 4 2 2 3" xfId="33347" xr:uid="{DB86BB34-F135-4378-AEB2-71DF91D90F65}"/>
    <cellStyle name="Currency 5 2 5 4 2 2 4" xfId="16475" xr:uid="{66B4DBD1-D581-4DC4-A2E0-43405D012251}"/>
    <cellStyle name="Currency 5 2 5 4 2 3" xfId="20695" xr:uid="{9ECDE99E-D0A2-433C-9ADC-01C1139BF73D}"/>
    <cellStyle name="Currency 5 2 5 4 2 4" xfId="29130" xr:uid="{1A7EC975-5E23-4444-A310-5DE34907C905}"/>
    <cellStyle name="Currency 5 2 5 4 2 5" xfId="12257" xr:uid="{F3B6C00C-BB3C-416A-A63F-F65D5C7E26CE}"/>
    <cellStyle name="Currency 5 2 5 4 3" xfId="5891" xr:uid="{00000000-0005-0000-0000-00005D0C0000}"/>
    <cellStyle name="Currency 5 2 5 4 3 2" xfId="22768" xr:uid="{71D0A0AC-0AD9-4F27-BDBD-B23C6F45CEF0}"/>
    <cellStyle name="Currency 5 2 5 4 3 3" xfId="31202" xr:uid="{80A846A7-22DC-4832-8160-20E042AC3349}"/>
    <cellStyle name="Currency 5 2 5 4 3 4" xfId="14330" xr:uid="{5C4317FA-25F8-431B-AB57-32665535659C}"/>
    <cellStyle name="Currency 5 2 5 4 4" xfId="18550" xr:uid="{DF3C7D1F-4AD3-47CC-9883-87B91269DE22}"/>
    <cellStyle name="Currency 5 2 5 4 5" xfId="26985" xr:uid="{673F844F-9DE7-4B6F-92E4-742AFDEF71F9}"/>
    <cellStyle name="Currency 5 2 5 4 6" xfId="10112" xr:uid="{7B43F254-177F-4A5E-8498-D7A233536A0B}"/>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25326" xr:uid="{1847752E-0F52-4BC8-B611-5DCA80153CA8}"/>
    <cellStyle name="Currency 5 2 5 5 2 2 3" xfId="33760" xr:uid="{D6369DB6-E4E1-4E97-87CA-02121E3C1E37}"/>
    <cellStyle name="Currency 5 2 5 5 2 2 4" xfId="16888" xr:uid="{71A8CA6C-4D53-4764-836D-56AF1EDE4D90}"/>
    <cellStyle name="Currency 5 2 5 5 2 3" xfId="21108" xr:uid="{A9CD6852-26C0-402D-85C8-45399D740693}"/>
    <cellStyle name="Currency 5 2 5 5 2 4" xfId="29543" xr:uid="{52021378-DFD6-47CD-B573-406A55487D4A}"/>
    <cellStyle name="Currency 5 2 5 5 2 5" xfId="12670" xr:uid="{1E3506AE-9CEB-4318-8D84-CD3555D31E53}"/>
    <cellStyle name="Currency 5 2 5 5 3" xfId="6304" xr:uid="{00000000-0005-0000-0000-0000610C0000}"/>
    <cellStyle name="Currency 5 2 5 5 3 2" xfId="23181" xr:uid="{5A047945-D06D-4C8A-9FA4-DC8F7EDF6C5A}"/>
    <cellStyle name="Currency 5 2 5 5 3 3" xfId="31615" xr:uid="{773E6507-19F7-4721-938F-E234E47FD7D0}"/>
    <cellStyle name="Currency 5 2 5 5 3 4" xfId="14743" xr:uid="{0D259C28-C81E-4FF2-8870-625B216E9606}"/>
    <cellStyle name="Currency 5 2 5 5 4" xfId="18963" xr:uid="{B273E86D-52BD-4F71-83F9-BA7E6884A4A2}"/>
    <cellStyle name="Currency 5 2 5 5 5" xfId="27398" xr:uid="{800ECE0A-2F5E-4D89-9D4A-FE16E65FF439}"/>
    <cellStyle name="Currency 5 2 5 5 6" xfId="10525" xr:uid="{5EDAB6C4-1906-4112-B5D3-A7EEEFE07351}"/>
    <cellStyle name="Currency 5 2 5 6" xfId="2432" xr:uid="{00000000-0005-0000-0000-0000620C0000}"/>
    <cellStyle name="Currency 5 2 5 6 2" xfId="6717" xr:uid="{00000000-0005-0000-0000-0000630C0000}"/>
    <cellStyle name="Currency 5 2 5 6 2 2" xfId="23594" xr:uid="{C4F1439F-906C-4795-A767-9BB0953CD28D}"/>
    <cellStyle name="Currency 5 2 5 6 2 3" xfId="32028" xr:uid="{E982ABA5-831D-4038-A806-677634547042}"/>
    <cellStyle name="Currency 5 2 5 6 2 4" xfId="15156" xr:uid="{34B52310-D667-45E6-8B1F-9A68AC359387}"/>
    <cellStyle name="Currency 5 2 5 6 3" xfId="19376" xr:uid="{84703747-770C-43F7-B9D5-DF58C9DCA82C}"/>
    <cellStyle name="Currency 5 2 5 6 4" xfId="27811" xr:uid="{9CC835F2-34F8-42E6-AB4F-166D8709D7C9}"/>
    <cellStyle name="Currency 5 2 5 6 5" xfId="10938" xr:uid="{0C1ED63E-EE77-4B55-B831-FD8CCE2D1A3C}"/>
    <cellStyle name="Currency 5 2 5 7" xfId="2729" xr:uid="{00000000-0005-0000-0000-0000640C0000}"/>
    <cellStyle name="Currency 5 2 5 8" xfId="2810" xr:uid="{00000000-0005-0000-0000-0000650C0000}"/>
    <cellStyle name="Currency 5 2 5 8 2" xfId="7034" xr:uid="{00000000-0005-0000-0000-0000660C0000}"/>
    <cellStyle name="Currency 5 2 5 8 2 2" xfId="23911" xr:uid="{7A422A91-98B2-4EC2-A0C0-3C1DFBBB6CD1}"/>
    <cellStyle name="Currency 5 2 5 8 2 3" xfId="32345" xr:uid="{4A04FE01-37ED-46A8-9B82-9FF215D99075}"/>
    <cellStyle name="Currency 5 2 5 8 2 4" xfId="15473" xr:uid="{E50DDA56-BD49-44B3-BAB5-08884D04F09D}"/>
    <cellStyle name="Currency 5 2 5 8 3" xfId="19693" xr:uid="{DE97E6B7-F202-4B6F-9793-531AE33FC6D0}"/>
    <cellStyle name="Currency 5 2 5 8 4" xfId="28128" xr:uid="{51658525-D56B-4938-B4E1-963ACE6D4454}"/>
    <cellStyle name="Currency 5 2 5 8 5" xfId="11255" xr:uid="{6EF6567C-27CC-4A99-A547-935555CD805C}"/>
    <cellStyle name="Currency 5 2 5 9" xfId="4651" xr:uid="{00000000-0005-0000-0000-0000670C0000}"/>
    <cellStyle name="Currency 5 2 5 9 2" xfId="21528" xr:uid="{DC720B3A-5349-4969-8FA7-2D4C5577A181}"/>
    <cellStyle name="Currency 5 2 5 9 3" xfId="29962" xr:uid="{7930DF15-B7A1-4EF3-B7F6-27FB18206AA2}"/>
    <cellStyle name="Currency 5 2 5 9 4" xfId="13090" xr:uid="{B7D5B18C-DCCC-4A92-BDD4-88D683A3AD60}"/>
    <cellStyle name="Currency 5 2 6" xfId="208" xr:uid="{00000000-0005-0000-0000-0000680C0000}"/>
    <cellStyle name="Currency 5 2 6 10" xfId="17311" xr:uid="{3C7ABEE2-B4F2-4559-B88B-381AA105E5AF}"/>
    <cellStyle name="Currency 5 2 6 11" xfId="25746" xr:uid="{7929F28F-63CF-4747-A78F-1E94BB919372}"/>
    <cellStyle name="Currency 5 2 6 12" xfId="8873" xr:uid="{9219A7CF-09A6-48DD-8E0E-8D869407F231}"/>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24088" xr:uid="{DD9DA19C-FD4E-49A9-8E8D-9FAAEE914214}"/>
    <cellStyle name="Currency 5 2 6 2 2 2 3" xfId="32522" xr:uid="{B004B712-CE50-4D1C-99CA-0E1625C36BD8}"/>
    <cellStyle name="Currency 5 2 6 2 2 2 4" xfId="15650" xr:uid="{A48DC859-6D1B-4255-99EA-6FF9EC3A3C1D}"/>
    <cellStyle name="Currency 5 2 6 2 2 3" xfId="19870" xr:uid="{77CE641E-B127-423C-93F6-3E13657502E6}"/>
    <cellStyle name="Currency 5 2 6 2 2 4" xfId="28305" xr:uid="{19DBF512-9B75-431A-9DE8-6D3846D9DCE2}"/>
    <cellStyle name="Currency 5 2 6 2 2 5" xfId="11432" xr:uid="{A78F2902-B1DF-46E3-A1B6-3C4F20AFE450}"/>
    <cellStyle name="Currency 5 2 6 2 3" xfId="5066" xr:uid="{00000000-0005-0000-0000-00006C0C0000}"/>
    <cellStyle name="Currency 5 2 6 2 3 2" xfId="21943" xr:uid="{B3C9417E-6AEE-45A8-AD9B-5FACCF5C4804}"/>
    <cellStyle name="Currency 5 2 6 2 3 3" xfId="30377" xr:uid="{943D6B84-C7EF-48A4-A332-E81E97D03DCA}"/>
    <cellStyle name="Currency 5 2 6 2 3 4" xfId="13505" xr:uid="{F54A1D52-A65F-4AF3-8F86-9F71552A30D9}"/>
    <cellStyle name="Currency 5 2 6 2 4" xfId="17725" xr:uid="{91C48069-9CAC-490D-AA05-BE41D1D7A879}"/>
    <cellStyle name="Currency 5 2 6 2 5" xfId="26160" xr:uid="{51FCA8A0-9B3C-499D-87A7-EB0AC9E4A97B}"/>
    <cellStyle name="Currency 5 2 6 2 6" xfId="9287" xr:uid="{FA944355-F2D9-427A-ABCC-EE3DC37782C8}"/>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24501" xr:uid="{B71331B9-633A-42BF-AA8E-4E7C2EEF51B0}"/>
    <cellStyle name="Currency 5 2 6 3 2 2 3" xfId="32935" xr:uid="{930EA257-2A99-4B39-BA1E-A815A4B241A3}"/>
    <cellStyle name="Currency 5 2 6 3 2 2 4" xfId="16063" xr:uid="{D9E3F6AC-2BCE-4F28-B5F0-8A1B2E22F42A}"/>
    <cellStyle name="Currency 5 2 6 3 2 3" xfId="20283" xr:uid="{3288371C-D4D9-4EC8-8B67-B9A63D9B3D26}"/>
    <cellStyle name="Currency 5 2 6 3 2 4" xfId="28718" xr:uid="{F50DA78D-7B03-41A9-8A52-58A841888B1E}"/>
    <cellStyle name="Currency 5 2 6 3 2 5" xfId="11845" xr:uid="{22508779-E98A-4639-BAFD-2487E1C5D3A4}"/>
    <cellStyle name="Currency 5 2 6 3 3" xfId="5479" xr:uid="{00000000-0005-0000-0000-0000700C0000}"/>
    <cellStyle name="Currency 5 2 6 3 3 2" xfId="22356" xr:uid="{FC360943-ADC1-458D-9529-A2EA985A5DC8}"/>
    <cellStyle name="Currency 5 2 6 3 3 3" xfId="30790" xr:uid="{9B253798-823E-453B-BEF8-787EEAE6B841}"/>
    <cellStyle name="Currency 5 2 6 3 3 4" xfId="13918" xr:uid="{6B88FC19-9490-4AFD-8DAB-F64E18B98B17}"/>
    <cellStyle name="Currency 5 2 6 3 4" xfId="18138" xr:uid="{B448F972-679E-40E9-8147-AA0014B21B21}"/>
    <cellStyle name="Currency 5 2 6 3 5" xfId="26573" xr:uid="{BBD9A44D-4450-4BA5-A620-3E02D17DA0F6}"/>
    <cellStyle name="Currency 5 2 6 3 6" xfId="9700" xr:uid="{96026A26-F03D-4840-BC4D-53E323C013CC}"/>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24914" xr:uid="{AA39AC7B-E547-4A9D-8DCF-223D2524735F}"/>
    <cellStyle name="Currency 5 2 6 4 2 2 3" xfId="33348" xr:uid="{336EE410-A27A-4559-AEA0-A6CD641DDEF8}"/>
    <cellStyle name="Currency 5 2 6 4 2 2 4" xfId="16476" xr:uid="{614E738F-5652-4FE8-8E07-10BB47C1F89B}"/>
    <cellStyle name="Currency 5 2 6 4 2 3" xfId="20696" xr:uid="{09ACC98D-9306-4397-BE49-BF4BF574C8F6}"/>
    <cellStyle name="Currency 5 2 6 4 2 4" xfId="29131" xr:uid="{9183ED36-626C-4ECC-AF59-B6393C90C8BF}"/>
    <cellStyle name="Currency 5 2 6 4 2 5" xfId="12258" xr:uid="{A3304E06-84A2-43D5-A9E3-E899EEF5E3CD}"/>
    <cellStyle name="Currency 5 2 6 4 3" xfId="5892" xr:uid="{00000000-0005-0000-0000-0000740C0000}"/>
    <cellStyle name="Currency 5 2 6 4 3 2" xfId="22769" xr:uid="{3E4A19C6-93BE-4D12-A738-7AFF26CC6B25}"/>
    <cellStyle name="Currency 5 2 6 4 3 3" xfId="31203" xr:uid="{074237AE-E7E6-4625-BB26-0E6B74A0847B}"/>
    <cellStyle name="Currency 5 2 6 4 3 4" xfId="14331" xr:uid="{D0DBFB17-BADD-44F6-8F88-21CE41D01860}"/>
    <cellStyle name="Currency 5 2 6 4 4" xfId="18551" xr:uid="{370E4D97-E596-4825-99DA-176045EE0908}"/>
    <cellStyle name="Currency 5 2 6 4 5" xfId="26986" xr:uid="{7760571A-01EE-4D6F-B2CE-A676F2CDF3E0}"/>
    <cellStyle name="Currency 5 2 6 4 6" xfId="10113" xr:uid="{90C2DA34-0ED9-40E3-A4F8-FEEA874B4CF1}"/>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25327" xr:uid="{A7DEDB4C-525E-40DB-B61D-A3736FC11548}"/>
    <cellStyle name="Currency 5 2 6 5 2 2 3" xfId="33761" xr:uid="{18A8A77B-20D5-41BF-AC00-9ADB511BFE3C}"/>
    <cellStyle name="Currency 5 2 6 5 2 2 4" xfId="16889" xr:uid="{E4BE956A-5E5D-423B-95F7-2D84EA2E6A05}"/>
    <cellStyle name="Currency 5 2 6 5 2 3" xfId="21109" xr:uid="{1E9B7553-4A01-4219-9C5B-FC6EF7CA70B9}"/>
    <cellStyle name="Currency 5 2 6 5 2 4" xfId="29544" xr:uid="{6122994A-906D-4DB6-AAE9-B184722499B1}"/>
    <cellStyle name="Currency 5 2 6 5 2 5" xfId="12671" xr:uid="{F1A2CE8C-7EF8-4509-A00F-A15CFA816B25}"/>
    <cellStyle name="Currency 5 2 6 5 3" xfId="6305" xr:uid="{00000000-0005-0000-0000-0000780C0000}"/>
    <cellStyle name="Currency 5 2 6 5 3 2" xfId="23182" xr:uid="{91BB49AC-FB24-4CE6-AEE6-36D5AC3D2FC3}"/>
    <cellStyle name="Currency 5 2 6 5 3 3" xfId="31616" xr:uid="{F1D65CBC-41AC-40C4-86E0-E5F87740CE7B}"/>
    <cellStyle name="Currency 5 2 6 5 3 4" xfId="14744" xr:uid="{AE554666-9187-44F3-AFA0-C6B830B141C1}"/>
    <cellStyle name="Currency 5 2 6 5 4" xfId="18964" xr:uid="{3C4E07C9-514B-4A2D-BCDB-8FA3A66A0812}"/>
    <cellStyle name="Currency 5 2 6 5 5" xfId="27399" xr:uid="{2A1B08FA-6D48-47E1-8E47-6146E85DC879}"/>
    <cellStyle name="Currency 5 2 6 5 6" xfId="10526" xr:uid="{34EFB03D-D15F-4B57-B2B3-C1937AC6A763}"/>
    <cellStyle name="Currency 5 2 6 6" xfId="2433" xr:uid="{00000000-0005-0000-0000-0000790C0000}"/>
    <cellStyle name="Currency 5 2 6 6 2" xfId="6718" xr:uid="{00000000-0005-0000-0000-00007A0C0000}"/>
    <cellStyle name="Currency 5 2 6 6 2 2" xfId="23595" xr:uid="{8D93A0AB-26A7-4493-83EA-A60CB7F80925}"/>
    <cellStyle name="Currency 5 2 6 6 2 3" xfId="32029" xr:uid="{C9E872B2-1223-4680-BA7F-BFE191661CDC}"/>
    <cellStyle name="Currency 5 2 6 6 2 4" xfId="15157" xr:uid="{573720E8-FD5B-4621-99BA-38FF54D8B668}"/>
    <cellStyle name="Currency 5 2 6 6 3" xfId="19377" xr:uid="{1E0FD74F-5FD4-4751-9559-54A613877C05}"/>
    <cellStyle name="Currency 5 2 6 6 4" xfId="27812" xr:uid="{D86F6539-5FB4-43EC-B77E-96CD8C63BFC9}"/>
    <cellStyle name="Currency 5 2 6 6 5" xfId="10939" xr:uid="{7AE1AC73-7CED-44C6-943B-AFF4C0B3F37D}"/>
    <cellStyle name="Currency 5 2 6 7" xfId="2730" xr:uid="{00000000-0005-0000-0000-00007B0C0000}"/>
    <cellStyle name="Currency 5 2 6 8" xfId="2811" xr:uid="{00000000-0005-0000-0000-00007C0C0000}"/>
    <cellStyle name="Currency 5 2 6 8 2" xfId="7035" xr:uid="{00000000-0005-0000-0000-00007D0C0000}"/>
    <cellStyle name="Currency 5 2 6 8 2 2" xfId="23912" xr:uid="{8DF16762-AAC8-4A92-BFE4-18F9227FCFD1}"/>
    <cellStyle name="Currency 5 2 6 8 2 3" xfId="32346" xr:uid="{A5A5E79D-D11A-456D-9A4A-426C265F916F}"/>
    <cellStyle name="Currency 5 2 6 8 2 4" xfId="15474" xr:uid="{0FB0C7C2-00E7-4E1B-8CD7-BC261F1C57FC}"/>
    <cellStyle name="Currency 5 2 6 8 3" xfId="19694" xr:uid="{F3F4F3ED-E9AF-455F-8261-466F4C3283A1}"/>
    <cellStyle name="Currency 5 2 6 8 4" xfId="28129" xr:uid="{8EB1E264-F7D0-4E49-AA4B-A67F657F899D}"/>
    <cellStyle name="Currency 5 2 6 8 5" xfId="11256" xr:uid="{FE1EBBB5-94C7-4E74-B51B-A6D62CCB4FDD}"/>
    <cellStyle name="Currency 5 2 6 9" xfId="4652" xr:uid="{00000000-0005-0000-0000-00007E0C0000}"/>
    <cellStyle name="Currency 5 2 6 9 2" xfId="21529" xr:uid="{62BF57F5-C4BD-4E43-B783-F9DF47B8E0BC}"/>
    <cellStyle name="Currency 5 2 6 9 3" xfId="29963" xr:uid="{F6F40957-6CDC-4103-987C-798FFC097CB2}"/>
    <cellStyle name="Currency 5 2 6 9 4" xfId="13091" xr:uid="{6C8D75D1-4BA4-4F8F-BA3C-CE973F03A22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23913" xr:uid="{21CC2058-A55D-4920-8C53-19D412CD90AC}"/>
    <cellStyle name="Currency 5 3 2 10 2 3" xfId="32347" xr:uid="{B392C789-D0DE-4785-9868-6EE089AA0FD6}"/>
    <cellStyle name="Currency 5 3 2 10 2 4" xfId="15475" xr:uid="{17B63E19-A763-4B62-9725-A0666AFB929A}"/>
    <cellStyle name="Currency 5 3 2 10 3" xfId="19695" xr:uid="{1AC3192B-864D-466E-97FA-DE2622710D6B}"/>
    <cellStyle name="Currency 5 3 2 10 4" xfId="28130" xr:uid="{980C57E4-F607-4AFD-946D-B529F5F2DB12}"/>
    <cellStyle name="Currency 5 3 2 10 5" xfId="11257" xr:uid="{42437F40-DB41-45CF-BE3A-AE8D8084BCEE}"/>
    <cellStyle name="Currency 5 3 2 11" xfId="4653" xr:uid="{00000000-0005-0000-0000-0000840C0000}"/>
    <cellStyle name="Currency 5 3 2 11 2" xfId="21530" xr:uid="{BF2160F8-B1A4-4091-9EDF-02B3AB1B1B0D}"/>
    <cellStyle name="Currency 5 3 2 11 3" xfId="29964" xr:uid="{102AB916-73EF-4DDF-97CD-971D8A3048CA}"/>
    <cellStyle name="Currency 5 3 2 11 4" xfId="13092" xr:uid="{19E68234-635C-439F-BD79-E96FD13DE2FD}"/>
    <cellStyle name="Currency 5 3 2 12" xfId="17312" xr:uid="{675EE9E0-528F-41C9-B3F8-73DDC5BAACEA}"/>
    <cellStyle name="Currency 5 3 2 13" xfId="25747" xr:uid="{36D46B90-F28B-4DB3-8ABD-4445B56E9480}"/>
    <cellStyle name="Currency 5 3 2 14" xfId="8874" xr:uid="{C0007E13-8E74-4414-85BB-BC16A3F7BD74}"/>
    <cellStyle name="Currency 5 3 2 2" xfId="211" xr:uid="{00000000-0005-0000-0000-0000850C0000}"/>
    <cellStyle name="Currency 5 3 2 2 10" xfId="4654" xr:uid="{00000000-0005-0000-0000-0000860C0000}"/>
    <cellStyle name="Currency 5 3 2 2 10 2" xfId="21531" xr:uid="{38CB035D-921A-4306-91C6-F72E326AF4FB}"/>
    <cellStyle name="Currency 5 3 2 2 10 3" xfId="29965" xr:uid="{DDD6AF9E-0AC9-44CE-95EE-1CCA69D89CB1}"/>
    <cellStyle name="Currency 5 3 2 2 10 4" xfId="13093" xr:uid="{70516C3F-2E58-4CFC-993A-95DEC2D52451}"/>
    <cellStyle name="Currency 5 3 2 2 11" xfId="17313" xr:uid="{7D2D826C-AE5C-4C0A-A8B4-6E0A72C93145}"/>
    <cellStyle name="Currency 5 3 2 2 12" xfId="25748" xr:uid="{48762ED0-4E2F-4C0E-AE8E-C1B107249A41}"/>
    <cellStyle name="Currency 5 3 2 2 13" xfId="8875" xr:uid="{2EDF6974-C86E-4910-9A29-B953E93F0453}"/>
    <cellStyle name="Currency 5 3 2 2 2" xfId="212" xr:uid="{00000000-0005-0000-0000-0000870C0000}"/>
    <cellStyle name="Currency 5 3 2 2 2 10" xfId="17314" xr:uid="{6A116ECE-4106-4A63-85A9-234EAF3C66C7}"/>
    <cellStyle name="Currency 5 3 2 2 2 11" xfId="25749" xr:uid="{5196C62C-B296-49AE-83D8-6EA14162748E}"/>
    <cellStyle name="Currency 5 3 2 2 2 12" xfId="8876" xr:uid="{215F21AB-13A8-4442-8519-C0636A44712F}"/>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24091" xr:uid="{26448657-FE01-418F-A750-B3A6459552E5}"/>
    <cellStyle name="Currency 5 3 2 2 2 2 2 2 3" xfId="32525" xr:uid="{8D8DDC4E-74E1-4AFB-B5D3-040BFA5E67D9}"/>
    <cellStyle name="Currency 5 3 2 2 2 2 2 2 4" xfId="15653" xr:uid="{809F9A63-97C9-4A26-9A5F-C6DE61B8A810}"/>
    <cellStyle name="Currency 5 3 2 2 2 2 2 3" xfId="19873" xr:uid="{73F56C5E-5BF4-443F-B98B-44740383E8DE}"/>
    <cellStyle name="Currency 5 3 2 2 2 2 2 4" xfId="28308" xr:uid="{212D00BE-6989-4D8E-8B24-3E8EBAEFB661}"/>
    <cellStyle name="Currency 5 3 2 2 2 2 2 5" xfId="11435" xr:uid="{68734D5B-9230-42EC-B1DB-6AAE216B93CB}"/>
    <cellStyle name="Currency 5 3 2 2 2 2 3" xfId="5069" xr:uid="{00000000-0005-0000-0000-00008B0C0000}"/>
    <cellStyle name="Currency 5 3 2 2 2 2 3 2" xfId="21946" xr:uid="{BB1D044E-11A1-4BB8-A415-FFEA9C8802F0}"/>
    <cellStyle name="Currency 5 3 2 2 2 2 3 3" xfId="30380" xr:uid="{802AD5DC-1BB6-4CC1-AFC3-410F48121CDC}"/>
    <cellStyle name="Currency 5 3 2 2 2 2 3 4" xfId="13508" xr:uid="{3836CADD-BC82-420E-8F62-780319F89427}"/>
    <cellStyle name="Currency 5 3 2 2 2 2 4" xfId="17728" xr:uid="{3A98FFBB-D369-4846-8D35-C8A668FEB063}"/>
    <cellStyle name="Currency 5 3 2 2 2 2 5" xfId="26163" xr:uid="{34137084-E654-4742-95F6-B21CBE6DF4FC}"/>
    <cellStyle name="Currency 5 3 2 2 2 2 6" xfId="9290" xr:uid="{AFD9031E-FC47-45D3-A6D6-8C8F14C6B39C}"/>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24504" xr:uid="{A478CDF0-410C-48BE-B598-9CCD1940DF59}"/>
    <cellStyle name="Currency 5 3 2 2 2 3 2 2 3" xfId="32938" xr:uid="{E8CDF34B-1676-4F37-9488-E0934FF2EE70}"/>
    <cellStyle name="Currency 5 3 2 2 2 3 2 2 4" xfId="16066" xr:uid="{2B1820F0-C57F-4C63-A56D-8D0C380A49F8}"/>
    <cellStyle name="Currency 5 3 2 2 2 3 2 3" xfId="20286" xr:uid="{6EF2C338-68A4-4334-BA83-8AB52CA53663}"/>
    <cellStyle name="Currency 5 3 2 2 2 3 2 4" xfId="28721" xr:uid="{76E6F4A5-8B55-4E37-907C-0C7E8750159A}"/>
    <cellStyle name="Currency 5 3 2 2 2 3 2 5" xfId="11848" xr:uid="{B08B7A6D-DB87-4D91-979F-8677AF3462EA}"/>
    <cellStyle name="Currency 5 3 2 2 2 3 3" xfId="5482" xr:uid="{00000000-0005-0000-0000-00008F0C0000}"/>
    <cellStyle name="Currency 5 3 2 2 2 3 3 2" xfId="22359" xr:uid="{386A78B0-7CF2-4450-A47D-F775C2A0216F}"/>
    <cellStyle name="Currency 5 3 2 2 2 3 3 3" xfId="30793" xr:uid="{A9E89527-31EB-42F8-B9CB-6E064C40DFA9}"/>
    <cellStyle name="Currency 5 3 2 2 2 3 3 4" xfId="13921" xr:uid="{375C7CA4-ACD3-4593-8726-4F2814447429}"/>
    <cellStyle name="Currency 5 3 2 2 2 3 4" xfId="18141" xr:uid="{5D215EDA-8980-4F91-A80B-729EF2241760}"/>
    <cellStyle name="Currency 5 3 2 2 2 3 5" xfId="26576" xr:uid="{92BA3C10-B65F-4D43-933A-6529F102769C}"/>
    <cellStyle name="Currency 5 3 2 2 2 3 6" xfId="9703" xr:uid="{9A179444-658F-49FC-AFBB-5B185EF54946}"/>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24917" xr:uid="{F76FE4E9-5361-4CA7-A42D-43EEC0EC4639}"/>
    <cellStyle name="Currency 5 3 2 2 2 4 2 2 3" xfId="33351" xr:uid="{89CB83AC-A8B6-4B3E-BA44-2A866A4EDFF4}"/>
    <cellStyle name="Currency 5 3 2 2 2 4 2 2 4" xfId="16479" xr:uid="{F14031B7-9CF4-4640-8732-0302042247E3}"/>
    <cellStyle name="Currency 5 3 2 2 2 4 2 3" xfId="20699" xr:uid="{D5DFF390-9912-47A7-A539-07A2A620FCF4}"/>
    <cellStyle name="Currency 5 3 2 2 2 4 2 4" xfId="29134" xr:uid="{F3670FB8-C0A6-4EB5-A374-8AA4B7EFBD58}"/>
    <cellStyle name="Currency 5 3 2 2 2 4 2 5" xfId="12261" xr:uid="{46D870B3-499D-4ADC-9674-D95813FEEE8B}"/>
    <cellStyle name="Currency 5 3 2 2 2 4 3" xfId="5895" xr:uid="{00000000-0005-0000-0000-0000930C0000}"/>
    <cellStyle name="Currency 5 3 2 2 2 4 3 2" xfId="22772" xr:uid="{F9F10CF2-9998-4268-8058-FF4F0FB29589}"/>
    <cellStyle name="Currency 5 3 2 2 2 4 3 3" xfId="31206" xr:uid="{0F1327C6-BBDE-42CD-9B3B-B1C78164CAE7}"/>
    <cellStyle name="Currency 5 3 2 2 2 4 3 4" xfId="14334" xr:uid="{0BF35AE2-0ECF-4B8B-970C-6147B16336C8}"/>
    <cellStyle name="Currency 5 3 2 2 2 4 4" xfId="18554" xr:uid="{7AE906C6-8B51-412F-9156-469F3E6B9EE2}"/>
    <cellStyle name="Currency 5 3 2 2 2 4 5" xfId="26989" xr:uid="{A06C2F35-15C8-482F-927F-CDB452011864}"/>
    <cellStyle name="Currency 5 3 2 2 2 4 6" xfId="10116" xr:uid="{AEB9C233-4C0F-4641-BE87-81DF4A4631D7}"/>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25330" xr:uid="{5D2FFD62-EA94-4E30-ACA0-651A64D844D0}"/>
    <cellStyle name="Currency 5 3 2 2 2 5 2 2 3" xfId="33764" xr:uid="{38CE5F95-9D04-448E-A905-D45FE8087F56}"/>
    <cellStyle name="Currency 5 3 2 2 2 5 2 2 4" xfId="16892" xr:uid="{E66B427E-DF0F-42EC-BFB3-6FAB9E369FCE}"/>
    <cellStyle name="Currency 5 3 2 2 2 5 2 3" xfId="21112" xr:uid="{958482B9-6E06-4FE9-B73E-3A889CB68859}"/>
    <cellStyle name="Currency 5 3 2 2 2 5 2 4" xfId="29547" xr:uid="{9BC97A75-E1AE-495A-A0D2-86BECB5D7589}"/>
    <cellStyle name="Currency 5 3 2 2 2 5 2 5" xfId="12674" xr:uid="{36C253F6-B77E-47F9-BDA8-65F827A6B5CD}"/>
    <cellStyle name="Currency 5 3 2 2 2 5 3" xfId="6308" xr:uid="{00000000-0005-0000-0000-0000970C0000}"/>
    <cellStyle name="Currency 5 3 2 2 2 5 3 2" xfId="23185" xr:uid="{BCBBA4F0-42A5-427E-B994-0D8BB229BCFB}"/>
    <cellStyle name="Currency 5 3 2 2 2 5 3 3" xfId="31619" xr:uid="{D22330DB-3A87-48D3-9D25-16E537AFFC17}"/>
    <cellStyle name="Currency 5 3 2 2 2 5 3 4" xfId="14747" xr:uid="{272F0444-D7DE-4BC1-A3EE-CB38435F5FD6}"/>
    <cellStyle name="Currency 5 3 2 2 2 5 4" xfId="18967" xr:uid="{5F994F49-879B-448B-821E-3EF08D590AA6}"/>
    <cellStyle name="Currency 5 3 2 2 2 5 5" xfId="27402" xr:uid="{3C1EB990-4502-4A20-A3C5-AC25E2E1DFA8}"/>
    <cellStyle name="Currency 5 3 2 2 2 5 6" xfId="10529" xr:uid="{6BE24BCA-758F-4973-8998-78134C7B028E}"/>
    <cellStyle name="Currency 5 3 2 2 2 6" xfId="2436" xr:uid="{00000000-0005-0000-0000-0000980C0000}"/>
    <cellStyle name="Currency 5 3 2 2 2 6 2" xfId="6721" xr:uid="{00000000-0005-0000-0000-0000990C0000}"/>
    <cellStyle name="Currency 5 3 2 2 2 6 2 2" xfId="23598" xr:uid="{B2B939E3-62EC-43D8-81A8-63EDCB79F82B}"/>
    <cellStyle name="Currency 5 3 2 2 2 6 2 3" xfId="32032" xr:uid="{FD51C163-EE92-492D-B20B-DE1411D97B60}"/>
    <cellStyle name="Currency 5 3 2 2 2 6 2 4" xfId="15160" xr:uid="{7852B950-F64B-4FC7-83BA-05AAB2D4CE1D}"/>
    <cellStyle name="Currency 5 3 2 2 2 6 3" xfId="19380" xr:uid="{C9F7AB8B-B872-49AF-88A7-DA6F04BD054C}"/>
    <cellStyle name="Currency 5 3 2 2 2 6 4" xfId="27815" xr:uid="{08B06513-C579-4BC2-B1ED-4CBE213AA6A1}"/>
    <cellStyle name="Currency 5 3 2 2 2 6 5" xfId="10942" xr:uid="{79F4D2D4-FFF7-470F-A2C0-F19CC94C0291}"/>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23915" xr:uid="{EBF2B6F1-2BAE-4E3E-8E2C-1C51493897F6}"/>
    <cellStyle name="Currency 5 3 2 2 2 8 2 3" xfId="32349" xr:uid="{D6C26EC8-BA60-4852-BF58-AF655BE04433}"/>
    <cellStyle name="Currency 5 3 2 2 2 8 2 4" xfId="15477" xr:uid="{90315A3A-AD8C-4221-AAA7-7295481672F2}"/>
    <cellStyle name="Currency 5 3 2 2 2 8 3" xfId="19697" xr:uid="{99657B2E-C02C-48F1-AFBA-DA61E662FF5F}"/>
    <cellStyle name="Currency 5 3 2 2 2 8 4" xfId="28132" xr:uid="{94048C4B-1F93-45FD-B9FA-297607D80746}"/>
    <cellStyle name="Currency 5 3 2 2 2 8 5" xfId="11259" xr:uid="{97379C2D-AAD4-4A91-99B4-DEF5C49557E1}"/>
    <cellStyle name="Currency 5 3 2 2 2 9" xfId="4655" xr:uid="{00000000-0005-0000-0000-00009D0C0000}"/>
    <cellStyle name="Currency 5 3 2 2 2 9 2" xfId="21532" xr:uid="{AA1130F2-0DA8-4C99-B285-3DC1976D9BE8}"/>
    <cellStyle name="Currency 5 3 2 2 2 9 3" xfId="29966" xr:uid="{08089D52-C994-40D7-8C27-765D1B33095E}"/>
    <cellStyle name="Currency 5 3 2 2 2 9 4" xfId="13094" xr:uid="{F00466AA-2EE1-48F5-885E-BEA0BDC71D4C}"/>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24090" xr:uid="{ECA8D5F5-1097-48DE-BD69-B1F47B4F5F99}"/>
    <cellStyle name="Currency 5 3 2 2 3 2 2 3" xfId="32524" xr:uid="{4CA5C0BF-095F-469E-BDC5-AB18F999409F}"/>
    <cellStyle name="Currency 5 3 2 2 3 2 2 4" xfId="15652" xr:uid="{578446BD-5ED6-4F08-BB0B-2B59B8836690}"/>
    <cellStyle name="Currency 5 3 2 2 3 2 3" xfId="19872" xr:uid="{2779F02C-0EB7-4C84-AC2F-CE624272BD78}"/>
    <cellStyle name="Currency 5 3 2 2 3 2 4" xfId="28307" xr:uid="{4854CA88-E26C-4F89-85F0-EE876A5A9D91}"/>
    <cellStyle name="Currency 5 3 2 2 3 2 5" xfId="11434" xr:uid="{02332B4E-8C14-4FF8-9BC4-4ED031D42B9D}"/>
    <cellStyle name="Currency 5 3 2 2 3 3" xfId="5068" xr:uid="{00000000-0005-0000-0000-0000A10C0000}"/>
    <cellStyle name="Currency 5 3 2 2 3 3 2" xfId="21945" xr:uid="{B12E749B-C8A0-4134-A493-D030902A9D9B}"/>
    <cellStyle name="Currency 5 3 2 2 3 3 3" xfId="30379" xr:uid="{7E644E47-89BC-47F7-8895-8A73E72D5023}"/>
    <cellStyle name="Currency 5 3 2 2 3 3 4" xfId="13507" xr:uid="{BD740F9D-CBCE-4BBA-A2F7-100EDB8B5926}"/>
    <cellStyle name="Currency 5 3 2 2 3 4" xfId="17727" xr:uid="{32E78DB0-6ED7-4769-87C9-597B61A1C4BD}"/>
    <cellStyle name="Currency 5 3 2 2 3 5" xfId="26162" xr:uid="{CD0AF4AD-50A2-4A7C-A78B-7D2506519B40}"/>
    <cellStyle name="Currency 5 3 2 2 3 6" xfId="9289" xr:uid="{1944FDA8-074B-4080-A58A-0A87B9C678B5}"/>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24503" xr:uid="{45AA2274-F38A-4DDA-B281-967DECF29409}"/>
    <cellStyle name="Currency 5 3 2 2 4 2 2 3" xfId="32937" xr:uid="{B7F432D8-4739-4003-A60C-83B320F51318}"/>
    <cellStyle name="Currency 5 3 2 2 4 2 2 4" xfId="16065" xr:uid="{96449EDB-D51A-463E-AE44-960172B39E51}"/>
    <cellStyle name="Currency 5 3 2 2 4 2 3" xfId="20285" xr:uid="{0EF8799E-328A-4DD1-9BF0-59AFFD253340}"/>
    <cellStyle name="Currency 5 3 2 2 4 2 4" xfId="28720" xr:uid="{96DF70C1-D5FC-43E2-A6D3-07A01D120C60}"/>
    <cellStyle name="Currency 5 3 2 2 4 2 5" xfId="11847" xr:uid="{D414464C-FECC-474D-89B8-613506A1C637}"/>
    <cellStyle name="Currency 5 3 2 2 4 3" xfId="5481" xr:uid="{00000000-0005-0000-0000-0000A50C0000}"/>
    <cellStyle name="Currency 5 3 2 2 4 3 2" xfId="22358" xr:uid="{8FBCAE1C-6B60-4F57-8E6C-F4829C891AE7}"/>
    <cellStyle name="Currency 5 3 2 2 4 3 3" xfId="30792" xr:uid="{85270B98-4529-4166-92A0-23C93CF82410}"/>
    <cellStyle name="Currency 5 3 2 2 4 3 4" xfId="13920" xr:uid="{3F00C61A-8504-49F6-BB39-288D44C26C4A}"/>
    <cellStyle name="Currency 5 3 2 2 4 4" xfId="18140" xr:uid="{22D3DDD5-A86A-4947-A4B4-31210A35F802}"/>
    <cellStyle name="Currency 5 3 2 2 4 5" xfId="26575" xr:uid="{9EABF9C7-4A0D-485F-95BE-E1F22BF2DFF4}"/>
    <cellStyle name="Currency 5 3 2 2 4 6" xfId="9702" xr:uid="{0B3F3530-B251-493F-834E-C4E60E655A9B}"/>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24916" xr:uid="{BAD935E4-13CA-42E0-A91D-2FF594ACC06D}"/>
    <cellStyle name="Currency 5 3 2 2 5 2 2 3" xfId="33350" xr:uid="{0BE5F46B-78D9-4260-A4C1-A909601D4B26}"/>
    <cellStyle name="Currency 5 3 2 2 5 2 2 4" xfId="16478" xr:uid="{EA2683A8-B6D4-40F3-A514-EE0975D95CE1}"/>
    <cellStyle name="Currency 5 3 2 2 5 2 3" xfId="20698" xr:uid="{A9BDA88C-6C54-492C-B005-F39AAF76D1B1}"/>
    <cellStyle name="Currency 5 3 2 2 5 2 4" xfId="29133" xr:uid="{8230830E-0EE0-4F10-9161-458BF3C28401}"/>
    <cellStyle name="Currency 5 3 2 2 5 2 5" xfId="12260" xr:uid="{F27AB763-1FFC-464A-BEC9-959DEF490108}"/>
    <cellStyle name="Currency 5 3 2 2 5 3" xfId="5894" xr:uid="{00000000-0005-0000-0000-0000A90C0000}"/>
    <cellStyle name="Currency 5 3 2 2 5 3 2" xfId="22771" xr:uid="{C6B76A5E-582E-49C4-8DC9-DDC5A7A4D12B}"/>
    <cellStyle name="Currency 5 3 2 2 5 3 3" xfId="31205" xr:uid="{9C528B3D-40F8-4A74-8F93-6059C4125F0D}"/>
    <cellStyle name="Currency 5 3 2 2 5 3 4" xfId="14333" xr:uid="{7D90CAE9-F430-4975-9D25-930CD216D5B9}"/>
    <cellStyle name="Currency 5 3 2 2 5 4" xfId="18553" xr:uid="{AB86D70A-360B-4D96-8786-317347F30A3B}"/>
    <cellStyle name="Currency 5 3 2 2 5 5" xfId="26988" xr:uid="{CA5D444D-4CB4-4BE6-8F84-BEB1148BC660}"/>
    <cellStyle name="Currency 5 3 2 2 5 6" xfId="10115" xr:uid="{7C258F27-D687-47DE-80C4-DB6E0CB801F8}"/>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25329" xr:uid="{58405C14-20DA-4867-93A3-D5658FE89B11}"/>
    <cellStyle name="Currency 5 3 2 2 6 2 2 3" xfId="33763" xr:uid="{A8E2135C-7550-48C5-93D5-A8F7F4C36CC8}"/>
    <cellStyle name="Currency 5 3 2 2 6 2 2 4" xfId="16891" xr:uid="{63C76055-35C9-41E6-B52C-B87707EE6A6F}"/>
    <cellStyle name="Currency 5 3 2 2 6 2 3" xfId="21111" xr:uid="{BF48B256-7FB8-4683-8CAD-9FDBCB8680B6}"/>
    <cellStyle name="Currency 5 3 2 2 6 2 4" xfId="29546" xr:uid="{0AC31910-4E23-4C6E-B758-8993A85794DF}"/>
    <cellStyle name="Currency 5 3 2 2 6 2 5" xfId="12673" xr:uid="{DA33E36C-156A-41B2-BF01-0BEEA4AB1C72}"/>
    <cellStyle name="Currency 5 3 2 2 6 3" xfId="6307" xr:uid="{00000000-0005-0000-0000-0000AD0C0000}"/>
    <cellStyle name="Currency 5 3 2 2 6 3 2" xfId="23184" xr:uid="{E38797CA-8105-4B78-A4E4-D3E4B389367C}"/>
    <cellStyle name="Currency 5 3 2 2 6 3 3" xfId="31618" xr:uid="{7CE47CF1-62D1-4446-99C7-CAB943C5ECB3}"/>
    <cellStyle name="Currency 5 3 2 2 6 3 4" xfId="14746" xr:uid="{EDAF80D8-2732-44E4-9696-173625A45DF5}"/>
    <cellStyle name="Currency 5 3 2 2 6 4" xfId="18966" xr:uid="{7A9FD2F6-4EE7-4CE7-8EBD-4F668B4CCE4E}"/>
    <cellStyle name="Currency 5 3 2 2 6 5" xfId="27401" xr:uid="{9DF4F5F5-CFBB-4824-80F3-E23D121CF54F}"/>
    <cellStyle name="Currency 5 3 2 2 6 6" xfId="10528" xr:uid="{A5F99A8F-5FD7-4B1B-A23B-0AF5C0359E4C}"/>
    <cellStyle name="Currency 5 3 2 2 7" xfId="2435" xr:uid="{00000000-0005-0000-0000-0000AE0C0000}"/>
    <cellStyle name="Currency 5 3 2 2 7 2" xfId="6720" xr:uid="{00000000-0005-0000-0000-0000AF0C0000}"/>
    <cellStyle name="Currency 5 3 2 2 7 2 2" xfId="23597" xr:uid="{B92576C6-A575-43DE-ADE7-C2D8076ED220}"/>
    <cellStyle name="Currency 5 3 2 2 7 2 3" xfId="32031" xr:uid="{5FF213DB-B2FC-48B1-BB5D-A418210815CA}"/>
    <cellStyle name="Currency 5 3 2 2 7 2 4" xfId="15159" xr:uid="{736A5E41-0719-47E8-A72F-D5F938567EB2}"/>
    <cellStyle name="Currency 5 3 2 2 7 3" xfId="19379" xr:uid="{BB8B2DF1-1D9B-4818-ADD9-8D40EFE4904F}"/>
    <cellStyle name="Currency 5 3 2 2 7 4" xfId="27814" xr:uid="{47ABDE53-4BBB-4DA0-A696-F3E10C60B6FF}"/>
    <cellStyle name="Currency 5 3 2 2 7 5" xfId="10941" xr:uid="{CB15FFC5-BB4A-42CB-88F3-9E17829DBAB9}"/>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23914" xr:uid="{0CAF7552-C82C-4AD5-B777-BFE6B9C5B49F}"/>
    <cellStyle name="Currency 5 3 2 2 9 2 3" xfId="32348" xr:uid="{D944D4B2-434B-4F44-B730-BC16E3678EC3}"/>
    <cellStyle name="Currency 5 3 2 2 9 2 4" xfId="15476" xr:uid="{D49FA8EE-56A4-4EF9-8AFF-33B35780F87F}"/>
    <cellStyle name="Currency 5 3 2 2 9 3" xfId="19696" xr:uid="{83EFF6CB-E8DC-41B9-BD85-3FE9A44688CC}"/>
    <cellStyle name="Currency 5 3 2 2 9 4" xfId="28131" xr:uid="{8D31AB51-75D8-4E31-8F7D-EDDB2A55C693}"/>
    <cellStyle name="Currency 5 3 2 2 9 5" xfId="11258" xr:uid="{028E57DD-EFFE-48E9-A405-9C9F29294BA0}"/>
    <cellStyle name="Currency 5 3 2 3" xfId="213" xr:uid="{00000000-0005-0000-0000-0000B30C0000}"/>
    <cellStyle name="Currency 5 3 2 3 10" xfId="17315" xr:uid="{10D2E7AE-DF12-4121-BF0B-F8DDDE9F50D2}"/>
    <cellStyle name="Currency 5 3 2 3 11" xfId="25750" xr:uid="{38DA78E2-B902-4032-9999-7C40E9C8C306}"/>
    <cellStyle name="Currency 5 3 2 3 12" xfId="8877" xr:uid="{209C2AAD-0372-4A90-8439-70C7F4F575BE}"/>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24092" xr:uid="{9B3E7ACE-58A3-4D40-B128-92C5E0B37CFB}"/>
    <cellStyle name="Currency 5 3 2 3 2 2 2 3" xfId="32526" xr:uid="{04F80726-DD04-46B4-B5B8-995D76A2EE42}"/>
    <cellStyle name="Currency 5 3 2 3 2 2 2 4" xfId="15654" xr:uid="{12601B47-8E43-4639-8021-25D0374D9C06}"/>
    <cellStyle name="Currency 5 3 2 3 2 2 3" xfId="19874" xr:uid="{8FD625D2-3099-4CB5-BC6F-3774CD567CEF}"/>
    <cellStyle name="Currency 5 3 2 3 2 2 4" xfId="28309" xr:uid="{05676983-793F-417B-BF81-99063E28F47A}"/>
    <cellStyle name="Currency 5 3 2 3 2 2 5" xfId="11436" xr:uid="{BDFC8C42-F3A9-4166-9B41-07F85F92C6FB}"/>
    <cellStyle name="Currency 5 3 2 3 2 3" xfId="5070" xr:uid="{00000000-0005-0000-0000-0000B70C0000}"/>
    <cellStyle name="Currency 5 3 2 3 2 3 2" xfId="21947" xr:uid="{30DEC77B-AB3C-4A73-8D75-7D7BB9B061BE}"/>
    <cellStyle name="Currency 5 3 2 3 2 3 3" xfId="30381" xr:uid="{1A7CC3FD-CDE8-40EC-9FC6-BEC617A8D965}"/>
    <cellStyle name="Currency 5 3 2 3 2 3 4" xfId="13509" xr:uid="{846B0F98-FD8A-4E3C-89DD-3B6D4EFF8A88}"/>
    <cellStyle name="Currency 5 3 2 3 2 4" xfId="17729" xr:uid="{0E1E377E-485C-4038-8F2B-1CF894019A8B}"/>
    <cellStyle name="Currency 5 3 2 3 2 5" xfId="26164" xr:uid="{A11A49BD-D39B-4E5E-A205-028072A01CA8}"/>
    <cellStyle name="Currency 5 3 2 3 2 6" xfId="9291" xr:uid="{FADC6A78-54BC-4AD3-8D02-989381B46AB2}"/>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24505" xr:uid="{549237F2-04C5-4405-905A-32AA080101AC}"/>
    <cellStyle name="Currency 5 3 2 3 3 2 2 3" xfId="32939" xr:uid="{C69C7C58-8831-442A-98D7-80F72739CA3A}"/>
    <cellStyle name="Currency 5 3 2 3 3 2 2 4" xfId="16067" xr:uid="{83A14FAD-28D2-4739-9B1C-9331CC5C6C79}"/>
    <cellStyle name="Currency 5 3 2 3 3 2 3" xfId="20287" xr:uid="{278B6E13-6D6C-418A-B928-3E3657BAC276}"/>
    <cellStyle name="Currency 5 3 2 3 3 2 4" xfId="28722" xr:uid="{DDBD4A51-B308-4970-BC99-D00AF92DF2FD}"/>
    <cellStyle name="Currency 5 3 2 3 3 2 5" xfId="11849" xr:uid="{31D41927-7DE0-434B-8DC1-A584AAD0C849}"/>
    <cellStyle name="Currency 5 3 2 3 3 3" xfId="5483" xr:uid="{00000000-0005-0000-0000-0000BB0C0000}"/>
    <cellStyle name="Currency 5 3 2 3 3 3 2" xfId="22360" xr:uid="{EF63846F-F493-4199-94E5-5DE3197CC5A1}"/>
    <cellStyle name="Currency 5 3 2 3 3 3 3" xfId="30794" xr:uid="{7002DCAD-E635-4E2A-B9D5-C934510E8FD8}"/>
    <cellStyle name="Currency 5 3 2 3 3 3 4" xfId="13922" xr:uid="{D8FC5A6E-530F-492C-99C9-208128842D90}"/>
    <cellStyle name="Currency 5 3 2 3 3 4" xfId="18142" xr:uid="{58C9F903-F043-4E59-8B5E-0E1240A46680}"/>
    <cellStyle name="Currency 5 3 2 3 3 5" xfId="26577" xr:uid="{3B0089AD-5281-4EC7-9E44-3C70CE7A3301}"/>
    <cellStyle name="Currency 5 3 2 3 3 6" xfId="9704" xr:uid="{7AD7B684-92A0-4D97-9A3E-8867EF5098CD}"/>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24918" xr:uid="{2736004A-313A-4CFC-8F7D-C1FF76E21A32}"/>
    <cellStyle name="Currency 5 3 2 3 4 2 2 3" xfId="33352" xr:uid="{001B3032-7D6D-436A-BC6A-D5826028E741}"/>
    <cellStyle name="Currency 5 3 2 3 4 2 2 4" xfId="16480" xr:uid="{67AE0B82-D332-463D-8C0B-D3AEFED26EC0}"/>
    <cellStyle name="Currency 5 3 2 3 4 2 3" xfId="20700" xr:uid="{B17898E0-4D77-4D1B-9296-4E3710A16593}"/>
    <cellStyle name="Currency 5 3 2 3 4 2 4" xfId="29135" xr:uid="{58D793E1-FAF5-434F-8DCE-EEB8D3E833DC}"/>
    <cellStyle name="Currency 5 3 2 3 4 2 5" xfId="12262" xr:uid="{8BB9595E-50A4-49FD-B802-80C0D204D9C0}"/>
    <cellStyle name="Currency 5 3 2 3 4 3" xfId="5896" xr:uid="{00000000-0005-0000-0000-0000BF0C0000}"/>
    <cellStyle name="Currency 5 3 2 3 4 3 2" xfId="22773" xr:uid="{70C23D9B-A8C8-445F-A561-C40A6E0F3FEB}"/>
    <cellStyle name="Currency 5 3 2 3 4 3 3" xfId="31207" xr:uid="{FD30C107-0AA9-46FA-BE40-C0008CFA416B}"/>
    <cellStyle name="Currency 5 3 2 3 4 3 4" xfId="14335" xr:uid="{0A81DA78-98CB-4FFF-854C-E21F67781FF0}"/>
    <cellStyle name="Currency 5 3 2 3 4 4" xfId="18555" xr:uid="{7712F2D6-1E07-4DC1-BDBD-4E4FEDF06689}"/>
    <cellStyle name="Currency 5 3 2 3 4 5" xfId="26990" xr:uid="{6548F3AA-DD6F-48F2-A1D0-8DAA9FFEC26A}"/>
    <cellStyle name="Currency 5 3 2 3 4 6" xfId="10117" xr:uid="{586BA481-702B-4AA6-AC42-5E2A7136FC0B}"/>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25331" xr:uid="{7FA54C27-D10F-4FF6-B410-D486E17CD427}"/>
    <cellStyle name="Currency 5 3 2 3 5 2 2 3" xfId="33765" xr:uid="{3AD7206A-D997-487F-B838-7326B0E59CF8}"/>
    <cellStyle name="Currency 5 3 2 3 5 2 2 4" xfId="16893" xr:uid="{58D6ECA1-0C97-4CEE-B4F3-109DAE90B9E5}"/>
    <cellStyle name="Currency 5 3 2 3 5 2 3" xfId="21113" xr:uid="{60AD5009-A776-492F-A026-10E9F6B3C7BD}"/>
    <cellStyle name="Currency 5 3 2 3 5 2 4" xfId="29548" xr:uid="{1554E6B1-3EEC-4988-8400-D2F032F6FE79}"/>
    <cellStyle name="Currency 5 3 2 3 5 2 5" xfId="12675" xr:uid="{FDFCD0B5-E124-4078-BF8A-C9B3A3CE35FE}"/>
    <cellStyle name="Currency 5 3 2 3 5 3" xfId="6309" xr:uid="{00000000-0005-0000-0000-0000C30C0000}"/>
    <cellStyle name="Currency 5 3 2 3 5 3 2" xfId="23186" xr:uid="{DF17AB7B-B4D2-4AB2-BFD6-8245625B1B87}"/>
    <cellStyle name="Currency 5 3 2 3 5 3 3" xfId="31620" xr:uid="{FD610560-1BB7-465A-81BB-7AD17432A254}"/>
    <cellStyle name="Currency 5 3 2 3 5 3 4" xfId="14748" xr:uid="{361F2984-A579-4FDC-AEA0-3228580811A8}"/>
    <cellStyle name="Currency 5 3 2 3 5 4" xfId="18968" xr:uid="{EABEFD76-6F40-446B-A002-EAD8BB95A7EE}"/>
    <cellStyle name="Currency 5 3 2 3 5 5" xfId="27403" xr:uid="{DF79357D-744B-42A9-951D-9A5C4442B274}"/>
    <cellStyle name="Currency 5 3 2 3 5 6" xfId="10530" xr:uid="{E205E73A-3994-4E30-83D9-996A7FF65C2F}"/>
    <cellStyle name="Currency 5 3 2 3 6" xfId="2437" xr:uid="{00000000-0005-0000-0000-0000C40C0000}"/>
    <cellStyle name="Currency 5 3 2 3 6 2" xfId="6722" xr:uid="{00000000-0005-0000-0000-0000C50C0000}"/>
    <cellStyle name="Currency 5 3 2 3 6 2 2" xfId="23599" xr:uid="{4C6012CC-89E2-4347-8DFE-9CC4E6E4A89E}"/>
    <cellStyle name="Currency 5 3 2 3 6 2 3" xfId="32033" xr:uid="{CF974FF2-ED68-4639-BD7B-7FEDF3C3418B}"/>
    <cellStyle name="Currency 5 3 2 3 6 2 4" xfId="15161" xr:uid="{FD930478-017F-4D5E-B06F-1264C6524F86}"/>
    <cellStyle name="Currency 5 3 2 3 6 3" xfId="19381" xr:uid="{B5B54656-ECED-42EF-BC84-649825EC0486}"/>
    <cellStyle name="Currency 5 3 2 3 6 4" xfId="27816" xr:uid="{EA6485BA-A269-4D9B-B53B-670FDA7B63E2}"/>
    <cellStyle name="Currency 5 3 2 3 6 5" xfId="10943" xr:uid="{5E2FC37D-4367-41C1-86F1-4EE131C1A288}"/>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23916" xr:uid="{DB0D394E-0B35-4282-A8DE-9966A10A7B2D}"/>
    <cellStyle name="Currency 5 3 2 3 8 2 3" xfId="32350" xr:uid="{6837EF23-C022-47C5-84E0-3F5A109819A7}"/>
    <cellStyle name="Currency 5 3 2 3 8 2 4" xfId="15478" xr:uid="{A19CE9D3-F902-4BDD-8C1E-D0AB6794F018}"/>
    <cellStyle name="Currency 5 3 2 3 8 3" xfId="19698" xr:uid="{8839C0BA-4492-4AE1-A879-170E1E7C00B0}"/>
    <cellStyle name="Currency 5 3 2 3 8 4" xfId="28133" xr:uid="{E12BC3CE-4B2C-45F0-83EF-F0571E6C23ED}"/>
    <cellStyle name="Currency 5 3 2 3 8 5" xfId="11260" xr:uid="{A7FEF9D8-3E18-4DD9-96D5-D9193BE5DAD8}"/>
    <cellStyle name="Currency 5 3 2 3 9" xfId="4656" xr:uid="{00000000-0005-0000-0000-0000C90C0000}"/>
    <cellStyle name="Currency 5 3 2 3 9 2" xfId="21533" xr:uid="{996E7F4E-9EF2-40C1-8A2F-203567FB006E}"/>
    <cellStyle name="Currency 5 3 2 3 9 3" xfId="29967" xr:uid="{07B4533D-3BE4-4D62-9654-78A0641ECB63}"/>
    <cellStyle name="Currency 5 3 2 3 9 4" xfId="13095" xr:uid="{4EEB9413-0026-4D35-83E3-BD698EE24BAC}"/>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24089" xr:uid="{3C5510D7-6B9C-4ADF-A3C9-A1A163827654}"/>
    <cellStyle name="Currency 5 3 2 4 2 2 3" xfId="32523" xr:uid="{A05D31E2-1CFB-411F-985A-9EBC3C4AFD79}"/>
    <cellStyle name="Currency 5 3 2 4 2 2 4" xfId="15651" xr:uid="{0E64B648-C817-4EEF-97D8-3E5EA37EE2AC}"/>
    <cellStyle name="Currency 5 3 2 4 2 3" xfId="19871" xr:uid="{8F0096CA-CEC1-4AD0-ABCF-408E984E7D93}"/>
    <cellStyle name="Currency 5 3 2 4 2 4" xfId="28306" xr:uid="{38B12D51-A20D-46A7-89BD-B95C532256E3}"/>
    <cellStyle name="Currency 5 3 2 4 2 5" xfId="11433" xr:uid="{A44A1249-40FE-4FAE-BE16-90524AD9D77D}"/>
    <cellStyle name="Currency 5 3 2 4 3" xfId="5067" xr:uid="{00000000-0005-0000-0000-0000CD0C0000}"/>
    <cellStyle name="Currency 5 3 2 4 3 2" xfId="21944" xr:uid="{417E36FB-2CAB-4A6F-B790-6F84942F1FF2}"/>
    <cellStyle name="Currency 5 3 2 4 3 3" xfId="30378" xr:uid="{06F5EB9D-1F8C-4868-AA01-AD036084F85B}"/>
    <cellStyle name="Currency 5 3 2 4 3 4" xfId="13506" xr:uid="{D6453B7E-9D81-4CAC-8F36-88E383B7D1B8}"/>
    <cellStyle name="Currency 5 3 2 4 4" xfId="17726" xr:uid="{E2598E0B-F630-4742-8773-6EE21D0C445E}"/>
    <cellStyle name="Currency 5 3 2 4 5" xfId="26161" xr:uid="{B336C6BE-69AE-470D-A38B-FBA5EE8091F0}"/>
    <cellStyle name="Currency 5 3 2 4 6" xfId="9288" xr:uid="{B46EE5B8-9642-4029-9EFE-ACF131D73C40}"/>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24502" xr:uid="{DCA0795F-5792-4695-AFA0-A7E54FD25A31}"/>
    <cellStyle name="Currency 5 3 2 5 2 2 3" xfId="32936" xr:uid="{19874E87-E10D-4202-81B1-1E6CC92EF61C}"/>
    <cellStyle name="Currency 5 3 2 5 2 2 4" xfId="16064" xr:uid="{F4F626B6-5503-4780-8A66-1355EAF74A4F}"/>
    <cellStyle name="Currency 5 3 2 5 2 3" xfId="20284" xr:uid="{FB964175-0B40-430E-AEC6-DA0285FBCECD}"/>
    <cellStyle name="Currency 5 3 2 5 2 4" xfId="28719" xr:uid="{0A2A2279-569D-4492-9380-383190F671B1}"/>
    <cellStyle name="Currency 5 3 2 5 2 5" xfId="11846" xr:uid="{EDB4654A-46D8-49D7-BC99-32A8271EF405}"/>
    <cellStyle name="Currency 5 3 2 5 3" xfId="5480" xr:uid="{00000000-0005-0000-0000-0000D10C0000}"/>
    <cellStyle name="Currency 5 3 2 5 3 2" xfId="22357" xr:uid="{9F77E575-D485-4772-AB8E-1312965F0454}"/>
    <cellStyle name="Currency 5 3 2 5 3 3" xfId="30791" xr:uid="{83DAF511-53F0-40E0-9074-75DC485CCFAB}"/>
    <cellStyle name="Currency 5 3 2 5 3 4" xfId="13919" xr:uid="{206B0F5D-CDE5-46EA-8A9C-CDF3734E0A87}"/>
    <cellStyle name="Currency 5 3 2 5 4" xfId="18139" xr:uid="{BE5B6E7E-C14B-465A-A8F6-5DEF61B61B56}"/>
    <cellStyle name="Currency 5 3 2 5 5" xfId="26574" xr:uid="{83C1B3D1-F676-40F9-A93E-89E61F07C4AC}"/>
    <cellStyle name="Currency 5 3 2 5 6" xfId="9701" xr:uid="{78BC8702-1E42-4752-BA58-7F576EBEA864}"/>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24915" xr:uid="{951321FE-6EDC-41FB-A384-D410C3C5E634}"/>
    <cellStyle name="Currency 5 3 2 6 2 2 3" xfId="33349" xr:uid="{26A55633-9E00-459E-B4BD-F7EE77B6B25E}"/>
    <cellStyle name="Currency 5 3 2 6 2 2 4" xfId="16477" xr:uid="{2114CEDD-27C7-414F-B4B3-576C24D327C2}"/>
    <cellStyle name="Currency 5 3 2 6 2 3" xfId="20697" xr:uid="{24B3F0A3-5B3B-417B-BC4B-9CA9008C1615}"/>
    <cellStyle name="Currency 5 3 2 6 2 4" xfId="29132" xr:uid="{B411397A-B256-4FE2-8559-F47025E132AF}"/>
    <cellStyle name="Currency 5 3 2 6 2 5" xfId="12259" xr:uid="{9B40EF9F-3DD3-47CD-B124-4B3590C77C21}"/>
    <cellStyle name="Currency 5 3 2 6 3" xfId="5893" xr:uid="{00000000-0005-0000-0000-0000D50C0000}"/>
    <cellStyle name="Currency 5 3 2 6 3 2" xfId="22770" xr:uid="{5DE54DC8-835B-4D60-998C-79159B9BF1E5}"/>
    <cellStyle name="Currency 5 3 2 6 3 3" xfId="31204" xr:uid="{5A9782E3-D65E-4E2D-85C0-70CA4DC22BF8}"/>
    <cellStyle name="Currency 5 3 2 6 3 4" xfId="14332" xr:uid="{9D7C1A9C-F9A3-49C2-A3EA-4CF71E4F0C1E}"/>
    <cellStyle name="Currency 5 3 2 6 4" xfId="18552" xr:uid="{1C0A84E0-0E67-4130-8782-9D7B622692BF}"/>
    <cellStyle name="Currency 5 3 2 6 5" xfId="26987" xr:uid="{23E49389-7BDB-4E5F-BA5D-F323A6C1C274}"/>
    <cellStyle name="Currency 5 3 2 6 6" xfId="10114" xr:uid="{38C85BB9-7999-4D66-99EE-BA5F4C03E234}"/>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25328" xr:uid="{CAD99626-7302-4A0C-AFBC-935E6D80F482}"/>
    <cellStyle name="Currency 5 3 2 7 2 2 3" xfId="33762" xr:uid="{0DF77FB5-FAD7-4CC4-9028-356530FAC565}"/>
    <cellStyle name="Currency 5 3 2 7 2 2 4" xfId="16890" xr:uid="{7F0E3495-EF25-41F2-A474-E2EBD2A1F595}"/>
    <cellStyle name="Currency 5 3 2 7 2 3" xfId="21110" xr:uid="{A440023E-1F06-4592-B281-ECF1FF1DAA2E}"/>
    <cellStyle name="Currency 5 3 2 7 2 4" xfId="29545" xr:uid="{F390BF06-5CC0-418E-BACC-64209AAC1442}"/>
    <cellStyle name="Currency 5 3 2 7 2 5" xfId="12672" xr:uid="{7695BE28-ACF1-4464-845E-ED83D9F74C5E}"/>
    <cellStyle name="Currency 5 3 2 7 3" xfId="6306" xr:uid="{00000000-0005-0000-0000-0000D90C0000}"/>
    <cellStyle name="Currency 5 3 2 7 3 2" xfId="23183" xr:uid="{558A5969-FB18-43B5-85EF-11B2400A1CA6}"/>
    <cellStyle name="Currency 5 3 2 7 3 3" xfId="31617" xr:uid="{6606FA4A-C4A1-4BCC-8605-3904A7ED77C8}"/>
    <cellStyle name="Currency 5 3 2 7 3 4" xfId="14745" xr:uid="{82D56F80-5EE2-4208-82A5-F0A540105A62}"/>
    <cellStyle name="Currency 5 3 2 7 4" xfId="18965" xr:uid="{FD4996DF-DE3C-4CD8-87B7-B8140CF69A14}"/>
    <cellStyle name="Currency 5 3 2 7 5" xfId="27400" xr:uid="{84F5C73D-99B5-467F-A6A3-4753D4B0DF05}"/>
    <cellStyle name="Currency 5 3 2 7 6" xfId="10527" xr:uid="{40DE2B42-490C-4BCE-836F-3EA05861E367}"/>
    <cellStyle name="Currency 5 3 2 8" xfId="2434" xr:uid="{00000000-0005-0000-0000-0000DA0C0000}"/>
    <cellStyle name="Currency 5 3 2 8 2" xfId="6719" xr:uid="{00000000-0005-0000-0000-0000DB0C0000}"/>
    <cellStyle name="Currency 5 3 2 8 2 2" xfId="23596" xr:uid="{68C8877E-9FE6-40B6-B764-71507C8DE241}"/>
    <cellStyle name="Currency 5 3 2 8 2 3" xfId="32030" xr:uid="{CD8A0A8D-08BA-438A-91D3-3593D5EA0205}"/>
    <cellStyle name="Currency 5 3 2 8 2 4" xfId="15158" xr:uid="{1724750E-B029-4EC2-BFDB-5EBE922361D9}"/>
    <cellStyle name="Currency 5 3 2 8 3" xfId="19378" xr:uid="{3B67F69F-C943-421D-9680-20BE249BE4CC}"/>
    <cellStyle name="Currency 5 3 2 8 4" xfId="27813" xr:uid="{6AB6BFB4-0A71-4BAD-A71E-6150D318D93F}"/>
    <cellStyle name="Currency 5 3 2 8 5" xfId="10940" xr:uid="{B486E919-8ED6-4D41-BF9F-41ED31442A03}"/>
    <cellStyle name="Currency 5 3 2 9" xfId="2731" xr:uid="{00000000-0005-0000-0000-0000DC0C0000}"/>
    <cellStyle name="Currency 5 3 3" xfId="214" xr:uid="{00000000-0005-0000-0000-0000DD0C0000}"/>
    <cellStyle name="Currency 5 3 3 10" xfId="4657" xr:uid="{00000000-0005-0000-0000-0000DE0C0000}"/>
    <cellStyle name="Currency 5 3 3 10 2" xfId="21534" xr:uid="{862AFF69-2B26-4D69-8E61-84A2B075F6E6}"/>
    <cellStyle name="Currency 5 3 3 10 3" xfId="29968" xr:uid="{5B12D9F2-6934-46D2-8390-D3D1E3360DFB}"/>
    <cellStyle name="Currency 5 3 3 10 4" xfId="13096" xr:uid="{59EA4D30-2F65-4C9A-B5C0-AC8B1BB6E252}"/>
    <cellStyle name="Currency 5 3 3 11" xfId="17316" xr:uid="{66CD5886-43EF-4E7F-96C4-8C7175743BE9}"/>
    <cellStyle name="Currency 5 3 3 12" xfId="25751" xr:uid="{42BAB5B8-3B4A-4395-9683-E5D0399F922E}"/>
    <cellStyle name="Currency 5 3 3 13" xfId="8878" xr:uid="{2CCD9904-D2A9-4DEF-9291-AFBEC86267CB}"/>
    <cellStyle name="Currency 5 3 3 2" xfId="215" xr:uid="{00000000-0005-0000-0000-0000DF0C0000}"/>
    <cellStyle name="Currency 5 3 3 2 10" xfId="17317" xr:uid="{FE44C64F-0F59-4FA5-A75F-819BB3D296F4}"/>
    <cellStyle name="Currency 5 3 3 2 11" xfId="25752" xr:uid="{0689B42C-D8BF-46A3-8AFC-1789093B90B5}"/>
    <cellStyle name="Currency 5 3 3 2 12" xfId="8879" xr:uid="{70A8A43D-3C9A-4843-B30E-24214E3DFD8D}"/>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24094" xr:uid="{B3D1423F-7C89-4A46-8339-8180A5ABB3C8}"/>
    <cellStyle name="Currency 5 3 3 2 2 2 2 3" xfId="32528" xr:uid="{0556DB4F-8C85-4093-BBE3-9AFB53E5632E}"/>
    <cellStyle name="Currency 5 3 3 2 2 2 2 4" xfId="15656" xr:uid="{1A443F10-29F1-4419-912B-970E81DBD9BB}"/>
    <cellStyle name="Currency 5 3 3 2 2 2 3" xfId="19876" xr:uid="{AC618C3E-B891-40C8-B474-CF3FB9D5B121}"/>
    <cellStyle name="Currency 5 3 3 2 2 2 4" xfId="28311" xr:uid="{06EE21AD-71AD-4768-992C-2A442B858F64}"/>
    <cellStyle name="Currency 5 3 3 2 2 2 5" xfId="11438" xr:uid="{3F6B705C-07DB-405C-94AE-DFDDB5D50D91}"/>
    <cellStyle name="Currency 5 3 3 2 2 3" xfId="5072" xr:uid="{00000000-0005-0000-0000-0000E30C0000}"/>
    <cellStyle name="Currency 5 3 3 2 2 3 2" xfId="21949" xr:uid="{88E3A180-6F9B-499B-A421-795D1A2A4EB3}"/>
    <cellStyle name="Currency 5 3 3 2 2 3 3" xfId="30383" xr:uid="{044F925D-0D27-4C7D-A0A9-230993CD073E}"/>
    <cellStyle name="Currency 5 3 3 2 2 3 4" xfId="13511" xr:uid="{6222F744-81D1-4D2A-8765-13E3CD68FFA0}"/>
    <cellStyle name="Currency 5 3 3 2 2 4" xfId="17731" xr:uid="{93A6B295-DCC2-4A21-9ADC-2A266FEC8205}"/>
    <cellStyle name="Currency 5 3 3 2 2 5" xfId="26166" xr:uid="{02B43AFC-4E61-4E45-8D8E-FDF05DFE5B0D}"/>
    <cellStyle name="Currency 5 3 3 2 2 6" xfId="9293" xr:uid="{4825DC51-3984-478C-9268-239EA614FE77}"/>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24507" xr:uid="{DF671770-BE21-4594-A738-B5288118A54A}"/>
    <cellStyle name="Currency 5 3 3 2 3 2 2 3" xfId="32941" xr:uid="{7E6AA558-DB86-4426-ACBE-EA1BA4BF9275}"/>
    <cellStyle name="Currency 5 3 3 2 3 2 2 4" xfId="16069" xr:uid="{7D3AAC70-2611-4268-B31F-5CA918E7E30C}"/>
    <cellStyle name="Currency 5 3 3 2 3 2 3" xfId="20289" xr:uid="{4F5C6CE4-BDB3-497B-875D-B6894FD18FDD}"/>
    <cellStyle name="Currency 5 3 3 2 3 2 4" xfId="28724" xr:uid="{51542899-E0EE-40C3-A4F9-2742DC401B45}"/>
    <cellStyle name="Currency 5 3 3 2 3 2 5" xfId="11851" xr:uid="{8B7DD11C-AE4A-4851-A11D-39F6E903D00A}"/>
    <cellStyle name="Currency 5 3 3 2 3 3" xfId="5485" xr:uid="{00000000-0005-0000-0000-0000E70C0000}"/>
    <cellStyle name="Currency 5 3 3 2 3 3 2" xfId="22362" xr:uid="{778F67E9-1F8B-4F39-90AA-EBE33EC55D79}"/>
    <cellStyle name="Currency 5 3 3 2 3 3 3" xfId="30796" xr:uid="{987A0639-8366-4D80-9F87-27B8747906E5}"/>
    <cellStyle name="Currency 5 3 3 2 3 3 4" xfId="13924" xr:uid="{C365AE00-BF98-4E72-9836-91BEF7167468}"/>
    <cellStyle name="Currency 5 3 3 2 3 4" xfId="18144" xr:uid="{E7221900-2887-4B3C-AA8E-D418CD454A3A}"/>
    <cellStyle name="Currency 5 3 3 2 3 5" xfId="26579" xr:uid="{AAED0B61-85FD-44FD-84DE-DD6E5FB42FE8}"/>
    <cellStyle name="Currency 5 3 3 2 3 6" xfId="9706" xr:uid="{09C93999-96EE-48E5-99E3-B23EB882C705}"/>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24920" xr:uid="{B70E27C7-A383-4F93-B216-6BC71A0013C1}"/>
    <cellStyle name="Currency 5 3 3 2 4 2 2 3" xfId="33354" xr:uid="{B55D2B1D-F6B7-43E8-9E8A-C6A636CA0D48}"/>
    <cellStyle name="Currency 5 3 3 2 4 2 2 4" xfId="16482" xr:uid="{931DAF1D-44EB-4085-B194-DEC77444D0B3}"/>
    <cellStyle name="Currency 5 3 3 2 4 2 3" xfId="20702" xr:uid="{93174EDD-B054-4653-B9FE-457E2B29DF57}"/>
    <cellStyle name="Currency 5 3 3 2 4 2 4" xfId="29137" xr:uid="{9508422B-067F-4683-BFD9-C070E8A6E051}"/>
    <cellStyle name="Currency 5 3 3 2 4 2 5" xfId="12264" xr:uid="{081BDE92-F70D-4F71-84B4-362B5CBF1FD3}"/>
    <cellStyle name="Currency 5 3 3 2 4 3" xfId="5898" xr:uid="{00000000-0005-0000-0000-0000EB0C0000}"/>
    <cellStyle name="Currency 5 3 3 2 4 3 2" xfId="22775" xr:uid="{3105B213-FD5F-43D3-AAAD-EC701C3FE659}"/>
    <cellStyle name="Currency 5 3 3 2 4 3 3" xfId="31209" xr:uid="{6DC2B0F9-4CDD-4558-91BE-416A44312711}"/>
    <cellStyle name="Currency 5 3 3 2 4 3 4" xfId="14337" xr:uid="{633E4FD2-BB98-412F-8B6E-0B25DC3F603B}"/>
    <cellStyle name="Currency 5 3 3 2 4 4" xfId="18557" xr:uid="{174ED571-B355-407A-BE6D-03200BE1E17A}"/>
    <cellStyle name="Currency 5 3 3 2 4 5" xfId="26992" xr:uid="{CFA0FF4B-F7DA-45F0-AF51-8069BF3763FD}"/>
    <cellStyle name="Currency 5 3 3 2 4 6" xfId="10119" xr:uid="{FACE895C-3000-44EA-992C-F7404E90E3B2}"/>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25333" xr:uid="{BF17E661-7693-436F-B19A-9E6D6F5A2E47}"/>
    <cellStyle name="Currency 5 3 3 2 5 2 2 3" xfId="33767" xr:uid="{EA86C365-E55F-4B07-ACFC-F6F167A649E9}"/>
    <cellStyle name="Currency 5 3 3 2 5 2 2 4" xfId="16895" xr:uid="{E5781EC5-3A88-477A-887A-DA682B2EC67F}"/>
    <cellStyle name="Currency 5 3 3 2 5 2 3" xfId="21115" xr:uid="{6D00AD60-C688-47EC-8F53-C717D4F1D1FB}"/>
    <cellStyle name="Currency 5 3 3 2 5 2 4" xfId="29550" xr:uid="{E84DDF38-E763-4511-BD13-6D1353C682F8}"/>
    <cellStyle name="Currency 5 3 3 2 5 2 5" xfId="12677" xr:uid="{83D0A5FC-DC3A-41B2-98F3-E1BEA7A0CA7F}"/>
    <cellStyle name="Currency 5 3 3 2 5 3" xfId="6311" xr:uid="{00000000-0005-0000-0000-0000EF0C0000}"/>
    <cellStyle name="Currency 5 3 3 2 5 3 2" xfId="23188" xr:uid="{DC31A055-16B2-487C-9ED1-5A1B048BCB1C}"/>
    <cellStyle name="Currency 5 3 3 2 5 3 3" xfId="31622" xr:uid="{00071267-B844-4877-A87D-ABF137669D95}"/>
    <cellStyle name="Currency 5 3 3 2 5 3 4" xfId="14750" xr:uid="{9595237A-BDA9-4937-8899-FE7929990382}"/>
    <cellStyle name="Currency 5 3 3 2 5 4" xfId="18970" xr:uid="{5861EA95-7380-4262-9B61-9CAF7F0F751F}"/>
    <cellStyle name="Currency 5 3 3 2 5 5" xfId="27405" xr:uid="{E2724E65-C62B-441E-AAF8-3CC1BE0FAE1E}"/>
    <cellStyle name="Currency 5 3 3 2 5 6" xfId="10532" xr:uid="{53607325-11EF-4D68-A19C-89B05FF911AE}"/>
    <cellStyle name="Currency 5 3 3 2 6" xfId="2439" xr:uid="{00000000-0005-0000-0000-0000F00C0000}"/>
    <cellStyle name="Currency 5 3 3 2 6 2" xfId="6724" xr:uid="{00000000-0005-0000-0000-0000F10C0000}"/>
    <cellStyle name="Currency 5 3 3 2 6 2 2" xfId="23601" xr:uid="{AF63F3C4-B9AE-4364-9134-D361B22C97D9}"/>
    <cellStyle name="Currency 5 3 3 2 6 2 3" xfId="32035" xr:uid="{A0693B44-7EF3-49ED-9B92-69A952E5DC50}"/>
    <cellStyle name="Currency 5 3 3 2 6 2 4" xfId="15163" xr:uid="{58E1D286-010F-462A-95EA-FE85D1162315}"/>
    <cellStyle name="Currency 5 3 3 2 6 3" xfId="19383" xr:uid="{2AC734DC-AD31-4172-8ACA-0F947A201CDB}"/>
    <cellStyle name="Currency 5 3 3 2 6 4" xfId="27818" xr:uid="{C6A0BBA8-23CF-4811-AFCC-1A8B3872F9EB}"/>
    <cellStyle name="Currency 5 3 3 2 6 5" xfId="10945" xr:uid="{5B12C578-EEAC-4B23-856A-D9EEA1FF66A4}"/>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23918" xr:uid="{0F67EDB6-6ECA-4B13-BF22-ACBB069AC92A}"/>
    <cellStyle name="Currency 5 3 3 2 8 2 3" xfId="32352" xr:uid="{57D5A235-4F03-4DFB-9D6F-9210AFBE4B4C}"/>
    <cellStyle name="Currency 5 3 3 2 8 2 4" xfId="15480" xr:uid="{083D3BAD-C97B-46BD-81C5-AAA9182535CA}"/>
    <cellStyle name="Currency 5 3 3 2 8 3" xfId="19700" xr:uid="{FA247DC0-ABD1-414D-AE63-D63206726859}"/>
    <cellStyle name="Currency 5 3 3 2 8 4" xfId="28135" xr:uid="{69D1848F-3A38-40AD-B351-965EA4FF0A24}"/>
    <cellStyle name="Currency 5 3 3 2 8 5" xfId="11262" xr:uid="{55886922-B447-4AE1-ACAD-794F7FC291DB}"/>
    <cellStyle name="Currency 5 3 3 2 9" xfId="4658" xr:uid="{00000000-0005-0000-0000-0000F50C0000}"/>
    <cellStyle name="Currency 5 3 3 2 9 2" xfId="21535" xr:uid="{17937185-9951-4619-BF59-0472B214C2DF}"/>
    <cellStyle name="Currency 5 3 3 2 9 3" xfId="29969" xr:uid="{3228742B-56F9-41B8-A703-B5BBC6424DF6}"/>
    <cellStyle name="Currency 5 3 3 2 9 4" xfId="13097" xr:uid="{44AEEBF3-0C92-4531-9FA2-D3F819DCC67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24093" xr:uid="{9376876F-5E84-4192-AB45-0AE097DFAB5E}"/>
    <cellStyle name="Currency 5 3 3 3 2 2 3" xfId="32527" xr:uid="{719B880E-7359-4A47-BA41-804EE67F153D}"/>
    <cellStyle name="Currency 5 3 3 3 2 2 4" xfId="15655" xr:uid="{75739A7D-1B25-4B54-8B60-E50703F53361}"/>
    <cellStyle name="Currency 5 3 3 3 2 3" xfId="19875" xr:uid="{3D1BE403-5464-4436-9C83-482A579A146D}"/>
    <cellStyle name="Currency 5 3 3 3 2 4" xfId="28310" xr:uid="{63730BE7-7BB3-4693-A8F7-80AAA16EF247}"/>
    <cellStyle name="Currency 5 3 3 3 2 5" xfId="11437" xr:uid="{32C4AD23-725F-49B9-854F-96B3F66DF585}"/>
    <cellStyle name="Currency 5 3 3 3 3" xfId="5071" xr:uid="{00000000-0005-0000-0000-0000F90C0000}"/>
    <cellStyle name="Currency 5 3 3 3 3 2" xfId="21948" xr:uid="{688CB496-7D50-4AEB-8707-FCA0CA7F33CA}"/>
    <cellStyle name="Currency 5 3 3 3 3 3" xfId="30382" xr:uid="{6F79EF1F-42E8-4981-AAD2-1CBD08DBD4E1}"/>
    <cellStyle name="Currency 5 3 3 3 3 4" xfId="13510" xr:uid="{40BA6F8A-4C86-4EEC-B8BB-82BCDE6BCEB2}"/>
    <cellStyle name="Currency 5 3 3 3 4" xfId="17730" xr:uid="{30FD630A-BE9E-454B-9DD4-20F1087A8CBE}"/>
    <cellStyle name="Currency 5 3 3 3 5" xfId="26165" xr:uid="{301C74F3-3622-45B2-8E61-794CFE101288}"/>
    <cellStyle name="Currency 5 3 3 3 6" xfId="9292" xr:uid="{2906AA7A-3394-472D-98CE-108F8C4434EF}"/>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24506" xr:uid="{473C63F6-D39A-4692-8D4E-7C985BC7D3B4}"/>
    <cellStyle name="Currency 5 3 3 4 2 2 3" xfId="32940" xr:uid="{144AC225-2B5B-4AAD-9BED-FBA39B5F4E1D}"/>
    <cellStyle name="Currency 5 3 3 4 2 2 4" xfId="16068" xr:uid="{E093E71A-7974-46A1-BF28-58C9784E61A2}"/>
    <cellStyle name="Currency 5 3 3 4 2 3" xfId="20288" xr:uid="{6B448CB6-00DD-4A64-8DAD-6A23F9C882E7}"/>
    <cellStyle name="Currency 5 3 3 4 2 4" xfId="28723" xr:uid="{AE1F8078-C393-4B5A-9579-9BAC344A9188}"/>
    <cellStyle name="Currency 5 3 3 4 2 5" xfId="11850" xr:uid="{1E17A715-597C-4311-ACCA-94B804CDAF73}"/>
    <cellStyle name="Currency 5 3 3 4 3" xfId="5484" xr:uid="{00000000-0005-0000-0000-0000FD0C0000}"/>
    <cellStyle name="Currency 5 3 3 4 3 2" xfId="22361" xr:uid="{8CB75888-D12F-48E8-ADF1-8788BD7FB24D}"/>
    <cellStyle name="Currency 5 3 3 4 3 3" xfId="30795" xr:uid="{8276FCB4-41A8-4E71-AFAE-A4C84DB9E3C1}"/>
    <cellStyle name="Currency 5 3 3 4 3 4" xfId="13923" xr:uid="{0F177A75-A3EB-426D-BBF7-EA2C86E251EF}"/>
    <cellStyle name="Currency 5 3 3 4 4" xfId="18143" xr:uid="{F660DB9C-7F18-4F25-8153-2B4F7B04AABD}"/>
    <cellStyle name="Currency 5 3 3 4 5" xfId="26578" xr:uid="{0E03C861-64D2-4A89-A8B2-82D8FCB8DDEB}"/>
    <cellStyle name="Currency 5 3 3 4 6" xfId="9705" xr:uid="{1077BBB2-AF76-45A4-A190-4D7E337FCDB8}"/>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24919" xr:uid="{305DC8B6-4CA5-43BA-9F0F-0CE1DFA63FB4}"/>
    <cellStyle name="Currency 5 3 3 5 2 2 3" xfId="33353" xr:uid="{C6F28A15-158B-477D-8F7F-2969BDDAFB4E}"/>
    <cellStyle name="Currency 5 3 3 5 2 2 4" xfId="16481" xr:uid="{497A6881-5883-4E1B-8012-2A1872DBD644}"/>
    <cellStyle name="Currency 5 3 3 5 2 3" xfId="20701" xr:uid="{8F729DDD-4D19-4BDE-AC7F-103BB3C1229A}"/>
    <cellStyle name="Currency 5 3 3 5 2 4" xfId="29136" xr:uid="{3C6B1ABA-BC1A-47C5-B5F7-5477545541AB}"/>
    <cellStyle name="Currency 5 3 3 5 2 5" xfId="12263" xr:uid="{9DBF11E2-8E98-4228-8B93-101237B36ACC}"/>
    <cellStyle name="Currency 5 3 3 5 3" xfId="5897" xr:uid="{00000000-0005-0000-0000-0000010D0000}"/>
    <cellStyle name="Currency 5 3 3 5 3 2" xfId="22774" xr:uid="{FAF4EE13-3C13-4F12-A778-4CED56B18BC6}"/>
    <cellStyle name="Currency 5 3 3 5 3 3" xfId="31208" xr:uid="{BCD058BC-39EC-4402-B590-5AC52ECC70BD}"/>
    <cellStyle name="Currency 5 3 3 5 3 4" xfId="14336" xr:uid="{7CEE6E0E-52CC-405B-93C0-6E764585550C}"/>
    <cellStyle name="Currency 5 3 3 5 4" xfId="18556" xr:uid="{646FC727-0A78-4C05-8C2D-1338F08B2A65}"/>
    <cellStyle name="Currency 5 3 3 5 5" xfId="26991" xr:uid="{1862F268-BB85-44D3-A95D-4C5AE03D10A3}"/>
    <cellStyle name="Currency 5 3 3 5 6" xfId="10118" xr:uid="{04D013F6-307B-4F7B-9632-A22A55709B49}"/>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25332" xr:uid="{C48B4F65-3357-4318-B2C8-4F2B331331CF}"/>
    <cellStyle name="Currency 5 3 3 6 2 2 3" xfId="33766" xr:uid="{64478D33-E3CE-4C53-BB50-DBE92020127F}"/>
    <cellStyle name="Currency 5 3 3 6 2 2 4" xfId="16894" xr:uid="{EE991A56-A67E-4B35-BDAD-941BAFCECCE2}"/>
    <cellStyle name="Currency 5 3 3 6 2 3" xfId="21114" xr:uid="{181AAF29-B272-4B36-B798-0C9565B1114C}"/>
    <cellStyle name="Currency 5 3 3 6 2 4" xfId="29549" xr:uid="{AA2533D2-A340-4E28-BE18-1FDB105F086D}"/>
    <cellStyle name="Currency 5 3 3 6 2 5" xfId="12676" xr:uid="{1C35B77E-B907-43BD-A1BA-2B037DD991B2}"/>
    <cellStyle name="Currency 5 3 3 6 3" xfId="6310" xr:uid="{00000000-0005-0000-0000-0000050D0000}"/>
    <cellStyle name="Currency 5 3 3 6 3 2" xfId="23187" xr:uid="{BFA6F551-8828-49E6-9BDE-E5917F1A8F14}"/>
    <cellStyle name="Currency 5 3 3 6 3 3" xfId="31621" xr:uid="{C86907C4-FCA0-480C-AFCB-5841CE0D7C8B}"/>
    <cellStyle name="Currency 5 3 3 6 3 4" xfId="14749" xr:uid="{31A20D3E-BE8C-4B64-8C5B-FFD58587E6F8}"/>
    <cellStyle name="Currency 5 3 3 6 4" xfId="18969" xr:uid="{923B62B5-EAFD-43BF-B7E8-8F3F743DBD4E}"/>
    <cellStyle name="Currency 5 3 3 6 5" xfId="27404" xr:uid="{6EC1F6BF-2DA4-4772-97C5-CD0F3D92E5C8}"/>
    <cellStyle name="Currency 5 3 3 6 6" xfId="10531" xr:uid="{FA97CFC8-7EF7-42A9-AFEC-CAF5CCC2E8DD}"/>
    <cellStyle name="Currency 5 3 3 7" xfId="2438" xr:uid="{00000000-0005-0000-0000-0000060D0000}"/>
    <cellStyle name="Currency 5 3 3 7 2" xfId="6723" xr:uid="{00000000-0005-0000-0000-0000070D0000}"/>
    <cellStyle name="Currency 5 3 3 7 2 2" xfId="23600" xr:uid="{D1878522-F296-43F5-BDED-787917F823A3}"/>
    <cellStyle name="Currency 5 3 3 7 2 3" xfId="32034" xr:uid="{80E22BF3-2770-4E49-80F0-BE6F479A0396}"/>
    <cellStyle name="Currency 5 3 3 7 2 4" xfId="15162" xr:uid="{22B71FD9-C394-4CCB-B231-3F51DAEE5EE4}"/>
    <cellStyle name="Currency 5 3 3 7 3" xfId="19382" xr:uid="{50BF5534-0AA7-40DA-A096-8E8F7A17C32F}"/>
    <cellStyle name="Currency 5 3 3 7 4" xfId="27817" xr:uid="{F0976B8D-3B2F-4FA9-9B7C-167F2F2DAEA0}"/>
    <cellStyle name="Currency 5 3 3 7 5" xfId="10944" xr:uid="{9A8393E2-CD5E-4030-B12F-332C2478120E}"/>
    <cellStyle name="Currency 5 3 3 8" xfId="2735" xr:uid="{00000000-0005-0000-0000-0000080D0000}"/>
    <cellStyle name="Currency 5 3 3 9" xfId="2816" xr:uid="{00000000-0005-0000-0000-0000090D0000}"/>
    <cellStyle name="Currency 5 3 3 9 2" xfId="7040" xr:uid="{00000000-0005-0000-0000-00000A0D0000}"/>
    <cellStyle name="Currency 5 3 3 9 2 2" xfId="23917" xr:uid="{B387DDAE-F2E9-48B6-A51B-F4B819D25989}"/>
    <cellStyle name="Currency 5 3 3 9 2 3" xfId="32351" xr:uid="{2E24D530-95CE-4356-B7F5-2CA565740CBD}"/>
    <cellStyle name="Currency 5 3 3 9 2 4" xfId="15479" xr:uid="{5CCA7F62-91F6-4623-B52F-79604A50F7F2}"/>
    <cellStyle name="Currency 5 3 3 9 3" xfId="19699" xr:uid="{DC50C4A5-A546-4724-BCA7-1187794E22A1}"/>
    <cellStyle name="Currency 5 3 3 9 4" xfId="28134" xr:uid="{600F14AA-8A5C-4CCA-BC7C-B24249AD6FFF}"/>
    <cellStyle name="Currency 5 3 3 9 5" xfId="11261" xr:uid="{669AFB5A-4D4F-41F1-B008-79C80C5C63BF}"/>
    <cellStyle name="Currency 5 3 4" xfId="216" xr:uid="{00000000-0005-0000-0000-00000B0D0000}"/>
    <cellStyle name="Currency 5 3 4 10" xfId="17318" xr:uid="{B34E8FCE-FAE5-4D93-A8A0-7A9B4B5BF544}"/>
    <cellStyle name="Currency 5 3 4 11" xfId="25753" xr:uid="{0474BC20-776A-48AF-8A1C-8330B1B141B8}"/>
    <cellStyle name="Currency 5 3 4 12" xfId="8880" xr:uid="{71B4DAED-39A1-4B70-B368-DFB36CF0F35E}"/>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24095" xr:uid="{132F387E-8392-480A-BD27-E9B3275A6728}"/>
    <cellStyle name="Currency 5 3 4 2 2 2 3" xfId="32529" xr:uid="{8DF3E3FC-10A1-416C-A6AD-0B7429365E87}"/>
    <cellStyle name="Currency 5 3 4 2 2 2 4" xfId="15657" xr:uid="{9342DFCD-8534-41EE-B682-19A4F250630D}"/>
    <cellStyle name="Currency 5 3 4 2 2 3" xfId="19877" xr:uid="{045BF24A-7B3E-4C77-B8A7-6E3EE62BFCC2}"/>
    <cellStyle name="Currency 5 3 4 2 2 4" xfId="28312" xr:uid="{7052B45A-4E55-46B7-96B8-E6FD9523D0A6}"/>
    <cellStyle name="Currency 5 3 4 2 2 5" xfId="11439" xr:uid="{DCA475A8-3C09-4388-8BBC-446F798F4FC6}"/>
    <cellStyle name="Currency 5 3 4 2 3" xfId="5073" xr:uid="{00000000-0005-0000-0000-00000F0D0000}"/>
    <cellStyle name="Currency 5 3 4 2 3 2" xfId="21950" xr:uid="{C36DA634-71E3-4DB0-948B-E41533E4ACBA}"/>
    <cellStyle name="Currency 5 3 4 2 3 3" xfId="30384" xr:uid="{FEC5C3F8-9746-47DA-8FED-5F159DFB22F6}"/>
    <cellStyle name="Currency 5 3 4 2 3 4" xfId="13512" xr:uid="{E107EFA3-6C7B-4EED-88E2-6D8C71757EB5}"/>
    <cellStyle name="Currency 5 3 4 2 4" xfId="17732" xr:uid="{43455E4C-EA64-4B84-A444-B83A14B3AC12}"/>
    <cellStyle name="Currency 5 3 4 2 5" xfId="26167" xr:uid="{81265AD0-F355-4294-9C29-2A4446513C83}"/>
    <cellStyle name="Currency 5 3 4 2 6" xfId="9294" xr:uid="{3B93E10A-E77A-4C81-8227-AEEA9EAE8948}"/>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24508" xr:uid="{8E8AEB15-A85B-4844-BF7D-175861CDA274}"/>
    <cellStyle name="Currency 5 3 4 3 2 2 3" xfId="32942" xr:uid="{79F79BFC-9020-4B94-87B2-8100C81E15D6}"/>
    <cellStyle name="Currency 5 3 4 3 2 2 4" xfId="16070" xr:uid="{400B3553-24C1-4CF8-B957-65FE189C0832}"/>
    <cellStyle name="Currency 5 3 4 3 2 3" xfId="20290" xr:uid="{61629517-E1D6-46F7-B297-8B42C96C41F5}"/>
    <cellStyle name="Currency 5 3 4 3 2 4" xfId="28725" xr:uid="{9466A545-536A-4717-85C7-4B8585592C49}"/>
    <cellStyle name="Currency 5 3 4 3 2 5" xfId="11852" xr:uid="{22B72616-1818-475D-AE8D-14430F1A03F0}"/>
    <cellStyle name="Currency 5 3 4 3 3" xfId="5486" xr:uid="{00000000-0005-0000-0000-0000130D0000}"/>
    <cellStyle name="Currency 5 3 4 3 3 2" xfId="22363" xr:uid="{72482F7F-F6AF-4D14-A61D-FB2FC74194B1}"/>
    <cellStyle name="Currency 5 3 4 3 3 3" xfId="30797" xr:uid="{6270CF4F-BB2D-4068-841A-0370676323B3}"/>
    <cellStyle name="Currency 5 3 4 3 3 4" xfId="13925" xr:uid="{BD48EA6D-64FE-426F-A225-B17EE4D3D8AC}"/>
    <cellStyle name="Currency 5 3 4 3 4" xfId="18145" xr:uid="{A94F0D55-7D60-4398-9882-72DB1E4EA324}"/>
    <cellStyle name="Currency 5 3 4 3 5" xfId="26580" xr:uid="{06269B98-1539-4C69-A2FB-EBBC7133E6AB}"/>
    <cellStyle name="Currency 5 3 4 3 6" xfId="9707" xr:uid="{E53AB3F6-BD6A-44F4-809D-3D7EE970469E}"/>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24921" xr:uid="{2E978B4E-B4A3-4259-A4D5-557852A733A3}"/>
    <cellStyle name="Currency 5 3 4 4 2 2 3" xfId="33355" xr:uid="{64F3BE71-818A-4FDE-BC67-6A1E50DDB2DE}"/>
    <cellStyle name="Currency 5 3 4 4 2 2 4" xfId="16483" xr:uid="{56F7DE15-731B-4E78-8A52-314190199861}"/>
    <cellStyle name="Currency 5 3 4 4 2 3" xfId="20703" xr:uid="{E3564226-CEA6-4CFA-8376-AA86F7AD07C7}"/>
    <cellStyle name="Currency 5 3 4 4 2 4" xfId="29138" xr:uid="{A1153CB0-C0AB-41F8-B3A4-5FFB1E26FB72}"/>
    <cellStyle name="Currency 5 3 4 4 2 5" xfId="12265" xr:uid="{E34BBE78-16B6-474D-BF81-A4C393D4D738}"/>
    <cellStyle name="Currency 5 3 4 4 3" xfId="5899" xr:uid="{00000000-0005-0000-0000-0000170D0000}"/>
    <cellStyle name="Currency 5 3 4 4 3 2" xfId="22776" xr:uid="{B72C3048-08F9-48AB-B101-DA20D62B3B6A}"/>
    <cellStyle name="Currency 5 3 4 4 3 3" xfId="31210" xr:uid="{AA4CC8AB-AA71-4498-86CA-21123DC291A8}"/>
    <cellStyle name="Currency 5 3 4 4 3 4" xfId="14338" xr:uid="{59E84144-E8B3-490C-800B-F442B7EB31F2}"/>
    <cellStyle name="Currency 5 3 4 4 4" xfId="18558" xr:uid="{9C1FBC88-C34F-4D60-B3F8-167970230E63}"/>
    <cellStyle name="Currency 5 3 4 4 5" xfId="26993" xr:uid="{AD180CE8-25B9-45C7-BEA8-76D96C8A8D73}"/>
    <cellStyle name="Currency 5 3 4 4 6" xfId="10120" xr:uid="{699F85C6-EF3F-4079-AD3D-33101EAF1022}"/>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25334" xr:uid="{67127F8E-B1C5-4C42-A786-5D03D6424DB0}"/>
    <cellStyle name="Currency 5 3 4 5 2 2 3" xfId="33768" xr:uid="{4D928D24-8B81-4263-A7E5-BB8A647E961C}"/>
    <cellStyle name="Currency 5 3 4 5 2 2 4" xfId="16896" xr:uid="{C2C66885-7727-479A-A87C-E8FB9F3427B9}"/>
    <cellStyle name="Currency 5 3 4 5 2 3" xfId="21116" xr:uid="{41467342-3520-4486-AD38-82C9863B1B74}"/>
    <cellStyle name="Currency 5 3 4 5 2 4" xfId="29551" xr:uid="{96E838D5-7CBC-48AA-83BC-DA1D31599753}"/>
    <cellStyle name="Currency 5 3 4 5 2 5" xfId="12678" xr:uid="{A52E13C9-66A4-4ACE-9AE8-1ED884400348}"/>
    <cellStyle name="Currency 5 3 4 5 3" xfId="6312" xr:uid="{00000000-0005-0000-0000-00001B0D0000}"/>
    <cellStyle name="Currency 5 3 4 5 3 2" xfId="23189" xr:uid="{7D3570F9-0B20-49AA-824C-6CC5D9840A17}"/>
    <cellStyle name="Currency 5 3 4 5 3 3" xfId="31623" xr:uid="{0B5BF5D4-3C62-4DCA-8E64-4B66721C66E1}"/>
    <cellStyle name="Currency 5 3 4 5 3 4" xfId="14751" xr:uid="{A27430A2-A7D9-483C-AF1C-A26F569403B4}"/>
    <cellStyle name="Currency 5 3 4 5 4" xfId="18971" xr:uid="{83D45EFE-5338-49FB-A764-8BB712F65F26}"/>
    <cellStyle name="Currency 5 3 4 5 5" xfId="27406" xr:uid="{6C5255FB-7121-442A-82F6-CF75B93B526D}"/>
    <cellStyle name="Currency 5 3 4 5 6" xfId="10533" xr:uid="{42E63732-E184-4372-BCFF-CD2BF306F365}"/>
    <cellStyle name="Currency 5 3 4 6" xfId="2440" xr:uid="{00000000-0005-0000-0000-00001C0D0000}"/>
    <cellStyle name="Currency 5 3 4 6 2" xfId="6725" xr:uid="{00000000-0005-0000-0000-00001D0D0000}"/>
    <cellStyle name="Currency 5 3 4 6 2 2" xfId="23602" xr:uid="{7530B1FD-4EEB-461E-9E81-851E14BCA7C5}"/>
    <cellStyle name="Currency 5 3 4 6 2 3" xfId="32036" xr:uid="{1824C59B-888B-4630-85AE-BA1D68AB5EC6}"/>
    <cellStyle name="Currency 5 3 4 6 2 4" xfId="15164" xr:uid="{D30106D7-085A-42A9-A97E-6143CCBA279B}"/>
    <cellStyle name="Currency 5 3 4 6 3" xfId="19384" xr:uid="{092558C7-0169-4CFC-B924-FAECCC8D4CCA}"/>
    <cellStyle name="Currency 5 3 4 6 4" xfId="27819" xr:uid="{58B6DF12-663F-4DD6-A85D-726E4A57A3A3}"/>
    <cellStyle name="Currency 5 3 4 6 5" xfId="10946" xr:uid="{1915E9EB-09A6-4166-8E96-2BAD656E8775}"/>
    <cellStyle name="Currency 5 3 4 7" xfId="2737" xr:uid="{00000000-0005-0000-0000-00001E0D0000}"/>
    <cellStyle name="Currency 5 3 4 8" xfId="2818" xr:uid="{00000000-0005-0000-0000-00001F0D0000}"/>
    <cellStyle name="Currency 5 3 4 8 2" xfId="7042" xr:uid="{00000000-0005-0000-0000-0000200D0000}"/>
    <cellStyle name="Currency 5 3 4 8 2 2" xfId="23919" xr:uid="{3AAB6130-0500-4207-942C-67E283E8F891}"/>
    <cellStyle name="Currency 5 3 4 8 2 3" xfId="32353" xr:uid="{8C756218-9E04-4843-BD8A-C7553728928A}"/>
    <cellStyle name="Currency 5 3 4 8 2 4" xfId="15481" xr:uid="{8E24E17A-2E12-44A2-8ABF-04107059576E}"/>
    <cellStyle name="Currency 5 3 4 8 3" xfId="19701" xr:uid="{ABADD5AA-2BFE-4CD3-83CD-E63D8BA00C98}"/>
    <cellStyle name="Currency 5 3 4 8 4" xfId="28136" xr:uid="{EB7F67AE-BC8A-4BCA-9736-3EF56DDE6DD6}"/>
    <cellStyle name="Currency 5 3 4 8 5" xfId="11263" xr:uid="{EC4F5D7F-EC23-47DE-B4FC-896F4FA1BC1C}"/>
    <cellStyle name="Currency 5 3 4 9" xfId="4659" xr:uid="{00000000-0005-0000-0000-0000210D0000}"/>
    <cellStyle name="Currency 5 3 4 9 2" xfId="21536" xr:uid="{ED4FE8A8-A5A7-4403-A48C-EA0ED044EBC7}"/>
    <cellStyle name="Currency 5 3 4 9 3" xfId="29970" xr:uid="{5656BF68-7B68-460D-84D1-4305184FA842}"/>
    <cellStyle name="Currency 5 3 4 9 4" xfId="13098" xr:uid="{855446B8-AE81-4F7A-B72C-8606921D8E88}"/>
    <cellStyle name="Currency 5 3 5" xfId="217" xr:uid="{00000000-0005-0000-0000-0000220D0000}"/>
    <cellStyle name="Currency 5 3 5 10" xfId="17319" xr:uid="{6FBC6671-BCB3-4F85-9AC9-DA66782693CC}"/>
    <cellStyle name="Currency 5 3 5 11" xfId="25754" xr:uid="{0B8DCA45-B4AF-4575-9E8A-542F3EE45636}"/>
    <cellStyle name="Currency 5 3 5 12" xfId="8881" xr:uid="{182DA3E4-E55F-4414-8EE6-8E708330CE5C}"/>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24096" xr:uid="{DBCDA4B9-0FB5-402E-90B7-E91044CD8E3E}"/>
    <cellStyle name="Currency 5 3 5 2 2 2 3" xfId="32530" xr:uid="{646B4276-1138-435B-8ADA-6CD72B1B356B}"/>
    <cellStyle name="Currency 5 3 5 2 2 2 4" xfId="15658" xr:uid="{29FA028B-D4E3-4D6B-AFD9-DE91A7292962}"/>
    <cellStyle name="Currency 5 3 5 2 2 3" xfId="19878" xr:uid="{45C97A10-112C-4377-B1FE-0C3D29A45323}"/>
    <cellStyle name="Currency 5 3 5 2 2 4" xfId="28313" xr:uid="{30C6B52D-BADE-426A-9CAC-85131D2FE628}"/>
    <cellStyle name="Currency 5 3 5 2 2 5" xfId="11440" xr:uid="{2C123DC3-DC80-49FD-A8FB-F44E588524D5}"/>
    <cellStyle name="Currency 5 3 5 2 3" xfId="5074" xr:uid="{00000000-0005-0000-0000-0000260D0000}"/>
    <cellStyle name="Currency 5 3 5 2 3 2" xfId="21951" xr:uid="{AC6C6428-C390-4953-A30B-337A0658FCE8}"/>
    <cellStyle name="Currency 5 3 5 2 3 3" xfId="30385" xr:uid="{16FE47B7-ED86-410C-B60D-F310387262E2}"/>
    <cellStyle name="Currency 5 3 5 2 3 4" xfId="13513" xr:uid="{98CFB014-E73D-4C8C-BD25-53C627B89A06}"/>
    <cellStyle name="Currency 5 3 5 2 4" xfId="17733" xr:uid="{B6383757-F1A7-4393-B298-340C2BE10DBB}"/>
    <cellStyle name="Currency 5 3 5 2 5" xfId="26168" xr:uid="{ABCC425B-FC79-46A6-92BB-4333BA70459C}"/>
    <cellStyle name="Currency 5 3 5 2 6" xfId="9295" xr:uid="{E7B2A0B6-ABFC-4280-B7AE-64B5E6B2DF98}"/>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24509" xr:uid="{3A522B11-9FC1-4FD3-AADB-BE4526B723D5}"/>
    <cellStyle name="Currency 5 3 5 3 2 2 3" xfId="32943" xr:uid="{7A1DBFFE-BB07-4EAD-ADCD-AA67A6DFF4EC}"/>
    <cellStyle name="Currency 5 3 5 3 2 2 4" xfId="16071" xr:uid="{DBC380AE-CCD6-4F17-BE39-B589FBE676CD}"/>
    <cellStyle name="Currency 5 3 5 3 2 3" xfId="20291" xr:uid="{67D88542-E748-4FD1-89DF-195672870063}"/>
    <cellStyle name="Currency 5 3 5 3 2 4" xfId="28726" xr:uid="{EF360CF0-2AE0-438A-B110-E0D0F10BF529}"/>
    <cellStyle name="Currency 5 3 5 3 2 5" xfId="11853" xr:uid="{EB1D20F1-43F4-4BE4-A88F-EDDB77CFF7B7}"/>
    <cellStyle name="Currency 5 3 5 3 3" xfId="5487" xr:uid="{00000000-0005-0000-0000-00002A0D0000}"/>
    <cellStyle name="Currency 5 3 5 3 3 2" xfId="22364" xr:uid="{01D61D5D-E48C-4E55-BE54-BB3045729769}"/>
    <cellStyle name="Currency 5 3 5 3 3 3" xfId="30798" xr:uid="{C61FA293-6A02-4CC1-938D-A635B389B270}"/>
    <cellStyle name="Currency 5 3 5 3 3 4" xfId="13926" xr:uid="{87794C8D-A492-4DA1-8F9A-C4DEEE50918A}"/>
    <cellStyle name="Currency 5 3 5 3 4" xfId="18146" xr:uid="{3BEE7CAE-7EA3-4741-9488-3A0F48DD110A}"/>
    <cellStyle name="Currency 5 3 5 3 5" xfId="26581" xr:uid="{9E99FC92-8E75-4657-A7D2-B75930440567}"/>
    <cellStyle name="Currency 5 3 5 3 6" xfId="9708" xr:uid="{D85219C3-6775-4BBE-AFA3-2D2CBF8177FD}"/>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24922" xr:uid="{8DFF3DDA-BCDD-40BE-9179-0E0E64622224}"/>
    <cellStyle name="Currency 5 3 5 4 2 2 3" xfId="33356" xr:uid="{7FC9BABA-B608-4168-ABDB-929DBAB17418}"/>
    <cellStyle name="Currency 5 3 5 4 2 2 4" xfId="16484" xr:uid="{5E4677CF-17F6-4DF2-BDBC-A4AB079E7975}"/>
    <cellStyle name="Currency 5 3 5 4 2 3" xfId="20704" xr:uid="{B1088514-2F0D-40B9-8680-0C276E77169E}"/>
    <cellStyle name="Currency 5 3 5 4 2 4" xfId="29139" xr:uid="{AC3E2153-0879-4BF2-A85D-F2FFBB4EB4C7}"/>
    <cellStyle name="Currency 5 3 5 4 2 5" xfId="12266" xr:uid="{2C5488C1-1C77-43B2-A879-FE27408BA5B2}"/>
    <cellStyle name="Currency 5 3 5 4 3" xfId="5900" xr:uid="{00000000-0005-0000-0000-00002E0D0000}"/>
    <cellStyle name="Currency 5 3 5 4 3 2" xfId="22777" xr:uid="{DA7F42E2-E874-478F-ACAC-6F2FAE153BB3}"/>
    <cellStyle name="Currency 5 3 5 4 3 3" xfId="31211" xr:uid="{CEA546F2-C9EC-4221-BB1F-233347C7996C}"/>
    <cellStyle name="Currency 5 3 5 4 3 4" xfId="14339" xr:uid="{35C40B00-4543-4DEF-969A-3A327CA812F3}"/>
    <cellStyle name="Currency 5 3 5 4 4" xfId="18559" xr:uid="{29BF4D16-5EE4-47F3-A877-C9E11560A639}"/>
    <cellStyle name="Currency 5 3 5 4 5" xfId="26994" xr:uid="{0C2943CC-3050-421F-A95E-EC17D43F84F6}"/>
    <cellStyle name="Currency 5 3 5 4 6" xfId="10121" xr:uid="{2D90E26A-F7A0-478F-AE84-DA7E57C9AAF9}"/>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25335" xr:uid="{D42FF25E-62D8-42E4-BA83-E47AC73D0299}"/>
    <cellStyle name="Currency 5 3 5 5 2 2 3" xfId="33769" xr:uid="{3B3D7AAD-B119-46DC-90C2-2F71A4F86B61}"/>
    <cellStyle name="Currency 5 3 5 5 2 2 4" xfId="16897" xr:uid="{63284D72-A3E9-4631-8A01-AE101915957A}"/>
    <cellStyle name="Currency 5 3 5 5 2 3" xfId="21117" xr:uid="{70009339-99A9-43FB-AF06-A681AD513328}"/>
    <cellStyle name="Currency 5 3 5 5 2 4" xfId="29552" xr:uid="{417F1D7C-8A33-4DAC-B71A-E6A6BF91BEF2}"/>
    <cellStyle name="Currency 5 3 5 5 2 5" xfId="12679" xr:uid="{B38EB1A8-D2A7-4F3F-8DB4-451EBF590EFA}"/>
    <cellStyle name="Currency 5 3 5 5 3" xfId="6313" xr:uid="{00000000-0005-0000-0000-0000320D0000}"/>
    <cellStyle name="Currency 5 3 5 5 3 2" xfId="23190" xr:uid="{30C72A9D-5DD0-4827-BF52-7FBF400FBA31}"/>
    <cellStyle name="Currency 5 3 5 5 3 3" xfId="31624" xr:uid="{37DCDC1F-7C5F-42A8-9275-4EB59218347C}"/>
    <cellStyle name="Currency 5 3 5 5 3 4" xfId="14752" xr:uid="{38D69AE1-2154-4DE4-9357-30F4B64C31E6}"/>
    <cellStyle name="Currency 5 3 5 5 4" xfId="18972" xr:uid="{1FE70204-0EF7-4765-9B8F-3BD162F23529}"/>
    <cellStyle name="Currency 5 3 5 5 5" xfId="27407" xr:uid="{051846EB-13CA-4022-AECE-EA29D8444CF8}"/>
    <cellStyle name="Currency 5 3 5 5 6" xfId="10534" xr:uid="{9A54E88D-7D1A-4C4C-A692-66F3561815C0}"/>
    <cellStyle name="Currency 5 3 5 6" xfId="2441" xr:uid="{00000000-0005-0000-0000-0000330D0000}"/>
    <cellStyle name="Currency 5 3 5 6 2" xfId="6726" xr:uid="{00000000-0005-0000-0000-0000340D0000}"/>
    <cellStyle name="Currency 5 3 5 6 2 2" xfId="23603" xr:uid="{047C2E4F-2C28-4EB8-BF40-0D793595A236}"/>
    <cellStyle name="Currency 5 3 5 6 2 3" xfId="32037" xr:uid="{3363E481-628C-47FA-953B-52C410E3B140}"/>
    <cellStyle name="Currency 5 3 5 6 2 4" xfId="15165" xr:uid="{273F02FD-95F8-4EC7-98A9-597E09CED828}"/>
    <cellStyle name="Currency 5 3 5 6 3" xfId="19385" xr:uid="{03805878-8700-4664-9BEE-2B42EA7836C5}"/>
    <cellStyle name="Currency 5 3 5 6 4" xfId="27820" xr:uid="{1344B8FF-F328-4F13-9C55-A8C5749F309F}"/>
    <cellStyle name="Currency 5 3 5 6 5" xfId="10947" xr:uid="{41CB0111-B77E-4FCE-A14C-CFAAD8DCCBFA}"/>
    <cellStyle name="Currency 5 3 5 7" xfId="2738" xr:uid="{00000000-0005-0000-0000-0000350D0000}"/>
    <cellStyle name="Currency 5 3 5 8" xfId="2819" xr:uid="{00000000-0005-0000-0000-0000360D0000}"/>
    <cellStyle name="Currency 5 3 5 8 2" xfId="7043" xr:uid="{00000000-0005-0000-0000-0000370D0000}"/>
    <cellStyle name="Currency 5 3 5 8 2 2" xfId="23920" xr:uid="{45ADE896-D177-486D-9F19-ED198AC3AE04}"/>
    <cellStyle name="Currency 5 3 5 8 2 3" xfId="32354" xr:uid="{05D2DFA6-19BE-4F8C-93E0-806D9C72A99E}"/>
    <cellStyle name="Currency 5 3 5 8 2 4" xfId="15482" xr:uid="{61AE034F-B770-4427-8144-2AC2143E1750}"/>
    <cellStyle name="Currency 5 3 5 8 3" xfId="19702" xr:uid="{EF2193CF-CD59-4E11-B11F-E55FB10DE419}"/>
    <cellStyle name="Currency 5 3 5 8 4" xfId="28137" xr:uid="{36B4439A-7A72-4E7B-A68B-A21F0CCFC9D6}"/>
    <cellStyle name="Currency 5 3 5 8 5" xfId="11264" xr:uid="{CF9D2E53-3AC2-498A-B5BE-34927473DCEB}"/>
    <cellStyle name="Currency 5 3 5 9" xfId="4660" xr:uid="{00000000-0005-0000-0000-0000380D0000}"/>
    <cellStyle name="Currency 5 3 5 9 2" xfId="21537" xr:uid="{60B81787-E5EB-4896-97F5-0F7973750E3C}"/>
    <cellStyle name="Currency 5 3 5 9 3" xfId="29971" xr:uid="{5406A0E8-33F0-43C7-9C1C-5B8ECF3B0134}"/>
    <cellStyle name="Currency 5 3 5 9 4" xfId="13099" xr:uid="{54FEE900-5CE5-4983-83EB-E7DDBEA6F361}"/>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21538" xr:uid="{4DC28985-7DE6-455A-9B1E-FB5B30FE86AF}"/>
    <cellStyle name="Currency 5 5 10 3" xfId="29972" xr:uid="{DCCF4C52-F3B0-4CE5-B4E9-DA03EB316CBE}"/>
    <cellStyle name="Currency 5 5 10 4" xfId="13100" xr:uid="{0C2C8EDA-D426-42FD-8CA0-49D64C37CCF6}"/>
    <cellStyle name="Currency 5 5 11" xfId="17320" xr:uid="{A3BEBCCE-79AB-4266-B4EB-5F3237016205}"/>
    <cellStyle name="Currency 5 5 12" xfId="25755" xr:uid="{A3EA487A-8F9E-4EC3-9674-032338EDE2A7}"/>
    <cellStyle name="Currency 5 5 13" xfId="8882" xr:uid="{A5B45773-AECC-459C-8E81-A1E3E3004006}"/>
    <cellStyle name="Currency 5 5 2" xfId="220" xr:uid="{00000000-0005-0000-0000-00003D0D0000}"/>
    <cellStyle name="Currency 5 5 2 10" xfId="17321" xr:uid="{8E9FBD55-BBCB-4994-8A94-B715B8132D8E}"/>
    <cellStyle name="Currency 5 5 2 11" xfId="25756" xr:uid="{626896BD-5840-43E7-9D4E-83E7845E3008}"/>
    <cellStyle name="Currency 5 5 2 12" xfId="8883" xr:uid="{0B32F314-8C3D-4A36-B436-977BE616E8F3}"/>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24098" xr:uid="{6CE45DE7-DFD4-42A2-BFD4-9AF303D58FA8}"/>
    <cellStyle name="Currency 5 5 2 2 2 2 3" xfId="32532" xr:uid="{3FA066BC-2ADA-4D06-92FA-7627558BA93F}"/>
    <cellStyle name="Currency 5 5 2 2 2 2 4" xfId="15660" xr:uid="{8CA7A053-F9AA-4FBD-860B-F16D7BF31A32}"/>
    <cellStyle name="Currency 5 5 2 2 2 3" xfId="19880" xr:uid="{149E7DA7-2E4F-45BB-92C1-AE25C15EF415}"/>
    <cellStyle name="Currency 5 5 2 2 2 4" xfId="28315" xr:uid="{228F7CD1-105A-4F24-AA62-E992CF90D894}"/>
    <cellStyle name="Currency 5 5 2 2 2 5" xfId="11442" xr:uid="{A1EF2FDB-23FC-4E32-92C9-2FAC2C5149CE}"/>
    <cellStyle name="Currency 5 5 2 2 3" xfId="5076" xr:uid="{00000000-0005-0000-0000-0000410D0000}"/>
    <cellStyle name="Currency 5 5 2 2 3 2" xfId="21953" xr:uid="{F1A9DBCF-CA47-4100-8D5D-A960E605AEF7}"/>
    <cellStyle name="Currency 5 5 2 2 3 3" xfId="30387" xr:uid="{D008E6AA-B728-4A36-91DE-802F3B0CF2C2}"/>
    <cellStyle name="Currency 5 5 2 2 3 4" xfId="13515" xr:uid="{7447B86C-D026-4741-BC0E-096C067831AB}"/>
    <cellStyle name="Currency 5 5 2 2 4" xfId="17735" xr:uid="{F176010D-EF5A-43CE-84A7-064160AE8038}"/>
    <cellStyle name="Currency 5 5 2 2 5" xfId="26170" xr:uid="{B4E3842C-432C-4916-BCEE-19ED7F50447E}"/>
    <cellStyle name="Currency 5 5 2 2 6" xfId="9297" xr:uid="{A1777C01-C199-40BD-A07A-712A085654C1}"/>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24511" xr:uid="{38312F01-8641-4346-A5CA-989145947637}"/>
    <cellStyle name="Currency 5 5 2 3 2 2 3" xfId="32945" xr:uid="{011B88BD-0980-4B95-8840-091FF8A62453}"/>
    <cellStyle name="Currency 5 5 2 3 2 2 4" xfId="16073" xr:uid="{15D287A4-02B8-4017-ABE1-45C779FB20B7}"/>
    <cellStyle name="Currency 5 5 2 3 2 3" xfId="20293" xr:uid="{A80ED5B2-3A92-479C-8747-5773F8D79839}"/>
    <cellStyle name="Currency 5 5 2 3 2 4" xfId="28728" xr:uid="{42381C03-EB9D-420D-AD57-E1ACEC567789}"/>
    <cellStyle name="Currency 5 5 2 3 2 5" xfId="11855" xr:uid="{EE66B8B4-A954-4549-B027-A9CFA10CC672}"/>
    <cellStyle name="Currency 5 5 2 3 3" xfId="5489" xr:uid="{00000000-0005-0000-0000-0000450D0000}"/>
    <cellStyle name="Currency 5 5 2 3 3 2" xfId="22366" xr:uid="{C66186FE-D26F-4A9E-BCC8-0D6740836226}"/>
    <cellStyle name="Currency 5 5 2 3 3 3" xfId="30800" xr:uid="{C18AFED4-1395-4FAA-AE30-563D2EFB2FE2}"/>
    <cellStyle name="Currency 5 5 2 3 3 4" xfId="13928" xr:uid="{ED5DFD17-E363-4764-826A-5A649D748B3F}"/>
    <cellStyle name="Currency 5 5 2 3 4" xfId="18148" xr:uid="{22ADDB9A-6E4F-4148-84D7-5D148C56361F}"/>
    <cellStyle name="Currency 5 5 2 3 5" xfId="26583" xr:uid="{209C01C2-6EDD-4DA5-AA53-0E7147917B1A}"/>
    <cellStyle name="Currency 5 5 2 3 6" xfId="9710" xr:uid="{B53E1DF6-0BB6-4C94-940C-8E0CCC230497}"/>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24924" xr:uid="{7D52F9C4-AAFB-4E4F-9F47-984C0F397FFC}"/>
    <cellStyle name="Currency 5 5 2 4 2 2 3" xfId="33358" xr:uid="{681C72FE-F7C0-47A2-9850-F7266AFB2762}"/>
    <cellStyle name="Currency 5 5 2 4 2 2 4" xfId="16486" xr:uid="{610163E9-71B1-413B-BFCF-5E42A6F606F6}"/>
    <cellStyle name="Currency 5 5 2 4 2 3" xfId="20706" xr:uid="{006AF6AD-EB04-4502-BA1F-C4A8210EE496}"/>
    <cellStyle name="Currency 5 5 2 4 2 4" xfId="29141" xr:uid="{A9736513-7E4E-4D7F-829A-DEEE968315DD}"/>
    <cellStyle name="Currency 5 5 2 4 2 5" xfId="12268" xr:uid="{D9B38B9D-BA69-4680-8B1F-4C9F39A1D9D8}"/>
    <cellStyle name="Currency 5 5 2 4 3" xfId="5902" xr:uid="{00000000-0005-0000-0000-0000490D0000}"/>
    <cellStyle name="Currency 5 5 2 4 3 2" xfId="22779" xr:uid="{2301BDBC-FF85-477D-AE35-504F065D829B}"/>
    <cellStyle name="Currency 5 5 2 4 3 3" xfId="31213" xr:uid="{C9E714BE-9E5E-4DC2-A0A3-1947127128A8}"/>
    <cellStyle name="Currency 5 5 2 4 3 4" xfId="14341" xr:uid="{7FC2AF18-6D66-42B5-AE0B-E5FC056B084A}"/>
    <cellStyle name="Currency 5 5 2 4 4" xfId="18561" xr:uid="{87B7A67C-72A3-49E2-9AEE-316D2023FF74}"/>
    <cellStyle name="Currency 5 5 2 4 5" xfId="26996" xr:uid="{7B88E86A-EFD4-4068-A946-9DE0C0DDF4BF}"/>
    <cellStyle name="Currency 5 5 2 4 6" xfId="10123" xr:uid="{258ACE2B-7BE2-4F92-8D79-D776DD27C7AB}"/>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25337" xr:uid="{10D44C8D-E5DA-48A6-8AF7-F14CF224A428}"/>
    <cellStyle name="Currency 5 5 2 5 2 2 3" xfId="33771" xr:uid="{43F41912-A830-4530-9B88-D9C8952238E4}"/>
    <cellStyle name="Currency 5 5 2 5 2 2 4" xfId="16899" xr:uid="{3B97338B-56B6-4A18-A750-EA00D4F0A0A5}"/>
    <cellStyle name="Currency 5 5 2 5 2 3" xfId="21119" xr:uid="{BE47E541-0184-4DC1-BC73-1611111716F7}"/>
    <cellStyle name="Currency 5 5 2 5 2 4" xfId="29554" xr:uid="{DACC56E6-E206-4784-83F7-8917648A9C41}"/>
    <cellStyle name="Currency 5 5 2 5 2 5" xfId="12681" xr:uid="{5591273F-8926-4F15-B6C9-5340C695972B}"/>
    <cellStyle name="Currency 5 5 2 5 3" xfId="6315" xr:uid="{00000000-0005-0000-0000-00004D0D0000}"/>
    <cellStyle name="Currency 5 5 2 5 3 2" xfId="23192" xr:uid="{436156A2-E41F-4461-B5D0-4E572B7B3660}"/>
    <cellStyle name="Currency 5 5 2 5 3 3" xfId="31626" xr:uid="{74D6A319-CCAF-441A-9A7A-4CB0E4D4D1BD}"/>
    <cellStyle name="Currency 5 5 2 5 3 4" xfId="14754" xr:uid="{D0107CD9-E365-4D5F-9497-4D86491D48FB}"/>
    <cellStyle name="Currency 5 5 2 5 4" xfId="18974" xr:uid="{15D1F46B-2F6D-4CD8-855D-6F0C6D17721F}"/>
    <cellStyle name="Currency 5 5 2 5 5" xfId="27409" xr:uid="{F1AA3B77-87EC-4E78-B358-3F889EFDBA42}"/>
    <cellStyle name="Currency 5 5 2 5 6" xfId="10536" xr:uid="{C0116EE4-BE03-475D-A272-D2F972DFD4D5}"/>
    <cellStyle name="Currency 5 5 2 6" xfId="2443" xr:uid="{00000000-0005-0000-0000-00004E0D0000}"/>
    <cellStyle name="Currency 5 5 2 6 2" xfId="6728" xr:uid="{00000000-0005-0000-0000-00004F0D0000}"/>
    <cellStyle name="Currency 5 5 2 6 2 2" xfId="23605" xr:uid="{41C13F83-9B34-458E-865A-50BA0CF0C070}"/>
    <cellStyle name="Currency 5 5 2 6 2 3" xfId="32039" xr:uid="{2E08B432-350F-4AB4-8918-B5D72E61C05E}"/>
    <cellStyle name="Currency 5 5 2 6 2 4" xfId="15167" xr:uid="{607ACCE1-9672-4F58-BC47-EA12F057D70F}"/>
    <cellStyle name="Currency 5 5 2 6 3" xfId="19387" xr:uid="{78923701-702F-403B-B3C5-6CF052FD85C2}"/>
    <cellStyle name="Currency 5 5 2 6 4" xfId="27822" xr:uid="{331275DE-9179-433C-BDBD-E7A406E31D06}"/>
    <cellStyle name="Currency 5 5 2 6 5" xfId="10949" xr:uid="{9452DC7F-5753-4833-984A-9272E960039B}"/>
    <cellStyle name="Currency 5 5 2 7" xfId="2740" xr:uid="{00000000-0005-0000-0000-0000500D0000}"/>
    <cellStyle name="Currency 5 5 2 8" xfId="2821" xr:uid="{00000000-0005-0000-0000-0000510D0000}"/>
    <cellStyle name="Currency 5 5 2 8 2" xfId="7045" xr:uid="{00000000-0005-0000-0000-0000520D0000}"/>
    <cellStyle name="Currency 5 5 2 8 2 2" xfId="23922" xr:uid="{311FEC6E-624B-446C-8AC3-D34D43332748}"/>
    <cellStyle name="Currency 5 5 2 8 2 3" xfId="32356" xr:uid="{2F64AB5A-D8CB-4243-BEC0-B363DEDD63E1}"/>
    <cellStyle name="Currency 5 5 2 8 2 4" xfId="15484" xr:uid="{D1BDC35C-8407-4E1C-84C6-A7D136A0EACC}"/>
    <cellStyle name="Currency 5 5 2 8 3" xfId="19704" xr:uid="{53029BD1-E0F6-4196-AAD1-CC47D3DCD712}"/>
    <cellStyle name="Currency 5 5 2 8 4" xfId="28139" xr:uid="{BC694A8E-75DF-4C31-AB9C-2CF4D5A500A9}"/>
    <cellStyle name="Currency 5 5 2 8 5" xfId="11266" xr:uid="{6EE18C62-7A95-4681-8D73-62C25FD534EE}"/>
    <cellStyle name="Currency 5 5 2 9" xfId="4662" xr:uid="{00000000-0005-0000-0000-0000530D0000}"/>
    <cellStyle name="Currency 5 5 2 9 2" xfId="21539" xr:uid="{1BD0A823-70E5-4FC0-8DD7-8BBC31556751}"/>
    <cellStyle name="Currency 5 5 2 9 3" xfId="29973" xr:uid="{32CFACDA-C232-4B2E-85D3-E1349F855963}"/>
    <cellStyle name="Currency 5 5 2 9 4" xfId="13101" xr:uid="{E3FE5C88-3DAC-4B6F-BAB1-0795BE623DEA}"/>
    <cellStyle name="Currency 5 5 3" xfId="745" xr:uid="{00000000-0005-0000-0000-0000540D0000}"/>
    <cellStyle name="Currency 5 5 3 2" xfId="2997" xr:uid="{00000000-0005-0000-0000-0000550D0000}"/>
    <cellStyle name="Currency 5 5 3 2 2" xfId="7220" xr:uid="{00000000-0005-0000-0000-0000560D0000}"/>
    <cellStyle name="Currency 5 5 3 2 2 2" xfId="24097" xr:uid="{C878F14C-98AC-4FC9-BFAE-0F65B5F70CE5}"/>
    <cellStyle name="Currency 5 5 3 2 2 3" xfId="32531" xr:uid="{7630E775-2F9B-4470-AD40-53B9880C2D29}"/>
    <cellStyle name="Currency 5 5 3 2 2 4" xfId="15659" xr:uid="{9000A61F-CC4A-4630-84EB-2CC084CF8946}"/>
    <cellStyle name="Currency 5 5 3 2 3" xfId="19879" xr:uid="{19FA85E7-9D55-4A38-8105-B4617A0798E3}"/>
    <cellStyle name="Currency 5 5 3 2 4" xfId="28314" xr:uid="{321C718D-CBE6-49A0-B178-30C2A5938013}"/>
    <cellStyle name="Currency 5 5 3 2 5" xfId="11441" xr:uid="{1F80445C-CA71-4B24-A67A-8C0340306235}"/>
    <cellStyle name="Currency 5 5 3 3" xfId="5075" xr:uid="{00000000-0005-0000-0000-0000570D0000}"/>
    <cellStyle name="Currency 5 5 3 3 2" xfId="21952" xr:uid="{78504DFA-9351-4625-8B8D-244BAC0669B8}"/>
    <cellStyle name="Currency 5 5 3 3 3" xfId="30386" xr:uid="{BCE7B769-D0D0-4F34-952B-5CDE4D15B614}"/>
    <cellStyle name="Currency 5 5 3 3 4" xfId="13514" xr:uid="{6D5963CA-AB41-460A-AD20-8BCC14293CAA}"/>
    <cellStyle name="Currency 5 5 3 4" xfId="17734" xr:uid="{3BD58D84-87CB-4AE3-BCF8-10F1E852453E}"/>
    <cellStyle name="Currency 5 5 3 5" xfId="26169" xr:uid="{776E8B45-030D-424D-90C2-7F6696BB5499}"/>
    <cellStyle name="Currency 5 5 3 6" xfId="9296" xr:uid="{5AD5C5C1-C05A-459B-B2EE-FF2C40C9C74C}"/>
    <cellStyle name="Currency 5 5 4" xfId="1179" xr:uid="{00000000-0005-0000-0000-0000580D0000}"/>
    <cellStyle name="Currency 5 5 4 2" xfId="3410" xr:uid="{00000000-0005-0000-0000-0000590D0000}"/>
    <cellStyle name="Currency 5 5 4 2 2" xfId="7633" xr:uid="{00000000-0005-0000-0000-00005A0D0000}"/>
    <cellStyle name="Currency 5 5 4 2 2 2" xfId="24510" xr:uid="{7DE41B25-9ED3-4B40-989A-2048ADCC3846}"/>
    <cellStyle name="Currency 5 5 4 2 2 3" xfId="32944" xr:uid="{5DAD76D1-A5F2-4D2E-B0F6-910A2AA208FF}"/>
    <cellStyle name="Currency 5 5 4 2 2 4" xfId="16072" xr:uid="{9056D3AE-A50B-4A76-8B8A-0DCD06021B9B}"/>
    <cellStyle name="Currency 5 5 4 2 3" xfId="20292" xr:uid="{86BAF9A7-C72D-454B-BB26-582CD026067C}"/>
    <cellStyle name="Currency 5 5 4 2 4" xfId="28727" xr:uid="{F4A42351-EE92-457F-8126-EB027B9D47F8}"/>
    <cellStyle name="Currency 5 5 4 2 5" xfId="11854" xr:uid="{BDC07886-56F1-4D8F-BD47-FC347A1D65AF}"/>
    <cellStyle name="Currency 5 5 4 3" xfId="5488" xr:uid="{00000000-0005-0000-0000-00005B0D0000}"/>
    <cellStyle name="Currency 5 5 4 3 2" xfId="22365" xr:uid="{4308473F-8942-46E9-94DE-5DC544D13674}"/>
    <cellStyle name="Currency 5 5 4 3 3" xfId="30799" xr:uid="{6D669FB6-6FA4-45E0-91BD-A984C449F860}"/>
    <cellStyle name="Currency 5 5 4 3 4" xfId="13927" xr:uid="{B3D15BBC-E06B-497F-9AD7-9A15417A1499}"/>
    <cellStyle name="Currency 5 5 4 4" xfId="18147" xr:uid="{BAB0EFBF-A54E-4173-BA5F-CBC6C53EF3C7}"/>
    <cellStyle name="Currency 5 5 4 5" xfId="26582" xr:uid="{32946906-4E3F-4E65-91B3-FD0D20F78999}"/>
    <cellStyle name="Currency 5 5 4 6" xfId="9709" xr:uid="{D0B02CC6-98B3-4006-8FF9-C813D7322FB6}"/>
    <cellStyle name="Currency 5 5 5" xfId="1593" xr:uid="{00000000-0005-0000-0000-00005C0D0000}"/>
    <cellStyle name="Currency 5 5 5 2" xfId="3823" xr:uid="{00000000-0005-0000-0000-00005D0D0000}"/>
    <cellStyle name="Currency 5 5 5 2 2" xfId="8046" xr:uid="{00000000-0005-0000-0000-00005E0D0000}"/>
    <cellStyle name="Currency 5 5 5 2 2 2" xfId="24923" xr:uid="{4BAECF1C-162B-4126-975D-C4BB9DBDDB27}"/>
    <cellStyle name="Currency 5 5 5 2 2 3" xfId="33357" xr:uid="{F2B83ED7-5FAA-4678-BCEB-CF62B943FD7D}"/>
    <cellStyle name="Currency 5 5 5 2 2 4" xfId="16485" xr:uid="{43AB8EA4-395D-4AC5-8973-194366E509BB}"/>
    <cellStyle name="Currency 5 5 5 2 3" xfId="20705" xr:uid="{47B74E79-72B4-4BE5-A188-3E059C710090}"/>
    <cellStyle name="Currency 5 5 5 2 4" xfId="29140" xr:uid="{DA84176B-0345-4C8E-BCA1-0B1CC46A47BA}"/>
    <cellStyle name="Currency 5 5 5 2 5" xfId="12267" xr:uid="{9C84F64E-5B4F-4D1A-9F7D-F151A938BFCC}"/>
    <cellStyle name="Currency 5 5 5 3" xfId="5901" xr:uid="{00000000-0005-0000-0000-00005F0D0000}"/>
    <cellStyle name="Currency 5 5 5 3 2" xfId="22778" xr:uid="{EF9F2325-68F0-4AF5-954C-8056E638683E}"/>
    <cellStyle name="Currency 5 5 5 3 3" xfId="31212" xr:uid="{D8D0F4D3-5D2A-4F1C-BCF6-B9D1275D4BEF}"/>
    <cellStyle name="Currency 5 5 5 3 4" xfId="14340" xr:uid="{9D65084D-BC72-46E6-A81F-B54188B139E5}"/>
    <cellStyle name="Currency 5 5 5 4" xfId="18560" xr:uid="{63783D72-9D31-416C-B248-FAECB0E47D56}"/>
    <cellStyle name="Currency 5 5 5 5" xfId="26995" xr:uid="{D8C34C2B-A700-471B-9378-BA4DEF0BC84C}"/>
    <cellStyle name="Currency 5 5 5 6" xfId="10122" xr:uid="{60ADAC8E-7586-4BD3-A05C-878132BBD16F}"/>
    <cellStyle name="Currency 5 5 6" xfId="2007" xr:uid="{00000000-0005-0000-0000-0000600D0000}"/>
    <cellStyle name="Currency 5 5 6 2" xfId="4236" xr:uid="{00000000-0005-0000-0000-0000610D0000}"/>
    <cellStyle name="Currency 5 5 6 2 2" xfId="8459" xr:uid="{00000000-0005-0000-0000-0000620D0000}"/>
    <cellStyle name="Currency 5 5 6 2 2 2" xfId="25336" xr:uid="{361718A1-4610-4556-AF95-B10D8A43B021}"/>
    <cellStyle name="Currency 5 5 6 2 2 3" xfId="33770" xr:uid="{8D59D8BD-0844-4997-ACE6-4D15BD7FBB7B}"/>
    <cellStyle name="Currency 5 5 6 2 2 4" xfId="16898" xr:uid="{6137F1D6-424B-4A0B-A75B-F53ED94F2D1E}"/>
    <cellStyle name="Currency 5 5 6 2 3" xfId="21118" xr:uid="{D6D9D214-2FEC-4701-88F6-95D95BA3DEAF}"/>
    <cellStyle name="Currency 5 5 6 2 4" xfId="29553" xr:uid="{FDC01FA9-F618-4DE3-A790-7FE06B909DF7}"/>
    <cellStyle name="Currency 5 5 6 2 5" xfId="12680" xr:uid="{E2F81E35-A71D-457F-AF21-10309E9C529B}"/>
    <cellStyle name="Currency 5 5 6 3" xfId="6314" xr:uid="{00000000-0005-0000-0000-0000630D0000}"/>
    <cellStyle name="Currency 5 5 6 3 2" xfId="23191" xr:uid="{5CF5D20D-965F-4689-AA34-78ADFE3036F5}"/>
    <cellStyle name="Currency 5 5 6 3 3" xfId="31625" xr:uid="{C573988A-06AE-4F95-B3B1-C5C2A91AE3B7}"/>
    <cellStyle name="Currency 5 5 6 3 4" xfId="14753" xr:uid="{79FF7A12-2ACD-42F1-9D10-1139340C5657}"/>
    <cellStyle name="Currency 5 5 6 4" xfId="18973" xr:uid="{331ECEA0-2365-4C74-BCC9-C755E7A1063C}"/>
    <cellStyle name="Currency 5 5 6 5" xfId="27408" xr:uid="{79E71336-11C2-4249-BF66-ED0B43804ABB}"/>
    <cellStyle name="Currency 5 5 6 6" xfId="10535" xr:uid="{2D4B8B6F-8A9D-4132-8843-22A0EFE76F75}"/>
    <cellStyle name="Currency 5 5 7" xfId="2442" xr:uid="{00000000-0005-0000-0000-0000640D0000}"/>
    <cellStyle name="Currency 5 5 7 2" xfId="6727" xr:uid="{00000000-0005-0000-0000-0000650D0000}"/>
    <cellStyle name="Currency 5 5 7 2 2" xfId="23604" xr:uid="{37E9D8C8-6B5F-4504-800B-CBDBB133417C}"/>
    <cellStyle name="Currency 5 5 7 2 3" xfId="32038" xr:uid="{90B5B64D-D54B-41D7-80FC-B87409D8B79F}"/>
    <cellStyle name="Currency 5 5 7 2 4" xfId="15166" xr:uid="{25B24D8B-C120-4796-889B-B7AC9AA51F39}"/>
    <cellStyle name="Currency 5 5 7 3" xfId="19386" xr:uid="{C1EAAD10-2F50-43C9-9AE7-27DD77379ACB}"/>
    <cellStyle name="Currency 5 5 7 4" xfId="27821" xr:uid="{F9453F3D-5F73-4861-9D0D-C0DE18FD4554}"/>
    <cellStyle name="Currency 5 5 7 5" xfId="10948" xr:uid="{63FF97C4-BEEC-4F08-A747-9F606693362A}"/>
    <cellStyle name="Currency 5 5 8" xfId="2739" xr:uid="{00000000-0005-0000-0000-0000660D0000}"/>
    <cellStyle name="Currency 5 5 9" xfId="2820" xr:uid="{00000000-0005-0000-0000-0000670D0000}"/>
    <cellStyle name="Currency 5 5 9 2" xfId="7044" xr:uid="{00000000-0005-0000-0000-0000680D0000}"/>
    <cellStyle name="Currency 5 5 9 2 2" xfId="23921" xr:uid="{0FCD5E1C-89C9-4E87-BE0D-D35D47FC05BC}"/>
    <cellStyle name="Currency 5 5 9 2 3" xfId="32355" xr:uid="{ED1371EC-6560-44AD-BA46-FD2212E1696F}"/>
    <cellStyle name="Currency 5 5 9 2 4" xfId="15483" xr:uid="{40013994-DA69-4DB0-BD13-333DD58A7E56}"/>
    <cellStyle name="Currency 5 5 9 3" xfId="19703" xr:uid="{7F167877-928C-4373-9490-9163F233E2C4}"/>
    <cellStyle name="Currency 5 5 9 4" xfId="28138" xr:uid="{08E92CD8-D6D1-415A-AAF4-98BFD9AAF4D1}"/>
    <cellStyle name="Currency 5 5 9 5" xfId="11265" xr:uid="{3BF26329-75C3-42F6-A391-EAC67CB9CE5B}"/>
    <cellStyle name="Currency 5 6" xfId="221" xr:uid="{00000000-0005-0000-0000-0000690D0000}"/>
    <cellStyle name="Currency 5 6 10" xfId="17322" xr:uid="{0462C244-2A90-45C4-8178-D8C0F67E40E0}"/>
    <cellStyle name="Currency 5 6 11" xfId="25757" xr:uid="{49C7BA80-B4FC-4135-8B4B-E5450700EBAB}"/>
    <cellStyle name="Currency 5 6 12" xfId="8884" xr:uid="{92F4AA52-37C2-4A2E-B0B2-341584B6BD36}"/>
    <cellStyle name="Currency 5 6 2" xfId="747" xr:uid="{00000000-0005-0000-0000-00006A0D0000}"/>
    <cellStyle name="Currency 5 6 2 2" xfId="2999" xr:uid="{00000000-0005-0000-0000-00006B0D0000}"/>
    <cellStyle name="Currency 5 6 2 2 2" xfId="7222" xr:uid="{00000000-0005-0000-0000-00006C0D0000}"/>
    <cellStyle name="Currency 5 6 2 2 2 2" xfId="24099" xr:uid="{3B0258C4-9999-4EC1-9794-E5A6A3ABC87B}"/>
    <cellStyle name="Currency 5 6 2 2 2 3" xfId="32533" xr:uid="{716BD8F8-39EE-4E34-8C51-F653AF4E1DE6}"/>
    <cellStyle name="Currency 5 6 2 2 2 4" xfId="15661" xr:uid="{2B3841F9-E4F6-4143-B3CD-11F47B56F8F1}"/>
    <cellStyle name="Currency 5 6 2 2 3" xfId="19881" xr:uid="{4E30ECD3-B96F-4081-B946-2BDDD11B2575}"/>
    <cellStyle name="Currency 5 6 2 2 4" xfId="28316" xr:uid="{32585EF1-6FE7-46E4-9532-1C089C4BD415}"/>
    <cellStyle name="Currency 5 6 2 2 5" xfId="11443" xr:uid="{FDEEFAE1-09EA-4BBD-BD6A-6AEFA4CD5649}"/>
    <cellStyle name="Currency 5 6 2 3" xfId="5077" xr:uid="{00000000-0005-0000-0000-00006D0D0000}"/>
    <cellStyle name="Currency 5 6 2 3 2" xfId="21954" xr:uid="{632623BB-5AA3-47DC-9BA1-E77F0D9D0383}"/>
    <cellStyle name="Currency 5 6 2 3 3" xfId="30388" xr:uid="{709197A6-6D2E-4686-BDF0-8F04A7160D9C}"/>
    <cellStyle name="Currency 5 6 2 3 4" xfId="13516" xr:uid="{A7012055-7F92-46FE-9B3A-495FC18DE599}"/>
    <cellStyle name="Currency 5 6 2 4" xfId="17736" xr:uid="{2AA3C5D1-E940-4064-89F3-6C1B7C2D4148}"/>
    <cellStyle name="Currency 5 6 2 5" xfId="26171" xr:uid="{80933D72-76B6-4D36-8468-DCF46F0B9484}"/>
    <cellStyle name="Currency 5 6 2 6" xfId="9298" xr:uid="{5F5BBDCA-AD83-458C-AF6D-D0AE281853F2}"/>
    <cellStyle name="Currency 5 6 3" xfId="1181" xr:uid="{00000000-0005-0000-0000-00006E0D0000}"/>
    <cellStyle name="Currency 5 6 3 2" xfId="3412" xr:uid="{00000000-0005-0000-0000-00006F0D0000}"/>
    <cellStyle name="Currency 5 6 3 2 2" xfId="7635" xr:uid="{00000000-0005-0000-0000-0000700D0000}"/>
    <cellStyle name="Currency 5 6 3 2 2 2" xfId="24512" xr:uid="{18CC6A20-3A0A-421A-9E63-88D54AB9D1FD}"/>
    <cellStyle name="Currency 5 6 3 2 2 3" xfId="32946" xr:uid="{045CCC54-78AD-4D6C-9EE2-6A3F9CF9B2C7}"/>
    <cellStyle name="Currency 5 6 3 2 2 4" xfId="16074" xr:uid="{47BC99D5-B220-44A4-908C-99CE0C3F7E1E}"/>
    <cellStyle name="Currency 5 6 3 2 3" xfId="20294" xr:uid="{3571A395-5DF4-4872-8635-5E03B12DD2BA}"/>
    <cellStyle name="Currency 5 6 3 2 4" xfId="28729" xr:uid="{5275A2A3-140C-4461-9A19-FBD0E1B763C9}"/>
    <cellStyle name="Currency 5 6 3 2 5" xfId="11856" xr:uid="{17E189AD-419F-4C84-983C-305BD7B23132}"/>
    <cellStyle name="Currency 5 6 3 3" xfId="5490" xr:uid="{00000000-0005-0000-0000-0000710D0000}"/>
    <cellStyle name="Currency 5 6 3 3 2" xfId="22367" xr:uid="{2AFE6106-28A9-412A-B2A8-0EFA8F7DAC14}"/>
    <cellStyle name="Currency 5 6 3 3 3" xfId="30801" xr:uid="{C5A26E60-FF76-41C7-9BBA-D73312EC257F}"/>
    <cellStyle name="Currency 5 6 3 3 4" xfId="13929" xr:uid="{12343116-D075-4673-A3A7-6637D0F164E1}"/>
    <cellStyle name="Currency 5 6 3 4" xfId="18149" xr:uid="{E04ACE10-7A79-44F9-94B6-7D1A1A344787}"/>
    <cellStyle name="Currency 5 6 3 5" xfId="26584" xr:uid="{99EEA8F1-DFA2-48A1-AB22-2FC3DE8B4DD5}"/>
    <cellStyle name="Currency 5 6 3 6" xfId="9711" xr:uid="{7F32202C-129C-4C49-BAF1-8BECE0D66889}"/>
    <cellStyle name="Currency 5 6 4" xfId="1595" xr:uid="{00000000-0005-0000-0000-0000720D0000}"/>
    <cellStyle name="Currency 5 6 4 2" xfId="3825" xr:uid="{00000000-0005-0000-0000-0000730D0000}"/>
    <cellStyle name="Currency 5 6 4 2 2" xfId="8048" xr:uid="{00000000-0005-0000-0000-0000740D0000}"/>
    <cellStyle name="Currency 5 6 4 2 2 2" xfId="24925" xr:uid="{4EC6EEF2-4846-419E-9ED7-B2B5822259EB}"/>
    <cellStyle name="Currency 5 6 4 2 2 3" xfId="33359" xr:uid="{1AD117D7-A88A-4F07-B80A-158F7D3AF380}"/>
    <cellStyle name="Currency 5 6 4 2 2 4" xfId="16487" xr:uid="{EDF56066-9E1A-49E2-9E32-FCA0550CD8ED}"/>
    <cellStyle name="Currency 5 6 4 2 3" xfId="20707" xr:uid="{AF8E494F-4770-4654-BA9E-302239A6DE3A}"/>
    <cellStyle name="Currency 5 6 4 2 4" xfId="29142" xr:uid="{C058677E-2AD1-47E6-B4C4-97B8F45B1FC1}"/>
    <cellStyle name="Currency 5 6 4 2 5" xfId="12269" xr:uid="{7C226739-B027-4CDB-AF2C-53AF40F32900}"/>
    <cellStyle name="Currency 5 6 4 3" xfId="5903" xr:uid="{00000000-0005-0000-0000-0000750D0000}"/>
    <cellStyle name="Currency 5 6 4 3 2" xfId="22780" xr:uid="{AC17AA8F-2569-4943-99C4-1E5061774DA0}"/>
    <cellStyle name="Currency 5 6 4 3 3" xfId="31214" xr:uid="{51214F6C-A420-4D69-9D20-FD7F8D3570B5}"/>
    <cellStyle name="Currency 5 6 4 3 4" xfId="14342" xr:uid="{76086D4D-F27D-43C5-8BC9-0FF1FB71469B}"/>
    <cellStyle name="Currency 5 6 4 4" xfId="18562" xr:uid="{5888347A-9FC2-49D1-A1C7-7728646384E8}"/>
    <cellStyle name="Currency 5 6 4 5" xfId="26997" xr:uid="{7BF55D31-55D9-4D41-B58D-25CAD6A091F6}"/>
    <cellStyle name="Currency 5 6 4 6" xfId="10124" xr:uid="{46D9724D-55ED-4CE9-8EAE-355A31FA9162}"/>
    <cellStyle name="Currency 5 6 5" xfId="2009" xr:uid="{00000000-0005-0000-0000-0000760D0000}"/>
    <cellStyle name="Currency 5 6 5 2" xfId="4238" xr:uid="{00000000-0005-0000-0000-0000770D0000}"/>
    <cellStyle name="Currency 5 6 5 2 2" xfId="8461" xr:uid="{00000000-0005-0000-0000-0000780D0000}"/>
    <cellStyle name="Currency 5 6 5 2 2 2" xfId="25338" xr:uid="{FCEDB836-82DC-483A-B2BE-B8F5CBD7AE3D}"/>
    <cellStyle name="Currency 5 6 5 2 2 3" xfId="33772" xr:uid="{093D83C6-561B-451F-94AF-A587509EC326}"/>
    <cellStyle name="Currency 5 6 5 2 2 4" xfId="16900" xr:uid="{0C545F17-F71D-4F70-865A-84B700373A4A}"/>
    <cellStyle name="Currency 5 6 5 2 3" xfId="21120" xr:uid="{2422C3C3-B799-404A-AE8C-0A339363CEFC}"/>
    <cellStyle name="Currency 5 6 5 2 4" xfId="29555" xr:uid="{96D3EFD4-8E7D-428F-A03F-8C69064915C5}"/>
    <cellStyle name="Currency 5 6 5 2 5" xfId="12682" xr:uid="{4DFD15F5-F5BD-4110-B4FE-6C4A479F6A27}"/>
    <cellStyle name="Currency 5 6 5 3" xfId="6316" xr:uid="{00000000-0005-0000-0000-0000790D0000}"/>
    <cellStyle name="Currency 5 6 5 3 2" xfId="23193" xr:uid="{0B02769F-2580-41C1-B0D9-DE743CEF2012}"/>
    <cellStyle name="Currency 5 6 5 3 3" xfId="31627" xr:uid="{11645158-E161-4351-B78D-A1A2C2A7F892}"/>
    <cellStyle name="Currency 5 6 5 3 4" xfId="14755" xr:uid="{31D33D72-918B-4418-B8D3-298F158CCE61}"/>
    <cellStyle name="Currency 5 6 5 4" xfId="18975" xr:uid="{1FC1E557-32B3-48CB-955D-FA86CCD44F76}"/>
    <cellStyle name="Currency 5 6 5 5" xfId="27410" xr:uid="{1C836347-19C3-4D54-9321-920342A05E9D}"/>
    <cellStyle name="Currency 5 6 5 6" xfId="10537" xr:uid="{B7232C10-019A-42B2-927D-AA15D43B5586}"/>
    <cellStyle name="Currency 5 6 6" xfId="2444" xr:uid="{00000000-0005-0000-0000-00007A0D0000}"/>
    <cellStyle name="Currency 5 6 6 2" xfId="6729" xr:uid="{00000000-0005-0000-0000-00007B0D0000}"/>
    <cellStyle name="Currency 5 6 6 2 2" xfId="23606" xr:uid="{14962D75-6377-455C-A7EA-FE0DE5D51BE3}"/>
    <cellStyle name="Currency 5 6 6 2 3" xfId="32040" xr:uid="{E0003F66-45A4-44AB-8575-6DC2388E0FDE}"/>
    <cellStyle name="Currency 5 6 6 2 4" xfId="15168" xr:uid="{05E0B032-7601-4097-83BF-E2B455480E7D}"/>
    <cellStyle name="Currency 5 6 6 3" xfId="19388" xr:uid="{96868F83-1F10-41B8-A4AD-6412A12CE927}"/>
    <cellStyle name="Currency 5 6 6 4" xfId="27823" xr:uid="{A7070ADA-D88B-4F96-9613-CABBDE7EAB08}"/>
    <cellStyle name="Currency 5 6 6 5" xfId="10950" xr:uid="{E5F438BF-A79C-4E43-827E-10D163C31A4A}"/>
    <cellStyle name="Currency 5 6 7" xfId="2741" xr:uid="{00000000-0005-0000-0000-00007C0D0000}"/>
    <cellStyle name="Currency 5 6 8" xfId="2822" xr:uid="{00000000-0005-0000-0000-00007D0D0000}"/>
    <cellStyle name="Currency 5 6 8 2" xfId="7046" xr:uid="{00000000-0005-0000-0000-00007E0D0000}"/>
    <cellStyle name="Currency 5 6 8 2 2" xfId="23923" xr:uid="{BAB45CB1-170E-4ED4-84CF-76E7312D7BBA}"/>
    <cellStyle name="Currency 5 6 8 2 3" xfId="32357" xr:uid="{9408276D-4B62-4137-8CE0-B9783E86C0E4}"/>
    <cellStyle name="Currency 5 6 8 2 4" xfId="15485" xr:uid="{5361CE5B-D023-4BFE-8F2C-71EC5959D822}"/>
    <cellStyle name="Currency 5 6 8 3" xfId="19705" xr:uid="{778F48A0-7382-4185-8ACA-93BF867BB957}"/>
    <cellStyle name="Currency 5 6 8 4" xfId="28140" xr:uid="{3B67AD8A-3AA0-4CE7-8147-5178CF01686F}"/>
    <cellStyle name="Currency 5 6 8 5" xfId="11267" xr:uid="{1A17ABB3-10D1-40E7-998F-561C90A61B05}"/>
    <cellStyle name="Currency 5 6 9" xfId="4663" xr:uid="{00000000-0005-0000-0000-00007F0D0000}"/>
    <cellStyle name="Currency 5 6 9 2" xfId="21540" xr:uid="{58EF709D-5F04-4821-8D50-6CD7B58AE3B3}"/>
    <cellStyle name="Currency 5 6 9 3" xfId="29974" xr:uid="{20A272E0-FB59-4FDD-AD7C-AE0CE836634C}"/>
    <cellStyle name="Currency 5 6 9 4" xfId="13102" xr:uid="{3C4EA777-75D0-4197-9A4B-0DD45A96FE49}"/>
    <cellStyle name="Currency 5 7" xfId="222" xr:uid="{00000000-0005-0000-0000-0000800D0000}"/>
    <cellStyle name="Currency 5 7 10" xfId="17323" xr:uid="{A80959B4-E33A-43ED-9730-DCBB1F7332A9}"/>
    <cellStyle name="Currency 5 7 11" xfId="25758" xr:uid="{07C77F25-B7B8-4AD9-9643-D815A20C8F74}"/>
    <cellStyle name="Currency 5 7 12" xfId="8885" xr:uid="{D14D4BEE-755C-4F45-83D6-05783EBD2401}"/>
    <cellStyle name="Currency 5 7 2" xfId="748" xr:uid="{00000000-0005-0000-0000-0000810D0000}"/>
    <cellStyle name="Currency 5 7 2 2" xfId="3000" xr:uid="{00000000-0005-0000-0000-0000820D0000}"/>
    <cellStyle name="Currency 5 7 2 2 2" xfId="7223" xr:uid="{00000000-0005-0000-0000-0000830D0000}"/>
    <cellStyle name="Currency 5 7 2 2 2 2" xfId="24100" xr:uid="{D8A0C8AB-5D86-4577-AA03-6007E944EE47}"/>
    <cellStyle name="Currency 5 7 2 2 2 3" xfId="32534" xr:uid="{F77FFC7E-A9F2-4706-909E-1F04744FEC35}"/>
    <cellStyle name="Currency 5 7 2 2 2 4" xfId="15662" xr:uid="{E87EF2C0-04DC-4C32-BD27-3FE239838FF0}"/>
    <cellStyle name="Currency 5 7 2 2 3" xfId="19882" xr:uid="{D60ABA69-5F4C-4153-B5B8-9E6A97527DBB}"/>
    <cellStyle name="Currency 5 7 2 2 4" xfId="28317" xr:uid="{FC6E1993-F64A-4896-8B5D-EC8B1AC36723}"/>
    <cellStyle name="Currency 5 7 2 2 5" xfId="11444" xr:uid="{45BDB3AF-1201-464F-B9AF-7EB2D2478DA3}"/>
    <cellStyle name="Currency 5 7 2 3" xfId="5078" xr:uid="{00000000-0005-0000-0000-0000840D0000}"/>
    <cellStyle name="Currency 5 7 2 3 2" xfId="21955" xr:uid="{D22167DE-A00B-42C6-96F8-596B98FED364}"/>
    <cellStyle name="Currency 5 7 2 3 3" xfId="30389" xr:uid="{8389EB6B-8E82-4900-8E02-8AB481FC0163}"/>
    <cellStyle name="Currency 5 7 2 3 4" xfId="13517" xr:uid="{9AFFC893-50A5-4675-A488-8C52226FE91A}"/>
    <cellStyle name="Currency 5 7 2 4" xfId="17737" xr:uid="{F6EE2803-9AB4-4CC0-BF7F-C86338865E34}"/>
    <cellStyle name="Currency 5 7 2 5" xfId="26172" xr:uid="{C68B3F1E-B2FA-4936-9805-484F7593D541}"/>
    <cellStyle name="Currency 5 7 2 6" xfId="9299" xr:uid="{37A80A92-AE47-41DB-8514-2B7468845126}"/>
    <cellStyle name="Currency 5 7 3" xfId="1182" xr:uid="{00000000-0005-0000-0000-0000850D0000}"/>
    <cellStyle name="Currency 5 7 3 2" xfId="3413" xr:uid="{00000000-0005-0000-0000-0000860D0000}"/>
    <cellStyle name="Currency 5 7 3 2 2" xfId="7636" xr:uid="{00000000-0005-0000-0000-0000870D0000}"/>
    <cellStyle name="Currency 5 7 3 2 2 2" xfId="24513" xr:uid="{E988DB14-5A7F-4D4E-9FE9-1C56B39D6367}"/>
    <cellStyle name="Currency 5 7 3 2 2 3" xfId="32947" xr:uid="{428979C6-ED95-4E1D-9FDD-D9DF6F2598E3}"/>
    <cellStyle name="Currency 5 7 3 2 2 4" xfId="16075" xr:uid="{2A2A8619-C706-4734-B31E-8F4C5C814871}"/>
    <cellStyle name="Currency 5 7 3 2 3" xfId="20295" xr:uid="{05F64C05-8D11-4EDD-9929-6CDAAF35DC44}"/>
    <cellStyle name="Currency 5 7 3 2 4" xfId="28730" xr:uid="{8BD083DB-77C0-4825-B97F-7E8F0C0C23F9}"/>
    <cellStyle name="Currency 5 7 3 2 5" xfId="11857" xr:uid="{E20DAD5D-EAD1-48CD-9074-752BE9C3DE86}"/>
    <cellStyle name="Currency 5 7 3 3" xfId="5491" xr:uid="{00000000-0005-0000-0000-0000880D0000}"/>
    <cellStyle name="Currency 5 7 3 3 2" xfId="22368" xr:uid="{483F1A98-5405-4DB5-9F9C-0B602986B78B}"/>
    <cellStyle name="Currency 5 7 3 3 3" xfId="30802" xr:uid="{2A413E04-69B2-4F93-9CFB-17CD980E3754}"/>
    <cellStyle name="Currency 5 7 3 3 4" xfId="13930" xr:uid="{47B8264F-291D-4508-9698-7947D1AC94BD}"/>
    <cellStyle name="Currency 5 7 3 4" xfId="18150" xr:uid="{7566D428-73CB-4965-9A45-97FBA0CFF1F6}"/>
    <cellStyle name="Currency 5 7 3 5" xfId="26585" xr:uid="{010264BE-2DDB-495D-A8A0-1FAF85F8E5D0}"/>
    <cellStyle name="Currency 5 7 3 6" xfId="9712" xr:uid="{02A3B684-7F7B-43F1-8985-5D9F4667CD33}"/>
    <cellStyle name="Currency 5 7 4" xfId="1596" xr:uid="{00000000-0005-0000-0000-0000890D0000}"/>
    <cellStyle name="Currency 5 7 4 2" xfId="3826" xr:uid="{00000000-0005-0000-0000-00008A0D0000}"/>
    <cellStyle name="Currency 5 7 4 2 2" xfId="8049" xr:uid="{00000000-0005-0000-0000-00008B0D0000}"/>
    <cellStyle name="Currency 5 7 4 2 2 2" xfId="24926" xr:uid="{75F840E2-17C1-4976-8A65-97A3243025B6}"/>
    <cellStyle name="Currency 5 7 4 2 2 3" xfId="33360" xr:uid="{9A3DFE8D-7D6A-4ABD-878E-B8BFE1BB8840}"/>
    <cellStyle name="Currency 5 7 4 2 2 4" xfId="16488" xr:uid="{A72BD64F-F5DC-4FEF-85AB-57AE648F1BD1}"/>
    <cellStyle name="Currency 5 7 4 2 3" xfId="20708" xr:uid="{73103BD9-29A3-44C9-8978-BA7A22BAA937}"/>
    <cellStyle name="Currency 5 7 4 2 4" xfId="29143" xr:uid="{F1096BC2-50CD-41CA-B5C4-7196A0A178A5}"/>
    <cellStyle name="Currency 5 7 4 2 5" xfId="12270" xr:uid="{9C10B172-F7FF-4B84-8C10-15B2AA953EE0}"/>
    <cellStyle name="Currency 5 7 4 3" xfId="5904" xr:uid="{00000000-0005-0000-0000-00008C0D0000}"/>
    <cellStyle name="Currency 5 7 4 3 2" xfId="22781" xr:uid="{772819FB-1F02-46A1-A056-2267C0E3CD29}"/>
    <cellStyle name="Currency 5 7 4 3 3" xfId="31215" xr:uid="{B7C78073-F6AB-418D-AFF8-F5B78BEBD869}"/>
    <cellStyle name="Currency 5 7 4 3 4" xfId="14343" xr:uid="{98CAC00B-D2B3-48D2-BF51-D58361CCDDD2}"/>
    <cellStyle name="Currency 5 7 4 4" xfId="18563" xr:uid="{89B62E30-7D65-4FDB-8120-01771BC229EF}"/>
    <cellStyle name="Currency 5 7 4 5" xfId="26998" xr:uid="{B7953D6A-50B5-4074-8373-3DEB6E87797F}"/>
    <cellStyle name="Currency 5 7 4 6" xfId="10125" xr:uid="{51439653-51DA-4C15-9BC5-4B6619C59267}"/>
    <cellStyle name="Currency 5 7 5" xfId="2010" xr:uid="{00000000-0005-0000-0000-00008D0D0000}"/>
    <cellStyle name="Currency 5 7 5 2" xfId="4239" xr:uid="{00000000-0005-0000-0000-00008E0D0000}"/>
    <cellStyle name="Currency 5 7 5 2 2" xfId="8462" xr:uid="{00000000-0005-0000-0000-00008F0D0000}"/>
    <cellStyle name="Currency 5 7 5 2 2 2" xfId="25339" xr:uid="{F52DB258-95B6-4185-859D-9603AD99DE29}"/>
    <cellStyle name="Currency 5 7 5 2 2 3" xfId="33773" xr:uid="{0A09873B-8A46-4271-B68A-0CB7B2568EA1}"/>
    <cellStyle name="Currency 5 7 5 2 2 4" xfId="16901" xr:uid="{CA6D4E6E-F6FC-45C7-A827-FB26825908D6}"/>
    <cellStyle name="Currency 5 7 5 2 3" xfId="21121" xr:uid="{CC757520-E0F2-4620-991B-C0CA94666396}"/>
    <cellStyle name="Currency 5 7 5 2 4" xfId="29556" xr:uid="{50DFCE6B-B8B7-4DA6-B099-376F6C13F8DC}"/>
    <cellStyle name="Currency 5 7 5 2 5" xfId="12683" xr:uid="{20E05A8F-B2F6-4E27-9F75-056B179887B3}"/>
    <cellStyle name="Currency 5 7 5 3" xfId="6317" xr:uid="{00000000-0005-0000-0000-0000900D0000}"/>
    <cellStyle name="Currency 5 7 5 3 2" xfId="23194" xr:uid="{64B861D4-AA49-42EC-98DA-917AF768133A}"/>
    <cellStyle name="Currency 5 7 5 3 3" xfId="31628" xr:uid="{32810D6D-4846-4820-9CB7-81578E91BED3}"/>
    <cellStyle name="Currency 5 7 5 3 4" xfId="14756" xr:uid="{F0E9E37B-D02C-44C8-B265-7FB40179AD6F}"/>
    <cellStyle name="Currency 5 7 5 4" xfId="18976" xr:uid="{57D89EF3-9747-49DB-9071-2C011A730FA4}"/>
    <cellStyle name="Currency 5 7 5 5" xfId="27411" xr:uid="{50BC66EE-25C7-4779-A262-3B42FD6B7DAD}"/>
    <cellStyle name="Currency 5 7 5 6" xfId="10538" xr:uid="{ED5D6E67-A4F8-4521-9334-5753D0BE1292}"/>
    <cellStyle name="Currency 5 7 6" xfId="2445" xr:uid="{00000000-0005-0000-0000-0000910D0000}"/>
    <cellStyle name="Currency 5 7 6 2" xfId="6730" xr:uid="{00000000-0005-0000-0000-0000920D0000}"/>
    <cellStyle name="Currency 5 7 6 2 2" xfId="23607" xr:uid="{6FBC871D-488D-439E-815F-F2EBB23A010F}"/>
    <cellStyle name="Currency 5 7 6 2 3" xfId="32041" xr:uid="{04FAA010-D9CD-452C-A7A3-7731E5E39B10}"/>
    <cellStyle name="Currency 5 7 6 2 4" xfId="15169" xr:uid="{0E191F2F-5239-48AE-9D15-7BB65AA7ACC9}"/>
    <cellStyle name="Currency 5 7 6 3" xfId="19389" xr:uid="{D8564002-6BD8-4F75-BEDC-2DF4ED994586}"/>
    <cellStyle name="Currency 5 7 6 4" xfId="27824" xr:uid="{AF0615F8-747D-44C3-A157-1541754A425A}"/>
    <cellStyle name="Currency 5 7 6 5" xfId="10951" xr:uid="{61682EA2-018C-45E3-996E-0964AAE5242D}"/>
    <cellStyle name="Currency 5 7 7" xfId="2742" xr:uid="{00000000-0005-0000-0000-0000930D0000}"/>
    <cellStyle name="Currency 5 7 8" xfId="2823" xr:uid="{00000000-0005-0000-0000-0000940D0000}"/>
    <cellStyle name="Currency 5 7 8 2" xfId="7047" xr:uid="{00000000-0005-0000-0000-0000950D0000}"/>
    <cellStyle name="Currency 5 7 8 2 2" xfId="23924" xr:uid="{1902C720-6FF1-4530-9311-250CA51E83E0}"/>
    <cellStyle name="Currency 5 7 8 2 3" xfId="32358" xr:uid="{EDC15948-E805-44C6-AC52-642952BD3228}"/>
    <cellStyle name="Currency 5 7 8 2 4" xfId="15486" xr:uid="{CC5E11C0-86D8-4076-981E-D93E83DFE9FA}"/>
    <cellStyle name="Currency 5 7 8 3" xfId="19706" xr:uid="{FBBBEDC7-5CD0-455C-9BC0-EAA27E85C8F0}"/>
    <cellStyle name="Currency 5 7 8 4" xfId="28141" xr:uid="{15BF1100-196B-4D82-A10E-0EE134FD675B}"/>
    <cellStyle name="Currency 5 7 8 5" xfId="11268" xr:uid="{A82FDA79-A8B8-484D-86D1-51BD1825D0F4}"/>
    <cellStyle name="Currency 5 7 9" xfId="4664" xr:uid="{00000000-0005-0000-0000-0000960D0000}"/>
    <cellStyle name="Currency 5 7 9 2" xfId="21541" xr:uid="{8E527DA0-0C02-4765-89D3-A6802EB1855A}"/>
    <cellStyle name="Currency 5 7 9 3" xfId="29975" xr:uid="{556C83F6-FB82-48EA-B4A9-A6ECAC58C3C2}"/>
    <cellStyle name="Currency 5 7 9 4" xfId="13103" xr:uid="{E0A2127F-DEB9-492E-8D27-817003A990F9}"/>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23608" xr:uid="{4A9EFD76-57DC-4517-A3EC-9E2778E042E9}"/>
    <cellStyle name="Normal 12 10 2 3" xfId="32042" xr:uid="{2482DBFF-16F0-47A2-AEFB-56848B6C883A}"/>
    <cellStyle name="Normal 12 10 2 4" xfId="15170" xr:uid="{3D030301-7C89-4F3A-8C58-476403363B45}"/>
    <cellStyle name="Normal 12 10 3" xfId="19390" xr:uid="{951F7483-524C-4108-91B1-6F55920B007D}"/>
    <cellStyle name="Normal 12 10 4" xfId="27825" xr:uid="{FFCB1D4B-BECE-4611-AC30-3E67808F2AEF}"/>
    <cellStyle name="Normal 12 10 5" xfId="10952" xr:uid="{6F7B88E6-68EC-42D0-B388-69A7F3FB1CEB}"/>
    <cellStyle name="Normal 12 11" xfId="4665" xr:uid="{00000000-0005-0000-0000-0000CC0D0000}"/>
    <cellStyle name="Normal 12 11 2" xfId="21542" xr:uid="{5A916969-F268-40A1-B51B-0E0D9D361790}"/>
    <cellStyle name="Normal 12 11 3" xfId="29976" xr:uid="{1E1CCF1F-B5CB-4466-9A2C-FC8A116DB1EA}"/>
    <cellStyle name="Normal 12 11 4" xfId="13104" xr:uid="{B23CD852-318A-4CA9-8CB1-D82522A43DE6}"/>
    <cellStyle name="Normal 12 12" xfId="17324" xr:uid="{056D4E59-8DD5-470E-88E0-D46BDA5DF929}"/>
    <cellStyle name="Normal 12 13" xfId="25759" xr:uid="{6BD3BDA6-8A4B-45A8-88BE-C8D9319FEB48}"/>
    <cellStyle name="Normal 12 14" xfId="8886" xr:uid="{2981A2C4-385F-48A0-850C-5CBB376531FD}"/>
    <cellStyle name="Normal 12 2" xfId="260" xr:uid="{00000000-0005-0000-0000-0000CD0D0000}"/>
    <cellStyle name="Normal 12 2 10" xfId="17325" xr:uid="{6EAFB18B-DB30-43D3-B83B-05109BA9306F}"/>
    <cellStyle name="Normal 12 2 11" xfId="25760" xr:uid="{BF1E24C2-F1E5-4041-A056-5CEDE3D4729A}"/>
    <cellStyle name="Normal 12 2 12" xfId="8887" xr:uid="{CF270353-4D62-47E7-9E47-1331B5D5A65A}"/>
    <cellStyle name="Normal 12 2 2" xfId="261" xr:uid="{00000000-0005-0000-0000-0000CE0D0000}"/>
    <cellStyle name="Normal 12 2 2 10" xfId="25761" xr:uid="{221EBE89-3375-4F62-B47E-84775653C7FA}"/>
    <cellStyle name="Normal 12 2 2 11" xfId="8888" xr:uid="{D1662DC9-BAA4-4D54-BC4B-784DB5A84F48}"/>
    <cellStyle name="Normal 12 2 2 2" xfId="262" xr:uid="{00000000-0005-0000-0000-0000CF0D0000}"/>
    <cellStyle name="Normal 12 2 2 2 10" xfId="8889" xr:uid="{600F940C-65DE-4633-9625-7A6E77F806D9}"/>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24104" xr:uid="{375CA26F-5A0A-4F35-BE47-1A1EA6D61DFE}"/>
    <cellStyle name="Normal 12 2 2 2 2 2 2 3" xfId="32538" xr:uid="{0DA21D8F-90FD-43F0-AD7A-4F3E286AF0A0}"/>
    <cellStyle name="Normal 12 2 2 2 2 2 2 4" xfId="15666" xr:uid="{043945AC-C18C-4F28-A29C-03A3FF101FD5}"/>
    <cellStyle name="Normal 12 2 2 2 2 2 3" xfId="19886" xr:uid="{9ED3D614-B0EB-43B0-9D11-2F229B8F30ED}"/>
    <cellStyle name="Normal 12 2 2 2 2 2 4" xfId="28321" xr:uid="{659912D5-F14E-4B05-84B0-1915B0D73ED0}"/>
    <cellStyle name="Normal 12 2 2 2 2 2 5" xfId="11448" xr:uid="{3D0C3DFE-AC15-48B2-88AF-67AEBCBC1252}"/>
    <cellStyle name="Normal 12 2 2 2 2 3" xfId="5082" xr:uid="{00000000-0005-0000-0000-0000D30D0000}"/>
    <cellStyle name="Normal 12 2 2 2 2 3 2" xfId="21959" xr:uid="{96AFD7C6-AC57-45E8-B4A5-A4CE5E391646}"/>
    <cellStyle name="Normal 12 2 2 2 2 3 3" xfId="30393" xr:uid="{44BFF8B5-6B42-4628-B321-EB66DF64C835}"/>
    <cellStyle name="Normal 12 2 2 2 2 3 4" xfId="13521" xr:uid="{EA3046AE-F1A8-498D-B1A9-61A1C6029C49}"/>
    <cellStyle name="Normal 12 2 2 2 2 4" xfId="17741" xr:uid="{ADAA3ED5-9DF5-4FE6-B0E5-231959D6670D}"/>
    <cellStyle name="Normal 12 2 2 2 2 5" xfId="26176" xr:uid="{B8B63181-9E86-4763-8A8F-7C2BA888CBB0}"/>
    <cellStyle name="Normal 12 2 2 2 2 6" xfId="9303" xr:uid="{2345C931-7E16-4E87-89EB-7F88B8D1C8A2}"/>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24517" xr:uid="{EDB22B1E-9C5C-48D1-978B-D5B166C265C9}"/>
    <cellStyle name="Normal 12 2 2 2 3 2 2 3" xfId="32951" xr:uid="{BA961CF3-A41C-47C8-9762-48CF6DB377A3}"/>
    <cellStyle name="Normal 12 2 2 2 3 2 2 4" xfId="16079" xr:uid="{072DD09D-45D1-48CB-A913-D51FFB95690D}"/>
    <cellStyle name="Normal 12 2 2 2 3 2 3" xfId="20299" xr:uid="{5BFC1149-86B4-4B3D-860D-8334D4C0F442}"/>
    <cellStyle name="Normal 12 2 2 2 3 2 4" xfId="28734" xr:uid="{F401BBC2-8A94-4DD6-AF1A-A46381714C80}"/>
    <cellStyle name="Normal 12 2 2 2 3 2 5" xfId="11861" xr:uid="{434CAC85-9C61-47DB-93A6-2D8EF0466262}"/>
    <cellStyle name="Normal 12 2 2 2 3 3" xfId="5495" xr:uid="{00000000-0005-0000-0000-0000D70D0000}"/>
    <cellStyle name="Normal 12 2 2 2 3 3 2" xfId="22372" xr:uid="{7C7E7C79-CCA8-4768-8875-231B4F4D905C}"/>
    <cellStyle name="Normal 12 2 2 2 3 3 3" xfId="30806" xr:uid="{83C1F8CE-E4EC-44D5-AD4E-5CB3EE7FA2CD}"/>
    <cellStyle name="Normal 12 2 2 2 3 3 4" xfId="13934" xr:uid="{5D0230C8-0098-481B-AE3F-7778350AF19D}"/>
    <cellStyle name="Normal 12 2 2 2 3 4" xfId="18154" xr:uid="{BAEEC154-1C56-4F58-B489-DEE57367A0F0}"/>
    <cellStyle name="Normal 12 2 2 2 3 5" xfId="26589" xr:uid="{B27F833A-EFAE-4360-BC0B-26A51724C70E}"/>
    <cellStyle name="Normal 12 2 2 2 3 6" xfId="9716" xr:uid="{F689AF36-4647-411A-B1D2-64D95656B3D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24930" xr:uid="{DCC50D9E-6A31-4B31-93CD-2CEF021DDEC6}"/>
    <cellStyle name="Normal 12 2 2 2 4 2 2 3" xfId="33364" xr:uid="{37534577-399E-4E57-9314-F9F931F3317E}"/>
    <cellStyle name="Normal 12 2 2 2 4 2 2 4" xfId="16492" xr:uid="{35054590-A92B-49B9-A2D8-69571D6CE6CF}"/>
    <cellStyle name="Normal 12 2 2 2 4 2 3" xfId="20712" xr:uid="{ED01D7D7-8604-40BE-B84B-E05BB4DFAC50}"/>
    <cellStyle name="Normal 12 2 2 2 4 2 4" xfId="29147" xr:uid="{8492C319-4A94-4A04-84DC-A2918E988BE9}"/>
    <cellStyle name="Normal 12 2 2 2 4 2 5" xfId="12274" xr:uid="{0A271377-CF9D-47E6-9588-F0470A4F3899}"/>
    <cellStyle name="Normal 12 2 2 2 4 3" xfId="5908" xr:uid="{00000000-0005-0000-0000-0000DB0D0000}"/>
    <cellStyle name="Normal 12 2 2 2 4 3 2" xfId="22785" xr:uid="{40960FC4-7287-4450-BDA5-2B0CE4EE17EC}"/>
    <cellStyle name="Normal 12 2 2 2 4 3 3" xfId="31219" xr:uid="{C90875A5-E750-4C73-833E-59847832F493}"/>
    <cellStyle name="Normal 12 2 2 2 4 3 4" xfId="14347" xr:uid="{5DD947FB-FA60-41D6-8D50-5889B5FCCAD7}"/>
    <cellStyle name="Normal 12 2 2 2 4 4" xfId="18567" xr:uid="{FB60F1EB-CEB0-4441-AE61-C0CA03841992}"/>
    <cellStyle name="Normal 12 2 2 2 4 5" xfId="27002" xr:uid="{7AEC108F-067C-40DB-91DC-D767021A42D3}"/>
    <cellStyle name="Normal 12 2 2 2 4 6" xfId="10129" xr:uid="{A13BE090-9D4F-4351-943F-14611CF287B8}"/>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25343" xr:uid="{3838DFAA-4C3F-491E-B4E3-932AEF4F8C7B}"/>
    <cellStyle name="Normal 12 2 2 2 5 2 2 3" xfId="33777" xr:uid="{9646BCDC-6171-4B95-BDEC-57AEE42BBB82}"/>
    <cellStyle name="Normal 12 2 2 2 5 2 2 4" xfId="16905" xr:uid="{C3B2CAF6-8CFC-4FC5-9961-0FDE75FEFEAD}"/>
    <cellStyle name="Normal 12 2 2 2 5 2 3" xfId="21125" xr:uid="{59DB8851-71DF-40DF-9E41-C2757F9E14B1}"/>
    <cellStyle name="Normal 12 2 2 2 5 2 4" xfId="29560" xr:uid="{71B01D15-4ACA-42A3-88D2-A397F2F32665}"/>
    <cellStyle name="Normal 12 2 2 2 5 2 5" xfId="12687" xr:uid="{3D5BA0AD-9CE1-43E1-A4AB-B00E45916AEA}"/>
    <cellStyle name="Normal 12 2 2 2 5 3" xfId="6321" xr:uid="{00000000-0005-0000-0000-0000DF0D0000}"/>
    <cellStyle name="Normal 12 2 2 2 5 3 2" xfId="23198" xr:uid="{F778CCC2-EA61-4070-B602-A8E9FE3A7314}"/>
    <cellStyle name="Normal 12 2 2 2 5 3 3" xfId="31632" xr:uid="{70EA93F4-438E-442C-A070-17763F1817FF}"/>
    <cellStyle name="Normal 12 2 2 2 5 3 4" xfId="14760" xr:uid="{974CA69E-FFF6-473C-A146-00E9F0505D3A}"/>
    <cellStyle name="Normal 12 2 2 2 5 4" xfId="18980" xr:uid="{9B145DDB-3B13-4341-B6A3-449DC3598270}"/>
    <cellStyle name="Normal 12 2 2 2 5 5" xfId="27415" xr:uid="{236E06A8-A9D1-4628-A07B-20F599CAAD43}"/>
    <cellStyle name="Normal 12 2 2 2 5 6" xfId="10542" xr:uid="{A2E3D0FA-2CA9-45E5-A734-E9BCCA7C541A}"/>
    <cellStyle name="Normal 12 2 2 2 6" xfId="2450" xr:uid="{00000000-0005-0000-0000-0000E00D0000}"/>
    <cellStyle name="Normal 12 2 2 2 6 2" xfId="6734" xr:uid="{00000000-0005-0000-0000-0000E10D0000}"/>
    <cellStyle name="Normal 12 2 2 2 6 2 2" xfId="23611" xr:uid="{A3E83FA5-67C3-417E-8E26-CB7F35E0B0A4}"/>
    <cellStyle name="Normal 12 2 2 2 6 2 3" xfId="32045" xr:uid="{28D3727E-22DF-493D-8BCC-AC5E094FFF8C}"/>
    <cellStyle name="Normal 12 2 2 2 6 2 4" xfId="15173" xr:uid="{05FC61A8-00BC-44A5-9BC0-156C7A1F7AED}"/>
    <cellStyle name="Normal 12 2 2 2 6 3" xfId="19393" xr:uid="{58DFDF25-6F97-4342-8A50-D5E0DCB370BB}"/>
    <cellStyle name="Normal 12 2 2 2 6 4" xfId="27828" xr:uid="{C84DC960-807B-4FD2-8C0C-7C7AC0C78700}"/>
    <cellStyle name="Normal 12 2 2 2 6 5" xfId="10955" xr:uid="{D06A645B-330C-4A70-A7C6-8BE042FEF131}"/>
    <cellStyle name="Normal 12 2 2 2 7" xfId="4668" xr:uid="{00000000-0005-0000-0000-0000E20D0000}"/>
    <cellStyle name="Normal 12 2 2 2 7 2" xfId="21545" xr:uid="{502277BC-89F1-4D4B-8CE4-93EFBC901DB5}"/>
    <cellStyle name="Normal 12 2 2 2 7 3" xfId="29979" xr:uid="{4D4F53F9-EE98-40D8-A8D8-184E2F197B78}"/>
    <cellStyle name="Normal 12 2 2 2 7 4" xfId="13107" xr:uid="{C5E9B6CF-D030-403B-8CFE-5DC3CBFBF791}"/>
    <cellStyle name="Normal 12 2 2 2 8" xfId="17327" xr:uid="{0A608B06-6368-4AD8-9454-D6D72CBCCAFB}"/>
    <cellStyle name="Normal 12 2 2 2 9" xfId="25762" xr:uid="{30B947B9-E88B-4583-BB2D-FFD72671E407}"/>
    <cellStyle name="Normal 12 2 2 3" xfId="762" xr:uid="{00000000-0005-0000-0000-0000E30D0000}"/>
    <cellStyle name="Normal 12 2 2 3 2" xfId="3003" xr:uid="{00000000-0005-0000-0000-0000E40D0000}"/>
    <cellStyle name="Normal 12 2 2 3 2 2" xfId="7226" xr:uid="{00000000-0005-0000-0000-0000E50D0000}"/>
    <cellStyle name="Normal 12 2 2 3 2 2 2" xfId="24103" xr:uid="{62457BC6-708A-4FC0-A955-630FA1E98023}"/>
    <cellStyle name="Normal 12 2 2 3 2 2 3" xfId="32537" xr:uid="{6B012FAA-8600-414A-985C-32898A6C0593}"/>
    <cellStyle name="Normal 12 2 2 3 2 2 4" xfId="15665" xr:uid="{50FF9B90-20F8-4507-9CBB-8789A0BA98B5}"/>
    <cellStyle name="Normal 12 2 2 3 2 3" xfId="19885" xr:uid="{34C4EE1A-3FDC-464A-AA3A-FAAF4F6F948E}"/>
    <cellStyle name="Normal 12 2 2 3 2 4" xfId="28320" xr:uid="{4D6C9495-B7ED-40C5-BFED-C495DE4FF498}"/>
    <cellStyle name="Normal 12 2 2 3 2 5" xfId="11447" xr:uid="{A55F4E6B-A307-4136-8231-7145A8E30A24}"/>
    <cellStyle name="Normal 12 2 2 3 3" xfId="5081" xr:uid="{00000000-0005-0000-0000-0000E60D0000}"/>
    <cellStyle name="Normal 12 2 2 3 3 2" xfId="21958" xr:uid="{C3AFEA28-BD93-45A7-8881-DA8CECAEA1B6}"/>
    <cellStyle name="Normal 12 2 2 3 3 3" xfId="30392" xr:uid="{36FE6EDA-B447-4DED-8162-3BEE478EE5DE}"/>
    <cellStyle name="Normal 12 2 2 3 3 4" xfId="13520" xr:uid="{680A7B1B-85ED-4E70-9C2B-73FEF914DF11}"/>
    <cellStyle name="Normal 12 2 2 3 4" xfId="17740" xr:uid="{BAC07B79-25EE-4104-8FBA-4F2A485B98C0}"/>
    <cellStyle name="Normal 12 2 2 3 5" xfId="26175" xr:uid="{BA032953-1181-448E-A074-6868708EBA61}"/>
    <cellStyle name="Normal 12 2 2 3 6" xfId="9302" xr:uid="{A8F16F95-253C-4EB1-AC26-6A6DD89B59A1}"/>
    <cellStyle name="Normal 12 2 2 4" xfId="1185" xr:uid="{00000000-0005-0000-0000-0000E70D0000}"/>
    <cellStyle name="Normal 12 2 2 4 2" xfId="3416" xr:uid="{00000000-0005-0000-0000-0000E80D0000}"/>
    <cellStyle name="Normal 12 2 2 4 2 2" xfId="7639" xr:uid="{00000000-0005-0000-0000-0000E90D0000}"/>
    <cellStyle name="Normal 12 2 2 4 2 2 2" xfId="24516" xr:uid="{DC6B9F7C-4FD9-42EC-B552-586B6385A571}"/>
    <cellStyle name="Normal 12 2 2 4 2 2 3" xfId="32950" xr:uid="{7574D4CF-891F-449B-BE87-DDD9748EAC8A}"/>
    <cellStyle name="Normal 12 2 2 4 2 2 4" xfId="16078" xr:uid="{3E7F8BAF-71A5-408B-BEEE-8D40108D0E57}"/>
    <cellStyle name="Normal 12 2 2 4 2 3" xfId="20298" xr:uid="{54881886-047D-460D-A2EA-1088C072952E}"/>
    <cellStyle name="Normal 12 2 2 4 2 4" xfId="28733" xr:uid="{464C9222-2024-45D5-89D8-50A4CF2E4CE0}"/>
    <cellStyle name="Normal 12 2 2 4 2 5" xfId="11860" xr:uid="{EC180BD0-BE85-4422-B3EC-752E7D342974}"/>
    <cellStyle name="Normal 12 2 2 4 3" xfId="5494" xr:uid="{00000000-0005-0000-0000-0000EA0D0000}"/>
    <cellStyle name="Normal 12 2 2 4 3 2" xfId="22371" xr:uid="{9DD3C1CD-E7C4-4B2E-9809-D73D52C52C66}"/>
    <cellStyle name="Normal 12 2 2 4 3 3" xfId="30805" xr:uid="{A0E654BC-7754-4CAD-9A03-DA456277BEC1}"/>
    <cellStyle name="Normal 12 2 2 4 3 4" xfId="13933" xr:uid="{709D1A59-0BF1-4D60-9543-D753E298F100}"/>
    <cellStyle name="Normal 12 2 2 4 4" xfId="18153" xr:uid="{5CE358F8-90C9-422B-B0E3-AAFE5FE41855}"/>
    <cellStyle name="Normal 12 2 2 4 5" xfId="26588" xr:uid="{6A6EF230-9677-40DB-8D24-D53A7837CFDA}"/>
    <cellStyle name="Normal 12 2 2 4 6" xfId="9715" xr:uid="{45A10736-8DCC-41E9-A320-DBDE9F0E12BE}"/>
    <cellStyle name="Normal 12 2 2 5" xfId="1599" xr:uid="{00000000-0005-0000-0000-0000EB0D0000}"/>
    <cellStyle name="Normal 12 2 2 5 2" xfId="3829" xr:uid="{00000000-0005-0000-0000-0000EC0D0000}"/>
    <cellStyle name="Normal 12 2 2 5 2 2" xfId="8052" xr:uid="{00000000-0005-0000-0000-0000ED0D0000}"/>
    <cellStyle name="Normal 12 2 2 5 2 2 2" xfId="24929" xr:uid="{E2A2BA4E-20A8-49D1-AB0B-BE2AC98A65E4}"/>
    <cellStyle name="Normal 12 2 2 5 2 2 3" xfId="33363" xr:uid="{964C813B-C58A-4464-AB95-079A799E165A}"/>
    <cellStyle name="Normal 12 2 2 5 2 2 4" xfId="16491" xr:uid="{2C2623ED-1D15-40C3-91D9-ACEFF8B91BF2}"/>
    <cellStyle name="Normal 12 2 2 5 2 3" xfId="20711" xr:uid="{22D57C20-E6AD-4FF6-998F-B95D53F459F4}"/>
    <cellStyle name="Normal 12 2 2 5 2 4" xfId="29146" xr:uid="{FC93328A-0BE2-40AC-88E0-3AE5E25AE8CB}"/>
    <cellStyle name="Normal 12 2 2 5 2 5" xfId="12273" xr:uid="{134FDCA4-78A2-44F4-9670-5F7E57E267AA}"/>
    <cellStyle name="Normal 12 2 2 5 3" xfId="5907" xr:uid="{00000000-0005-0000-0000-0000EE0D0000}"/>
    <cellStyle name="Normal 12 2 2 5 3 2" xfId="22784" xr:uid="{8059B933-2347-4D33-9541-493722397469}"/>
    <cellStyle name="Normal 12 2 2 5 3 3" xfId="31218" xr:uid="{D69BE4F8-BFE4-4184-9B21-F5C1BD4D8E54}"/>
    <cellStyle name="Normal 12 2 2 5 3 4" xfId="14346" xr:uid="{84DDBF88-8FCF-4190-AACA-F2D552B8CFFB}"/>
    <cellStyle name="Normal 12 2 2 5 4" xfId="18566" xr:uid="{370E68FB-3CE8-46F8-911B-9E66E6430B24}"/>
    <cellStyle name="Normal 12 2 2 5 5" xfId="27001" xr:uid="{3C2C0747-E833-45C3-9748-E070514BA450}"/>
    <cellStyle name="Normal 12 2 2 5 6" xfId="10128" xr:uid="{EE612849-FE32-427C-BF12-0BE521A29758}"/>
    <cellStyle name="Normal 12 2 2 6" xfId="2013" xr:uid="{00000000-0005-0000-0000-0000EF0D0000}"/>
    <cellStyle name="Normal 12 2 2 6 2" xfId="4242" xr:uid="{00000000-0005-0000-0000-0000F00D0000}"/>
    <cellStyle name="Normal 12 2 2 6 2 2" xfId="8465" xr:uid="{00000000-0005-0000-0000-0000F10D0000}"/>
    <cellStyle name="Normal 12 2 2 6 2 2 2" xfId="25342" xr:uid="{14850422-2C56-47A2-B5D2-87A888EFAFE9}"/>
    <cellStyle name="Normal 12 2 2 6 2 2 3" xfId="33776" xr:uid="{CE47AE19-F806-4A96-9E62-9F13DBD09B1E}"/>
    <cellStyle name="Normal 12 2 2 6 2 2 4" xfId="16904" xr:uid="{A38D5B59-C4DA-4EA8-9390-9A08624F6EAF}"/>
    <cellStyle name="Normal 12 2 2 6 2 3" xfId="21124" xr:uid="{5F84BB49-2350-4ADC-BC40-13DA3163A019}"/>
    <cellStyle name="Normal 12 2 2 6 2 4" xfId="29559" xr:uid="{D7CEDC95-A3E0-4798-AF97-0F3231E6BBEB}"/>
    <cellStyle name="Normal 12 2 2 6 2 5" xfId="12686" xr:uid="{EECA735F-DD68-4AD9-BD45-D36EF2D2091D}"/>
    <cellStyle name="Normal 12 2 2 6 3" xfId="6320" xr:uid="{00000000-0005-0000-0000-0000F20D0000}"/>
    <cellStyle name="Normal 12 2 2 6 3 2" xfId="23197" xr:uid="{E9A019E1-7604-4AC9-B582-FAD1DA638310}"/>
    <cellStyle name="Normal 12 2 2 6 3 3" xfId="31631" xr:uid="{4B36DE0E-07A2-410E-B2EA-36D2B64E1026}"/>
    <cellStyle name="Normal 12 2 2 6 3 4" xfId="14759" xr:uid="{7DF291BF-911C-49E6-AD7E-1520E36C619B}"/>
    <cellStyle name="Normal 12 2 2 6 4" xfId="18979" xr:uid="{A3037737-C8EC-4B38-8382-8ECEB65C80D9}"/>
    <cellStyle name="Normal 12 2 2 6 5" xfId="27414" xr:uid="{3CB24148-03F2-4C05-BDA5-CB0704FE0F7F}"/>
    <cellStyle name="Normal 12 2 2 6 6" xfId="10541" xr:uid="{8CF2A8E9-BF2A-43AF-8CD7-1C9C0758833A}"/>
    <cellStyle name="Normal 12 2 2 7" xfId="2449" xr:uid="{00000000-0005-0000-0000-0000F30D0000}"/>
    <cellStyle name="Normal 12 2 2 7 2" xfId="6733" xr:uid="{00000000-0005-0000-0000-0000F40D0000}"/>
    <cellStyle name="Normal 12 2 2 7 2 2" xfId="23610" xr:uid="{0FDFDA4A-1F81-4328-BD37-33725CADA0F7}"/>
    <cellStyle name="Normal 12 2 2 7 2 3" xfId="32044" xr:uid="{98A67008-9E7A-4FCE-9F32-731EB9393300}"/>
    <cellStyle name="Normal 12 2 2 7 2 4" xfId="15172" xr:uid="{3A7378EF-2D2E-47EE-8F2A-64C92F660FC2}"/>
    <cellStyle name="Normal 12 2 2 7 3" xfId="19392" xr:uid="{ECA6D348-40BB-4D86-B954-68F1AB905E21}"/>
    <cellStyle name="Normal 12 2 2 7 4" xfId="27827" xr:uid="{083C9E0C-5797-4622-8F87-99670E6D97CA}"/>
    <cellStyle name="Normal 12 2 2 7 5" xfId="10954" xr:uid="{4EEFB25D-F0CD-4852-8446-44655AC58DF9}"/>
    <cellStyle name="Normal 12 2 2 8" xfId="4667" xr:uid="{00000000-0005-0000-0000-0000F50D0000}"/>
    <cellStyle name="Normal 12 2 2 8 2" xfId="21544" xr:uid="{04F34DC0-79F7-4588-8031-95946918DD8C}"/>
    <cellStyle name="Normal 12 2 2 8 3" xfId="29978" xr:uid="{C9973673-D7AA-44B9-A5AA-039A4178AF04}"/>
    <cellStyle name="Normal 12 2 2 8 4" xfId="13106" xr:uid="{933E441C-EDBF-4195-8BCF-5063F28D684E}"/>
    <cellStyle name="Normal 12 2 2 9" xfId="17326" xr:uid="{CE7C248B-CB15-46BA-901C-004B2B7EC35F}"/>
    <cellStyle name="Normal 12 2 3" xfId="263" xr:uid="{00000000-0005-0000-0000-0000F60D0000}"/>
    <cellStyle name="Normal 12 2 3 10" xfId="8890" xr:uid="{C42D9A9D-5622-4A95-9DAC-8BADA125524B}"/>
    <cellStyle name="Normal 12 2 3 2" xfId="764" xr:uid="{00000000-0005-0000-0000-0000F70D0000}"/>
    <cellStyle name="Normal 12 2 3 2 2" xfId="3005" xr:uid="{00000000-0005-0000-0000-0000F80D0000}"/>
    <cellStyle name="Normal 12 2 3 2 2 2" xfId="7228" xr:uid="{00000000-0005-0000-0000-0000F90D0000}"/>
    <cellStyle name="Normal 12 2 3 2 2 2 2" xfId="24105" xr:uid="{A494664D-A9E0-4DE3-9155-CFE1C184F900}"/>
    <cellStyle name="Normal 12 2 3 2 2 2 3" xfId="32539" xr:uid="{C13C37FA-BEE3-4213-BC00-0F4DE603AD9C}"/>
    <cellStyle name="Normal 12 2 3 2 2 2 4" xfId="15667" xr:uid="{81B1D2C7-351E-4670-9D67-EB9AB6824B1C}"/>
    <cellStyle name="Normal 12 2 3 2 2 3" xfId="19887" xr:uid="{531AEAAC-937D-4CEC-9FD2-3513FDD4323F}"/>
    <cellStyle name="Normal 12 2 3 2 2 4" xfId="28322" xr:uid="{C90FF1C3-9DF3-4490-A7DA-2DE2E293F688}"/>
    <cellStyle name="Normal 12 2 3 2 2 5" xfId="11449" xr:uid="{F820C0AA-F868-4AE8-A67A-69B33C6B08B1}"/>
    <cellStyle name="Normal 12 2 3 2 3" xfId="5083" xr:uid="{00000000-0005-0000-0000-0000FA0D0000}"/>
    <cellStyle name="Normal 12 2 3 2 3 2" xfId="21960" xr:uid="{45347EF6-A10A-46CC-B444-2402A890597B}"/>
    <cellStyle name="Normal 12 2 3 2 3 3" xfId="30394" xr:uid="{039EBF22-CF59-4216-A4D5-443334851CDC}"/>
    <cellStyle name="Normal 12 2 3 2 3 4" xfId="13522" xr:uid="{FE8D84EA-55DB-4BC9-AECC-DCCF87D5CB36}"/>
    <cellStyle name="Normal 12 2 3 2 4" xfId="17742" xr:uid="{83A5D013-350D-4D68-98B7-713105BF80EB}"/>
    <cellStyle name="Normal 12 2 3 2 5" xfId="26177" xr:uid="{5925CB16-4CC3-4DF1-9DF3-6F634FC6B02F}"/>
    <cellStyle name="Normal 12 2 3 2 6" xfId="9304" xr:uid="{77171AD3-FDEB-43EB-BDE1-70FAB64083B4}"/>
    <cellStyle name="Normal 12 2 3 3" xfId="1187" xr:uid="{00000000-0005-0000-0000-0000FB0D0000}"/>
    <cellStyle name="Normal 12 2 3 3 2" xfId="3418" xr:uid="{00000000-0005-0000-0000-0000FC0D0000}"/>
    <cellStyle name="Normal 12 2 3 3 2 2" xfId="7641" xr:uid="{00000000-0005-0000-0000-0000FD0D0000}"/>
    <cellStyle name="Normal 12 2 3 3 2 2 2" xfId="24518" xr:uid="{9637455B-77F0-41C6-BE99-8B026C8744DB}"/>
    <cellStyle name="Normal 12 2 3 3 2 2 3" xfId="32952" xr:uid="{142681E7-4BDD-4A09-A4A6-91AFA3C3FB4A}"/>
    <cellStyle name="Normal 12 2 3 3 2 2 4" xfId="16080" xr:uid="{C1A0EBA3-81B2-48A8-93B5-C5B1336EC3B5}"/>
    <cellStyle name="Normal 12 2 3 3 2 3" xfId="20300" xr:uid="{C5ADA571-641A-45BC-9BE0-7227FF38F53B}"/>
    <cellStyle name="Normal 12 2 3 3 2 4" xfId="28735" xr:uid="{5352A1B0-3249-4755-8274-5251C9731174}"/>
    <cellStyle name="Normal 12 2 3 3 2 5" xfId="11862" xr:uid="{24285E82-7C48-44D6-BBD7-00450E6C2E10}"/>
    <cellStyle name="Normal 12 2 3 3 3" xfId="5496" xr:uid="{00000000-0005-0000-0000-0000FE0D0000}"/>
    <cellStyle name="Normal 12 2 3 3 3 2" xfId="22373" xr:uid="{5F477B4D-6FA3-41CC-82AE-AE9011CDA464}"/>
    <cellStyle name="Normal 12 2 3 3 3 3" xfId="30807" xr:uid="{381D99EA-23A0-4B17-83E8-891FB36FAAEF}"/>
    <cellStyle name="Normal 12 2 3 3 3 4" xfId="13935" xr:uid="{EC4228CB-149C-4DE1-A161-E00A12DFA65D}"/>
    <cellStyle name="Normal 12 2 3 3 4" xfId="18155" xr:uid="{3FE46A70-2684-47DF-B0E9-B8607D9145EA}"/>
    <cellStyle name="Normal 12 2 3 3 5" xfId="26590" xr:uid="{92864820-89F3-43A1-8C41-24A39B5A6418}"/>
    <cellStyle name="Normal 12 2 3 3 6" xfId="9717" xr:uid="{EFD4EC3E-8E0E-4DFF-A867-8BF3746511B3}"/>
    <cellStyle name="Normal 12 2 3 4" xfId="1601" xr:uid="{00000000-0005-0000-0000-0000FF0D0000}"/>
    <cellStyle name="Normal 12 2 3 4 2" xfId="3831" xr:uid="{00000000-0005-0000-0000-0000000E0000}"/>
    <cellStyle name="Normal 12 2 3 4 2 2" xfId="8054" xr:uid="{00000000-0005-0000-0000-0000010E0000}"/>
    <cellStyle name="Normal 12 2 3 4 2 2 2" xfId="24931" xr:uid="{A338E619-3A12-495C-B8B6-4DA7A3F967E0}"/>
    <cellStyle name="Normal 12 2 3 4 2 2 3" xfId="33365" xr:uid="{D4B1EBC8-FA18-4274-9EDD-CFF4FA4AFB8B}"/>
    <cellStyle name="Normal 12 2 3 4 2 2 4" xfId="16493" xr:uid="{A4A3FE0D-5410-4596-9B0E-00831BF5FFFF}"/>
    <cellStyle name="Normal 12 2 3 4 2 3" xfId="20713" xr:uid="{822A97C2-5113-4110-9410-A75B96291690}"/>
    <cellStyle name="Normal 12 2 3 4 2 4" xfId="29148" xr:uid="{425F8D10-915F-4F49-9BFB-5113B70BAD50}"/>
    <cellStyle name="Normal 12 2 3 4 2 5" xfId="12275" xr:uid="{8241D27B-DA2B-4928-A65A-0BC1BB39B1A2}"/>
    <cellStyle name="Normal 12 2 3 4 3" xfId="5909" xr:uid="{00000000-0005-0000-0000-0000020E0000}"/>
    <cellStyle name="Normal 12 2 3 4 3 2" xfId="22786" xr:uid="{1E0F28B8-C571-4A44-BCC1-A4EC7183D3E9}"/>
    <cellStyle name="Normal 12 2 3 4 3 3" xfId="31220" xr:uid="{BDF2A3B3-9FE9-4051-B352-047FF980D32F}"/>
    <cellStyle name="Normal 12 2 3 4 3 4" xfId="14348" xr:uid="{680D89A3-A392-4FF5-9346-2833E02508E1}"/>
    <cellStyle name="Normal 12 2 3 4 4" xfId="18568" xr:uid="{A18487FE-69F1-4A9C-9941-A2329A9E3444}"/>
    <cellStyle name="Normal 12 2 3 4 5" xfId="27003" xr:uid="{03955CDF-D726-48EB-8D9D-4EFCAF9CD8ED}"/>
    <cellStyle name="Normal 12 2 3 4 6" xfId="10130" xr:uid="{7668C8F1-6E0F-4768-A8A8-F50ABEA0568A}"/>
    <cellStyle name="Normal 12 2 3 5" xfId="2015" xr:uid="{00000000-0005-0000-0000-0000030E0000}"/>
    <cellStyle name="Normal 12 2 3 5 2" xfId="4244" xr:uid="{00000000-0005-0000-0000-0000040E0000}"/>
    <cellStyle name="Normal 12 2 3 5 2 2" xfId="8467" xr:uid="{00000000-0005-0000-0000-0000050E0000}"/>
    <cellStyle name="Normal 12 2 3 5 2 2 2" xfId="25344" xr:uid="{76850037-793A-49CC-A6A1-389AA1E0C575}"/>
    <cellStyle name="Normal 12 2 3 5 2 2 3" xfId="33778" xr:uid="{C93E1478-EE85-4C16-A5C1-0AF4E05C39F7}"/>
    <cellStyle name="Normal 12 2 3 5 2 2 4" xfId="16906" xr:uid="{AE5FA929-1F5C-4A6B-95E5-0F0F5F94E04F}"/>
    <cellStyle name="Normal 12 2 3 5 2 3" xfId="21126" xr:uid="{648B0165-51BE-4937-922C-C725CEB8AF72}"/>
    <cellStyle name="Normal 12 2 3 5 2 4" xfId="29561" xr:uid="{51A34C2E-2EB3-405F-9DED-BF9788D4B4A7}"/>
    <cellStyle name="Normal 12 2 3 5 2 5" xfId="12688" xr:uid="{0F1B9D69-02EB-4FE6-944F-6515B2A17400}"/>
    <cellStyle name="Normal 12 2 3 5 3" xfId="6322" xr:uid="{00000000-0005-0000-0000-0000060E0000}"/>
    <cellStyle name="Normal 12 2 3 5 3 2" xfId="23199" xr:uid="{F0BAAEF1-ADDD-460D-8148-EDB8FF3AB388}"/>
    <cellStyle name="Normal 12 2 3 5 3 3" xfId="31633" xr:uid="{2C50DFCD-BB48-4D6D-B53E-C791434A0B2F}"/>
    <cellStyle name="Normal 12 2 3 5 3 4" xfId="14761" xr:uid="{D503C3CC-454A-465D-8AFC-4307AEBEDB49}"/>
    <cellStyle name="Normal 12 2 3 5 4" xfId="18981" xr:uid="{7D9C96C3-1492-40D2-AA2A-D5610AD45DCE}"/>
    <cellStyle name="Normal 12 2 3 5 5" xfId="27416" xr:uid="{A063F086-2033-4A7E-8F53-CFB15372E8F3}"/>
    <cellStyle name="Normal 12 2 3 5 6" xfId="10543" xr:uid="{8E7CDF01-DAD0-464E-B88E-C8F2C28B21F0}"/>
    <cellStyle name="Normal 12 2 3 6" xfId="2451" xr:uid="{00000000-0005-0000-0000-0000070E0000}"/>
    <cellStyle name="Normal 12 2 3 6 2" xfId="6735" xr:uid="{00000000-0005-0000-0000-0000080E0000}"/>
    <cellStyle name="Normal 12 2 3 6 2 2" xfId="23612" xr:uid="{BE2EEFE6-EF25-436B-9CE8-4D017A9E030C}"/>
    <cellStyle name="Normal 12 2 3 6 2 3" xfId="32046" xr:uid="{655C47F9-7B72-4B27-86DB-9A96F1EE98A5}"/>
    <cellStyle name="Normal 12 2 3 6 2 4" xfId="15174" xr:uid="{FE8DF071-42EE-42C6-9BFC-A781BE3617C8}"/>
    <cellStyle name="Normal 12 2 3 6 3" xfId="19394" xr:uid="{487153E3-19EC-4204-ACC3-6A55CBAE9BB5}"/>
    <cellStyle name="Normal 12 2 3 6 4" xfId="27829" xr:uid="{0C6ED37C-CBB9-4155-B468-1A96DD0826E0}"/>
    <cellStyle name="Normal 12 2 3 6 5" xfId="10956" xr:uid="{D63467E9-9298-4BC5-B45A-07A5959074C7}"/>
    <cellStyle name="Normal 12 2 3 7" xfId="4669" xr:uid="{00000000-0005-0000-0000-0000090E0000}"/>
    <cellStyle name="Normal 12 2 3 7 2" xfId="21546" xr:uid="{B22CEBB9-87B1-4FBC-AB13-2BC87AAA34B2}"/>
    <cellStyle name="Normal 12 2 3 7 3" xfId="29980" xr:uid="{C9F954B0-CF05-4D14-9A33-6A07B2205E67}"/>
    <cellStyle name="Normal 12 2 3 7 4" xfId="13108" xr:uid="{35BEC666-8DD6-42FB-8B13-B7F84EA45F8D}"/>
    <cellStyle name="Normal 12 2 3 8" xfId="17328" xr:uid="{72949DEC-E154-4D45-B350-5352BFF99EF8}"/>
    <cellStyle name="Normal 12 2 3 9" xfId="25763" xr:uid="{212ED60E-37E4-408B-B3B8-3240B33B6F1E}"/>
    <cellStyle name="Normal 12 2 4" xfId="761" xr:uid="{00000000-0005-0000-0000-00000A0E0000}"/>
    <cellStyle name="Normal 12 2 4 2" xfId="3002" xr:uid="{00000000-0005-0000-0000-00000B0E0000}"/>
    <cellStyle name="Normal 12 2 4 2 2" xfId="7225" xr:uid="{00000000-0005-0000-0000-00000C0E0000}"/>
    <cellStyle name="Normal 12 2 4 2 2 2" xfId="24102" xr:uid="{CC33F6A5-D953-4471-982F-6F0C33A11270}"/>
    <cellStyle name="Normal 12 2 4 2 2 3" xfId="32536" xr:uid="{50B35C64-A928-41C8-BD31-F187FEB1DF4E}"/>
    <cellStyle name="Normal 12 2 4 2 2 4" xfId="15664" xr:uid="{A246ED93-032B-49B3-A8F8-8A160353ACE4}"/>
    <cellStyle name="Normal 12 2 4 2 3" xfId="19884" xr:uid="{4FB993C9-31FB-4F04-88AE-CC6894C0EFDF}"/>
    <cellStyle name="Normal 12 2 4 2 4" xfId="28319" xr:uid="{650C322D-35C0-42D8-AE92-20FAB99B6E46}"/>
    <cellStyle name="Normal 12 2 4 2 5" xfId="11446" xr:uid="{A370F64C-7EB1-4BCE-8459-1601DE9259E7}"/>
    <cellStyle name="Normal 12 2 4 3" xfId="5080" xr:uid="{00000000-0005-0000-0000-00000D0E0000}"/>
    <cellStyle name="Normal 12 2 4 3 2" xfId="21957" xr:uid="{E6230AA1-C997-4F9D-909A-3D0905ADCC52}"/>
    <cellStyle name="Normal 12 2 4 3 3" xfId="30391" xr:uid="{62D17A1D-97F6-4874-8D4D-06F2FB32BEB1}"/>
    <cellStyle name="Normal 12 2 4 3 4" xfId="13519" xr:uid="{6CF5B2E0-F47D-4F5D-8047-39268A407CE2}"/>
    <cellStyle name="Normal 12 2 4 4" xfId="17739" xr:uid="{058A2511-31FE-4936-A394-E062B88D4BD4}"/>
    <cellStyle name="Normal 12 2 4 5" xfId="26174" xr:uid="{29A36EA3-1455-4610-B390-00738B09C202}"/>
    <cellStyle name="Normal 12 2 4 6" xfId="9301" xr:uid="{0C8CC721-7177-4EC8-954B-2818EAD98240}"/>
    <cellStyle name="Normal 12 2 5" xfId="1184" xr:uid="{00000000-0005-0000-0000-00000E0E0000}"/>
    <cellStyle name="Normal 12 2 5 2" xfId="3415" xr:uid="{00000000-0005-0000-0000-00000F0E0000}"/>
    <cellStyle name="Normal 12 2 5 2 2" xfId="7638" xr:uid="{00000000-0005-0000-0000-0000100E0000}"/>
    <cellStyle name="Normal 12 2 5 2 2 2" xfId="24515" xr:uid="{9036E3FF-BBC3-4901-BACA-AA6FBF6C51C2}"/>
    <cellStyle name="Normal 12 2 5 2 2 3" xfId="32949" xr:uid="{A707EAA8-5C52-4268-AC6B-41FB67D84DB1}"/>
    <cellStyle name="Normal 12 2 5 2 2 4" xfId="16077" xr:uid="{070FFFEE-02DF-406B-ACA8-37AFF13FEA36}"/>
    <cellStyle name="Normal 12 2 5 2 3" xfId="20297" xr:uid="{3CE08D41-CB59-4FF6-9055-F0867CDF3EDE}"/>
    <cellStyle name="Normal 12 2 5 2 4" xfId="28732" xr:uid="{A07E932E-536F-4AC4-9B1A-64155FCFEEED}"/>
    <cellStyle name="Normal 12 2 5 2 5" xfId="11859" xr:uid="{2025748F-1E20-4E9F-B0E5-D1D66E2E281F}"/>
    <cellStyle name="Normal 12 2 5 3" xfId="5493" xr:uid="{00000000-0005-0000-0000-0000110E0000}"/>
    <cellStyle name="Normal 12 2 5 3 2" xfId="22370" xr:uid="{E01A4365-9FDE-4FD6-AEE4-2F7C847B9335}"/>
    <cellStyle name="Normal 12 2 5 3 3" xfId="30804" xr:uid="{1F20F4DB-C451-42FC-B7BC-2668DB046805}"/>
    <cellStyle name="Normal 12 2 5 3 4" xfId="13932" xr:uid="{A996D043-B2D3-40C4-AFF9-62B35F13412D}"/>
    <cellStyle name="Normal 12 2 5 4" xfId="18152" xr:uid="{2CD2B2EF-71C8-4D2D-B8E2-BE1E2C93F636}"/>
    <cellStyle name="Normal 12 2 5 5" xfId="26587" xr:uid="{8A13D652-3FE0-4D15-94B4-981FB42676CE}"/>
    <cellStyle name="Normal 12 2 5 6" xfId="9714" xr:uid="{73D5AFF5-F21C-49F4-BE04-8488DE3313C9}"/>
    <cellStyle name="Normal 12 2 6" xfId="1598" xr:uid="{00000000-0005-0000-0000-0000120E0000}"/>
    <cellStyle name="Normal 12 2 6 2" xfId="3828" xr:uid="{00000000-0005-0000-0000-0000130E0000}"/>
    <cellStyle name="Normal 12 2 6 2 2" xfId="8051" xr:uid="{00000000-0005-0000-0000-0000140E0000}"/>
    <cellStyle name="Normal 12 2 6 2 2 2" xfId="24928" xr:uid="{F4DB4D18-4924-48D2-AC53-7A0C6F67FCB7}"/>
    <cellStyle name="Normal 12 2 6 2 2 3" xfId="33362" xr:uid="{60AE4FDD-AC89-4DE7-A152-D4DC50DBCD69}"/>
    <cellStyle name="Normal 12 2 6 2 2 4" xfId="16490" xr:uid="{B6AAB2EA-C2FE-42C7-A3DD-0006B15B3268}"/>
    <cellStyle name="Normal 12 2 6 2 3" xfId="20710" xr:uid="{1A49F985-C769-4C17-8953-4ED381CE98D1}"/>
    <cellStyle name="Normal 12 2 6 2 4" xfId="29145" xr:uid="{189B5818-AE69-4253-AAAD-1D134FD268DC}"/>
    <cellStyle name="Normal 12 2 6 2 5" xfId="12272" xr:uid="{8A0C39DF-8E7B-4FC7-A0F6-6563EEA437F3}"/>
    <cellStyle name="Normal 12 2 6 3" xfId="5906" xr:uid="{00000000-0005-0000-0000-0000150E0000}"/>
    <cellStyle name="Normal 12 2 6 3 2" xfId="22783" xr:uid="{F9915902-9206-4C48-A454-5AADB6DF6A70}"/>
    <cellStyle name="Normal 12 2 6 3 3" xfId="31217" xr:uid="{86FEA941-5C34-4E0D-AF94-636C308AFF34}"/>
    <cellStyle name="Normal 12 2 6 3 4" xfId="14345" xr:uid="{98180741-AC85-4447-9EFD-30EF98853378}"/>
    <cellStyle name="Normal 12 2 6 4" xfId="18565" xr:uid="{2EED1890-F37F-4A43-98CE-BE42DAD29E2C}"/>
    <cellStyle name="Normal 12 2 6 5" xfId="27000" xr:uid="{1D225883-9C74-4593-B44E-B17B7C413B04}"/>
    <cellStyle name="Normal 12 2 6 6" xfId="10127" xr:uid="{D5F70643-41DF-442B-9A36-743B63024009}"/>
    <cellStyle name="Normal 12 2 7" xfId="2012" xr:uid="{00000000-0005-0000-0000-0000160E0000}"/>
    <cellStyle name="Normal 12 2 7 2" xfId="4241" xr:uid="{00000000-0005-0000-0000-0000170E0000}"/>
    <cellStyle name="Normal 12 2 7 2 2" xfId="8464" xr:uid="{00000000-0005-0000-0000-0000180E0000}"/>
    <cellStyle name="Normal 12 2 7 2 2 2" xfId="25341" xr:uid="{A8496C92-ECED-45F0-8C40-324E7DE1B211}"/>
    <cellStyle name="Normal 12 2 7 2 2 3" xfId="33775" xr:uid="{D211FCBA-08F8-4B6D-B2EF-2C81089F4B01}"/>
    <cellStyle name="Normal 12 2 7 2 2 4" xfId="16903" xr:uid="{DAB4FC8D-8296-4B59-9A28-412F30E15C7F}"/>
    <cellStyle name="Normal 12 2 7 2 3" xfId="21123" xr:uid="{7CC1C7EF-2043-4577-ACD3-FC422125763C}"/>
    <cellStyle name="Normal 12 2 7 2 4" xfId="29558" xr:uid="{23612027-5209-488A-A3BC-2BD9B4897D5C}"/>
    <cellStyle name="Normal 12 2 7 2 5" xfId="12685" xr:uid="{9B8B1862-35FC-4239-9088-BB9ED2545235}"/>
    <cellStyle name="Normal 12 2 7 3" xfId="6319" xr:uid="{00000000-0005-0000-0000-0000190E0000}"/>
    <cellStyle name="Normal 12 2 7 3 2" xfId="23196" xr:uid="{AF78B7A6-A0E5-49C5-BF31-BE4879C7E357}"/>
    <cellStyle name="Normal 12 2 7 3 3" xfId="31630" xr:uid="{052B56C4-8599-4651-9D01-E776584FB2AC}"/>
    <cellStyle name="Normal 12 2 7 3 4" xfId="14758" xr:uid="{A5D95962-A84B-419B-B447-922186368FF4}"/>
    <cellStyle name="Normal 12 2 7 4" xfId="18978" xr:uid="{847E1F95-5FBA-4470-8D6E-4E591DEB7ADD}"/>
    <cellStyle name="Normal 12 2 7 5" xfId="27413" xr:uid="{DAD2EE58-B28D-494F-860B-0F21C0B99A99}"/>
    <cellStyle name="Normal 12 2 7 6" xfId="10540" xr:uid="{0E1FB8FE-401D-44CD-BC32-70D8563F0D48}"/>
    <cellStyle name="Normal 12 2 8" xfId="2448" xr:uid="{00000000-0005-0000-0000-00001A0E0000}"/>
    <cellStyle name="Normal 12 2 8 2" xfId="6732" xr:uid="{00000000-0005-0000-0000-00001B0E0000}"/>
    <cellStyle name="Normal 12 2 8 2 2" xfId="23609" xr:uid="{78ADCA59-4C89-4F69-BD89-081A39F0BAFF}"/>
    <cellStyle name="Normal 12 2 8 2 3" xfId="32043" xr:uid="{909881BF-968E-4F56-B1D9-71A01E623FF2}"/>
    <cellStyle name="Normal 12 2 8 2 4" xfId="15171" xr:uid="{FA6C1A00-6D08-4BE6-BA9B-9F6DDEF8C069}"/>
    <cellStyle name="Normal 12 2 8 3" xfId="19391" xr:uid="{341082EC-84F9-41D1-A21C-7F0A0EB72565}"/>
    <cellStyle name="Normal 12 2 8 4" xfId="27826" xr:uid="{F00B6616-2D07-47F1-BE8A-703E85300384}"/>
    <cellStyle name="Normal 12 2 8 5" xfId="10953" xr:uid="{D0914BA7-449A-4BCF-B1AF-8C387F78411D}"/>
    <cellStyle name="Normal 12 2 9" xfId="4666" xr:uid="{00000000-0005-0000-0000-00001C0E0000}"/>
    <cellStyle name="Normal 12 2 9 2" xfId="21543" xr:uid="{6F5F7631-757A-4592-A655-DCEC7486227E}"/>
    <cellStyle name="Normal 12 2 9 3" xfId="29977" xr:uid="{821B9040-1228-444A-AA58-EBF3C544CC06}"/>
    <cellStyle name="Normal 12 2 9 4" xfId="13105" xr:uid="{1AD95623-2A2C-41DC-9514-964002C942A3}"/>
    <cellStyle name="Normal 12 3" xfId="264" xr:uid="{00000000-0005-0000-0000-00001D0E0000}"/>
    <cellStyle name="Normal 12 3 10" xfId="25764" xr:uid="{E003704B-F23D-4AAF-AD45-3079EB779F19}"/>
    <cellStyle name="Normal 12 3 11" xfId="8891" xr:uid="{8AD44F29-E74F-49A6-BE4C-2F67329B7A90}"/>
    <cellStyle name="Normal 12 3 2" xfId="265" xr:uid="{00000000-0005-0000-0000-00001E0E0000}"/>
    <cellStyle name="Normal 12 3 2 10" xfId="8892" xr:uid="{4A41D477-83A7-4818-A6A0-666E844C6C48}"/>
    <cellStyle name="Normal 12 3 2 2" xfId="766" xr:uid="{00000000-0005-0000-0000-00001F0E0000}"/>
    <cellStyle name="Normal 12 3 2 2 2" xfId="3007" xr:uid="{00000000-0005-0000-0000-0000200E0000}"/>
    <cellStyle name="Normal 12 3 2 2 2 2" xfId="7230" xr:uid="{00000000-0005-0000-0000-0000210E0000}"/>
    <cellStyle name="Normal 12 3 2 2 2 2 2" xfId="24107" xr:uid="{2BE89DAC-3A76-4B8C-B42F-2C6A291E7748}"/>
    <cellStyle name="Normal 12 3 2 2 2 2 3" xfId="32541" xr:uid="{6A5BFE43-B510-4D13-BB29-7B1A4675F000}"/>
    <cellStyle name="Normal 12 3 2 2 2 2 4" xfId="15669" xr:uid="{30E097BB-88C8-4C5B-8972-EFCA8F98CF76}"/>
    <cellStyle name="Normal 12 3 2 2 2 3" xfId="19889" xr:uid="{6590FF51-E70F-4244-BD4C-5D342098DDBE}"/>
    <cellStyle name="Normal 12 3 2 2 2 4" xfId="28324" xr:uid="{71F0CE3F-E4CB-4354-B4E9-B0D4DE1874B9}"/>
    <cellStyle name="Normal 12 3 2 2 2 5" xfId="11451" xr:uid="{19177289-35CB-4E24-9985-966BFB811EC8}"/>
    <cellStyle name="Normal 12 3 2 2 3" xfId="5085" xr:uid="{00000000-0005-0000-0000-0000220E0000}"/>
    <cellStyle name="Normal 12 3 2 2 3 2" xfId="21962" xr:uid="{B86C2B61-4894-47C8-8739-5F960C7E54C1}"/>
    <cellStyle name="Normal 12 3 2 2 3 3" xfId="30396" xr:uid="{6A3FFB16-D713-4962-9EF4-6E04AFC12C5F}"/>
    <cellStyle name="Normal 12 3 2 2 3 4" xfId="13524" xr:uid="{31D27D9E-2043-49EB-8EB4-AB9C849CE58B}"/>
    <cellStyle name="Normal 12 3 2 2 4" xfId="17744" xr:uid="{E5643539-27BF-4645-A2E3-1D4DCF8BA420}"/>
    <cellStyle name="Normal 12 3 2 2 5" xfId="26179" xr:uid="{CD3A7AD7-008A-4DA1-B485-51B995F5D018}"/>
    <cellStyle name="Normal 12 3 2 2 6" xfId="9306" xr:uid="{99CBC485-28F2-44F2-921E-40CFA546E7F7}"/>
    <cellStyle name="Normal 12 3 2 3" xfId="1189" xr:uid="{00000000-0005-0000-0000-0000230E0000}"/>
    <cellStyle name="Normal 12 3 2 3 2" xfId="3420" xr:uid="{00000000-0005-0000-0000-0000240E0000}"/>
    <cellStyle name="Normal 12 3 2 3 2 2" xfId="7643" xr:uid="{00000000-0005-0000-0000-0000250E0000}"/>
    <cellStyle name="Normal 12 3 2 3 2 2 2" xfId="24520" xr:uid="{F1958B13-C846-46EF-8F23-A3BEF0A8EE6D}"/>
    <cellStyle name="Normal 12 3 2 3 2 2 3" xfId="32954" xr:uid="{6B79FE31-D827-4409-BE29-D14C39200C77}"/>
    <cellStyle name="Normal 12 3 2 3 2 2 4" xfId="16082" xr:uid="{5A617433-B7F8-4285-BFA3-65D8B6BAC2DF}"/>
    <cellStyle name="Normal 12 3 2 3 2 3" xfId="20302" xr:uid="{53C7FEA4-7FE1-4E21-8FE5-2C551B843619}"/>
    <cellStyle name="Normal 12 3 2 3 2 4" xfId="28737" xr:uid="{12EED308-4638-461D-8EA4-D0AB2D432D8B}"/>
    <cellStyle name="Normal 12 3 2 3 2 5" xfId="11864" xr:uid="{D2A697C6-AD9E-4E44-91BC-8F7CF3D328F7}"/>
    <cellStyle name="Normal 12 3 2 3 3" xfId="5498" xr:uid="{00000000-0005-0000-0000-0000260E0000}"/>
    <cellStyle name="Normal 12 3 2 3 3 2" xfId="22375" xr:uid="{2201AE3B-72BB-463B-8706-D4D870FCBF02}"/>
    <cellStyle name="Normal 12 3 2 3 3 3" xfId="30809" xr:uid="{D30F5EA8-8835-4DE2-8622-CE02C3E8392A}"/>
    <cellStyle name="Normal 12 3 2 3 3 4" xfId="13937" xr:uid="{12D373B1-322A-4F4E-9A9D-375412FF45EE}"/>
    <cellStyle name="Normal 12 3 2 3 4" xfId="18157" xr:uid="{CF7F475E-6C00-4A2C-BF27-A15ED29727B0}"/>
    <cellStyle name="Normal 12 3 2 3 5" xfId="26592" xr:uid="{4EECF7F6-89A3-44F6-A1C7-2B4329706CA4}"/>
    <cellStyle name="Normal 12 3 2 3 6" xfId="9719" xr:uid="{55FD2368-F53A-44D9-97A0-B0B5ED5A0D41}"/>
    <cellStyle name="Normal 12 3 2 4" xfId="1603" xr:uid="{00000000-0005-0000-0000-0000270E0000}"/>
    <cellStyle name="Normal 12 3 2 4 2" xfId="3833" xr:uid="{00000000-0005-0000-0000-0000280E0000}"/>
    <cellStyle name="Normal 12 3 2 4 2 2" xfId="8056" xr:uid="{00000000-0005-0000-0000-0000290E0000}"/>
    <cellStyle name="Normal 12 3 2 4 2 2 2" xfId="24933" xr:uid="{47CE038B-6DC6-4BFB-91B7-86B918B3F663}"/>
    <cellStyle name="Normal 12 3 2 4 2 2 3" xfId="33367" xr:uid="{CA268CD8-BDF5-464F-B594-7F107E85676C}"/>
    <cellStyle name="Normal 12 3 2 4 2 2 4" xfId="16495" xr:uid="{BFA9E4E2-7BB2-421B-8824-02BF7B730302}"/>
    <cellStyle name="Normal 12 3 2 4 2 3" xfId="20715" xr:uid="{C486B98D-6B78-4650-915F-BEA81ED5E6D0}"/>
    <cellStyle name="Normal 12 3 2 4 2 4" xfId="29150" xr:uid="{D214D20B-803A-4AC3-BE52-13D2EB4BD953}"/>
    <cellStyle name="Normal 12 3 2 4 2 5" xfId="12277" xr:uid="{A9731843-B497-40E5-A9B4-4440E3B43D6F}"/>
    <cellStyle name="Normal 12 3 2 4 3" xfId="5911" xr:uid="{00000000-0005-0000-0000-00002A0E0000}"/>
    <cellStyle name="Normal 12 3 2 4 3 2" xfId="22788" xr:uid="{DA3CC114-CC29-422B-87D1-5D39E0760FC2}"/>
    <cellStyle name="Normal 12 3 2 4 3 3" xfId="31222" xr:uid="{7BA0B1AF-BE3E-4BD3-BE72-EF9046E0245F}"/>
    <cellStyle name="Normal 12 3 2 4 3 4" xfId="14350" xr:uid="{52E94AA2-C2C8-467F-B44C-4D051BA41855}"/>
    <cellStyle name="Normal 12 3 2 4 4" xfId="18570" xr:uid="{34E590A1-B150-4DFA-9F99-F9E05386DCEF}"/>
    <cellStyle name="Normal 12 3 2 4 5" xfId="27005" xr:uid="{1B6ADF13-6CD6-435E-AA38-3576D817B00F}"/>
    <cellStyle name="Normal 12 3 2 4 6" xfId="10132" xr:uid="{8D22E3CB-DE7C-4009-8254-8C90D80B47CE}"/>
    <cellStyle name="Normal 12 3 2 5" xfId="2017" xr:uid="{00000000-0005-0000-0000-00002B0E0000}"/>
    <cellStyle name="Normal 12 3 2 5 2" xfId="4246" xr:uid="{00000000-0005-0000-0000-00002C0E0000}"/>
    <cellStyle name="Normal 12 3 2 5 2 2" xfId="8469" xr:uid="{00000000-0005-0000-0000-00002D0E0000}"/>
    <cellStyle name="Normal 12 3 2 5 2 2 2" xfId="25346" xr:uid="{318149A3-3830-414B-BBE6-67DE1B795CF8}"/>
    <cellStyle name="Normal 12 3 2 5 2 2 3" xfId="33780" xr:uid="{528B9FE3-6F60-4AFB-90B5-3D19D5377285}"/>
    <cellStyle name="Normal 12 3 2 5 2 2 4" xfId="16908" xr:uid="{956429F1-C160-4F11-AB7E-74CFBA5C9266}"/>
    <cellStyle name="Normal 12 3 2 5 2 3" xfId="21128" xr:uid="{5C954220-0947-4577-961F-40849F72ECE4}"/>
    <cellStyle name="Normal 12 3 2 5 2 4" xfId="29563" xr:uid="{050A6B1F-A621-444D-93C4-E4F6C4DADBC3}"/>
    <cellStyle name="Normal 12 3 2 5 2 5" xfId="12690" xr:uid="{A784B63E-9009-440E-BCE3-7CDBB566853D}"/>
    <cellStyle name="Normal 12 3 2 5 3" xfId="6324" xr:uid="{00000000-0005-0000-0000-00002E0E0000}"/>
    <cellStyle name="Normal 12 3 2 5 3 2" xfId="23201" xr:uid="{AC4005CA-334B-47D8-9182-C7A6B86C2D0C}"/>
    <cellStyle name="Normal 12 3 2 5 3 3" xfId="31635" xr:uid="{C4E20A34-6C9C-446A-972D-8BBAA7714EDB}"/>
    <cellStyle name="Normal 12 3 2 5 3 4" xfId="14763" xr:uid="{57080D33-E309-4D1B-AB44-D684159B959C}"/>
    <cellStyle name="Normal 12 3 2 5 4" xfId="18983" xr:uid="{54316323-1113-40B9-9468-3EEC2BC53F2E}"/>
    <cellStyle name="Normal 12 3 2 5 5" xfId="27418" xr:uid="{BAF8E524-2E6B-46BB-885F-8E263303E51F}"/>
    <cellStyle name="Normal 12 3 2 5 6" xfId="10545" xr:uid="{9FE2FFB3-B117-4508-A72D-35CBBF7FEB47}"/>
    <cellStyle name="Normal 12 3 2 6" xfId="2453" xr:uid="{00000000-0005-0000-0000-00002F0E0000}"/>
    <cellStyle name="Normal 12 3 2 6 2" xfId="6737" xr:uid="{00000000-0005-0000-0000-0000300E0000}"/>
    <cellStyle name="Normal 12 3 2 6 2 2" xfId="23614" xr:uid="{58EF2984-0053-4812-B798-F27B597844A0}"/>
    <cellStyle name="Normal 12 3 2 6 2 3" xfId="32048" xr:uid="{5E946737-B259-449C-93EA-C10D21C1469F}"/>
    <cellStyle name="Normal 12 3 2 6 2 4" xfId="15176" xr:uid="{2FF8A01B-75D2-449F-8AA5-CAA22D1C3B7D}"/>
    <cellStyle name="Normal 12 3 2 6 3" xfId="19396" xr:uid="{4C25E54B-83C1-4624-91C4-FB8C52FE5952}"/>
    <cellStyle name="Normal 12 3 2 6 4" xfId="27831" xr:uid="{D1157654-4EE2-49DD-A6FF-C4B04D585478}"/>
    <cellStyle name="Normal 12 3 2 6 5" xfId="10958" xr:uid="{46029302-82C0-48CD-B730-50A0DA982E68}"/>
    <cellStyle name="Normal 12 3 2 7" xfId="4671" xr:uid="{00000000-0005-0000-0000-0000310E0000}"/>
    <cellStyle name="Normal 12 3 2 7 2" xfId="21548" xr:uid="{9FAD2132-7012-48BF-A3EE-FF5513DAA6ED}"/>
    <cellStyle name="Normal 12 3 2 7 3" xfId="29982" xr:uid="{3AE9CB52-6116-4018-9EFC-36F5B990BC11}"/>
    <cellStyle name="Normal 12 3 2 7 4" xfId="13110" xr:uid="{B9D4D96A-9C1E-4FFA-BA45-C003D2C62EFA}"/>
    <cellStyle name="Normal 12 3 2 8" xfId="17330" xr:uid="{43316266-2FB1-4BF9-81F6-4EC41A388506}"/>
    <cellStyle name="Normal 12 3 2 9" xfId="25765" xr:uid="{48CB759C-CE3E-4122-B4B2-20AD3C38B280}"/>
    <cellStyle name="Normal 12 3 3" xfId="765" xr:uid="{00000000-0005-0000-0000-0000320E0000}"/>
    <cellStyle name="Normal 12 3 3 2" xfId="3006" xr:uid="{00000000-0005-0000-0000-0000330E0000}"/>
    <cellStyle name="Normal 12 3 3 2 2" xfId="7229" xr:uid="{00000000-0005-0000-0000-0000340E0000}"/>
    <cellStyle name="Normal 12 3 3 2 2 2" xfId="24106" xr:uid="{47BAE571-0BE9-4F72-9201-5BCFB0980192}"/>
    <cellStyle name="Normal 12 3 3 2 2 3" xfId="32540" xr:uid="{84BDA02C-CFCB-41F0-8AAF-1C3DBCD0DE9E}"/>
    <cellStyle name="Normal 12 3 3 2 2 4" xfId="15668" xr:uid="{EB00FC54-2800-4FDB-89D1-DA1AE5116DE3}"/>
    <cellStyle name="Normal 12 3 3 2 3" xfId="19888" xr:uid="{CD31C6AE-3A63-49EB-8A28-4A479DB77C72}"/>
    <cellStyle name="Normal 12 3 3 2 4" xfId="28323" xr:uid="{DA487217-AFED-4DD0-A8E9-8FD21A3A36CC}"/>
    <cellStyle name="Normal 12 3 3 2 5" xfId="11450" xr:uid="{661E7363-F6E7-41EA-8391-3443DB901FE8}"/>
    <cellStyle name="Normal 12 3 3 3" xfId="5084" xr:uid="{00000000-0005-0000-0000-0000350E0000}"/>
    <cellStyle name="Normal 12 3 3 3 2" xfId="21961" xr:uid="{B35E65C4-05C5-46DB-B4A4-0D7117CB4189}"/>
    <cellStyle name="Normal 12 3 3 3 3" xfId="30395" xr:uid="{7CDBC649-E6AA-4484-8B23-5C7186DBCD10}"/>
    <cellStyle name="Normal 12 3 3 3 4" xfId="13523" xr:uid="{D1559696-A2DD-41BB-BD6B-486E69D4178D}"/>
    <cellStyle name="Normal 12 3 3 4" xfId="17743" xr:uid="{2006EA13-0FCF-4C9E-A6EE-C44C7E477E6E}"/>
    <cellStyle name="Normal 12 3 3 5" xfId="26178" xr:uid="{C8E19D9A-DC0E-40B2-B9FB-A9CF8ECD5929}"/>
    <cellStyle name="Normal 12 3 3 6" xfId="9305" xr:uid="{3B5F2789-A71F-4F81-9F6F-AF3DD5961E3D}"/>
    <cellStyle name="Normal 12 3 4" xfId="1188" xr:uid="{00000000-0005-0000-0000-0000360E0000}"/>
    <cellStyle name="Normal 12 3 4 2" xfId="3419" xr:uid="{00000000-0005-0000-0000-0000370E0000}"/>
    <cellStyle name="Normal 12 3 4 2 2" xfId="7642" xr:uid="{00000000-0005-0000-0000-0000380E0000}"/>
    <cellStyle name="Normal 12 3 4 2 2 2" xfId="24519" xr:uid="{399139DB-7C15-43C2-AEE6-4FCC1002B885}"/>
    <cellStyle name="Normal 12 3 4 2 2 3" xfId="32953" xr:uid="{C519227A-74A1-4086-B6CF-D344589E2686}"/>
    <cellStyle name="Normal 12 3 4 2 2 4" xfId="16081" xr:uid="{26E49FB9-2A2E-4363-8027-1D20D203BF98}"/>
    <cellStyle name="Normal 12 3 4 2 3" xfId="20301" xr:uid="{497D9AC3-DB9F-4594-876C-14985C239948}"/>
    <cellStyle name="Normal 12 3 4 2 4" xfId="28736" xr:uid="{16F36CF2-E390-422B-8AAF-945E519EB0EA}"/>
    <cellStyle name="Normal 12 3 4 2 5" xfId="11863" xr:uid="{548CE2F2-7757-4D57-94A3-2430003402BF}"/>
    <cellStyle name="Normal 12 3 4 3" xfId="5497" xr:uid="{00000000-0005-0000-0000-0000390E0000}"/>
    <cellStyle name="Normal 12 3 4 3 2" xfId="22374" xr:uid="{9FC74CD6-8279-44DC-B641-6E6F312C4131}"/>
    <cellStyle name="Normal 12 3 4 3 3" xfId="30808" xr:uid="{B53D4576-1182-4AF1-A40E-BCFB78EFB064}"/>
    <cellStyle name="Normal 12 3 4 3 4" xfId="13936" xr:uid="{09CD7CE1-B532-4A61-AEB2-15C60CD43910}"/>
    <cellStyle name="Normal 12 3 4 4" xfId="18156" xr:uid="{F3144E75-86C6-4EC6-BF05-D4EC275F9DF7}"/>
    <cellStyle name="Normal 12 3 4 5" xfId="26591" xr:uid="{8DA9EAF9-BFEE-49D1-8BF8-FD0252934480}"/>
    <cellStyle name="Normal 12 3 4 6" xfId="9718" xr:uid="{19D8347E-5D11-4AB0-AC16-F99F8A75EA83}"/>
    <cellStyle name="Normal 12 3 5" xfId="1602" xr:uid="{00000000-0005-0000-0000-00003A0E0000}"/>
    <cellStyle name="Normal 12 3 5 2" xfId="3832" xr:uid="{00000000-0005-0000-0000-00003B0E0000}"/>
    <cellStyle name="Normal 12 3 5 2 2" xfId="8055" xr:uid="{00000000-0005-0000-0000-00003C0E0000}"/>
    <cellStyle name="Normal 12 3 5 2 2 2" xfId="24932" xr:uid="{28D33163-A7E2-4DE6-84B5-E366F064820F}"/>
    <cellStyle name="Normal 12 3 5 2 2 3" xfId="33366" xr:uid="{DFCFDD95-7B19-4082-ACE3-08D6C6B546B6}"/>
    <cellStyle name="Normal 12 3 5 2 2 4" xfId="16494" xr:uid="{604D2D72-E9E2-4DD5-98B2-1C2756434E7C}"/>
    <cellStyle name="Normal 12 3 5 2 3" xfId="20714" xr:uid="{AB96268C-41A6-44FE-ABB9-1EF2265ED60C}"/>
    <cellStyle name="Normal 12 3 5 2 4" xfId="29149" xr:uid="{0097D683-D08E-42CA-A372-A5E74E79DA13}"/>
    <cellStyle name="Normal 12 3 5 2 5" xfId="12276" xr:uid="{CB630AB7-239C-4308-A11B-8AAD9454139A}"/>
    <cellStyle name="Normal 12 3 5 3" xfId="5910" xr:uid="{00000000-0005-0000-0000-00003D0E0000}"/>
    <cellStyle name="Normal 12 3 5 3 2" xfId="22787" xr:uid="{DFAEA9CD-15B2-4A35-8BD6-BFFE84ABC8CB}"/>
    <cellStyle name="Normal 12 3 5 3 3" xfId="31221" xr:uid="{C559D8EF-0D58-4FA9-8D1E-F14B880E324B}"/>
    <cellStyle name="Normal 12 3 5 3 4" xfId="14349" xr:uid="{C36E7461-D5B6-42FA-B919-049F7320A6BC}"/>
    <cellStyle name="Normal 12 3 5 4" xfId="18569" xr:uid="{18D2730E-BA0A-4DE4-8152-D0F7AD63CAE6}"/>
    <cellStyle name="Normal 12 3 5 5" xfId="27004" xr:uid="{4847DFC0-D1D5-4548-9FCF-E02ADFC771EA}"/>
    <cellStyle name="Normal 12 3 5 6" xfId="10131" xr:uid="{2614D9C6-96D0-43F8-A7DF-BA5ECEB5505A}"/>
    <cellStyle name="Normal 12 3 6" xfId="2016" xr:uid="{00000000-0005-0000-0000-00003E0E0000}"/>
    <cellStyle name="Normal 12 3 6 2" xfId="4245" xr:uid="{00000000-0005-0000-0000-00003F0E0000}"/>
    <cellStyle name="Normal 12 3 6 2 2" xfId="8468" xr:uid="{00000000-0005-0000-0000-0000400E0000}"/>
    <cellStyle name="Normal 12 3 6 2 2 2" xfId="25345" xr:uid="{73474D45-DCD4-438B-BBB9-26A6CCF2B9E6}"/>
    <cellStyle name="Normal 12 3 6 2 2 3" xfId="33779" xr:uid="{511BE9CC-BC0B-4804-9183-F422CFCD19D9}"/>
    <cellStyle name="Normal 12 3 6 2 2 4" xfId="16907" xr:uid="{AF695607-0C7B-487F-8373-2AEF99ACF8EA}"/>
    <cellStyle name="Normal 12 3 6 2 3" xfId="21127" xr:uid="{245336EE-301A-4248-8173-78302BE60EBB}"/>
    <cellStyle name="Normal 12 3 6 2 4" xfId="29562" xr:uid="{33BB0D2E-9F2D-4BC6-A2DC-87E912ECBF57}"/>
    <cellStyle name="Normal 12 3 6 2 5" xfId="12689" xr:uid="{B4A4B7C9-5DEE-4AB1-B653-701494A53189}"/>
    <cellStyle name="Normal 12 3 6 3" xfId="6323" xr:uid="{00000000-0005-0000-0000-0000410E0000}"/>
    <cellStyle name="Normal 12 3 6 3 2" xfId="23200" xr:uid="{C06348B7-BD0B-4EC8-9311-896C5BAE816C}"/>
    <cellStyle name="Normal 12 3 6 3 3" xfId="31634" xr:uid="{51856181-587A-42FF-B0FD-C39F57EDCE00}"/>
    <cellStyle name="Normal 12 3 6 3 4" xfId="14762" xr:uid="{EB753F5D-A2EA-42D5-8BF3-67F39D9ED9DE}"/>
    <cellStyle name="Normal 12 3 6 4" xfId="18982" xr:uid="{E0CE63B9-404E-4632-B41C-E24CC65E9A80}"/>
    <cellStyle name="Normal 12 3 6 5" xfId="27417" xr:uid="{7FFF8D81-43DB-4C53-86D8-06101A3D7BCA}"/>
    <cellStyle name="Normal 12 3 6 6" xfId="10544" xr:uid="{99B28EAD-EB0A-4E70-BC04-A64599A3B670}"/>
    <cellStyle name="Normal 12 3 7" xfId="2452" xr:uid="{00000000-0005-0000-0000-0000420E0000}"/>
    <cellStyle name="Normal 12 3 7 2" xfId="6736" xr:uid="{00000000-0005-0000-0000-0000430E0000}"/>
    <cellStyle name="Normal 12 3 7 2 2" xfId="23613" xr:uid="{4C7D8908-30DD-4699-ADC7-922630E2BAB9}"/>
    <cellStyle name="Normal 12 3 7 2 3" xfId="32047" xr:uid="{C9B238AE-58B8-4C55-944A-131F1E2B1F74}"/>
    <cellStyle name="Normal 12 3 7 2 4" xfId="15175" xr:uid="{685343C3-6993-4A7E-AABA-58DB844B539D}"/>
    <cellStyle name="Normal 12 3 7 3" xfId="19395" xr:uid="{B34DCC9D-CF34-49C1-BA1D-EAAE1B148324}"/>
    <cellStyle name="Normal 12 3 7 4" xfId="27830" xr:uid="{98C717A5-4242-44A8-B493-24C64E9ADDDE}"/>
    <cellStyle name="Normal 12 3 7 5" xfId="10957" xr:uid="{04705934-4E2D-4D04-B36D-FDC8D04D10DB}"/>
    <cellStyle name="Normal 12 3 8" xfId="4670" xr:uid="{00000000-0005-0000-0000-0000440E0000}"/>
    <cellStyle name="Normal 12 3 8 2" xfId="21547" xr:uid="{89B919EB-5EDE-4C88-BCE9-BC26CE7E38D4}"/>
    <cellStyle name="Normal 12 3 8 3" xfId="29981" xr:uid="{8C96864E-6E21-48F2-9B5E-3003DA8EECE1}"/>
    <cellStyle name="Normal 12 3 8 4" xfId="13109" xr:uid="{E55C21E0-FDD2-4032-B7CC-B3D7F94F6357}"/>
    <cellStyle name="Normal 12 3 9" xfId="17329" xr:uid="{964CCB7C-9574-43D6-9A8B-834E13DF41D9}"/>
    <cellStyle name="Normal 12 4" xfId="266" xr:uid="{00000000-0005-0000-0000-0000450E0000}"/>
    <cellStyle name="Normal 12 4 10" xfId="8893" xr:uid="{CD23B8A6-2676-4FED-B850-940051BE1D9A}"/>
    <cellStyle name="Normal 12 4 2" xfId="767" xr:uid="{00000000-0005-0000-0000-0000460E0000}"/>
    <cellStyle name="Normal 12 4 2 2" xfId="3008" xr:uid="{00000000-0005-0000-0000-0000470E0000}"/>
    <cellStyle name="Normal 12 4 2 2 2" xfId="7231" xr:uid="{00000000-0005-0000-0000-0000480E0000}"/>
    <cellStyle name="Normal 12 4 2 2 2 2" xfId="24108" xr:uid="{F7E4BA69-D3D6-47D7-A9C6-C0F3CA7FEC6F}"/>
    <cellStyle name="Normal 12 4 2 2 2 3" xfId="32542" xr:uid="{49A6350F-4BB0-4A2D-9517-C3DEEE2573B2}"/>
    <cellStyle name="Normal 12 4 2 2 2 4" xfId="15670" xr:uid="{E715DA54-BB87-4E0A-B3B8-ECB48B167724}"/>
    <cellStyle name="Normal 12 4 2 2 3" xfId="19890" xr:uid="{71EFD304-20F8-480C-985B-B38D8AA3FC42}"/>
    <cellStyle name="Normal 12 4 2 2 4" xfId="28325" xr:uid="{99B4A98C-2F7B-4393-8511-C84B61D10F06}"/>
    <cellStyle name="Normal 12 4 2 2 5" xfId="11452" xr:uid="{534C4681-0396-46EC-AD84-D5B2B6809DB4}"/>
    <cellStyle name="Normal 12 4 2 3" xfId="5086" xr:uid="{00000000-0005-0000-0000-0000490E0000}"/>
    <cellStyle name="Normal 12 4 2 3 2" xfId="21963" xr:uid="{42E77B9B-1CD7-4A0D-9EB4-1C37A4594F99}"/>
    <cellStyle name="Normal 12 4 2 3 3" xfId="30397" xr:uid="{38D176C9-682B-486F-A69B-85A0B6C13FD7}"/>
    <cellStyle name="Normal 12 4 2 3 4" xfId="13525" xr:uid="{401F2E89-55D6-4E92-B726-8D6BC56D7830}"/>
    <cellStyle name="Normal 12 4 2 4" xfId="17745" xr:uid="{DCE819CA-6B3E-4485-8404-FA48DB9986FD}"/>
    <cellStyle name="Normal 12 4 2 5" xfId="26180" xr:uid="{3F691305-F928-4FAF-8BBD-E67B7144C29E}"/>
    <cellStyle name="Normal 12 4 2 6" xfId="9307" xr:uid="{D8922E3F-3784-454F-B8EF-8570F2499C2C}"/>
    <cellStyle name="Normal 12 4 3" xfId="1190" xr:uid="{00000000-0005-0000-0000-00004A0E0000}"/>
    <cellStyle name="Normal 12 4 3 2" xfId="3421" xr:uid="{00000000-0005-0000-0000-00004B0E0000}"/>
    <cellStyle name="Normal 12 4 3 2 2" xfId="7644" xr:uid="{00000000-0005-0000-0000-00004C0E0000}"/>
    <cellStyle name="Normal 12 4 3 2 2 2" xfId="24521" xr:uid="{FC3878FA-EC54-4D8B-B099-18FBAC2F1D42}"/>
    <cellStyle name="Normal 12 4 3 2 2 3" xfId="32955" xr:uid="{3E7E1C7D-3334-4CA9-BB64-C62F16A62601}"/>
    <cellStyle name="Normal 12 4 3 2 2 4" xfId="16083" xr:uid="{787E055C-3A2E-4492-ACF8-2A008958DBE6}"/>
    <cellStyle name="Normal 12 4 3 2 3" xfId="20303" xr:uid="{A94F559C-D5B2-4325-A91C-71B0C0C6EC00}"/>
    <cellStyle name="Normal 12 4 3 2 4" xfId="28738" xr:uid="{06BC9810-050A-4280-953B-5D787EA49DFE}"/>
    <cellStyle name="Normal 12 4 3 2 5" xfId="11865" xr:uid="{1165C3F6-982F-4007-8038-616D981BD774}"/>
    <cellStyle name="Normal 12 4 3 3" xfId="5499" xr:uid="{00000000-0005-0000-0000-00004D0E0000}"/>
    <cellStyle name="Normal 12 4 3 3 2" xfId="22376" xr:uid="{C74D7B6E-0EE5-4D85-9BBA-C58010A2512A}"/>
    <cellStyle name="Normal 12 4 3 3 3" xfId="30810" xr:uid="{504C0E80-18F8-48AF-BD39-DE7094AA4D22}"/>
    <cellStyle name="Normal 12 4 3 3 4" xfId="13938" xr:uid="{A65D04B5-058A-4E8A-9A54-37E5C46C5DEF}"/>
    <cellStyle name="Normal 12 4 3 4" xfId="18158" xr:uid="{1B40B2DF-9DAC-4A6B-800C-8BB7BA0A83DA}"/>
    <cellStyle name="Normal 12 4 3 5" xfId="26593" xr:uid="{3B374A7E-F41A-4B79-93B6-DD041FFF345E}"/>
    <cellStyle name="Normal 12 4 3 6" xfId="9720" xr:uid="{4328EA08-A644-4BA5-96DD-40C58FA3D918}"/>
    <cellStyle name="Normal 12 4 4" xfId="1604" xr:uid="{00000000-0005-0000-0000-00004E0E0000}"/>
    <cellStyle name="Normal 12 4 4 2" xfId="3834" xr:uid="{00000000-0005-0000-0000-00004F0E0000}"/>
    <cellStyle name="Normal 12 4 4 2 2" xfId="8057" xr:uid="{00000000-0005-0000-0000-0000500E0000}"/>
    <cellStyle name="Normal 12 4 4 2 2 2" xfId="24934" xr:uid="{FFD12329-31E4-47E0-AAF0-915BF7852D8C}"/>
    <cellStyle name="Normal 12 4 4 2 2 3" xfId="33368" xr:uid="{3BC75544-BD9D-43F7-9D81-5F83977F4876}"/>
    <cellStyle name="Normal 12 4 4 2 2 4" xfId="16496" xr:uid="{A8618A05-F5DC-4371-8C73-6C3D11452C44}"/>
    <cellStyle name="Normal 12 4 4 2 3" xfId="20716" xr:uid="{1ABD86AD-37B2-48F3-ABCD-0204A0378D01}"/>
    <cellStyle name="Normal 12 4 4 2 4" xfId="29151" xr:uid="{AF6F552C-EAC1-4B98-AED5-46A47E07FEB1}"/>
    <cellStyle name="Normal 12 4 4 2 5" xfId="12278" xr:uid="{DCDFB2F8-1F5B-435C-BFE2-2BF7738A1449}"/>
    <cellStyle name="Normal 12 4 4 3" xfId="5912" xr:uid="{00000000-0005-0000-0000-0000510E0000}"/>
    <cellStyle name="Normal 12 4 4 3 2" xfId="22789" xr:uid="{2EBBD830-F298-4A36-902B-34A8B85887B6}"/>
    <cellStyle name="Normal 12 4 4 3 3" xfId="31223" xr:uid="{1456405D-4ABB-4073-9D13-BE787CAEE160}"/>
    <cellStyle name="Normal 12 4 4 3 4" xfId="14351" xr:uid="{F2469EAC-011B-449F-A29C-9C51509CDC80}"/>
    <cellStyle name="Normal 12 4 4 4" xfId="18571" xr:uid="{4E485122-DD27-4BEB-A286-C85B690779A0}"/>
    <cellStyle name="Normal 12 4 4 5" xfId="27006" xr:uid="{E5D86ED2-1FB5-4E39-A157-6D68D93FCC59}"/>
    <cellStyle name="Normal 12 4 4 6" xfId="10133" xr:uid="{980FA76D-1AC3-447A-B676-55A18AE710EC}"/>
    <cellStyle name="Normal 12 4 5" xfId="2018" xr:uid="{00000000-0005-0000-0000-0000520E0000}"/>
    <cellStyle name="Normal 12 4 5 2" xfId="4247" xr:uid="{00000000-0005-0000-0000-0000530E0000}"/>
    <cellStyle name="Normal 12 4 5 2 2" xfId="8470" xr:uid="{00000000-0005-0000-0000-0000540E0000}"/>
    <cellStyle name="Normal 12 4 5 2 2 2" xfId="25347" xr:uid="{14EAC2AF-9D47-44FF-A55F-A813A7C7F94F}"/>
    <cellStyle name="Normal 12 4 5 2 2 3" xfId="33781" xr:uid="{0265B56E-59CD-4991-9A1B-4E4A18E75CBF}"/>
    <cellStyle name="Normal 12 4 5 2 2 4" xfId="16909" xr:uid="{0AE3BEED-C543-47E4-AFEC-E3D0992A460B}"/>
    <cellStyle name="Normal 12 4 5 2 3" xfId="21129" xr:uid="{7B1C12AC-FD51-4CAE-839D-8D5033C6EA76}"/>
    <cellStyle name="Normal 12 4 5 2 4" xfId="29564" xr:uid="{777C1325-F72E-46BE-A281-15BB030D0742}"/>
    <cellStyle name="Normal 12 4 5 2 5" xfId="12691" xr:uid="{D0428825-2918-42AF-84EC-30B19804C2B7}"/>
    <cellStyle name="Normal 12 4 5 3" xfId="6325" xr:uid="{00000000-0005-0000-0000-0000550E0000}"/>
    <cellStyle name="Normal 12 4 5 3 2" xfId="23202" xr:uid="{07C7A385-64A0-4D09-8E82-257CD135C61C}"/>
    <cellStyle name="Normal 12 4 5 3 3" xfId="31636" xr:uid="{B035B815-ED86-4308-A85D-73FA0572DF9D}"/>
    <cellStyle name="Normal 12 4 5 3 4" xfId="14764" xr:uid="{3941E387-7DB4-47B1-AA5E-7CD289FEF6FE}"/>
    <cellStyle name="Normal 12 4 5 4" xfId="18984" xr:uid="{6138D6EF-05ED-4F75-B1A6-647B3E44AA9B}"/>
    <cellStyle name="Normal 12 4 5 5" xfId="27419" xr:uid="{6D631963-D9F7-43ED-9DCC-8BCAA0E1BE46}"/>
    <cellStyle name="Normal 12 4 5 6" xfId="10546" xr:uid="{F097E7B0-2F1B-46B8-A8B9-DFFC03AB763A}"/>
    <cellStyle name="Normal 12 4 6" xfId="2454" xr:uid="{00000000-0005-0000-0000-0000560E0000}"/>
    <cellStyle name="Normal 12 4 6 2" xfId="6738" xr:uid="{00000000-0005-0000-0000-0000570E0000}"/>
    <cellStyle name="Normal 12 4 6 2 2" xfId="23615" xr:uid="{20F968CA-3D4F-4F60-9E07-8F2EE3BDE4DB}"/>
    <cellStyle name="Normal 12 4 6 2 3" xfId="32049" xr:uid="{BE024218-2727-40F9-865A-B0CAE06D60B7}"/>
    <cellStyle name="Normal 12 4 6 2 4" xfId="15177" xr:uid="{6B613413-F989-4C7A-BAF6-6B11DFD11FF3}"/>
    <cellStyle name="Normal 12 4 6 3" xfId="19397" xr:uid="{9BACAE75-BC0A-4CE3-8E85-3F2CF2FFA736}"/>
    <cellStyle name="Normal 12 4 6 4" xfId="27832" xr:uid="{49ADCEE0-25C5-4E9E-9C93-5A2E09317DF8}"/>
    <cellStyle name="Normal 12 4 6 5" xfId="10959" xr:uid="{C8C4ED81-5E72-4EF5-81C3-0AC0B3C2F092}"/>
    <cellStyle name="Normal 12 4 7" xfId="4672" xr:uid="{00000000-0005-0000-0000-0000580E0000}"/>
    <cellStyle name="Normal 12 4 7 2" xfId="21549" xr:uid="{A26EEB81-6180-4C4D-99E4-F3A701120AEF}"/>
    <cellStyle name="Normal 12 4 7 3" xfId="29983" xr:uid="{D178BB91-4FF7-4264-B375-E8FDE7B972F7}"/>
    <cellStyle name="Normal 12 4 7 4" xfId="13111" xr:uid="{F9833D81-9443-46F7-8488-E4370A208E26}"/>
    <cellStyle name="Normal 12 4 8" xfId="17331" xr:uid="{B90F0170-BB75-4780-910E-FBA565B1A51E}"/>
    <cellStyle name="Normal 12 4 9" xfId="25766" xr:uid="{2844C8FE-8D03-451D-B171-404135A97F5C}"/>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24101" xr:uid="{F84CDE9C-5279-4D1A-8BBA-8FF10D15E771}"/>
    <cellStyle name="Normal 12 6 2 2 3" xfId="32535" xr:uid="{2E8FB029-13E2-4F6A-9E3A-153EF7485613}"/>
    <cellStyle name="Normal 12 6 2 2 4" xfId="15663" xr:uid="{E2FA4429-7660-4E32-B996-60D7458873EA}"/>
    <cellStyle name="Normal 12 6 2 3" xfId="19883" xr:uid="{8139E046-A33B-4E15-B34C-724474DB5326}"/>
    <cellStyle name="Normal 12 6 2 4" xfId="28318" xr:uid="{1D9E3352-03DC-4810-A8A5-00153E4DE709}"/>
    <cellStyle name="Normal 12 6 2 5" xfId="11445" xr:uid="{74C9973B-85B0-438C-92BF-E5BD3172F6D9}"/>
    <cellStyle name="Normal 12 6 3" xfId="5079" xr:uid="{00000000-0005-0000-0000-00005D0E0000}"/>
    <cellStyle name="Normal 12 6 3 2" xfId="21956" xr:uid="{E21323E0-0EC5-40EB-BDE8-00B1A3BC69F3}"/>
    <cellStyle name="Normal 12 6 3 3" xfId="30390" xr:uid="{07641079-535B-4C2C-A0AA-618BB4A38658}"/>
    <cellStyle name="Normal 12 6 3 4" xfId="13518" xr:uid="{53A258EC-6831-4C5C-8767-9D53CECD8CDC}"/>
    <cellStyle name="Normal 12 6 4" xfId="17738" xr:uid="{DCD4881D-F3E5-47C6-933D-7A372562080A}"/>
    <cellStyle name="Normal 12 6 5" xfId="26173" xr:uid="{3756E1D4-5B86-4006-BAC4-08E06D701022}"/>
    <cellStyle name="Normal 12 6 6" xfId="9300" xr:uid="{5F277842-ECC2-47D1-A734-95C1A124B45E}"/>
    <cellStyle name="Normal 12 7" xfId="1183" xr:uid="{00000000-0005-0000-0000-00005E0E0000}"/>
    <cellStyle name="Normal 12 7 2" xfId="3414" xr:uid="{00000000-0005-0000-0000-00005F0E0000}"/>
    <cellStyle name="Normal 12 7 2 2" xfId="7637" xr:uid="{00000000-0005-0000-0000-0000600E0000}"/>
    <cellStyle name="Normal 12 7 2 2 2" xfId="24514" xr:uid="{C73D2BF8-7D17-4D5F-B9E3-E28C0895CEFB}"/>
    <cellStyle name="Normal 12 7 2 2 3" xfId="32948" xr:uid="{16CC5EF0-2326-4539-8187-A39E9E3AC344}"/>
    <cellStyle name="Normal 12 7 2 2 4" xfId="16076" xr:uid="{508F6B7B-B046-4586-A017-DF8B58914D22}"/>
    <cellStyle name="Normal 12 7 2 3" xfId="20296" xr:uid="{D1DD7636-ADEF-4E71-9F29-5FB8C36C0401}"/>
    <cellStyle name="Normal 12 7 2 4" xfId="28731" xr:uid="{86BD9BC9-DF14-4BA6-B33E-4C1FD16B4A5E}"/>
    <cellStyle name="Normal 12 7 2 5" xfId="11858" xr:uid="{BA3951FD-608B-4BF9-86A8-255D9D612D78}"/>
    <cellStyle name="Normal 12 7 3" xfId="5492" xr:uid="{00000000-0005-0000-0000-0000610E0000}"/>
    <cellStyle name="Normal 12 7 3 2" xfId="22369" xr:uid="{B7B2E58A-4B77-4139-AED4-6808D11955C1}"/>
    <cellStyle name="Normal 12 7 3 3" xfId="30803" xr:uid="{5B59EA2C-330A-4D85-88A7-D8E68869DFDF}"/>
    <cellStyle name="Normal 12 7 3 4" xfId="13931" xr:uid="{A8A277DA-A0B9-49E5-B25B-E3CEC9368247}"/>
    <cellStyle name="Normal 12 7 4" xfId="18151" xr:uid="{BFDC80C3-2081-45C3-BB19-7CE9F5ED5827}"/>
    <cellStyle name="Normal 12 7 5" xfId="26586" xr:uid="{9C905C59-BE64-4778-BA53-32ACACE0432C}"/>
    <cellStyle name="Normal 12 7 6" xfId="9713" xr:uid="{268E6A0B-709C-4DC9-89E9-4F362A8B88BB}"/>
    <cellStyle name="Normal 12 8" xfId="1597" xr:uid="{00000000-0005-0000-0000-0000620E0000}"/>
    <cellStyle name="Normal 12 8 2" xfId="3827" xr:uid="{00000000-0005-0000-0000-0000630E0000}"/>
    <cellStyle name="Normal 12 8 2 2" xfId="8050" xr:uid="{00000000-0005-0000-0000-0000640E0000}"/>
    <cellStyle name="Normal 12 8 2 2 2" xfId="24927" xr:uid="{BF14CECD-147B-4548-8C91-E028DD5E7B5A}"/>
    <cellStyle name="Normal 12 8 2 2 3" xfId="33361" xr:uid="{A8E1DE23-B3C6-426F-B729-71E85B4B6C8B}"/>
    <cellStyle name="Normal 12 8 2 2 4" xfId="16489" xr:uid="{A9346548-3947-40A6-A9DF-E07CABF89B38}"/>
    <cellStyle name="Normal 12 8 2 3" xfId="20709" xr:uid="{FB6CFAD0-E332-4256-8035-E4EA444737E6}"/>
    <cellStyle name="Normal 12 8 2 4" xfId="29144" xr:uid="{CC72697F-6F91-4092-969E-C00E1FA42F96}"/>
    <cellStyle name="Normal 12 8 2 5" xfId="12271" xr:uid="{E476503F-C67B-4CD8-BFF8-5EB9CF627355}"/>
    <cellStyle name="Normal 12 8 3" xfId="5905" xr:uid="{00000000-0005-0000-0000-0000650E0000}"/>
    <cellStyle name="Normal 12 8 3 2" xfId="22782" xr:uid="{D34F55F1-943A-4D01-A6AF-DA8872969CF6}"/>
    <cellStyle name="Normal 12 8 3 3" xfId="31216" xr:uid="{5D04A79D-899C-45F2-9E3B-41B2E6663234}"/>
    <cellStyle name="Normal 12 8 3 4" xfId="14344" xr:uid="{37790E18-C057-45F6-A477-69741D5DC7BF}"/>
    <cellStyle name="Normal 12 8 4" xfId="18564" xr:uid="{CEC8C2F9-27D6-4F96-A1ED-AFDA94A00211}"/>
    <cellStyle name="Normal 12 8 5" xfId="26999" xr:uid="{36E63909-8188-4A25-9AD1-700F9114DD87}"/>
    <cellStyle name="Normal 12 8 6" xfId="10126" xr:uid="{7FF97F0C-6568-4C6E-A1FF-27E3FAA2E547}"/>
    <cellStyle name="Normal 12 9" xfId="2011" xr:uid="{00000000-0005-0000-0000-0000660E0000}"/>
    <cellStyle name="Normal 12 9 2" xfId="4240" xr:uid="{00000000-0005-0000-0000-0000670E0000}"/>
    <cellStyle name="Normal 12 9 2 2" xfId="8463" xr:uid="{00000000-0005-0000-0000-0000680E0000}"/>
    <cellStyle name="Normal 12 9 2 2 2" xfId="25340" xr:uid="{79816E54-0A15-47B4-A3E7-6247F89A0038}"/>
    <cellStyle name="Normal 12 9 2 2 3" xfId="33774" xr:uid="{D34CE3E3-37DB-4E7A-965F-8A1292FD77FA}"/>
    <cellStyle name="Normal 12 9 2 2 4" xfId="16902" xr:uid="{9C04E88C-466E-4DDB-A919-6F6B03D584BC}"/>
    <cellStyle name="Normal 12 9 2 3" xfId="21122" xr:uid="{83305C30-FDA5-43ED-BBFE-E3C737C73316}"/>
    <cellStyle name="Normal 12 9 2 4" xfId="29557" xr:uid="{27746809-DE6B-48B6-9C6D-52AB050FE494}"/>
    <cellStyle name="Normal 12 9 2 5" xfId="12684" xr:uid="{7DE6EAA2-5494-4D72-8686-D9FCA76EA6BB}"/>
    <cellStyle name="Normal 12 9 3" xfId="6318" xr:uid="{00000000-0005-0000-0000-0000690E0000}"/>
    <cellStyle name="Normal 12 9 3 2" xfId="23195" xr:uid="{85DFFE70-224B-48FD-8DF9-20C6298C4BAD}"/>
    <cellStyle name="Normal 12 9 3 3" xfId="31629" xr:uid="{73A62AC0-6B0C-445D-BA65-8C3111F590E2}"/>
    <cellStyle name="Normal 12 9 3 4" xfId="14757" xr:uid="{4EFDCD8E-3E9D-41E9-92E1-39CE3C291B2B}"/>
    <cellStyle name="Normal 12 9 4" xfId="18977" xr:uid="{654BC092-E95C-46A0-B0FF-EE4F5E23573A}"/>
    <cellStyle name="Normal 12 9 5" xfId="27412" xr:uid="{3D50776D-6734-4E48-BF1F-957720091A74}"/>
    <cellStyle name="Normal 12 9 6" xfId="10539" xr:uid="{A29A77FE-926F-4B06-B9FD-5AC90D92B9FB}"/>
    <cellStyle name="Normal 13" xfId="268" xr:uid="{00000000-0005-0000-0000-00006A0E0000}"/>
    <cellStyle name="Normal 13 2" xfId="269" xr:uid="{00000000-0005-0000-0000-00006B0E0000}"/>
    <cellStyle name="Normal 14" xfId="270" xr:uid="{00000000-0005-0000-0000-00006C0E0000}"/>
    <cellStyle name="Normal 14 10" xfId="8894" xr:uid="{606418FB-6502-4278-9222-5DEF1D1A7EF8}"/>
    <cellStyle name="Normal 14 2" xfId="768" xr:uid="{00000000-0005-0000-0000-00006D0E0000}"/>
    <cellStyle name="Normal 14 2 2" xfId="3009" xr:uid="{00000000-0005-0000-0000-00006E0E0000}"/>
    <cellStyle name="Normal 14 2 2 2" xfId="7232" xr:uid="{00000000-0005-0000-0000-00006F0E0000}"/>
    <cellStyle name="Normal 14 2 2 2 2" xfId="24109" xr:uid="{88B819F2-BD9D-44FC-8FA2-1E616142E068}"/>
    <cellStyle name="Normal 14 2 2 2 3" xfId="32543" xr:uid="{9AD7FA9C-A13F-4963-92D3-87980245D4EC}"/>
    <cellStyle name="Normal 14 2 2 2 4" xfId="15671" xr:uid="{1883D550-7913-4E1B-9CE6-0E21B197B37A}"/>
    <cellStyle name="Normal 14 2 2 3" xfId="19891" xr:uid="{F59051A6-8971-4C0B-B264-69099997C0C8}"/>
    <cellStyle name="Normal 14 2 2 4" xfId="28326" xr:uid="{EBA8FB0E-14AA-487B-8A6B-AF673FED87E4}"/>
    <cellStyle name="Normal 14 2 2 5" xfId="11453" xr:uid="{93EE0BAA-3296-43C4-ABB5-75ABC2D51940}"/>
    <cellStyle name="Normal 14 2 3" xfId="5087" xr:uid="{00000000-0005-0000-0000-0000700E0000}"/>
    <cellStyle name="Normal 14 2 3 2" xfId="21964" xr:uid="{745DB334-32AC-45C9-BE6C-E38FB54BAF6F}"/>
    <cellStyle name="Normal 14 2 3 3" xfId="30398" xr:uid="{5F4BDEC4-BBC5-46A0-A9C0-39AFA69CA64A}"/>
    <cellStyle name="Normal 14 2 3 4" xfId="13526" xr:uid="{514FF690-53BB-4D85-87CE-DDA1890B809F}"/>
    <cellStyle name="Normal 14 2 4" xfId="17746" xr:uid="{405BC609-3652-42FD-A048-C91ACAD259D3}"/>
    <cellStyle name="Normal 14 2 5" xfId="26181" xr:uid="{B30DC302-DF74-45CF-84B9-E20E52195033}"/>
    <cellStyle name="Normal 14 2 6" xfId="9308" xr:uid="{4D3E7E91-0E6D-46F6-A283-157BDDEDF66E}"/>
    <cellStyle name="Normal 14 3" xfId="1191" xr:uid="{00000000-0005-0000-0000-0000710E0000}"/>
    <cellStyle name="Normal 14 3 2" xfId="3422" xr:uid="{00000000-0005-0000-0000-0000720E0000}"/>
    <cellStyle name="Normal 14 3 2 2" xfId="7645" xr:uid="{00000000-0005-0000-0000-0000730E0000}"/>
    <cellStyle name="Normal 14 3 2 2 2" xfId="24522" xr:uid="{32546587-389A-4859-ABE6-303831EE448A}"/>
    <cellStyle name="Normal 14 3 2 2 3" xfId="32956" xr:uid="{C911349C-1A71-48DD-BCF7-6A3781BFB49D}"/>
    <cellStyle name="Normal 14 3 2 2 4" xfId="16084" xr:uid="{4DF4F9D4-2CD1-4FDA-817B-366909956CA1}"/>
    <cellStyle name="Normal 14 3 2 3" xfId="20304" xr:uid="{DCC616A4-D00C-4CEC-90E2-CB411CA9AAE3}"/>
    <cellStyle name="Normal 14 3 2 4" xfId="28739" xr:uid="{BC781032-9435-44E5-9FE5-CE066E7E1629}"/>
    <cellStyle name="Normal 14 3 2 5" xfId="11866" xr:uid="{60CA0034-C648-4797-8755-58C0C64CD452}"/>
    <cellStyle name="Normal 14 3 3" xfId="5500" xr:uid="{00000000-0005-0000-0000-0000740E0000}"/>
    <cellStyle name="Normal 14 3 3 2" xfId="22377" xr:uid="{9FDC34B7-C2CE-466F-91BB-828EC54C8D5E}"/>
    <cellStyle name="Normal 14 3 3 3" xfId="30811" xr:uid="{2D90D812-06E0-48A7-BCF7-F31A15922736}"/>
    <cellStyle name="Normal 14 3 3 4" xfId="13939" xr:uid="{1FA5DB3E-D354-48F8-A289-9591B6654C99}"/>
    <cellStyle name="Normal 14 3 4" xfId="18159" xr:uid="{36859C58-0AE3-42E4-806E-D9CCC7B3654E}"/>
    <cellStyle name="Normal 14 3 5" xfId="26594" xr:uid="{9961214D-008D-4D79-A00B-A4550DF81A81}"/>
    <cellStyle name="Normal 14 3 6" xfId="9721" xr:uid="{A3B3A4B8-F656-4664-B168-B8F3322EC8FC}"/>
    <cellStyle name="Normal 14 4" xfId="1605" xr:uid="{00000000-0005-0000-0000-0000750E0000}"/>
    <cellStyle name="Normal 14 4 2" xfId="3835" xr:uid="{00000000-0005-0000-0000-0000760E0000}"/>
    <cellStyle name="Normal 14 4 2 2" xfId="8058" xr:uid="{00000000-0005-0000-0000-0000770E0000}"/>
    <cellStyle name="Normal 14 4 2 2 2" xfId="24935" xr:uid="{141CBDC3-3FEB-4168-953D-1742B5BD6CC8}"/>
    <cellStyle name="Normal 14 4 2 2 3" xfId="33369" xr:uid="{58F9068F-0330-4F38-B18A-527E8A70081D}"/>
    <cellStyle name="Normal 14 4 2 2 4" xfId="16497" xr:uid="{1425AB96-D2FB-4589-BFCB-93FE85AB780A}"/>
    <cellStyle name="Normal 14 4 2 3" xfId="20717" xr:uid="{032D2FB9-5177-4664-BFB1-87D0E2510ABD}"/>
    <cellStyle name="Normal 14 4 2 4" xfId="29152" xr:uid="{EB082A14-B287-4E34-894D-ADA793219599}"/>
    <cellStyle name="Normal 14 4 2 5" xfId="12279" xr:uid="{BE921FCD-6922-40CE-A631-B3F8CD45CEE7}"/>
    <cellStyle name="Normal 14 4 3" xfId="5913" xr:uid="{00000000-0005-0000-0000-0000780E0000}"/>
    <cellStyle name="Normal 14 4 3 2" xfId="22790" xr:uid="{F5F5F60E-BA5E-475C-8B54-B51D373BF08E}"/>
    <cellStyle name="Normal 14 4 3 3" xfId="31224" xr:uid="{E21BBFB6-3DF3-42CE-80AB-C1A4217579F1}"/>
    <cellStyle name="Normal 14 4 3 4" xfId="14352" xr:uid="{EA872A34-4E69-4198-BEBD-2647EA2908D5}"/>
    <cellStyle name="Normal 14 4 4" xfId="18572" xr:uid="{7B4AA61B-4E15-43C8-816B-5E5021E7C63C}"/>
    <cellStyle name="Normal 14 4 5" xfId="27007" xr:uid="{D232E07B-9259-47E2-9072-05A7E52BB22D}"/>
    <cellStyle name="Normal 14 4 6" xfId="10134" xr:uid="{07F55A82-010E-48C3-AE70-1A26FD55D546}"/>
    <cellStyle name="Normal 14 5" xfId="2019" xr:uid="{00000000-0005-0000-0000-0000790E0000}"/>
    <cellStyle name="Normal 14 5 2" xfId="4248" xr:uid="{00000000-0005-0000-0000-00007A0E0000}"/>
    <cellStyle name="Normal 14 5 2 2" xfId="8471" xr:uid="{00000000-0005-0000-0000-00007B0E0000}"/>
    <cellStyle name="Normal 14 5 2 2 2" xfId="25348" xr:uid="{F97CBF23-26D0-4189-AA6B-067941977586}"/>
    <cellStyle name="Normal 14 5 2 2 3" xfId="33782" xr:uid="{5D7CE396-22A8-4617-8ED6-E18B8C935AE8}"/>
    <cellStyle name="Normal 14 5 2 2 4" xfId="16910" xr:uid="{3CBA971D-4B5A-4B09-B000-85283057A71F}"/>
    <cellStyle name="Normal 14 5 2 3" xfId="21130" xr:uid="{F6CAD10B-30C6-4029-A336-C86ED6A835C3}"/>
    <cellStyle name="Normal 14 5 2 4" xfId="29565" xr:uid="{DC26DF9E-C0B6-492B-9A72-FA26CB177973}"/>
    <cellStyle name="Normal 14 5 2 5" xfId="12692" xr:uid="{8A296D6F-F4DB-4D10-946F-80166A24A3C8}"/>
    <cellStyle name="Normal 14 5 3" xfId="6326" xr:uid="{00000000-0005-0000-0000-00007C0E0000}"/>
    <cellStyle name="Normal 14 5 3 2" xfId="23203" xr:uid="{1B1DD464-D942-4A98-B40C-AFA7C679B554}"/>
    <cellStyle name="Normal 14 5 3 3" xfId="31637" xr:uid="{3E4D03A1-16D5-4391-B631-6A974C676344}"/>
    <cellStyle name="Normal 14 5 3 4" xfId="14765" xr:uid="{18494AA2-B802-462E-8ED8-9328C05D41BA}"/>
    <cellStyle name="Normal 14 5 4" xfId="18985" xr:uid="{99D5893F-E418-4833-A969-061AF7C17B4E}"/>
    <cellStyle name="Normal 14 5 5" xfId="27420" xr:uid="{D5334EB4-AA4F-43A2-98F9-5EAF9E18AF92}"/>
    <cellStyle name="Normal 14 5 6" xfId="10547" xr:uid="{3177B2A8-2D7C-434C-A299-2978414F6BE9}"/>
    <cellStyle name="Normal 14 6" xfId="2455" xr:uid="{00000000-0005-0000-0000-00007D0E0000}"/>
    <cellStyle name="Normal 14 6 2" xfId="6739" xr:uid="{00000000-0005-0000-0000-00007E0E0000}"/>
    <cellStyle name="Normal 14 6 2 2" xfId="23616" xr:uid="{C1325AB2-2627-4686-A9E6-2BE9C234D8AD}"/>
    <cellStyle name="Normal 14 6 2 3" xfId="32050" xr:uid="{DF444432-9404-4148-A687-C12D5F213961}"/>
    <cellStyle name="Normal 14 6 2 4" xfId="15178" xr:uid="{CFF515C1-8BE6-4A98-9027-4DBFE58552E4}"/>
    <cellStyle name="Normal 14 6 3" xfId="19398" xr:uid="{C493E00C-3FF9-4FBA-92D9-34D0E515AFAD}"/>
    <cellStyle name="Normal 14 6 4" xfId="27833" xr:uid="{EFAA234A-CE84-4C36-A345-1B4D5CFCF5FF}"/>
    <cellStyle name="Normal 14 6 5" xfId="10960" xr:uid="{F17A0DB8-4563-4BB6-B85E-D2265954ADA8}"/>
    <cellStyle name="Normal 14 7" xfId="4673" xr:uid="{00000000-0005-0000-0000-00007F0E0000}"/>
    <cellStyle name="Normal 14 7 2" xfId="21550" xr:uid="{3D1CAAFA-C609-4485-BAE4-835A4EABB4B9}"/>
    <cellStyle name="Normal 14 7 3" xfId="29984" xr:uid="{E9702488-F8F1-4655-88E6-591E3656E596}"/>
    <cellStyle name="Normal 14 7 4" xfId="13112" xr:uid="{77078AF0-F670-4319-9D66-19BA0B3DC854}"/>
    <cellStyle name="Normal 14 8" xfId="17332" xr:uid="{F90802D5-DA07-465E-BFCC-FC9F4DF1C98F}"/>
    <cellStyle name="Normal 14 9" xfId="25767" xr:uid="{A006AC2A-ECC8-4115-8CE9-146AC1E6BDC7}"/>
    <cellStyle name="Normal 15" xfId="4496" xr:uid="{00000000-0005-0000-0000-0000800E0000}"/>
    <cellStyle name="Normal 15 2" xfId="21376" xr:uid="{C6378A55-8016-4D19-8D70-0AB8CD5CA115}"/>
    <cellStyle name="Normal 15 3" xfId="29810" xr:uid="{A8EBEED3-21C7-4402-A3CA-45380B033EB8}"/>
    <cellStyle name="Normal 15 4" xfId="12938" xr:uid="{618D99E2-E4BE-4FFE-BBA6-38B22D5CB9FA}"/>
    <cellStyle name="Normal 16" xfId="4500" xr:uid="{00000000-0005-0000-0000-0000810E0000}"/>
    <cellStyle name="Normal 16 2" xfId="8716" xr:uid="{00000000-0005-0000-0000-0000820E0000}"/>
    <cellStyle name="Normal 16 2 2" xfId="25593" xr:uid="{BB7F0095-4203-44D2-9271-C3A61B1EC89B}"/>
    <cellStyle name="Normal 16 2 3" xfId="34027" xr:uid="{E7F2E4B7-DAB2-4ADC-B0D5-D7DAC338D1E2}"/>
    <cellStyle name="Normal 16 2 4" xfId="17155" xr:uid="{6392BAC4-AA34-4537-99D3-9179253B2D37}"/>
    <cellStyle name="Normal 16 3" xfId="8719" xr:uid="{3DE1BEEB-61FA-4094-B10F-9E0444F68763}"/>
    <cellStyle name="Normal 16 3 2" xfId="8723" xr:uid="{FE0BC069-4698-40B2-814D-8E09719245E9}"/>
    <cellStyle name="Normal 16 3 2 2" xfId="17161" xr:uid="{B0EC6B9A-64AF-47F5-8B92-311B5AF0E09C}"/>
    <cellStyle name="Normal 16 3 3" xfId="25596" xr:uid="{D0FD5CEC-4D71-4843-90EB-F1747D1BBBF2}"/>
    <cellStyle name="Normal 16 3 4" xfId="34030" xr:uid="{A174CB49-EBC6-4F96-BDA8-8459CE145E5D}"/>
    <cellStyle name="Normal 16 3 5" xfId="17158" xr:uid="{5F4D33B3-D374-4621-937D-8A6DEC3217EA}"/>
    <cellStyle name="Normal 16 4" xfId="21379" xr:uid="{726F2319-5A0B-4CB2-BA5A-5F61E9A2C7A5}"/>
    <cellStyle name="Normal 16 5" xfId="29813" xr:uid="{E586FD01-387D-4508-898C-1F66E31C3EA9}"/>
    <cellStyle name="Normal 16 6" xfId="12941" xr:uid="{3E3C963B-2C03-4F2F-B0B6-4F44B3288DA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25349" xr:uid="{8DD01761-7ABC-4300-93F1-C9448DB0C754}"/>
    <cellStyle name="Normal 2 4 2 10 2 2 3" xfId="33783" xr:uid="{55560895-69C0-4D9F-B3AB-527EF6025516}"/>
    <cellStyle name="Normal 2 4 2 10 2 2 4" xfId="16911" xr:uid="{B442EC57-8F62-423B-8F20-E9FF39E9F45D}"/>
    <cellStyle name="Normal 2 4 2 10 2 3" xfId="21131" xr:uid="{5C4C36BE-C5C7-4D03-BB3D-39B4C7AAE423}"/>
    <cellStyle name="Normal 2 4 2 10 2 4" xfId="29566" xr:uid="{4975EB28-021B-4EB2-A1CC-E550AEAB8428}"/>
    <cellStyle name="Normal 2 4 2 10 2 5" xfId="12693" xr:uid="{F7AECAE9-7871-49C2-83DC-0216880FA0CA}"/>
    <cellStyle name="Normal 2 4 2 10 3" xfId="6327" xr:uid="{00000000-0005-0000-0000-0000910E0000}"/>
    <cellStyle name="Normal 2 4 2 10 3 2" xfId="23204" xr:uid="{459A50D6-239F-4386-81B3-E9361AAA27C4}"/>
    <cellStyle name="Normal 2 4 2 10 3 3" xfId="31638" xr:uid="{E94289B3-064C-4CD7-B23B-291631784081}"/>
    <cellStyle name="Normal 2 4 2 10 3 4" xfId="14766" xr:uid="{60001951-E668-498A-8019-13715CAE0BF2}"/>
    <cellStyle name="Normal 2 4 2 10 4" xfId="18986" xr:uid="{51F4BF39-06D2-4732-A9F0-4D56517779B5}"/>
    <cellStyle name="Normal 2 4 2 10 5" xfId="27421" xr:uid="{F3A30F12-2977-4437-B424-50AF4A871B86}"/>
    <cellStyle name="Normal 2 4 2 10 6" xfId="10548" xr:uid="{3A138EAD-3551-4CCD-9E9B-3B5464E4965C}"/>
    <cellStyle name="Normal 2 4 2 11" xfId="2456" xr:uid="{00000000-0005-0000-0000-0000920E0000}"/>
    <cellStyle name="Normal 2 4 2 11 2" xfId="6740" xr:uid="{00000000-0005-0000-0000-0000930E0000}"/>
    <cellStyle name="Normal 2 4 2 11 2 2" xfId="23617" xr:uid="{0C43AB7E-F13C-4E90-B27C-3C1C166B7827}"/>
    <cellStyle name="Normal 2 4 2 11 2 3" xfId="32051" xr:uid="{BD8C5480-2CF0-4B3A-B187-D26295CFB2F6}"/>
    <cellStyle name="Normal 2 4 2 11 2 4" xfId="15179" xr:uid="{B6D7BDD3-97FF-466A-9348-B5635A3B75AD}"/>
    <cellStyle name="Normal 2 4 2 11 3" xfId="19399" xr:uid="{EF797A9A-CE49-4BF3-A689-C616DCA30D2C}"/>
    <cellStyle name="Normal 2 4 2 11 4" xfId="27834" xr:uid="{E0AFFF9B-2A23-462F-85EF-E4A8363612F3}"/>
    <cellStyle name="Normal 2 4 2 11 5" xfId="10961" xr:uid="{57BE3182-3067-4C13-9E2A-B82B097ED83B}"/>
    <cellStyle name="Normal 2 4 2 12" xfId="4674" xr:uid="{00000000-0005-0000-0000-0000940E0000}"/>
    <cellStyle name="Normal 2 4 2 12 2" xfId="21551" xr:uid="{596D23A4-ECE8-4A71-960A-E88C9EC42142}"/>
    <cellStyle name="Normal 2 4 2 12 3" xfId="29985" xr:uid="{BF046C51-D75F-477F-91C1-1D752AC4744E}"/>
    <cellStyle name="Normal 2 4 2 12 4" xfId="13113" xr:uid="{47FC9C76-1D02-4622-AD7A-BB86E7F9E83C}"/>
    <cellStyle name="Normal 2 4 2 13" xfId="17333" xr:uid="{42E16208-DA63-482F-8936-2D73CB1B46B9}"/>
    <cellStyle name="Normal 2 4 2 14" xfId="25768" xr:uid="{8F52DF08-80B4-4608-AC76-1C2D203F4822}"/>
    <cellStyle name="Normal 2 4 2 15" xfId="8895" xr:uid="{DFF67FBB-698F-43CA-BDF1-A45E0DF2B96F}"/>
    <cellStyle name="Normal 2 4 2 2" xfId="280" xr:uid="{00000000-0005-0000-0000-0000950E0000}"/>
    <cellStyle name="Normal 2 4 2 3" xfId="281" xr:uid="{00000000-0005-0000-0000-0000960E0000}"/>
    <cellStyle name="Normal 2 4 2 3 10" xfId="4675" xr:uid="{00000000-0005-0000-0000-0000970E0000}"/>
    <cellStyle name="Normal 2 4 2 3 10 2" xfId="21552" xr:uid="{D0216DC6-87D4-4BEA-B0F8-16624CD9C384}"/>
    <cellStyle name="Normal 2 4 2 3 10 3" xfId="29986" xr:uid="{C16F3217-3252-4BDC-9D5D-C002537C8E8F}"/>
    <cellStyle name="Normal 2 4 2 3 10 4" xfId="13114" xr:uid="{A363B097-5E82-45BF-8B67-8807BC5AB275}"/>
    <cellStyle name="Normal 2 4 2 3 11" xfId="17334" xr:uid="{62C07996-AD50-45AF-8950-529197AA9F56}"/>
    <cellStyle name="Normal 2 4 2 3 12" xfId="25769" xr:uid="{C0441825-4677-442E-A004-3EF7940C9467}"/>
    <cellStyle name="Normal 2 4 2 3 13" xfId="8896" xr:uid="{C9531DA0-B2F9-44FD-8C1A-A7BEA2222C0C}"/>
    <cellStyle name="Normal 2 4 2 3 2" xfId="282" xr:uid="{00000000-0005-0000-0000-0000980E0000}"/>
    <cellStyle name="Normal 2 4 2 3 2 10" xfId="17335" xr:uid="{362664C3-3CEE-45B9-B54E-08E21A111282}"/>
    <cellStyle name="Normal 2 4 2 3 2 11" xfId="25770" xr:uid="{1B20B03D-5A8E-42A5-A208-2D8A0FCF5041}"/>
    <cellStyle name="Normal 2 4 2 3 2 12" xfId="8897" xr:uid="{3C78FAF5-2DE9-4458-8417-A0120EB07276}"/>
    <cellStyle name="Normal 2 4 2 3 2 2" xfId="283" xr:uid="{00000000-0005-0000-0000-0000990E0000}"/>
    <cellStyle name="Normal 2 4 2 3 2 2 10" xfId="25771" xr:uid="{CBE595E8-157B-42B4-8FAD-35494377A31E}"/>
    <cellStyle name="Normal 2 4 2 3 2 2 11" xfId="8898" xr:uid="{530F6AE8-16C1-4030-878A-6C9F54C387AF}"/>
    <cellStyle name="Normal 2 4 2 3 2 2 2" xfId="284" xr:uid="{00000000-0005-0000-0000-00009A0E0000}"/>
    <cellStyle name="Normal 2 4 2 3 2 2 2 10" xfId="8899" xr:uid="{27416102-84FE-4649-8700-E9C273F72342}"/>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24114" xr:uid="{038FACEE-7F78-40F1-AAFD-2417EB6259B1}"/>
    <cellStyle name="Normal 2 4 2 3 2 2 2 2 2 2 3" xfId="32548" xr:uid="{DACFF532-6402-43A9-9D25-599897683485}"/>
    <cellStyle name="Normal 2 4 2 3 2 2 2 2 2 2 4" xfId="15676" xr:uid="{61FEFEB8-E95B-4A98-BB5C-E99764A316E4}"/>
    <cellStyle name="Normal 2 4 2 3 2 2 2 2 2 3" xfId="19896" xr:uid="{FFBDC4DC-A8A9-4298-A615-E7E8E201FC50}"/>
    <cellStyle name="Normal 2 4 2 3 2 2 2 2 2 4" xfId="28331" xr:uid="{0BC06979-2212-4805-A91B-351CD5A414B4}"/>
    <cellStyle name="Normal 2 4 2 3 2 2 2 2 2 5" xfId="11458" xr:uid="{8AC28B3C-C763-4605-A270-BAEA60CADD45}"/>
    <cellStyle name="Normal 2 4 2 3 2 2 2 2 3" xfId="5092" xr:uid="{00000000-0005-0000-0000-00009E0E0000}"/>
    <cellStyle name="Normal 2 4 2 3 2 2 2 2 3 2" xfId="21969" xr:uid="{EE8DFE83-396E-418C-B8C3-243C8404A1BB}"/>
    <cellStyle name="Normal 2 4 2 3 2 2 2 2 3 3" xfId="30403" xr:uid="{FC70C807-9104-4CBC-AF86-82C6A7414A09}"/>
    <cellStyle name="Normal 2 4 2 3 2 2 2 2 3 4" xfId="13531" xr:uid="{18DCE087-D5C2-4412-BD05-C7E46045C13B}"/>
    <cellStyle name="Normal 2 4 2 3 2 2 2 2 4" xfId="17751" xr:uid="{3EBA4738-2E27-4178-9818-B1009BDFFA73}"/>
    <cellStyle name="Normal 2 4 2 3 2 2 2 2 5" xfId="26186" xr:uid="{44291191-8EF5-44A7-83FD-AD2A86054984}"/>
    <cellStyle name="Normal 2 4 2 3 2 2 2 2 6" xfId="9313" xr:uid="{681C55D0-9371-46B0-A276-5B4E545C4AA2}"/>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24527" xr:uid="{20BA2775-F046-464A-89D1-C32B14ECC4FD}"/>
    <cellStyle name="Normal 2 4 2 3 2 2 2 3 2 2 3" xfId="32961" xr:uid="{52ADDEAA-766C-42F5-8578-C3D761D803F4}"/>
    <cellStyle name="Normal 2 4 2 3 2 2 2 3 2 2 4" xfId="16089" xr:uid="{3B0E5F3B-41E0-423E-8C0E-05210857CC44}"/>
    <cellStyle name="Normal 2 4 2 3 2 2 2 3 2 3" xfId="20309" xr:uid="{51CE54AD-DBE6-434C-BA24-FCF78CB617DD}"/>
    <cellStyle name="Normal 2 4 2 3 2 2 2 3 2 4" xfId="28744" xr:uid="{9B8CD599-1744-45B9-AB9C-79B3981AC787}"/>
    <cellStyle name="Normal 2 4 2 3 2 2 2 3 2 5" xfId="11871" xr:uid="{894C06D6-04D8-41A6-BF39-98F5A3FD5337}"/>
    <cellStyle name="Normal 2 4 2 3 2 2 2 3 3" xfId="5505" xr:uid="{00000000-0005-0000-0000-0000A20E0000}"/>
    <cellStyle name="Normal 2 4 2 3 2 2 2 3 3 2" xfId="22382" xr:uid="{90DFCF5E-1BE2-46FC-B46F-C723A22E777B}"/>
    <cellStyle name="Normal 2 4 2 3 2 2 2 3 3 3" xfId="30816" xr:uid="{914CD650-9E9A-49AB-B843-D356295B110D}"/>
    <cellStyle name="Normal 2 4 2 3 2 2 2 3 3 4" xfId="13944" xr:uid="{6B8A7D77-A9DE-4597-8A33-5F7C661768D9}"/>
    <cellStyle name="Normal 2 4 2 3 2 2 2 3 4" xfId="18164" xr:uid="{24829361-D8B8-449C-83E1-7672860B9FB2}"/>
    <cellStyle name="Normal 2 4 2 3 2 2 2 3 5" xfId="26599" xr:uid="{2914546A-2754-4033-A6F5-1F2D74590EAD}"/>
    <cellStyle name="Normal 2 4 2 3 2 2 2 3 6" xfId="9726" xr:uid="{D5BA29D9-4F57-4EA5-843F-B9C2FD917D7F}"/>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24940" xr:uid="{5A6D3ADE-03C5-4BAC-B251-50217E6D8383}"/>
    <cellStyle name="Normal 2 4 2 3 2 2 2 4 2 2 3" xfId="33374" xr:uid="{00A954E1-ED57-481D-8781-B3E0F5EBD685}"/>
    <cellStyle name="Normal 2 4 2 3 2 2 2 4 2 2 4" xfId="16502" xr:uid="{7639A376-C88E-4DB8-9C45-C06C3CEEA09E}"/>
    <cellStyle name="Normal 2 4 2 3 2 2 2 4 2 3" xfId="20722" xr:uid="{1D6569F0-4873-4CC2-9EDB-BDA88F595FBF}"/>
    <cellStyle name="Normal 2 4 2 3 2 2 2 4 2 4" xfId="29157" xr:uid="{A770BE19-A57C-43B5-AE5D-67343FAC3379}"/>
    <cellStyle name="Normal 2 4 2 3 2 2 2 4 2 5" xfId="12284" xr:uid="{317796B4-3088-49AA-84D9-C1D9ABA458ED}"/>
    <cellStyle name="Normal 2 4 2 3 2 2 2 4 3" xfId="5918" xr:uid="{00000000-0005-0000-0000-0000A60E0000}"/>
    <cellStyle name="Normal 2 4 2 3 2 2 2 4 3 2" xfId="22795" xr:uid="{A256B083-16E7-4EE3-A276-8EEB80CB43CB}"/>
    <cellStyle name="Normal 2 4 2 3 2 2 2 4 3 3" xfId="31229" xr:uid="{29D9EEBE-1AD8-4198-B109-40CD6539B9DB}"/>
    <cellStyle name="Normal 2 4 2 3 2 2 2 4 3 4" xfId="14357" xr:uid="{DD457249-25EB-44EC-B651-214162F7AA31}"/>
    <cellStyle name="Normal 2 4 2 3 2 2 2 4 4" xfId="18577" xr:uid="{62543419-CEF8-4F31-BABA-B82EF0AFD270}"/>
    <cellStyle name="Normal 2 4 2 3 2 2 2 4 5" xfId="27012" xr:uid="{77A5E9CF-E3F8-4D37-AC1A-2DC733B42BE6}"/>
    <cellStyle name="Normal 2 4 2 3 2 2 2 4 6" xfId="10139" xr:uid="{3EFE1292-119A-49A2-B730-E0157EF728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25353" xr:uid="{34DA58CD-C9C9-4E93-864F-24A32E81CFE3}"/>
    <cellStyle name="Normal 2 4 2 3 2 2 2 5 2 2 3" xfId="33787" xr:uid="{9A12DBF0-B14E-4D8A-871F-E965C0EA3E84}"/>
    <cellStyle name="Normal 2 4 2 3 2 2 2 5 2 2 4" xfId="16915" xr:uid="{3C3D622E-5E97-4629-9C6F-199AAE044A7F}"/>
    <cellStyle name="Normal 2 4 2 3 2 2 2 5 2 3" xfId="21135" xr:uid="{F70A5B3B-2439-4659-B74A-3BE11662580D}"/>
    <cellStyle name="Normal 2 4 2 3 2 2 2 5 2 4" xfId="29570" xr:uid="{B8AA6CF6-2AE7-45C9-94B4-00766C2292A5}"/>
    <cellStyle name="Normal 2 4 2 3 2 2 2 5 2 5" xfId="12697" xr:uid="{3F0DFFE1-5A59-4C50-BD98-2E263FB80117}"/>
    <cellStyle name="Normal 2 4 2 3 2 2 2 5 3" xfId="6331" xr:uid="{00000000-0005-0000-0000-0000AA0E0000}"/>
    <cellStyle name="Normal 2 4 2 3 2 2 2 5 3 2" xfId="23208" xr:uid="{6D626261-739B-44BA-87A7-BBA1FEDCDD3A}"/>
    <cellStyle name="Normal 2 4 2 3 2 2 2 5 3 3" xfId="31642" xr:uid="{48F10923-2EA6-4467-88B9-93F391475BDB}"/>
    <cellStyle name="Normal 2 4 2 3 2 2 2 5 3 4" xfId="14770" xr:uid="{3243E419-D8D4-4410-9B63-D6B733B91253}"/>
    <cellStyle name="Normal 2 4 2 3 2 2 2 5 4" xfId="18990" xr:uid="{9247D09C-8689-42D8-A5D8-B012083D0206}"/>
    <cellStyle name="Normal 2 4 2 3 2 2 2 5 5" xfId="27425" xr:uid="{55DE4A0D-95DC-4500-9B4C-C7959DAFBD34}"/>
    <cellStyle name="Normal 2 4 2 3 2 2 2 5 6" xfId="10552" xr:uid="{13B104BE-88A7-4813-925A-23BA222190C9}"/>
    <cellStyle name="Normal 2 4 2 3 2 2 2 6" xfId="2460" xr:uid="{00000000-0005-0000-0000-0000AB0E0000}"/>
    <cellStyle name="Normal 2 4 2 3 2 2 2 6 2" xfId="6744" xr:uid="{00000000-0005-0000-0000-0000AC0E0000}"/>
    <cellStyle name="Normal 2 4 2 3 2 2 2 6 2 2" xfId="23621" xr:uid="{5715E522-7870-4F24-99FB-7AE315B91A14}"/>
    <cellStyle name="Normal 2 4 2 3 2 2 2 6 2 3" xfId="32055" xr:uid="{920033C2-544A-407C-B8BF-59CD00779AF1}"/>
    <cellStyle name="Normal 2 4 2 3 2 2 2 6 2 4" xfId="15183" xr:uid="{0D515C91-E82E-420E-85E5-025FB801B740}"/>
    <cellStyle name="Normal 2 4 2 3 2 2 2 6 3" xfId="19403" xr:uid="{239C62A4-71D0-473D-B9CA-39ABD2A30998}"/>
    <cellStyle name="Normal 2 4 2 3 2 2 2 6 4" xfId="27838" xr:uid="{07B4AE54-D794-4E37-B1DC-0DE2EE5EC441}"/>
    <cellStyle name="Normal 2 4 2 3 2 2 2 6 5" xfId="10965" xr:uid="{8B4EBC08-6AFC-478E-A268-A474477D024F}"/>
    <cellStyle name="Normal 2 4 2 3 2 2 2 7" xfId="4678" xr:uid="{00000000-0005-0000-0000-0000AD0E0000}"/>
    <cellStyle name="Normal 2 4 2 3 2 2 2 7 2" xfId="21555" xr:uid="{38DF424F-1D18-4517-AF0A-9810CF4DBD53}"/>
    <cellStyle name="Normal 2 4 2 3 2 2 2 7 3" xfId="29989" xr:uid="{21A2A741-0E35-419A-BE69-F166ECCF59CF}"/>
    <cellStyle name="Normal 2 4 2 3 2 2 2 7 4" xfId="13117" xr:uid="{A5CC900C-E94C-4306-96D4-245480C702E0}"/>
    <cellStyle name="Normal 2 4 2 3 2 2 2 8" xfId="17337" xr:uid="{BEA18697-B9FA-45AC-9D3D-9E538A1CCF62}"/>
    <cellStyle name="Normal 2 4 2 3 2 2 2 9" xfId="25772" xr:uid="{FB243D5B-8667-4ABB-9649-C58488D2A57F}"/>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24113" xr:uid="{CBE03E89-7296-4641-8D8E-BFF98FB3154D}"/>
    <cellStyle name="Normal 2 4 2 3 2 2 3 2 2 3" xfId="32547" xr:uid="{44F90F99-C675-4632-A2AE-ACA3B249EB33}"/>
    <cellStyle name="Normal 2 4 2 3 2 2 3 2 2 4" xfId="15675" xr:uid="{720BDAFA-D9E6-4B94-97DE-76608E0B05A7}"/>
    <cellStyle name="Normal 2 4 2 3 2 2 3 2 3" xfId="19895" xr:uid="{F563ECE8-E434-4868-9072-376A60AD0193}"/>
    <cellStyle name="Normal 2 4 2 3 2 2 3 2 4" xfId="28330" xr:uid="{402C5234-33E1-45B3-86F5-4079B281E709}"/>
    <cellStyle name="Normal 2 4 2 3 2 2 3 2 5" xfId="11457" xr:uid="{3D2B7696-14B8-439A-9339-ECEDD52493E6}"/>
    <cellStyle name="Normal 2 4 2 3 2 2 3 3" xfId="5091" xr:uid="{00000000-0005-0000-0000-0000B10E0000}"/>
    <cellStyle name="Normal 2 4 2 3 2 2 3 3 2" xfId="21968" xr:uid="{B15BED77-797F-428F-8DC3-215CBBF10BC9}"/>
    <cellStyle name="Normal 2 4 2 3 2 2 3 3 3" xfId="30402" xr:uid="{CDFB18F3-530D-4E1A-A1C1-49AA650E538F}"/>
    <cellStyle name="Normal 2 4 2 3 2 2 3 3 4" xfId="13530" xr:uid="{44776183-3344-4B35-8E66-1EB876753DC4}"/>
    <cellStyle name="Normal 2 4 2 3 2 2 3 4" xfId="17750" xr:uid="{8ED5F50C-764A-4EFD-8725-6128228A8C5C}"/>
    <cellStyle name="Normal 2 4 2 3 2 2 3 5" xfId="26185" xr:uid="{47CEB12E-BB6A-4DE5-8A21-45FCD38C602F}"/>
    <cellStyle name="Normal 2 4 2 3 2 2 3 6" xfId="9312" xr:uid="{BB142FC2-74D4-453B-8C5B-98EA5B56EF23}"/>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24526" xr:uid="{947FFBA9-6AF0-4147-82D5-3CA2A0ED7EDD}"/>
    <cellStyle name="Normal 2 4 2 3 2 2 4 2 2 3" xfId="32960" xr:uid="{6B390431-E4DD-411A-ADB6-BFE78BC6028B}"/>
    <cellStyle name="Normal 2 4 2 3 2 2 4 2 2 4" xfId="16088" xr:uid="{E4993FCA-4ED1-455A-9C92-A95D2D9873CA}"/>
    <cellStyle name="Normal 2 4 2 3 2 2 4 2 3" xfId="20308" xr:uid="{4E663C21-9A34-43AF-A4A2-87E6E62AA41C}"/>
    <cellStyle name="Normal 2 4 2 3 2 2 4 2 4" xfId="28743" xr:uid="{5A8E3337-46C2-45B0-B7B1-0FC519F88525}"/>
    <cellStyle name="Normal 2 4 2 3 2 2 4 2 5" xfId="11870" xr:uid="{B0B6392B-7E2F-4B4F-800D-F4DEF4E2E392}"/>
    <cellStyle name="Normal 2 4 2 3 2 2 4 3" xfId="5504" xr:uid="{00000000-0005-0000-0000-0000B50E0000}"/>
    <cellStyle name="Normal 2 4 2 3 2 2 4 3 2" xfId="22381" xr:uid="{51F5F350-6DD7-48D5-A89E-65F89E51818E}"/>
    <cellStyle name="Normal 2 4 2 3 2 2 4 3 3" xfId="30815" xr:uid="{C7C04590-9F54-4B08-9554-32C6C14261A8}"/>
    <cellStyle name="Normal 2 4 2 3 2 2 4 3 4" xfId="13943" xr:uid="{72E71018-2C6A-4454-9845-B8FB27256AC5}"/>
    <cellStyle name="Normal 2 4 2 3 2 2 4 4" xfId="18163" xr:uid="{E583C320-26A4-42B3-B918-EA37138355E6}"/>
    <cellStyle name="Normal 2 4 2 3 2 2 4 5" xfId="26598" xr:uid="{9C635A23-4A81-4A1F-B35E-3F6B513FF2AF}"/>
    <cellStyle name="Normal 2 4 2 3 2 2 4 6" xfId="9725" xr:uid="{CCC49E0D-87A6-46E6-8C4C-9A066117F98F}"/>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24939" xr:uid="{BDC32484-1DBA-4554-9999-DC005AC3D5A9}"/>
    <cellStyle name="Normal 2 4 2 3 2 2 5 2 2 3" xfId="33373" xr:uid="{49926B8A-DE19-4D80-8C08-41DE5D6469F6}"/>
    <cellStyle name="Normal 2 4 2 3 2 2 5 2 2 4" xfId="16501" xr:uid="{4D73C1F4-A925-4C51-87B3-B3B261B1B527}"/>
    <cellStyle name="Normal 2 4 2 3 2 2 5 2 3" xfId="20721" xr:uid="{E445F10E-0A6C-4880-A40B-2E86855466AB}"/>
    <cellStyle name="Normal 2 4 2 3 2 2 5 2 4" xfId="29156" xr:uid="{03382F37-CC90-43BD-80B6-218F92DD9067}"/>
    <cellStyle name="Normal 2 4 2 3 2 2 5 2 5" xfId="12283" xr:uid="{4B7B7D30-43E2-4D55-B595-9168F9029E14}"/>
    <cellStyle name="Normal 2 4 2 3 2 2 5 3" xfId="5917" xr:uid="{00000000-0005-0000-0000-0000B90E0000}"/>
    <cellStyle name="Normal 2 4 2 3 2 2 5 3 2" xfId="22794" xr:uid="{ADA96A72-01AB-4332-BB2E-E84AB1550266}"/>
    <cellStyle name="Normal 2 4 2 3 2 2 5 3 3" xfId="31228" xr:uid="{66317DD2-CE0B-40D5-AE5C-CF160FB30DE2}"/>
    <cellStyle name="Normal 2 4 2 3 2 2 5 3 4" xfId="14356" xr:uid="{66C959D3-DEB5-4723-B387-D597290EE8FE}"/>
    <cellStyle name="Normal 2 4 2 3 2 2 5 4" xfId="18576" xr:uid="{8E099903-90FA-4E39-978C-B3992AA10801}"/>
    <cellStyle name="Normal 2 4 2 3 2 2 5 5" xfId="27011" xr:uid="{CE08F022-E1FA-4B0D-A577-11D8FA7A1217}"/>
    <cellStyle name="Normal 2 4 2 3 2 2 5 6" xfId="10138" xr:uid="{0F68357B-2B9F-4E39-BA5F-89953541F607}"/>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25352" xr:uid="{2CAC62A1-6825-4FD0-B91A-6360373D2D8B}"/>
    <cellStyle name="Normal 2 4 2 3 2 2 6 2 2 3" xfId="33786" xr:uid="{9002CA97-B5FB-4863-B592-F76ABC53E17F}"/>
    <cellStyle name="Normal 2 4 2 3 2 2 6 2 2 4" xfId="16914" xr:uid="{2694890F-3430-4A0D-8111-475975221891}"/>
    <cellStyle name="Normal 2 4 2 3 2 2 6 2 3" xfId="21134" xr:uid="{7084DB5B-CF42-49A1-ACAB-B9602EB3B042}"/>
    <cellStyle name="Normal 2 4 2 3 2 2 6 2 4" xfId="29569" xr:uid="{3913303F-0054-46DE-A629-C3D88009E568}"/>
    <cellStyle name="Normal 2 4 2 3 2 2 6 2 5" xfId="12696" xr:uid="{947C9F64-B876-4CDD-AD23-B6CB578DEB4D}"/>
    <cellStyle name="Normal 2 4 2 3 2 2 6 3" xfId="6330" xr:uid="{00000000-0005-0000-0000-0000BD0E0000}"/>
    <cellStyle name="Normal 2 4 2 3 2 2 6 3 2" xfId="23207" xr:uid="{1C3D8892-1EE2-41F4-886C-B77F712FE05F}"/>
    <cellStyle name="Normal 2 4 2 3 2 2 6 3 3" xfId="31641" xr:uid="{1E8341AE-C4C6-4428-92D7-526E58DA3CE4}"/>
    <cellStyle name="Normal 2 4 2 3 2 2 6 3 4" xfId="14769" xr:uid="{04D9BA7D-FB2C-48C8-A7D8-1A7BF0C3FE88}"/>
    <cellStyle name="Normal 2 4 2 3 2 2 6 4" xfId="18989" xr:uid="{3F0E90B2-108F-4747-B5D7-47C39D65B3B1}"/>
    <cellStyle name="Normal 2 4 2 3 2 2 6 5" xfId="27424" xr:uid="{F6426BFE-6A8D-43E4-8759-2A5943B4A7B1}"/>
    <cellStyle name="Normal 2 4 2 3 2 2 6 6" xfId="10551" xr:uid="{049EAA11-354C-4CA0-8776-DBCA7DF86415}"/>
    <cellStyle name="Normal 2 4 2 3 2 2 7" xfId="2459" xr:uid="{00000000-0005-0000-0000-0000BE0E0000}"/>
    <cellStyle name="Normal 2 4 2 3 2 2 7 2" xfId="6743" xr:uid="{00000000-0005-0000-0000-0000BF0E0000}"/>
    <cellStyle name="Normal 2 4 2 3 2 2 7 2 2" xfId="23620" xr:uid="{DA4F6D90-BE70-45F5-A61F-3B4CFEEE3A14}"/>
    <cellStyle name="Normal 2 4 2 3 2 2 7 2 3" xfId="32054" xr:uid="{AA3B717F-1191-4797-8F24-25A480EDAEE0}"/>
    <cellStyle name="Normal 2 4 2 3 2 2 7 2 4" xfId="15182" xr:uid="{6ABAD821-387B-4282-8525-94AD55308990}"/>
    <cellStyle name="Normal 2 4 2 3 2 2 7 3" xfId="19402" xr:uid="{8F5E7057-ECC0-425D-8355-4EFC3008CD4F}"/>
    <cellStyle name="Normal 2 4 2 3 2 2 7 4" xfId="27837" xr:uid="{81068FBA-5AF7-4A01-A494-2923ED6267FB}"/>
    <cellStyle name="Normal 2 4 2 3 2 2 7 5" xfId="10964" xr:uid="{E62C6638-05C7-4A4C-AE7B-48441678F3E8}"/>
    <cellStyle name="Normal 2 4 2 3 2 2 8" xfId="4677" xr:uid="{00000000-0005-0000-0000-0000C00E0000}"/>
    <cellStyle name="Normal 2 4 2 3 2 2 8 2" xfId="21554" xr:uid="{24F03F63-09E3-41EC-99AE-AE9C79EF144F}"/>
    <cellStyle name="Normal 2 4 2 3 2 2 8 3" xfId="29988" xr:uid="{D558A2C2-F4AE-48BE-A255-7CD29EF02AC4}"/>
    <cellStyle name="Normal 2 4 2 3 2 2 8 4" xfId="13116" xr:uid="{98A8DEE1-FBE9-4494-83E0-E29CBE33B480}"/>
    <cellStyle name="Normal 2 4 2 3 2 2 9" xfId="17336" xr:uid="{5F6EBDF5-795F-409E-AA02-0DDEF3445624}"/>
    <cellStyle name="Normal 2 4 2 3 2 3" xfId="285" xr:uid="{00000000-0005-0000-0000-0000C10E0000}"/>
    <cellStyle name="Normal 2 4 2 3 2 3 10" xfId="8900" xr:uid="{FF79AA61-0AB3-495A-8461-71846DF6295C}"/>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24115" xr:uid="{FE87E39B-9509-4AFA-A442-3B6AD4664FC8}"/>
    <cellStyle name="Normal 2 4 2 3 2 3 2 2 2 3" xfId="32549" xr:uid="{3E1687A3-F97C-47FC-9844-A67E0B65BF8A}"/>
    <cellStyle name="Normal 2 4 2 3 2 3 2 2 2 4" xfId="15677" xr:uid="{A5BDFB27-7799-43BD-B2FB-9A3A95B59808}"/>
    <cellStyle name="Normal 2 4 2 3 2 3 2 2 3" xfId="19897" xr:uid="{81D96B87-04F2-4EDD-B31F-186D57FC82CB}"/>
    <cellStyle name="Normal 2 4 2 3 2 3 2 2 4" xfId="28332" xr:uid="{86F4932F-0F3B-4724-9DD1-D93D2072EC19}"/>
    <cellStyle name="Normal 2 4 2 3 2 3 2 2 5" xfId="11459" xr:uid="{2EFA4275-B9A8-4F42-9732-BBB4B42E5C19}"/>
    <cellStyle name="Normal 2 4 2 3 2 3 2 3" xfId="5093" xr:uid="{00000000-0005-0000-0000-0000C50E0000}"/>
    <cellStyle name="Normal 2 4 2 3 2 3 2 3 2" xfId="21970" xr:uid="{9F514BB4-6EFA-4C2D-9396-AA26AD7EC52A}"/>
    <cellStyle name="Normal 2 4 2 3 2 3 2 3 3" xfId="30404" xr:uid="{5D14C361-168B-4AE9-BD80-321294E0A8B4}"/>
    <cellStyle name="Normal 2 4 2 3 2 3 2 3 4" xfId="13532" xr:uid="{89062382-143E-42C8-B110-E0C12CFEF40B}"/>
    <cellStyle name="Normal 2 4 2 3 2 3 2 4" xfId="17752" xr:uid="{0032D068-02A9-4015-97A9-FA5290B064E9}"/>
    <cellStyle name="Normal 2 4 2 3 2 3 2 5" xfId="26187" xr:uid="{9B66704C-8A0C-4A28-9BC4-417923B4E82A}"/>
    <cellStyle name="Normal 2 4 2 3 2 3 2 6" xfId="9314" xr:uid="{A9DC2DB3-CED6-4263-8C87-8471F65BA627}"/>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24528" xr:uid="{2C314882-77D9-4893-A4A3-9A631E597DDD}"/>
    <cellStyle name="Normal 2 4 2 3 2 3 3 2 2 3" xfId="32962" xr:uid="{B01D47F0-C154-4956-BBFC-3D67C94F7C7D}"/>
    <cellStyle name="Normal 2 4 2 3 2 3 3 2 2 4" xfId="16090" xr:uid="{0DDA6B58-06F1-4D67-AC8C-1FFA8EFC75EA}"/>
    <cellStyle name="Normal 2 4 2 3 2 3 3 2 3" xfId="20310" xr:uid="{94291ED2-9A2E-4DA2-885E-717C902E56DD}"/>
    <cellStyle name="Normal 2 4 2 3 2 3 3 2 4" xfId="28745" xr:uid="{47DFC84C-FE01-4BE2-83FC-C8FDB435E13B}"/>
    <cellStyle name="Normal 2 4 2 3 2 3 3 2 5" xfId="11872" xr:uid="{611E82D7-6ECB-4962-8A90-137C10A820D2}"/>
    <cellStyle name="Normal 2 4 2 3 2 3 3 3" xfId="5506" xr:uid="{00000000-0005-0000-0000-0000C90E0000}"/>
    <cellStyle name="Normal 2 4 2 3 2 3 3 3 2" xfId="22383" xr:uid="{B263A511-46B8-43BC-8BFE-075A7A5A15C1}"/>
    <cellStyle name="Normal 2 4 2 3 2 3 3 3 3" xfId="30817" xr:uid="{25036DA9-E07C-417F-BE7A-656469ADA27F}"/>
    <cellStyle name="Normal 2 4 2 3 2 3 3 3 4" xfId="13945" xr:uid="{96D0BCAD-276F-439A-9EE6-10F0C033EADE}"/>
    <cellStyle name="Normal 2 4 2 3 2 3 3 4" xfId="18165" xr:uid="{2E8FF634-E3C7-474F-99E9-E0BFCEA2AB99}"/>
    <cellStyle name="Normal 2 4 2 3 2 3 3 5" xfId="26600" xr:uid="{7B390BA2-B06C-40AB-A551-26E953CEDE78}"/>
    <cellStyle name="Normal 2 4 2 3 2 3 3 6" xfId="9727" xr:uid="{62045213-A2FF-4B18-98B7-5A72BAB21819}"/>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24941" xr:uid="{53B93A71-BB51-4D47-868F-316BBC7B5E4C}"/>
    <cellStyle name="Normal 2 4 2 3 2 3 4 2 2 3" xfId="33375" xr:uid="{DAD332C3-6D87-4FAB-922D-1A939BD19AAA}"/>
    <cellStyle name="Normal 2 4 2 3 2 3 4 2 2 4" xfId="16503" xr:uid="{1802E97A-B061-4471-BCCA-E1E96CE6A7FD}"/>
    <cellStyle name="Normal 2 4 2 3 2 3 4 2 3" xfId="20723" xr:uid="{07DD3331-9C6D-49E0-B51C-2F0548245536}"/>
    <cellStyle name="Normal 2 4 2 3 2 3 4 2 4" xfId="29158" xr:uid="{4244FFB9-9163-44EB-A494-1B87CD85B7E2}"/>
    <cellStyle name="Normal 2 4 2 3 2 3 4 2 5" xfId="12285" xr:uid="{75FB70B5-BC70-42CB-814C-0C60A897BE95}"/>
    <cellStyle name="Normal 2 4 2 3 2 3 4 3" xfId="5919" xr:uid="{00000000-0005-0000-0000-0000CD0E0000}"/>
    <cellStyle name="Normal 2 4 2 3 2 3 4 3 2" xfId="22796" xr:uid="{9910E7C9-6C69-4E67-A4BF-5D29150DCD36}"/>
    <cellStyle name="Normal 2 4 2 3 2 3 4 3 3" xfId="31230" xr:uid="{A9FBF338-D95E-4069-9811-9F0F9911324D}"/>
    <cellStyle name="Normal 2 4 2 3 2 3 4 3 4" xfId="14358" xr:uid="{DE7D0F3A-F008-4069-A0B7-B61D33D389D7}"/>
    <cellStyle name="Normal 2 4 2 3 2 3 4 4" xfId="18578" xr:uid="{C9AAF5FC-F38C-454B-9D24-791EADAC8D33}"/>
    <cellStyle name="Normal 2 4 2 3 2 3 4 5" xfId="27013" xr:uid="{93C7D726-E880-455D-9DC1-4A5463DB959D}"/>
    <cellStyle name="Normal 2 4 2 3 2 3 4 6" xfId="10140" xr:uid="{D2CBB302-4188-4E36-8358-4AD1BCD56169}"/>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25354" xr:uid="{7FB6C7EC-219B-4D63-90F0-CE0750F02CD6}"/>
    <cellStyle name="Normal 2 4 2 3 2 3 5 2 2 3" xfId="33788" xr:uid="{DD91BE96-6C8D-40CC-85D0-9685AE106E8B}"/>
    <cellStyle name="Normal 2 4 2 3 2 3 5 2 2 4" xfId="16916" xr:uid="{7390B603-BCF4-48DB-9B8B-3DC78A3CF525}"/>
    <cellStyle name="Normal 2 4 2 3 2 3 5 2 3" xfId="21136" xr:uid="{70BEF63A-9031-4970-B981-123C95E83217}"/>
    <cellStyle name="Normal 2 4 2 3 2 3 5 2 4" xfId="29571" xr:uid="{8C24505A-EEC3-45F7-8DBA-F233F781059B}"/>
    <cellStyle name="Normal 2 4 2 3 2 3 5 2 5" xfId="12698" xr:uid="{8814B5B6-96ED-4C0A-BAB7-C49D15626E33}"/>
    <cellStyle name="Normal 2 4 2 3 2 3 5 3" xfId="6332" xr:uid="{00000000-0005-0000-0000-0000D10E0000}"/>
    <cellStyle name="Normal 2 4 2 3 2 3 5 3 2" xfId="23209" xr:uid="{A7B8B128-DF1D-4C52-BE65-826D80C46898}"/>
    <cellStyle name="Normal 2 4 2 3 2 3 5 3 3" xfId="31643" xr:uid="{6F4E67DC-0982-4641-8CC5-658B1F114BBD}"/>
    <cellStyle name="Normal 2 4 2 3 2 3 5 3 4" xfId="14771" xr:uid="{7CBE0447-5266-46B7-A9ED-BAB1B27D7FDA}"/>
    <cellStyle name="Normal 2 4 2 3 2 3 5 4" xfId="18991" xr:uid="{9B7608DD-3D62-473C-9B96-1CE0171A087C}"/>
    <cellStyle name="Normal 2 4 2 3 2 3 5 5" xfId="27426" xr:uid="{8D234241-3B23-4767-9896-2321ECB2CA2B}"/>
    <cellStyle name="Normal 2 4 2 3 2 3 5 6" xfId="10553" xr:uid="{CED2A140-7701-4E0B-A57A-72515006EE3D}"/>
    <cellStyle name="Normal 2 4 2 3 2 3 6" xfId="2461" xr:uid="{00000000-0005-0000-0000-0000D20E0000}"/>
    <cellStyle name="Normal 2 4 2 3 2 3 6 2" xfId="6745" xr:uid="{00000000-0005-0000-0000-0000D30E0000}"/>
    <cellStyle name="Normal 2 4 2 3 2 3 6 2 2" xfId="23622" xr:uid="{A4E319E6-F559-4639-A1F9-F59F78C2AF5F}"/>
    <cellStyle name="Normal 2 4 2 3 2 3 6 2 3" xfId="32056" xr:uid="{E3D7BB07-3CFC-477E-9CDF-1323109501BF}"/>
    <cellStyle name="Normal 2 4 2 3 2 3 6 2 4" xfId="15184" xr:uid="{039F48E0-2E95-4419-9074-0328D17A7817}"/>
    <cellStyle name="Normal 2 4 2 3 2 3 6 3" xfId="19404" xr:uid="{D657CF75-7640-4469-883D-AEB3861281DE}"/>
    <cellStyle name="Normal 2 4 2 3 2 3 6 4" xfId="27839" xr:uid="{0927FD22-760C-45E3-BBD4-553FF31D39C4}"/>
    <cellStyle name="Normal 2 4 2 3 2 3 6 5" xfId="10966" xr:uid="{1909009D-3187-49A9-BEB5-8EBDFD893AA4}"/>
    <cellStyle name="Normal 2 4 2 3 2 3 7" xfId="4679" xr:uid="{00000000-0005-0000-0000-0000D40E0000}"/>
    <cellStyle name="Normal 2 4 2 3 2 3 7 2" xfId="21556" xr:uid="{54D055E2-F7B0-427F-8523-8D2EFD4D1A4A}"/>
    <cellStyle name="Normal 2 4 2 3 2 3 7 3" xfId="29990" xr:uid="{959DA4D7-5301-4EB6-928D-A710DC6B84D8}"/>
    <cellStyle name="Normal 2 4 2 3 2 3 7 4" xfId="13118" xr:uid="{FCFC53A4-7AA8-4BA7-9671-0D40EECE16E5}"/>
    <cellStyle name="Normal 2 4 2 3 2 3 8" xfId="17338" xr:uid="{18AEFED5-E4D7-4639-87D3-515AEB1BB69F}"/>
    <cellStyle name="Normal 2 4 2 3 2 3 9" xfId="25773" xr:uid="{B0F373CE-B52E-4487-9A54-90A350E3F9AA}"/>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24112" xr:uid="{28E8AD48-5EED-4946-B9C2-867FC7B18E5B}"/>
    <cellStyle name="Normal 2 4 2 3 2 4 2 2 3" xfId="32546" xr:uid="{1042A242-80DD-4A6B-9BFA-F51CAFA7494C}"/>
    <cellStyle name="Normal 2 4 2 3 2 4 2 2 4" xfId="15674" xr:uid="{46A39433-4F46-4734-BA7D-FCC0D95500CE}"/>
    <cellStyle name="Normal 2 4 2 3 2 4 2 3" xfId="19894" xr:uid="{D7C0F874-895A-4A79-8FC4-29CA2D20421B}"/>
    <cellStyle name="Normal 2 4 2 3 2 4 2 4" xfId="28329" xr:uid="{DEA444F0-CC7F-440B-94ED-B80486B4E770}"/>
    <cellStyle name="Normal 2 4 2 3 2 4 2 5" xfId="11456" xr:uid="{F90C186E-3856-44BA-B4E5-ADAC3CEEE5D9}"/>
    <cellStyle name="Normal 2 4 2 3 2 4 3" xfId="5090" xr:uid="{00000000-0005-0000-0000-0000D80E0000}"/>
    <cellStyle name="Normal 2 4 2 3 2 4 3 2" xfId="21967" xr:uid="{D4AE5082-E3E0-4DC5-8592-09B0C3E331E1}"/>
    <cellStyle name="Normal 2 4 2 3 2 4 3 3" xfId="30401" xr:uid="{A4712C8F-0E86-474A-A536-8BB488F734C7}"/>
    <cellStyle name="Normal 2 4 2 3 2 4 3 4" xfId="13529" xr:uid="{B1F50A11-916E-4B4E-9B7E-B305D6210104}"/>
    <cellStyle name="Normal 2 4 2 3 2 4 4" xfId="17749" xr:uid="{EF25EDAA-7A6C-4D4F-822F-38E21E5E7377}"/>
    <cellStyle name="Normal 2 4 2 3 2 4 5" xfId="26184" xr:uid="{F2BE1271-018C-46F9-9A00-196194173F8E}"/>
    <cellStyle name="Normal 2 4 2 3 2 4 6" xfId="9311" xr:uid="{23D64BA6-F265-46CD-8A1D-6E687D54DD82}"/>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24525" xr:uid="{860ECE97-9962-4F00-99ED-7C8C446D6C88}"/>
    <cellStyle name="Normal 2 4 2 3 2 5 2 2 3" xfId="32959" xr:uid="{3F9C06BC-B882-4E52-8808-619718138A85}"/>
    <cellStyle name="Normal 2 4 2 3 2 5 2 2 4" xfId="16087" xr:uid="{2F0B573E-183A-4020-818E-02C6C3C83B2B}"/>
    <cellStyle name="Normal 2 4 2 3 2 5 2 3" xfId="20307" xr:uid="{247F3786-E356-4045-85B6-E2812C8E6036}"/>
    <cellStyle name="Normal 2 4 2 3 2 5 2 4" xfId="28742" xr:uid="{394FCFC0-AC1D-4590-B516-B3D8B4F43A50}"/>
    <cellStyle name="Normal 2 4 2 3 2 5 2 5" xfId="11869" xr:uid="{708CA434-19E2-44BE-9C94-71C3A0E6CA3F}"/>
    <cellStyle name="Normal 2 4 2 3 2 5 3" xfId="5503" xr:uid="{00000000-0005-0000-0000-0000DC0E0000}"/>
    <cellStyle name="Normal 2 4 2 3 2 5 3 2" xfId="22380" xr:uid="{643C05A9-49E4-46B4-837A-CBEE36236618}"/>
    <cellStyle name="Normal 2 4 2 3 2 5 3 3" xfId="30814" xr:uid="{1330667A-EFA2-4EF6-A84F-2E4409517D03}"/>
    <cellStyle name="Normal 2 4 2 3 2 5 3 4" xfId="13942" xr:uid="{9EF769D8-EB41-40CC-B7DA-E509DA6083B9}"/>
    <cellStyle name="Normal 2 4 2 3 2 5 4" xfId="18162" xr:uid="{0E3EC6D6-9D28-4D94-969D-03BFEB8348BA}"/>
    <cellStyle name="Normal 2 4 2 3 2 5 5" xfId="26597" xr:uid="{99D99BEC-B239-4DA5-B04D-E49E47D0EAF7}"/>
    <cellStyle name="Normal 2 4 2 3 2 5 6" xfId="9724" xr:uid="{CA699052-E89F-4F4A-827A-396AF536BECE}"/>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24938" xr:uid="{6390D9EB-30A5-48E3-8B3C-C60310063183}"/>
    <cellStyle name="Normal 2 4 2 3 2 6 2 2 3" xfId="33372" xr:uid="{05FFFF8E-9EAD-419D-A1D9-690EA609C48E}"/>
    <cellStyle name="Normal 2 4 2 3 2 6 2 2 4" xfId="16500" xr:uid="{68F1A665-0AB1-4676-844B-60A71065FDAF}"/>
    <cellStyle name="Normal 2 4 2 3 2 6 2 3" xfId="20720" xr:uid="{30F46065-B2E5-4863-9A00-BAAEAABAACD7}"/>
    <cellStyle name="Normal 2 4 2 3 2 6 2 4" xfId="29155" xr:uid="{F3B09D01-C66F-4127-A722-200D945CEFBB}"/>
    <cellStyle name="Normal 2 4 2 3 2 6 2 5" xfId="12282" xr:uid="{7DE78559-33B7-477F-84CB-665384333C92}"/>
    <cellStyle name="Normal 2 4 2 3 2 6 3" xfId="5916" xr:uid="{00000000-0005-0000-0000-0000E00E0000}"/>
    <cellStyle name="Normal 2 4 2 3 2 6 3 2" xfId="22793" xr:uid="{977ED0D7-AF20-4C2B-BE45-E2428B8C21E1}"/>
    <cellStyle name="Normal 2 4 2 3 2 6 3 3" xfId="31227" xr:uid="{91E4DEEE-BD00-4292-A437-CDA91983363B}"/>
    <cellStyle name="Normal 2 4 2 3 2 6 3 4" xfId="14355" xr:uid="{E5470D08-C9E7-42DC-BD54-2A164A59689E}"/>
    <cellStyle name="Normal 2 4 2 3 2 6 4" xfId="18575" xr:uid="{7CDCA4A1-F211-403A-856F-C6172648D665}"/>
    <cellStyle name="Normal 2 4 2 3 2 6 5" xfId="27010" xr:uid="{59FC0281-B129-4D97-AE1A-A6BDD42B8831}"/>
    <cellStyle name="Normal 2 4 2 3 2 6 6" xfId="10137" xr:uid="{F4D00CD1-C0F6-46D0-97C4-BEFD2476460C}"/>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25351" xr:uid="{EE13AE5A-E1EC-4539-88A2-68AFAC86FA3E}"/>
    <cellStyle name="Normal 2 4 2 3 2 7 2 2 3" xfId="33785" xr:uid="{039888D4-1CED-4D09-A6E0-5F6C795A53D2}"/>
    <cellStyle name="Normal 2 4 2 3 2 7 2 2 4" xfId="16913" xr:uid="{00F964FA-F1A2-4977-9C99-671A96EFF89F}"/>
    <cellStyle name="Normal 2 4 2 3 2 7 2 3" xfId="21133" xr:uid="{D36CF8EA-A032-4EB1-94D2-83FB4B9C3F29}"/>
    <cellStyle name="Normal 2 4 2 3 2 7 2 4" xfId="29568" xr:uid="{3F08385D-1CA4-469D-B9B1-A4B69C0EC991}"/>
    <cellStyle name="Normal 2 4 2 3 2 7 2 5" xfId="12695" xr:uid="{1EA87F8E-4BAF-4807-B0F6-CE7584F4C7A4}"/>
    <cellStyle name="Normal 2 4 2 3 2 7 3" xfId="6329" xr:uid="{00000000-0005-0000-0000-0000E40E0000}"/>
    <cellStyle name="Normal 2 4 2 3 2 7 3 2" xfId="23206" xr:uid="{39F9BC45-C581-4C30-A332-D4C78B7AEE5B}"/>
    <cellStyle name="Normal 2 4 2 3 2 7 3 3" xfId="31640" xr:uid="{050F968F-CFBD-4297-A6B9-A67C1B7D591B}"/>
    <cellStyle name="Normal 2 4 2 3 2 7 3 4" xfId="14768" xr:uid="{A76802BC-BC4C-46EA-ABB8-7EB633E735B6}"/>
    <cellStyle name="Normal 2 4 2 3 2 7 4" xfId="18988" xr:uid="{7902D61D-86CC-4D33-8894-C91426CADD68}"/>
    <cellStyle name="Normal 2 4 2 3 2 7 5" xfId="27423" xr:uid="{7FA86288-EEA6-49E4-879E-A21E340E6414}"/>
    <cellStyle name="Normal 2 4 2 3 2 7 6" xfId="10550" xr:uid="{694EAA6B-6148-4B34-9965-261846643AA3}"/>
    <cellStyle name="Normal 2 4 2 3 2 8" xfId="2458" xr:uid="{00000000-0005-0000-0000-0000E50E0000}"/>
    <cellStyle name="Normal 2 4 2 3 2 8 2" xfId="6742" xr:uid="{00000000-0005-0000-0000-0000E60E0000}"/>
    <cellStyle name="Normal 2 4 2 3 2 8 2 2" xfId="23619" xr:uid="{F374B1B3-1EF5-478E-BBF4-94A94B11E0B3}"/>
    <cellStyle name="Normal 2 4 2 3 2 8 2 3" xfId="32053" xr:uid="{909E40E9-E15F-45D4-B3A9-AC3C2D245278}"/>
    <cellStyle name="Normal 2 4 2 3 2 8 2 4" xfId="15181" xr:uid="{08748067-E030-4CF1-860B-72003C37E1CB}"/>
    <cellStyle name="Normal 2 4 2 3 2 8 3" xfId="19401" xr:uid="{DFAFEDB6-C323-4A78-94D9-6102965AC92E}"/>
    <cellStyle name="Normal 2 4 2 3 2 8 4" xfId="27836" xr:uid="{864882B6-0FD9-4704-8662-2C09254AEA63}"/>
    <cellStyle name="Normal 2 4 2 3 2 8 5" xfId="10963" xr:uid="{3F0B4130-1CEB-442C-B4EC-F5181EBFA405}"/>
    <cellStyle name="Normal 2 4 2 3 2 9" xfId="4676" xr:uid="{00000000-0005-0000-0000-0000E70E0000}"/>
    <cellStyle name="Normal 2 4 2 3 2 9 2" xfId="21553" xr:uid="{762D8D8A-28F4-41BE-A90A-06537E396125}"/>
    <cellStyle name="Normal 2 4 2 3 2 9 3" xfId="29987" xr:uid="{7103D1E6-7CE7-4983-AC6A-24EA7E6CB700}"/>
    <cellStyle name="Normal 2 4 2 3 2 9 4" xfId="13115" xr:uid="{1A0907AA-936D-4CF4-AA95-64F5459E4807}"/>
    <cellStyle name="Normal 2 4 2 3 3" xfId="286" xr:uid="{00000000-0005-0000-0000-0000E80E0000}"/>
    <cellStyle name="Normal 2 4 2 3 3 10" xfId="25774" xr:uid="{7E915861-A11C-4DA8-9CB0-4B2B1DEE5E2C}"/>
    <cellStyle name="Normal 2 4 2 3 3 11" xfId="8901" xr:uid="{EF3920CB-8826-4203-935A-558CC67274E0}"/>
    <cellStyle name="Normal 2 4 2 3 3 2" xfId="287" xr:uid="{00000000-0005-0000-0000-0000E90E0000}"/>
    <cellStyle name="Normal 2 4 2 3 3 2 10" xfId="8902" xr:uid="{1B3B6DEF-00F9-4A4B-802E-7F133D21E07D}"/>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24117" xr:uid="{F309B69D-B555-4A45-8579-5720BF663670}"/>
    <cellStyle name="Normal 2 4 2 3 3 2 2 2 2 3" xfId="32551" xr:uid="{5D626A9B-0910-4F86-A937-0052D91D7C9E}"/>
    <cellStyle name="Normal 2 4 2 3 3 2 2 2 2 4" xfId="15679" xr:uid="{0DF4D3BB-13DB-43C8-A9B8-A00763B599D1}"/>
    <cellStyle name="Normal 2 4 2 3 3 2 2 2 3" xfId="19899" xr:uid="{A2C33C4C-28C3-4ED9-90FC-A8B6FD207F89}"/>
    <cellStyle name="Normal 2 4 2 3 3 2 2 2 4" xfId="28334" xr:uid="{EBDE34A0-6240-4625-A5AD-D5801D4F249E}"/>
    <cellStyle name="Normal 2 4 2 3 3 2 2 2 5" xfId="11461" xr:uid="{6C547866-F486-472C-ABF8-BDF6CBA165EF}"/>
    <cellStyle name="Normal 2 4 2 3 3 2 2 3" xfId="5095" xr:uid="{00000000-0005-0000-0000-0000ED0E0000}"/>
    <cellStyle name="Normal 2 4 2 3 3 2 2 3 2" xfId="21972" xr:uid="{9F0D98E7-2DB9-493B-88E4-717F557A53CD}"/>
    <cellStyle name="Normal 2 4 2 3 3 2 2 3 3" xfId="30406" xr:uid="{658EC630-662C-46F3-9098-0B02019F0CBB}"/>
    <cellStyle name="Normal 2 4 2 3 3 2 2 3 4" xfId="13534" xr:uid="{42852217-D043-4D82-9CE0-8F3C25C6B0F6}"/>
    <cellStyle name="Normal 2 4 2 3 3 2 2 4" xfId="17754" xr:uid="{EDC89DE0-76FF-4A71-BD22-1BA2288B1A3D}"/>
    <cellStyle name="Normal 2 4 2 3 3 2 2 5" xfId="26189" xr:uid="{C8AA938A-60E2-4F61-816E-8F3BDA5107C8}"/>
    <cellStyle name="Normal 2 4 2 3 3 2 2 6" xfId="9316" xr:uid="{33EA4105-AE2D-4BA5-B0A7-41E4D57AE0FC}"/>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24530" xr:uid="{896CB2CB-1923-42E8-A181-4856269A0823}"/>
    <cellStyle name="Normal 2 4 2 3 3 2 3 2 2 3" xfId="32964" xr:uid="{3436E08A-EEC5-436C-B702-155C4D6BF21C}"/>
    <cellStyle name="Normal 2 4 2 3 3 2 3 2 2 4" xfId="16092" xr:uid="{7030BF47-7BE3-4A87-B87F-F4FEFABCC85F}"/>
    <cellStyle name="Normal 2 4 2 3 3 2 3 2 3" xfId="20312" xr:uid="{DD1B4791-2450-4A93-A02E-F9EDD23FE99F}"/>
    <cellStyle name="Normal 2 4 2 3 3 2 3 2 4" xfId="28747" xr:uid="{D6331D8B-E8E9-4F60-B2B5-C8FD76E17DAC}"/>
    <cellStyle name="Normal 2 4 2 3 3 2 3 2 5" xfId="11874" xr:uid="{C78F321A-E683-47A9-9271-7FDC2E134A31}"/>
    <cellStyle name="Normal 2 4 2 3 3 2 3 3" xfId="5508" xr:uid="{00000000-0005-0000-0000-0000F10E0000}"/>
    <cellStyle name="Normal 2 4 2 3 3 2 3 3 2" xfId="22385" xr:uid="{AC52A87C-9F61-4FD0-B095-FDBB7B14CEBF}"/>
    <cellStyle name="Normal 2 4 2 3 3 2 3 3 3" xfId="30819" xr:uid="{C47CDA58-7F3A-42AD-939B-40C8C8C3AB2C}"/>
    <cellStyle name="Normal 2 4 2 3 3 2 3 3 4" xfId="13947" xr:uid="{2742EC87-7410-4F49-8C27-193BEF468D72}"/>
    <cellStyle name="Normal 2 4 2 3 3 2 3 4" xfId="18167" xr:uid="{F8F04E17-3F9E-456A-97AF-08E3C485D044}"/>
    <cellStyle name="Normal 2 4 2 3 3 2 3 5" xfId="26602" xr:uid="{C1E5DACF-94C6-4703-B52D-5D0A9AEC18D7}"/>
    <cellStyle name="Normal 2 4 2 3 3 2 3 6" xfId="9729" xr:uid="{85E49762-ED49-4072-BED2-57F121078A42}"/>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24943" xr:uid="{621350DE-1BF5-4E6E-BA17-C8D082A57515}"/>
    <cellStyle name="Normal 2 4 2 3 3 2 4 2 2 3" xfId="33377" xr:uid="{BD326A85-417C-4245-B4AB-D2B07FC74777}"/>
    <cellStyle name="Normal 2 4 2 3 3 2 4 2 2 4" xfId="16505" xr:uid="{5546F202-C16C-48F2-9CE8-9D8130D8175E}"/>
    <cellStyle name="Normal 2 4 2 3 3 2 4 2 3" xfId="20725" xr:uid="{CEDA2AD9-9C56-4C84-93F9-D35853467AB1}"/>
    <cellStyle name="Normal 2 4 2 3 3 2 4 2 4" xfId="29160" xr:uid="{7E8176C2-5D0A-4FBB-B54B-76364DDBCC21}"/>
    <cellStyle name="Normal 2 4 2 3 3 2 4 2 5" xfId="12287" xr:uid="{5F82AC9E-5DF5-49E3-BF60-5802D51FB0FA}"/>
    <cellStyle name="Normal 2 4 2 3 3 2 4 3" xfId="5921" xr:uid="{00000000-0005-0000-0000-0000F50E0000}"/>
    <cellStyle name="Normal 2 4 2 3 3 2 4 3 2" xfId="22798" xr:uid="{6C36B91B-740E-4597-BA48-CFBAAD04DD5F}"/>
    <cellStyle name="Normal 2 4 2 3 3 2 4 3 3" xfId="31232" xr:uid="{A51FE412-6267-40A1-BA7D-47DB7B74843E}"/>
    <cellStyle name="Normal 2 4 2 3 3 2 4 3 4" xfId="14360" xr:uid="{9FFF2C69-5F13-4FC1-8BE9-1138D66D3A5A}"/>
    <cellStyle name="Normal 2 4 2 3 3 2 4 4" xfId="18580" xr:uid="{D2A84523-1BB1-48E4-9801-9C0983568C69}"/>
    <cellStyle name="Normal 2 4 2 3 3 2 4 5" xfId="27015" xr:uid="{D1413D9D-8254-4BEA-A7F8-351169922761}"/>
    <cellStyle name="Normal 2 4 2 3 3 2 4 6" xfId="10142" xr:uid="{76AF688D-2DF1-4251-A7B2-B241786B5E66}"/>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25356" xr:uid="{675C9A00-2338-4A69-B8AB-44D0A4747856}"/>
    <cellStyle name="Normal 2 4 2 3 3 2 5 2 2 3" xfId="33790" xr:uid="{159FDA7F-C061-4337-A963-A6F83FEB5187}"/>
    <cellStyle name="Normal 2 4 2 3 3 2 5 2 2 4" xfId="16918" xr:uid="{18D73798-C74E-472C-82CE-B3131B236092}"/>
    <cellStyle name="Normal 2 4 2 3 3 2 5 2 3" xfId="21138" xr:uid="{636F9FD0-04A5-467E-A03C-9D39BE51CAD9}"/>
    <cellStyle name="Normal 2 4 2 3 3 2 5 2 4" xfId="29573" xr:uid="{26BAAA0C-8A17-457C-81A9-8BE0F6621D77}"/>
    <cellStyle name="Normal 2 4 2 3 3 2 5 2 5" xfId="12700" xr:uid="{BE5EE037-8FCF-4783-BC6D-B0A238B16D72}"/>
    <cellStyle name="Normal 2 4 2 3 3 2 5 3" xfId="6334" xr:uid="{00000000-0005-0000-0000-0000F90E0000}"/>
    <cellStyle name="Normal 2 4 2 3 3 2 5 3 2" xfId="23211" xr:uid="{24C04077-A416-4AF8-9FE1-764ACC7FEE62}"/>
    <cellStyle name="Normal 2 4 2 3 3 2 5 3 3" xfId="31645" xr:uid="{1E494F60-7AE6-4ABA-A171-1B7CDB47D6F8}"/>
    <cellStyle name="Normal 2 4 2 3 3 2 5 3 4" xfId="14773" xr:uid="{1C94E549-769B-486C-B265-B551E1BAFA52}"/>
    <cellStyle name="Normal 2 4 2 3 3 2 5 4" xfId="18993" xr:uid="{E1E0A254-147C-45D6-9D4F-94EC259D0CA9}"/>
    <cellStyle name="Normal 2 4 2 3 3 2 5 5" xfId="27428" xr:uid="{DF2418B4-1326-48E0-8F30-05D20AB61C50}"/>
    <cellStyle name="Normal 2 4 2 3 3 2 5 6" xfId="10555" xr:uid="{6575768E-A544-486A-AB78-DF3DC8BDE668}"/>
    <cellStyle name="Normal 2 4 2 3 3 2 6" xfId="2463" xr:uid="{00000000-0005-0000-0000-0000FA0E0000}"/>
    <cellStyle name="Normal 2 4 2 3 3 2 6 2" xfId="6747" xr:uid="{00000000-0005-0000-0000-0000FB0E0000}"/>
    <cellStyle name="Normal 2 4 2 3 3 2 6 2 2" xfId="23624" xr:uid="{E75FC081-1005-4D87-8E20-564ADE5BA03B}"/>
    <cellStyle name="Normal 2 4 2 3 3 2 6 2 3" xfId="32058" xr:uid="{E7A50D30-106B-425F-8938-5A295CF6D191}"/>
    <cellStyle name="Normal 2 4 2 3 3 2 6 2 4" xfId="15186" xr:uid="{805A36BC-EBD8-4F24-96E9-4DBFFBE837A1}"/>
    <cellStyle name="Normal 2 4 2 3 3 2 6 3" xfId="19406" xr:uid="{C6EB9FE7-6521-45CD-96A7-5F86247F7205}"/>
    <cellStyle name="Normal 2 4 2 3 3 2 6 4" xfId="27841" xr:uid="{691C3993-7011-4EBF-B89F-195B1EA8ABDF}"/>
    <cellStyle name="Normal 2 4 2 3 3 2 6 5" xfId="10968" xr:uid="{16D98483-7CBE-4A4C-9C81-F61B1CD4EB1B}"/>
    <cellStyle name="Normal 2 4 2 3 3 2 7" xfId="4681" xr:uid="{00000000-0005-0000-0000-0000FC0E0000}"/>
    <cellStyle name="Normal 2 4 2 3 3 2 7 2" xfId="21558" xr:uid="{3FC3750C-B727-4A47-A890-0FC6179EB0B1}"/>
    <cellStyle name="Normal 2 4 2 3 3 2 7 3" xfId="29992" xr:uid="{6E6CDB40-A54E-4E2B-9EE2-CDD54F4D2220}"/>
    <cellStyle name="Normal 2 4 2 3 3 2 7 4" xfId="13120" xr:uid="{05B9CE02-061F-44E5-AE9E-2A23A0870EC5}"/>
    <cellStyle name="Normal 2 4 2 3 3 2 8" xfId="17340" xr:uid="{802A0E28-9A57-42C5-A273-BA7E97EEFF07}"/>
    <cellStyle name="Normal 2 4 2 3 3 2 9" xfId="25775" xr:uid="{08B1FC50-4F8A-4994-B8A8-A4EA6502C7A5}"/>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24116" xr:uid="{953E6092-B3F9-492B-9A27-6F120B189FF8}"/>
    <cellStyle name="Normal 2 4 2 3 3 3 2 2 3" xfId="32550" xr:uid="{CA2EDB08-1680-4677-9B87-084317D8E448}"/>
    <cellStyle name="Normal 2 4 2 3 3 3 2 2 4" xfId="15678" xr:uid="{AD80E216-2F37-439D-82A5-D85EB68DAF45}"/>
    <cellStyle name="Normal 2 4 2 3 3 3 2 3" xfId="19898" xr:uid="{A8363242-5EC5-4D1A-85AB-4DD837B5A6F1}"/>
    <cellStyle name="Normal 2 4 2 3 3 3 2 4" xfId="28333" xr:uid="{CEC2CE14-2BAA-45C5-9C53-35561BDE3BD1}"/>
    <cellStyle name="Normal 2 4 2 3 3 3 2 5" xfId="11460" xr:uid="{EE29ADB4-B40C-4595-93B4-3AF3843CE5DE}"/>
    <cellStyle name="Normal 2 4 2 3 3 3 3" xfId="5094" xr:uid="{00000000-0005-0000-0000-0000000F0000}"/>
    <cellStyle name="Normal 2 4 2 3 3 3 3 2" xfId="21971" xr:uid="{03FA319E-7236-4837-A8A1-5E84D95DD720}"/>
    <cellStyle name="Normal 2 4 2 3 3 3 3 3" xfId="30405" xr:uid="{34002B8F-C1B3-4996-A693-C2C4AD994E3F}"/>
    <cellStyle name="Normal 2 4 2 3 3 3 3 4" xfId="13533" xr:uid="{CDBF7350-B305-46E6-B7F8-9D554358A0B9}"/>
    <cellStyle name="Normal 2 4 2 3 3 3 4" xfId="17753" xr:uid="{ECAC6379-A0B4-402F-9E92-DD4D158BE691}"/>
    <cellStyle name="Normal 2 4 2 3 3 3 5" xfId="26188" xr:uid="{5AA8DC2B-8FAA-4FD9-9816-71BFB0D5B52B}"/>
    <cellStyle name="Normal 2 4 2 3 3 3 6" xfId="9315" xr:uid="{30276362-356E-4A51-9765-8A7E2DCEECA8}"/>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24529" xr:uid="{94013837-1AEF-4E08-B8B6-0946C39DA627}"/>
    <cellStyle name="Normal 2 4 2 3 3 4 2 2 3" xfId="32963" xr:uid="{98E8A6A3-8682-4C36-8055-91468C14EA86}"/>
    <cellStyle name="Normal 2 4 2 3 3 4 2 2 4" xfId="16091" xr:uid="{8BBD7962-7F46-444E-B7C6-443E8E5BFCB6}"/>
    <cellStyle name="Normal 2 4 2 3 3 4 2 3" xfId="20311" xr:uid="{D7111826-4E26-4117-9030-8522E3EE8905}"/>
    <cellStyle name="Normal 2 4 2 3 3 4 2 4" xfId="28746" xr:uid="{B86EF864-B8C9-47F5-9121-830A7DB50440}"/>
    <cellStyle name="Normal 2 4 2 3 3 4 2 5" xfId="11873" xr:uid="{0F6D13D4-8515-40AB-A977-37AC36DDC189}"/>
    <cellStyle name="Normal 2 4 2 3 3 4 3" xfId="5507" xr:uid="{00000000-0005-0000-0000-0000040F0000}"/>
    <cellStyle name="Normal 2 4 2 3 3 4 3 2" xfId="22384" xr:uid="{53C2BC2D-91BC-4653-9233-77CC356E93BB}"/>
    <cellStyle name="Normal 2 4 2 3 3 4 3 3" xfId="30818" xr:uid="{C7FE495D-9EA6-494E-BC26-6EBF072C2192}"/>
    <cellStyle name="Normal 2 4 2 3 3 4 3 4" xfId="13946" xr:uid="{60AAAA65-2E68-43FD-91EE-FE8B5B77BD5F}"/>
    <cellStyle name="Normal 2 4 2 3 3 4 4" xfId="18166" xr:uid="{79D9C68E-9632-481C-BEE8-DDD5B15B99D9}"/>
    <cellStyle name="Normal 2 4 2 3 3 4 5" xfId="26601" xr:uid="{8152E36E-1A32-4579-A624-929DB551EEF5}"/>
    <cellStyle name="Normal 2 4 2 3 3 4 6" xfId="9728" xr:uid="{DE67B012-E849-430B-BD0A-20B715BF181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24942" xr:uid="{DD6D8F13-F6A9-4E77-B9DB-ABC4D1B4888D}"/>
    <cellStyle name="Normal 2 4 2 3 3 5 2 2 3" xfId="33376" xr:uid="{EA99CA79-3045-430C-BF86-60F45670CF84}"/>
    <cellStyle name="Normal 2 4 2 3 3 5 2 2 4" xfId="16504" xr:uid="{E20F1BD0-FD6B-4664-AB14-FFC7B4C35B42}"/>
    <cellStyle name="Normal 2 4 2 3 3 5 2 3" xfId="20724" xr:uid="{64E2ADD5-97C3-4BB1-9A52-193DC96517A2}"/>
    <cellStyle name="Normal 2 4 2 3 3 5 2 4" xfId="29159" xr:uid="{F62C9B00-551B-4C4C-9150-3B2B4FE6AAAA}"/>
    <cellStyle name="Normal 2 4 2 3 3 5 2 5" xfId="12286" xr:uid="{632E5B6B-A019-4997-9C1E-F1A549AA385C}"/>
    <cellStyle name="Normal 2 4 2 3 3 5 3" xfId="5920" xr:uid="{00000000-0005-0000-0000-0000080F0000}"/>
    <cellStyle name="Normal 2 4 2 3 3 5 3 2" xfId="22797" xr:uid="{FEA1F221-DF12-44E4-86D9-F1767E1B4A8E}"/>
    <cellStyle name="Normal 2 4 2 3 3 5 3 3" xfId="31231" xr:uid="{97F2154B-2962-4E41-9A63-7E186888FAF7}"/>
    <cellStyle name="Normal 2 4 2 3 3 5 3 4" xfId="14359" xr:uid="{7E325B26-970A-44DC-9C8D-33FC5A6BF164}"/>
    <cellStyle name="Normal 2 4 2 3 3 5 4" xfId="18579" xr:uid="{D858B23B-BECC-4B23-9FAD-035ED803FE4B}"/>
    <cellStyle name="Normal 2 4 2 3 3 5 5" xfId="27014" xr:uid="{33C74267-D67F-4730-842A-7098EF128D56}"/>
    <cellStyle name="Normal 2 4 2 3 3 5 6" xfId="10141" xr:uid="{E999768A-65F4-49A7-BC8F-53DB80AADD68}"/>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25355" xr:uid="{CB86DD33-657C-41FF-A870-F0F77744E4DC}"/>
    <cellStyle name="Normal 2 4 2 3 3 6 2 2 3" xfId="33789" xr:uid="{00BC4B03-7DE4-46BF-A0CC-91A6765A14D9}"/>
    <cellStyle name="Normal 2 4 2 3 3 6 2 2 4" xfId="16917" xr:uid="{6B66A423-6906-4E7B-8F72-90DC2ECCC7BD}"/>
    <cellStyle name="Normal 2 4 2 3 3 6 2 3" xfId="21137" xr:uid="{7542BA9B-B76C-44B8-B0F3-3EEBF67B2BB5}"/>
    <cellStyle name="Normal 2 4 2 3 3 6 2 4" xfId="29572" xr:uid="{FA75878E-D2BD-4D2D-AEE0-0CAE849E4452}"/>
    <cellStyle name="Normal 2 4 2 3 3 6 2 5" xfId="12699" xr:uid="{35364CC6-34A6-4E7E-9956-F4A42B92BFF4}"/>
    <cellStyle name="Normal 2 4 2 3 3 6 3" xfId="6333" xr:uid="{00000000-0005-0000-0000-00000C0F0000}"/>
    <cellStyle name="Normal 2 4 2 3 3 6 3 2" xfId="23210" xr:uid="{1489B40C-6A55-4B7F-B115-080F7D3E246E}"/>
    <cellStyle name="Normal 2 4 2 3 3 6 3 3" xfId="31644" xr:uid="{9C7342C2-6D28-4F7A-A5A6-FE7FD7973BCD}"/>
    <cellStyle name="Normal 2 4 2 3 3 6 3 4" xfId="14772" xr:uid="{DD0C0C61-F354-45EF-A9AA-DD5EEE96F5FE}"/>
    <cellStyle name="Normal 2 4 2 3 3 6 4" xfId="18992" xr:uid="{A197DB6C-5A8A-4AEB-87D2-5AD83A1AE007}"/>
    <cellStyle name="Normal 2 4 2 3 3 6 5" xfId="27427" xr:uid="{B9571D2B-B56C-4732-8346-583D52A8315D}"/>
    <cellStyle name="Normal 2 4 2 3 3 6 6" xfId="10554" xr:uid="{4218BBCA-A7D3-4634-AE75-A9836A11D131}"/>
    <cellStyle name="Normal 2 4 2 3 3 7" xfId="2462" xr:uid="{00000000-0005-0000-0000-00000D0F0000}"/>
    <cellStyle name="Normal 2 4 2 3 3 7 2" xfId="6746" xr:uid="{00000000-0005-0000-0000-00000E0F0000}"/>
    <cellStyle name="Normal 2 4 2 3 3 7 2 2" xfId="23623" xr:uid="{B2F96AC1-F897-43D8-A125-18B926B0BCAC}"/>
    <cellStyle name="Normal 2 4 2 3 3 7 2 3" xfId="32057" xr:uid="{97CA43E4-9190-4D46-8505-69CE4D7D65B3}"/>
    <cellStyle name="Normal 2 4 2 3 3 7 2 4" xfId="15185" xr:uid="{B9816197-9DF6-40BE-BA0C-E05B473CE39B}"/>
    <cellStyle name="Normal 2 4 2 3 3 7 3" xfId="19405" xr:uid="{C4E3BD14-2A9C-445D-89E5-F5BDBA5BA062}"/>
    <cellStyle name="Normal 2 4 2 3 3 7 4" xfId="27840" xr:uid="{19BED4A6-DBAB-4E25-8E1D-8F9DD78405EE}"/>
    <cellStyle name="Normal 2 4 2 3 3 7 5" xfId="10967" xr:uid="{1CF71A3A-AC0A-4C7A-BF9B-DF92C00CB15F}"/>
    <cellStyle name="Normal 2 4 2 3 3 8" xfId="4680" xr:uid="{00000000-0005-0000-0000-00000F0F0000}"/>
    <cellStyle name="Normal 2 4 2 3 3 8 2" xfId="21557" xr:uid="{F8E0D517-5CC4-415C-A978-F2F6E7965E4D}"/>
    <cellStyle name="Normal 2 4 2 3 3 8 3" xfId="29991" xr:uid="{55C5FC30-10A0-4670-AF85-59DB2AC2F8AA}"/>
    <cellStyle name="Normal 2 4 2 3 3 8 4" xfId="13119" xr:uid="{9D30D98B-C06B-4021-9FAF-18F3B0A2A050}"/>
    <cellStyle name="Normal 2 4 2 3 3 9" xfId="17339" xr:uid="{0F491AD1-236E-494B-8E81-1D93F08FDE96}"/>
    <cellStyle name="Normal 2 4 2 3 4" xfId="288" xr:uid="{00000000-0005-0000-0000-0000100F0000}"/>
    <cellStyle name="Normal 2 4 2 3 4 10" xfId="8903" xr:uid="{8FA0BE63-EE7A-48EC-8D92-F381EE7B57C5}"/>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24118" xr:uid="{A8553159-2BEC-48DE-9E45-E37874DB102E}"/>
    <cellStyle name="Normal 2 4 2 3 4 2 2 2 3" xfId="32552" xr:uid="{FDBBBDFA-1340-4FA8-8223-3EE41F722FED}"/>
    <cellStyle name="Normal 2 4 2 3 4 2 2 2 4" xfId="15680" xr:uid="{F2F3D686-8504-4919-8404-EE63EC0F9213}"/>
    <cellStyle name="Normal 2 4 2 3 4 2 2 3" xfId="19900" xr:uid="{B88C0024-F12E-4E2F-BFA6-9C7E67B88329}"/>
    <cellStyle name="Normal 2 4 2 3 4 2 2 4" xfId="28335" xr:uid="{31C90587-0084-4960-8FE4-66084272E098}"/>
    <cellStyle name="Normal 2 4 2 3 4 2 2 5" xfId="11462" xr:uid="{A1687552-DCF8-401B-BBD4-FB283FEDDBC3}"/>
    <cellStyle name="Normal 2 4 2 3 4 2 3" xfId="5096" xr:uid="{00000000-0005-0000-0000-0000140F0000}"/>
    <cellStyle name="Normal 2 4 2 3 4 2 3 2" xfId="21973" xr:uid="{D75FF943-2600-4E42-9B7A-2983AE21C2F9}"/>
    <cellStyle name="Normal 2 4 2 3 4 2 3 3" xfId="30407" xr:uid="{361205DE-33C7-4A82-BFAA-51B5138D6B4E}"/>
    <cellStyle name="Normal 2 4 2 3 4 2 3 4" xfId="13535" xr:uid="{7218DAF3-1AF6-4CEE-9503-238EF9072ADF}"/>
    <cellStyle name="Normal 2 4 2 3 4 2 4" xfId="17755" xr:uid="{B9BBB068-DDF1-42AA-A78F-D3C0BF6924CC}"/>
    <cellStyle name="Normal 2 4 2 3 4 2 5" xfId="26190" xr:uid="{9A8DC8A4-68C9-46DD-A962-7A7F96C5E778}"/>
    <cellStyle name="Normal 2 4 2 3 4 2 6" xfId="9317" xr:uid="{8AAA3279-9632-43EE-8D01-7D2B62974E7C}"/>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24531" xr:uid="{671BCC0C-015D-4F8D-968E-CA443E4C4E51}"/>
    <cellStyle name="Normal 2 4 2 3 4 3 2 2 3" xfId="32965" xr:uid="{B2D88B51-2765-4CFC-8CD9-B2A33BC66485}"/>
    <cellStyle name="Normal 2 4 2 3 4 3 2 2 4" xfId="16093" xr:uid="{CA7059A3-4AFD-45BA-83DC-3CA8D34F8C7B}"/>
    <cellStyle name="Normal 2 4 2 3 4 3 2 3" xfId="20313" xr:uid="{3C7E628E-4DF1-4D00-864F-E85454D5874C}"/>
    <cellStyle name="Normal 2 4 2 3 4 3 2 4" xfId="28748" xr:uid="{8DB88A59-4F2A-4A6E-BE44-9528D158465F}"/>
    <cellStyle name="Normal 2 4 2 3 4 3 2 5" xfId="11875" xr:uid="{5FFC941F-F817-451B-81C5-BB141FB22D3C}"/>
    <cellStyle name="Normal 2 4 2 3 4 3 3" xfId="5509" xr:uid="{00000000-0005-0000-0000-0000180F0000}"/>
    <cellStyle name="Normal 2 4 2 3 4 3 3 2" xfId="22386" xr:uid="{90C61C09-567A-4AB7-BC61-FCF995134D25}"/>
    <cellStyle name="Normal 2 4 2 3 4 3 3 3" xfId="30820" xr:uid="{44FF0305-A8F0-46DA-9168-08FC18522F9B}"/>
    <cellStyle name="Normal 2 4 2 3 4 3 3 4" xfId="13948" xr:uid="{45257F99-40CD-4EB0-B3A7-1F764E12880C}"/>
    <cellStyle name="Normal 2 4 2 3 4 3 4" xfId="18168" xr:uid="{B53A7519-18F4-47EB-AE51-9CE56158EB5D}"/>
    <cellStyle name="Normal 2 4 2 3 4 3 5" xfId="26603" xr:uid="{9C17A581-5ED8-47D5-B2C5-A9F751249AA1}"/>
    <cellStyle name="Normal 2 4 2 3 4 3 6" xfId="9730" xr:uid="{EEDFB435-4B11-4831-8294-382232F62CC9}"/>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24944" xr:uid="{27D75A43-67A9-4E35-8B2A-B7BA000180C4}"/>
    <cellStyle name="Normal 2 4 2 3 4 4 2 2 3" xfId="33378" xr:uid="{8D0A67A0-C345-47E7-80BA-19F2A7E9BD2E}"/>
    <cellStyle name="Normal 2 4 2 3 4 4 2 2 4" xfId="16506" xr:uid="{4ADA362F-59C6-4A2F-B803-B4DD5DACBEDF}"/>
    <cellStyle name="Normal 2 4 2 3 4 4 2 3" xfId="20726" xr:uid="{D8D9180A-8EAA-4FEF-B1FC-C4BF868DFF2E}"/>
    <cellStyle name="Normal 2 4 2 3 4 4 2 4" xfId="29161" xr:uid="{88F2D6CF-03ED-4249-BBC9-4287BBA3992E}"/>
    <cellStyle name="Normal 2 4 2 3 4 4 2 5" xfId="12288" xr:uid="{1BAB785A-032C-4FF6-8E6A-656218223DE1}"/>
    <cellStyle name="Normal 2 4 2 3 4 4 3" xfId="5922" xr:uid="{00000000-0005-0000-0000-00001C0F0000}"/>
    <cellStyle name="Normal 2 4 2 3 4 4 3 2" xfId="22799" xr:uid="{4B874BC1-069A-4C3C-923C-C43AE058EF87}"/>
    <cellStyle name="Normal 2 4 2 3 4 4 3 3" xfId="31233" xr:uid="{FAA2B836-AEB0-413A-B975-7EFCB46B5D9F}"/>
    <cellStyle name="Normal 2 4 2 3 4 4 3 4" xfId="14361" xr:uid="{92AFCCEC-D4C6-4C53-9D86-918A3344B9F3}"/>
    <cellStyle name="Normal 2 4 2 3 4 4 4" xfId="18581" xr:uid="{CEEF84F5-ED54-470F-A577-D9379B243683}"/>
    <cellStyle name="Normal 2 4 2 3 4 4 5" xfId="27016" xr:uid="{75590282-C2AD-4430-97C5-2730DB891E7D}"/>
    <cellStyle name="Normal 2 4 2 3 4 4 6" xfId="10143" xr:uid="{FA93DB32-F966-4C45-9243-698D4488B012}"/>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25357" xr:uid="{A98E51AF-3617-4C03-901A-D90DB3F17549}"/>
    <cellStyle name="Normal 2 4 2 3 4 5 2 2 3" xfId="33791" xr:uid="{0C2E2A3A-C429-4E3A-8435-C18B7BC2B41B}"/>
    <cellStyle name="Normal 2 4 2 3 4 5 2 2 4" xfId="16919" xr:uid="{EE644A74-BAC6-4F06-81DC-A2681142A0EF}"/>
    <cellStyle name="Normal 2 4 2 3 4 5 2 3" xfId="21139" xr:uid="{59769780-10C3-49E5-8F09-41A8C3A9CD93}"/>
    <cellStyle name="Normal 2 4 2 3 4 5 2 4" xfId="29574" xr:uid="{C3C7B215-828F-4EF3-9191-8B9E61DF2CD3}"/>
    <cellStyle name="Normal 2 4 2 3 4 5 2 5" xfId="12701" xr:uid="{E3395CD2-B7EF-4A55-9800-D5C6C785534E}"/>
    <cellStyle name="Normal 2 4 2 3 4 5 3" xfId="6335" xr:uid="{00000000-0005-0000-0000-0000200F0000}"/>
    <cellStyle name="Normal 2 4 2 3 4 5 3 2" xfId="23212" xr:uid="{AB84E02C-E16D-4FD4-8E40-C3690AD517DA}"/>
    <cellStyle name="Normal 2 4 2 3 4 5 3 3" xfId="31646" xr:uid="{DF754AD6-1B58-478D-AAB7-D1E115AC8DA7}"/>
    <cellStyle name="Normal 2 4 2 3 4 5 3 4" xfId="14774" xr:uid="{77F6D355-90C7-4008-95A4-CB4A2E2EF251}"/>
    <cellStyle name="Normal 2 4 2 3 4 5 4" xfId="18994" xr:uid="{4FD3B97F-1D45-46AE-875C-14CD5B526345}"/>
    <cellStyle name="Normal 2 4 2 3 4 5 5" xfId="27429" xr:uid="{C52CEA58-E864-4507-84F7-D31CFA2A5753}"/>
    <cellStyle name="Normal 2 4 2 3 4 5 6" xfId="10556" xr:uid="{407D91D8-B6BD-4A54-A5EA-039834D9F073}"/>
    <cellStyle name="Normal 2 4 2 3 4 6" xfId="2464" xr:uid="{00000000-0005-0000-0000-0000210F0000}"/>
    <cellStyle name="Normal 2 4 2 3 4 6 2" xfId="6748" xr:uid="{00000000-0005-0000-0000-0000220F0000}"/>
    <cellStyle name="Normal 2 4 2 3 4 6 2 2" xfId="23625" xr:uid="{D39A98F4-71E1-4465-9F11-1029DF5FAA7C}"/>
    <cellStyle name="Normal 2 4 2 3 4 6 2 3" xfId="32059" xr:uid="{773322ED-2424-4DD7-B9E0-500DF9C54759}"/>
    <cellStyle name="Normal 2 4 2 3 4 6 2 4" xfId="15187" xr:uid="{EB6358A7-0CEE-47A1-84D7-F85EE2E941F2}"/>
    <cellStyle name="Normal 2 4 2 3 4 6 3" xfId="19407" xr:uid="{BE1808BA-30DE-4387-9174-1CC962068DCF}"/>
    <cellStyle name="Normal 2 4 2 3 4 6 4" xfId="27842" xr:uid="{9429688C-9013-4E93-B433-9062475D6DA6}"/>
    <cellStyle name="Normal 2 4 2 3 4 6 5" xfId="10969" xr:uid="{9D894EA0-45E8-443D-910C-01E1552B5C77}"/>
    <cellStyle name="Normal 2 4 2 3 4 7" xfId="4682" xr:uid="{00000000-0005-0000-0000-0000230F0000}"/>
    <cellStyle name="Normal 2 4 2 3 4 7 2" xfId="21559" xr:uid="{94C50DA8-5C4C-427F-8037-BC1E8D11125D}"/>
    <cellStyle name="Normal 2 4 2 3 4 7 3" xfId="29993" xr:uid="{1CBE3371-FE88-43B7-898F-25B4569AC887}"/>
    <cellStyle name="Normal 2 4 2 3 4 7 4" xfId="13121" xr:uid="{46791846-FA5A-4AA1-BCE2-573D408C8187}"/>
    <cellStyle name="Normal 2 4 2 3 4 8" xfId="17341" xr:uid="{DFD8720C-A7C8-4445-9BAE-C3913BB88627}"/>
    <cellStyle name="Normal 2 4 2 3 4 9" xfId="25776" xr:uid="{404EED82-7607-46B2-9A8D-096C528AF5DB}"/>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24111" xr:uid="{1998660D-C70D-4F05-A257-049628715689}"/>
    <cellStyle name="Normal 2 4 2 3 5 2 2 3" xfId="32545" xr:uid="{277495D0-4669-4406-9C02-922DDF53EA76}"/>
    <cellStyle name="Normal 2 4 2 3 5 2 2 4" xfId="15673" xr:uid="{E40C761F-FF7E-4AF2-8365-0B5542EFB655}"/>
    <cellStyle name="Normal 2 4 2 3 5 2 3" xfId="19893" xr:uid="{A517ECA3-1FC9-44C0-955B-159F118784DE}"/>
    <cellStyle name="Normal 2 4 2 3 5 2 4" xfId="28328" xr:uid="{E7469EC1-28F2-47B6-AC6F-150EFB6FC958}"/>
    <cellStyle name="Normal 2 4 2 3 5 2 5" xfId="11455" xr:uid="{ADD2AB12-3769-4D79-ADE7-0D68B8836D7A}"/>
    <cellStyle name="Normal 2 4 2 3 5 3" xfId="5089" xr:uid="{00000000-0005-0000-0000-0000270F0000}"/>
    <cellStyle name="Normal 2 4 2 3 5 3 2" xfId="21966" xr:uid="{F71DDD20-ADB0-4FD0-80F2-11FA23C6CE43}"/>
    <cellStyle name="Normal 2 4 2 3 5 3 3" xfId="30400" xr:uid="{0962641A-BA8C-4181-B8BC-42E2FDAD2483}"/>
    <cellStyle name="Normal 2 4 2 3 5 3 4" xfId="13528" xr:uid="{D02F2C14-F667-4BDB-97BE-E90F86BEFE0F}"/>
    <cellStyle name="Normal 2 4 2 3 5 4" xfId="17748" xr:uid="{2525E477-9884-4982-8451-31964B0527DF}"/>
    <cellStyle name="Normal 2 4 2 3 5 5" xfId="26183" xr:uid="{9B700802-28AE-492F-B13C-1314FC932ADA}"/>
    <cellStyle name="Normal 2 4 2 3 5 6" xfId="9310" xr:uid="{639B646C-345A-4602-B9F0-10AAA5F2FED3}"/>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24524" xr:uid="{75FB87C9-9368-4547-A299-AD40E83709CC}"/>
    <cellStyle name="Normal 2 4 2 3 6 2 2 3" xfId="32958" xr:uid="{CC3F5310-1422-4F37-8C2A-3DC13682337B}"/>
    <cellStyle name="Normal 2 4 2 3 6 2 2 4" xfId="16086" xr:uid="{B80A30E7-F2FB-4F0A-A037-8C2FA9F2C3E2}"/>
    <cellStyle name="Normal 2 4 2 3 6 2 3" xfId="20306" xr:uid="{50EFEF9D-1720-43DA-A305-DFA4E7EBBF32}"/>
    <cellStyle name="Normal 2 4 2 3 6 2 4" xfId="28741" xr:uid="{1D4F62D1-DB0E-4F2F-8F2B-14963A175ECD}"/>
    <cellStyle name="Normal 2 4 2 3 6 2 5" xfId="11868" xr:uid="{21D6C393-FEFE-4CB0-A1F1-8102EAE5CF3F}"/>
    <cellStyle name="Normal 2 4 2 3 6 3" xfId="5502" xr:uid="{00000000-0005-0000-0000-00002B0F0000}"/>
    <cellStyle name="Normal 2 4 2 3 6 3 2" xfId="22379" xr:uid="{25C04D92-B1B6-42F8-839F-83A6D4340E2E}"/>
    <cellStyle name="Normal 2 4 2 3 6 3 3" xfId="30813" xr:uid="{B5389357-1C50-4FA0-93F6-2C851D06FC0C}"/>
    <cellStyle name="Normal 2 4 2 3 6 3 4" xfId="13941" xr:uid="{E8896813-AAE3-4C90-8740-85E9F84AAD85}"/>
    <cellStyle name="Normal 2 4 2 3 6 4" xfId="18161" xr:uid="{A6384921-42A0-49FF-9106-1780303E6F41}"/>
    <cellStyle name="Normal 2 4 2 3 6 5" xfId="26596" xr:uid="{0C35A4F3-A170-466B-BEB6-1363AACADAAD}"/>
    <cellStyle name="Normal 2 4 2 3 6 6" xfId="9723" xr:uid="{23BC5F9C-49B4-4D90-B071-F31AD5BBB4C0}"/>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24937" xr:uid="{09663B96-702B-4EF1-88D0-1A15CBB882CC}"/>
    <cellStyle name="Normal 2 4 2 3 7 2 2 3" xfId="33371" xr:uid="{BB943F7F-25C6-43A0-AED8-A45F9BE260A0}"/>
    <cellStyle name="Normal 2 4 2 3 7 2 2 4" xfId="16499" xr:uid="{B0E78922-F3E6-4EE6-9C7C-A8DCCEDE5F40}"/>
    <cellStyle name="Normal 2 4 2 3 7 2 3" xfId="20719" xr:uid="{E4E34D96-8F3B-4C6E-8CEB-E052EDB9606A}"/>
    <cellStyle name="Normal 2 4 2 3 7 2 4" xfId="29154" xr:uid="{EE643878-157E-4F70-9A24-4D20FF88B288}"/>
    <cellStyle name="Normal 2 4 2 3 7 2 5" xfId="12281" xr:uid="{CCEB09C7-BAD2-46F4-B89B-4F202BBC190C}"/>
    <cellStyle name="Normal 2 4 2 3 7 3" xfId="5915" xr:uid="{00000000-0005-0000-0000-00002F0F0000}"/>
    <cellStyle name="Normal 2 4 2 3 7 3 2" xfId="22792" xr:uid="{C668E1E9-C5AA-48E0-BAC7-962700617166}"/>
    <cellStyle name="Normal 2 4 2 3 7 3 3" xfId="31226" xr:uid="{F3F8DD66-A9E2-44F1-8F51-6F0328BBE640}"/>
    <cellStyle name="Normal 2 4 2 3 7 3 4" xfId="14354" xr:uid="{81124AC3-BA0E-4092-AB30-2A55F3A02C92}"/>
    <cellStyle name="Normal 2 4 2 3 7 4" xfId="18574" xr:uid="{4B31DAD6-3327-43B9-83FC-5D260273EBB3}"/>
    <cellStyle name="Normal 2 4 2 3 7 5" xfId="27009" xr:uid="{CE0B8A26-F9D8-4B34-A9BC-17A6575B4F15}"/>
    <cellStyle name="Normal 2 4 2 3 7 6" xfId="10136" xr:uid="{D8433C8A-52F0-404B-A9AB-61CD7A1EBC45}"/>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25350" xr:uid="{9D3CBB4B-C2AA-4746-AFF7-538AE7BCE980}"/>
    <cellStyle name="Normal 2 4 2 3 8 2 2 3" xfId="33784" xr:uid="{C35BFECA-C3AC-4386-BD4F-3896D5855F26}"/>
    <cellStyle name="Normal 2 4 2 3 8 2 2 4" xfId="16912" xr:uid="{E96B8028-143E-45A6-9D63-04CE9653BC11}"/>
    <cellStyle name="Normal 2 4 2 3 8 2 3" xfId="21132" xr:uid="{398B8730-6B36-48FC-8B84-E59D703A1813}"/>
    <cellStyle name="Normal 2 4 2 3 8 2 4" xfId="29567" xr:uid="{A09ADDF5-EA39-425E-B42C-A6D3249BD613}"/>
    <cellStyle name="Normal 2 4 2 3 8 2 5" xfId="12694" xr:uid="{305E74B4-6114-40E7-B76A-F0AF731B5C30}"/>
    <cellStyle name="Normal 2 4 2 3 8 3" xfId="6328" xr:uid="{00000000-0005-0000-0000-0000330F0000}"/>
    <cellStyle name="Normal 2 4 2 3 8 3 2" xfId="23205" xr:uid="{89082C8D-8AC7-45D8-AC57-220C99E15FBD}"/>
    <cellStyle name="Normal 2 4 2 3 8 3 3" xfId="31639" xr:uid="{1C106335-1658-4D6C-BB74-3602EAE046C1}"/>
    <cellStyle name="Normal 2 4 2 3 8 3 4" xfId="14767" xr:uid="{F665BCE2-337A-40BC-9A68-02CA64B7F6C3}"/>
    <cellStyle name="Normal 2 4 2 3 8 4" xfId="18987" xr:uid="{80F19201-210C-4850-9A72-D8A1069358AC}"/>
    <cellStyle name="Normal 2 4 2 3 8 5" xfId="27422" xr:uid="{2A9F8B1B-9572-4BD1-9D69-F5DDE7F6AD22}"/>
    <cellStyle name="Normal 2 4 2 3 8 6" xfId="10549" xr:uid="{C15634FC-995C-4966-964C-08DF9AB53EEE}"/>
    <cellStyle name="Normal 2 4 2 3 9" xfId="2457" xr:uid="{00000000-0005-0000-0000-0000340F0000}"/>
    <cellStyle name="Normal 2 4 2 3 9 2" xfId="6741" xr:uid="{00000000-0005-0000-0000-0000350F0000}"/>
    <cellStyle name="Normal 2 4 2 3 9 2 2" xfId="23618" xr:uid="{0D741D2B-0DCD-423E-A0D8-536C70ABC655}"/>
    <cellStyle name="Normal 2 4 2 3 9 2 3" xfId="32052" xr:uid="{36FD1F35-2481-4B65-B9F6-7A414DA74E5B}"/>
    <cellStyle name="Normal 2 4 2 3 9 2 4" xfId="15180" xr:uid="{B4971855-26E6-430D-8015-0F8A4CD0910C}"/>
    <cellStyle name="Normal 2 4 2 3 9 3" xfId="19400" xr:uid="{867B24C2-8B78-4560-9219-B6FEA65047D5}"/>
    <cellStyle name="Normal 2 4 2 3 9 4" xfId="27835" xr:uid="{BDA26DDF-1D46-4C23-9AC3-E2A38EAF0CEB}"/>
    <cellStyle name="Normal 2 4 2 3 9 5" xfId="10962" xr:uid="{63002E2B-F338-49DE-A135-B0280A155C4E}"/>
    <cellStyle name="Normal 2 4 2 4" xfId="289" xr:uid="{00000000-0005-0000-0000-0000360F0000}"/>
    <cellStyle name="Normal 2 4 2 4 10" xfId="17342" xr:uid="{641F63FA-04D4-4D48-A424-FA87AC7A1250}"/>
    <cellStyle name="Normal 2 4 2 4 11" xfId="25777" xr:uid="{B6FD5697-6BCB-48F9-B6A9-6E34FE36231C}"/>
    <cellStyle name="Normal 2 4 2 4 12" xfId="8904" xr:uid="{93C245B9-8D27-4B8B-96E8-4C0DE1E45C32}"/>
    <cellStyle name="Normal 2 4 2 4 2" xfId="290" xr:uid="{00000000-0005-0000-0000-0000370F0000}"/>
    <cellStyle name="Normal 2 4 2 4 2 10" xfId="25778" xr:uid="{6176FA25-10A2-4C7A-8A85-6F95E8D7E284}"/>
    <cellStyle name="Normal 2 4 2 4 2 11" xfId="8905" xr:uid="{703AC981-8A26-480F-8CD3-9BF1FBABFB8A}"/>
    <cellStyle name="Normal 2 4 2 4 2 2" xfId="291" xr:uid="{00000000-0005-0000-0000-0000380F0000}"/>
    <cellStyle name="Normal 2 4 2 4 2 2 10" xfId="8906" xr:uid="{887841DB-5752-4602-9873-CD23AA402BE6}"/>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24121" xr:uid="{4FDDA03B-DF2D-4CED-BD33-93CA2DACF80F}"/>
    <cellStyle name="Normal 2 4 2 4 2 2 2 2 2 3" xfId="32555" xr:uid="{159D6D3A-A06B-443F-A102-EB59DB7F084F}"/>
    <cellStyle name="Normal 2 4 2 4 2 2 2 2 2 4" xfId="15683" xr:uid="{3866B31A-FA14-49B6-8C8B-35652AACEC12}"/>
    <cellStyle name="Normal 2 4 2 4 2 2 2 2 3" xfId="19903" xr:uid="{AA40ACD3-8D29-4565-9FF8-8D37C64DAD6C}"/>
    <cellStyle name="Normal 2 4 2 4 2 2 2 2 4" xfId="28338" xr:uid="{F0481188-D51C-48C3-B344-E39EB3610A75}"/>
    <cellStyle name="Normal 2 4 2 4 2 2 2 2 5" xfId="11465" xr:uid="{CACD6084-0843-473D-8DC9-591D7CA120F1}"/>
    <cellStyle name="Normal 2 4 2 4 2 2 2 3" xfId="5099" xr:uid="{00000000-0005-0000-0000-00003C0F0000}"/>
    <cellStyle name="Normal 2 4 2 4 2 2 2 3 2" xfId="21976" xr:uid="{FB0E41B5-EFBD-4D39-94F1-49B108B9C441}"/>
    <cellStyle name="Normal 2 4 2 4 2 2 2 3 3" xfId="30410" xr:uid="{F5FF892D-F55A-489D-A200-67243416697F}"/>
    <cellStyle name="Normal 2 4 2 4 2 2 2 3 4" xfId="13538" xr:uid="{69B1025F-1A78-492D-A132-F86D06733F98}"/>
    <cellStyle name="Normal 2 4 2 4 2 2 2 4" xfId="17758" xr:uid="{9BADC572-DB34-40AD-B55B-FC2F9544F189}"/>
    <cellStyle name="Normal 2 4 2 4 2 2 2 5" xfId="26193" xr:uid="{6147D494-3444-4724-8502-B89BBB4DACC4}"/>
    <cellStyle name="Normal 2 4 2 4 2 2 2 6" xfId="9320" xr:uid="{C0EBA692-8555-454C-AE29-8D9DC894B73A}"/>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24534" xr:uid="{B9A3A8C6-8114-4671-93A3-55F9B801E0D8}"/>
    <cellStyle name="Normal 2 4 2 4 2 2 3 2 2 3" xfId="32968" xr:uid="{DCA3EAA6-D6A9-442B-978A-65F5EDA47B81}"/>
    <cellStyle name="Normal 2 4 2 4 2 2 3 2 2 4" xfId="16096" xr:uid="{B52F2790-E334-47BC-8410-F8127287E443}"/>
    <cellStyle name="Normal 2 4 2 4 2 2 3 2 3" xfId="20316" xr:uid="{9BAB6B6E-46C0-4891-B918-3606C98ACE99}"/>
    <cellStyle name="Normal 2 4 2 4 2 2 3 2 4" xfId="28751" xr:uid="{24D29BDE-995D-42CD-BF3B-54A5FDB61741}"/>
    <cellStyle name="Normal 2 4 2 4 2 2 3 2 5" xfId="11878" xr:uid="{8746BDDE-70EE-4C23-8E88-71DF106B259D}"/>
    <cellStyle name="Normal 2 4 2 4 2 2 3 3" xfId="5512" xr:uid="{00000000-0005-0000-0000-0000400F0000}"/>
    <cellStyle name="Normal 2 4 2 4 2 2 3 3 2" xfId="22389" xr:uid="{DFC5E7B4-00A7-4379-BCEC-014C0C4CFCB5}"/>
    <cellStyle name="Normal 2 4 2 4 2 2 3 3 3" xfId="30823" xr:uid="{790C6EA9-4A08-43E9-8D75-70FFA8627ACA}"/>
    <cellStyle name="Normal 2 4 2 4 2 2 3 3 4" xfId="13951" xr:uid="{98DAF16E-D52A-4B9B-BE49-0DEC75208460}"/>
    <cellStyle name="Normal 2 4 2 4 2 2 3 4" xfId="18171" xr:uid="{B11833DE-1892-4512-B381-29EAD4CEB5A9}"/>
    <cellStyle name="Normal 2 4 2 4 2 2 3 5" xfId="26606" xr:uid="{311D6587-DAE9-4885-865A-6869D261E695}"/>
    <cellStyle name="Normal 2 4 2 4 2 2 3 6" xfId="9733" xr:uid="{8A4AADDC-E46C-44E3-8071-04AFE7F0F611}"/>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24947" xr:uid="{D443B81B-8CC0-4C1B-9EB1-0A48E4EE8455}"/>
    <cellStyle name="Normal 2 4 2 4 2 2 4 2 2 3" xfId="33381" xr:uid="{65DC35FD-393E-4C5D-B29B-59B74388D1E0}"/>
    <cellStyle name="Normal 2 4 2 4 2 2 4 2 2 4" xfId="16509" xr:uid="{3EB64F08-8637-471F-9988-7AD0806B9248}"/>
    <cellStyle name="Normal 2 4 2 4 2 2 4 2 3" xfId="20729" xr:uid="{18F82B55-DCA0-4497-9552-681D41C14E4E}"/>
    <cellStyle name="Normal 2 4 2 4 2 2 4 2 4" xfId="29164" xr:uid="{5C3CBB17-ED8C-44E5-BF52-DE2C2D8A572D}"/>
    <cellStyle name="Normal 2 4 2 4 2 2 4 2 5" xfId="12291" xr:uid="{67096573-216D-4FE1-A6E7-6E27EBA12A25}"/>
    <cellStyle name="Normal 2 4 2 4 2 2 4 3" xfId="5925" xr:uid="{00000000-0005-0000-0000-0000440F0000}"/>
    <cellStyle name="Normal 2 4 2 4 2 2 4 3 2" xfId="22802" xr:uid="{83ACDEA5-ED42-4AFC-8CC9-5A98F6203FA2}"/>
    <cellStyle name="Normal 2 4 2 4 2 2 4 3 3" xfId="31236" xr:uid="{AD7A155D-48C1-42EC-82D4-2E27AFB0A648}"/>
    <cellStyle name="Normal 2 4 2 4 2 2 4 3 4" xfId="14364" xr:uid="{04685F3B-301E-40FC-8841-5162EF01825B}"/>
    <cellStyle name="Normal 2 4 2 4 2 2 4 4" xfId="18584" xr:uid="{CD5F242F-5647-4B0D-BDF4-35999675EBA2}"/>
    <cellStyle name="Normal 2 4 2 4 2 2 4 5" xfId="27019" xr:uid="{3D86E6F4-9959-4C43-8D82-F55629DD58EB}"/>
    <cellStyle name="Normal 2 4 2 4 2 2 4 6" xfId="10146" xr:uid="{28A64D14-B5DA-442D-A5DA-F00128DA8E66}"/>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25360" xr:uid="{2A49BECD-E4AD-498C-9155-830E982161BD}"/>
    <cellStyle name="Normal 2 4 2 4 2 2 5 2 2 3" xfId="33794" xr:uid="{5F8B1578-8619-497A-8E4A-37842F9FE502}"/>
    <cellStyle name="Normal 2 4 2 4 2 2 5 2 2 4" xfId="16922" xr:uid="{770A235C-7411-4D71-8F7C-093D8230AE07}"/>
    <cellStyle name="Normal 2 4 2 4 2 2 5 2 3" xfId="21142" xr:uid="{33FBC5CE-676B-474D-96F3-9BEE55929975}"/>
    <cellStyle name="Normal 2 4 2 4 2 2 5 2 4" xfId="29577" xr:uid="{4D8FF02B-E097-4F4F-850B-CBAE85FA0861}"/>
    <cellStyle name="Normal 2 4 2 4 2 2 5 2 5" xfId="12704" xr:uid="{E46DEF8D-A352-4CAB-9112-E6C7CE7092F0}"/>
    <cellStyle name="Normal 2 4 2 4 2 2 5 3" xfId="6338" xr:uid="{00000000-0005-0000-0000-0000480F0000}"/>
    <cellStyle name="Normal 2 4 2 4 2 2 5 3 2" xfId="23215" xr:uid="{EC71B76F-A1F5-4DCB-880C-AC213CC2219D}"/>
    <cellStyle name="Normal 2 4 2 4 2 2 5 3 3" xfId="31649" xr:uid="{EC6FCEB1-26E4-43D9-B544-B3529CAF7FBB}"/>
    <cellStyle name="Normal 2 4 2 4 2 2 5 3 4" xfId="14777" xr:uid="{0F2BF9EA-DB1C-4FD1-B6AB-696B7F0B6FAF}"/>
    <cellStyle name="Normal 2 4 2 4 2 2 5 4" xfId="18997" xr:uid="{E1EC024C-89B0-48FB-9FD2-09E784D58532}"/>
    <cellStyle name="Normal 2 4 2 4 2 2 5 5" xfId="27432" xr:uid="{A6BC4548-B849-4B70-A27E-0B5D8F4A85DF}"/>
    <cellStyle name="Normal 2 4 2 4 2 2 5 6" xfId="10559" xr:uid="{63C4C96C-EE8E-4D13-BFFF-F464C8F3902B}"/>
    <cellStyle name="Normal 2 4 2 4 2 2 6" xfId="2467" xr:uid="{00000000-0005-0000-0000-0000490F0000}"/>
    <cellStyle name="Normal 2 4 2 4 2 2 6 2" xfId="6751" xr:uid="{00000000-0005-0000-0000-00004A0F0000}"/>
    <cellStyle name="Normal 2 4 2 4 2 2 6 2 2" xfId="23628" xr:uid="{FE168EA9-3854-4B19-81A7-D593B403B0BD}"/>
    <cellStyle name="Normal 2 4 2 4 2 2 6 2 3" xfId="32062" xr:uid="{8F4D9B74-8C60-42E4-82A7-AB77A44B0E55}"/>
    <cellStyle name="Normal 2 4 2 4 2 2 6 2 4" xfId="15190" xr:uid="{E3E9FE17-202E-4D59-8A11-BA9991EED453}"/>
    <cellStyle name="Normal 2 4 2 4 2 2 6 3" xfId="19410" xr:uid="{424995D6-E026-40EA-8190-5DBE25F3FD98}"/>
    <cellStyle name="Normal 2 4 2 4 2 2 6 4" xfId="27845" xr:uid="{453A26DE-A398-4751-BEA9-F0FB21CB3601}"/>
    <cellStyle name="Normal 2 4 2 4 2 2 6 5" xfId="10972" xr:uid="{3534B0D6-B201-4E03-A3FB-D35574FF7BA2}"/>
    <cellStyle name="Normal 2 4 2 4 2 2 7" xfId="4685" xr:uid="{00000000-0005-0000-0000-00004B0F0000}"/>
    <cellStyle name="Normal 2 4 2 4 2 2 7 2" xfId="21562" xr:uid="{4C013AC0-5A4E-499E-AEFA-06A318666816}"/>
    <cellStyle name="Normal 2 4 2 4 2 2 7 3" xfId="29996" xr:uid="{02B7A7D7-7BC3-49B0-B004-79FE0949C7F3}"/>
    <cellStyle name="Normal 2 4 2 4 2 2 7 4" xfId="13124" xr:uid="{89B139A7-B806-4BC9-B55B-EFE486B63789}"/>
    <cellStyle name="Normal 2 4 2 4 2 2 8" xfId="17344" xr:uid="{881B3034-88B5-46DC-8312-15C427300D52}"/>
    <cellStyle name="Normal 2 4 2 4 2 2 9" xfId="25779" xr:uid="{AE4D8F9E-85D3-4423-BB87-F7E4C3C3BE2D}"/>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24120" xr:uid="{CA3967B7-6A9F-4F76-AAB5-F8F7717D61EE}"/>
    <cellStyle name="Normal 2 4 2 4 2 3 2 2 3" xfId="32554" xr:uid="{AEE7F4A5-B703-40E7-AC47-EF59F3BAC6E6}"/>
    <cellStyle name="Normal 2 4 2 4 2 3 2 2 4" xfId="15682" xr:uid="{AF9905F3-F294-42A4-B822-DA411D925B62}"/>
    <cellStyle name="Normal 2 4 2 4 2 3 2 3" xfId="19902" xr:uid="{91EB95BC-854B-4FAC-BF7A-B9AD097FE7CA}"/>
    <cellStyle name="Normal 2 4 2 4 2 3 2 4" xfId="28337" xr:uid="{A3E59418-D753-4549-BB14-AA735D16AD5C}"/>
    <cellStyle name="Normal 2 4 2 4 2 3 2 5" xfId="11464" xr:uid="{0A69416A-BCEC-49F6-BA24-ED124CB98352}"/>
    <cellStyle name="Normal 2 4 2 4 2 3 3" xfId="5098" xr:uid="{00000000-0005-0000-0000-00004F0F0000}"/>
    <cellStyle name="Normal 2 4 2 4 2 3 3 2" xfId="21975" xr:uid="{2C2FFCBF-76B5-4D93-A69B-84B742058668}"/>
    <cellStyle name="Normal 2 4 2 4 2 3 3 3" xfId="30409" xr:uid="{38D051F3-F9E7-45C9-AF22-F1AE187DE772}"/>
    <cellStyle name="Normal 2 4 2 4 2 3 3 4" xfId="13537" xr:uid="{9D754EEC-4048-4A46-A048-0F8C1E9ACAD1}"/>
    <cellStyle name="Normal 2 4 2 4 2 3 4" xfId="17757" xr:uid="{91BCADB5-1836-4999-B5D7-9B0D9E8F47A7}"/>
    <cellStyle name="Normal 2 4 2 4 2 3 5" xfId="26192" xr:uid="{118B34A0-FBF1-457A-B4A1-15C3F06973D8}"/>
    <cellStyle name="Normal 2 4 2 4 2 3 6" xfId="9319" xr:uid="{6115A5D8-F77D-4F7C-94A8-AF66CAB0433A}"/>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24533" xr:uid="{A2A2DBE6-0C81-45C0-AE2E-19ED8530995F}"/>
    <cellStyle name="Normal 2 4 2 4 2 4 2 2 3" xfId="32967" xr:uid="{269170A5-7E70-4D63-9F06-FD7D5572C92B}"/>
    <cellStyle name="Normal 2 4 2 4 2 4 2 2 4" xfId="16095" xr:uid="{A47B87A3-0DAB-4D23-BF72-84D44EF07C3B}"/>
    <cellStyle name="Normal 2 4 2 4 2 4 2 3" xfId="20315" xr:uid="{24915F66-0324-4830-B25F-D9504196A7DD}"/>
    <cellStyle name="Normal 2 4 2 4 2 4 2 4" xfId="28750" xr:uid="{5DA44CA6-3A55-48D1-BE1F-8F4B567BE7C6}"/>
    <cellStyle name="Normal 2 4 2 4 2 4 2 5" xfId="11877" xr:uid="{ABB566FC-6263-4722-BE38-5F08B84ADF59}"/>
    <cellStyle name="Normal 2 4 2 4 2 4 3" xfId="5511" xr:uid="{00000000-0005-0000-0000-0000530F0000}"/>
    <cellStyle name="Normal 2 4 2 4 2 4 3 2" xfId="22388" xr:uid="{392CC1F0-CFD6-468E-8C72-2E46EBE4C64C}"/>
    <cellStyle name="Normal 2 4 2 4 2 4 3 3" xfId="30822" xr:uid="{E1EBBE55-4042-4803-9810-669EEEF35AD8}"/>
    <cellStyle name="Normal 2 4 2 4 2 4 3 4" xfId="13950" xr:uid="{D994A2C5-31B7-4451-9968-EDEFD3B74AB4}"/>
    <cellStyle name="Normal 2 4 2 4 2 4 4" xfId="18170" xr:uid="{28712DC0-3EFA-4A21-9FD2-E6880BD53ABF}"/>
    <cellStyle name="Normal 2 4 2 4 2 4 5" xfId="26605" xr:uid="{89033002-CDCB-42A9-9155-033738C29386}"/>
    <cellStyle name="Normal 2 4 2 4 2 4 6" xfId="9732" xr:uid="{120ED912-40E6-4926-9158-DC2C6E41D77B}"/>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24946" xr:uid="{524503AD-4A92-4C53-BDA6-DCE9E701C59E}"/>
    <cellStyle name="Normal 2 4 2 4 2 5 2 2 3" xfId="33380" xr:uid="{CADB7D46-3BF5-4572-82B1-3863C54B4E21}"/>
    <cellStyle name="Normal 2 4 2 4 2 5 2 2 4" xfId="16508" xr:uid="{323C924E-5880-49F9-8CFD-DE107B89EDB4}"/>
    <cellStyle name="Normal 2 4 2 4 2 5 2 3" xfId="20728" xr:uid="{2BD449FA-129D-4992-AC15-30DB3F43F9BD}"/>
    <cellStyle name="Normal 2 4 2 4 2 5 2 4" xfId="29163" xr:uid="{A334643B-62F6-406E-8A6C-9D8ED898ACA2}"/>
    <cellStyle name="Normal 2 4 2 4 2 5 2 5" xfId="12290" xr:uid="{451434E1-CBCE-47DA-AD8D-7C22E84F378F}"/>
    <cellStyle name="Normal 2 4 2 4 2 5 3" xfId="5924" xr:uid="{00000000-0005-0000-0000-0000570F0000}"/>
    <cellStyle name="Normal 2 4 2 4 2 5 3 2" xfId="22801" xr:uid="{A6391ECE-D879-479D-9151-174C0180AB44}"/>
    <cellStyle name="Normal 2 4 2 4 2 5 3 3" xfId="31235" xr:uid="{2E686805-5F0D-4417-953C-9BE5AED2EFE0}"/>
    <cellStyle name="Normal 2 4 2 4 2 5 3 4" xfId="14363" xr:uid="{57871593-2D9C-48F9-9989-6597FD7CC44D}"/>
    <cellStyle name="Normal 2 4 2 4 2 5 4" xfId="18583" xr:uid="{26B2A7B2-CDB7-4F7E-A08E-EF7C104155D1}"/>
    <cellStyle name="Normal 2 4 2 4 2 5 5" xfId="27018" xr:uid="{97667702-03F4-4602-8DB9-DBAA4825B62C}"/>
    <cellStyle name="Normal 2 4 2 4 2 5 6" xfId="10145" xr:uid="{04713E17-FBFB-4046-B530-65490EB685A4}"/>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25359" xr:uid="{1811671C-F4E8-4D3F-A1C7-7940C9E2C418}"/>
    <cellStyle name="Normal 2 4 2 4 2 6 2 2 3" xfId="33793" xr:uid="{A272D0B2-D3CA-4C1C-B8B4-18F04806F18A}"/>
    <cellStyle name="Normal 2 4 2 4 2 6 2 2 4" xfId="16921" xr:uid="{8969F2EF-CEB5-4C38-B709-EC50AEDBAD70}"/>
    <cellStyle name="Normal 2 4 2 4 2 6 2 3" xfId="21141" xr:uid="{DBF2AC4B-95AC-475E-A22A-ABFFF2DA8693}"/>
    <cellStyle name="Normal 2 4 2 4 2 6 2 4" xfId="29576" xr:uid="{8D6050A6-8FCD-46EC-A489-FEEEBEF5D86A}"/>
    <cellStyle name="Normal 2 4 2 4 2 6 2 5" xfId="12703" xr:uid="{BC17D658-6902-4874-881D-972694534124}"/>
    <cellStyle name="Normal 2 4 2 4 2 6 3" xfId="6337" xr:uid="{00000000-0005-0000-0000-00005B0F0000}"/>
    <cellStyle name="Normal 2 4 2 4 2 6 3 2" xfId="23214" xr:uid="{51BA93BA-7BFA-40E5-90F8-BE5E3421F85A}"/>
    <cellStyle name="Normal 2 4 2 4 2 6 3 3" xfId="31648" xr:uid="{7A86EBA5-6A52-428A-B180-A1949D4E80CB}"/>
    <cellStyle name="Normal 2 4 2 4 2 6 3 4" xfId="14776" xr:uid="{A0FC07BA-EDF3-4857-A09B-6950A6BA6A3C}"/>
    <cellStyle name="Normal 2 4 2 4 2 6 4" xfId="18996" xr:uid="{E3FDED85-752B-4822-BF43-57148B919B76}"/>
    <cellStyle name="Normal 2 4 2 4 2 6 5" xfId="27431" xr:uid="{1FD16841-A0DD-4CE4-9B6B-DD5547B5BA6C}"/>
    <cellStyle name="Normal 2 4 2 4 2 6 6" xfId="10558" xr:uid="{1C16C146-3C94-4F24-A0FB-7D8248AE153C}"/>
    <cellStyle name="Normal 2 4 2 4 2 7" xfId="2466" xr:uid="{00000000-0005-0000-0000-00005C0F0000}"/>
    <cellStyle name="Normal 2 4 2 4 2 7 2" xfId="6750" xr:uid="{00000000-0005-0000-0000-00005D0F0000}"/>
    <cellStyle name="Normal 2 4 2 4 2 7 2 2" xfId="23627" xr:uid="{044AB480-8D9B-4C14-8AC6-5414497F929D}"/>
    <cellStyle name="Normal 2 4 2 4 2 7 2 3" xfId="32061" xr:uid="{D493A95A-494B-4B8D-AEFA-0213E8F7A280}"/>
    <cellStyle name="Normal 2 4 2 4 2 7 2 4" xfId="15189" xr:uid="{76D10662-3F47-45F4-AFE1-8298458904F9}"/>
    <cellStyle name="Normal 2 4 2 4 2 7 3" xfId="19409" xr:uid="{55084AAF-A114-4519-91A5-D5A7B29B3D24}"/>
    <cellStyle name="Normal 2 4 2 4 2 7 4" xfId="27844" xr:uid="{4A074ACD-36CD-40AB-98AF-14F7B99FC1DD}"/>
    <cellStyle name="Normal 2 4 2 4 2 7 5" xfId="10971" xr:uid="{BA55663B-EA77-4A91-BDE0-67E875102F40}"/>
    <cellStyle name="Normal 2 4 2 4 2 8" xfId="4684" xr:uid="{00000000-0005-0000-0000-00005E0F0000}"/>
    <cellStyle name="Normal 2 4 2 4 2 8 2" xfId="21561" xr:uid="{6A7466F3-DF1B-4C8F-84DC-BDEB7D9E1646}"/>
    <cellStyle name="Normal 2 4 2 4 2 8 3" xfId="29995" xr:uid="{1DD570D1-004A-4E9F-96D3-D9BE4C99BF7B}"/>
    <cellStyle name="Normal 2 4 2 4 2 8 4" xfId="13123" xr:uid="{97D54977-6030-4840-B741-E621A09B0D50}"/>
    <cellStyle name="Normal 2 4 2 4 2 9" xfId="17343" xr:uid="{743DB2E6-3A97-4EA3-8E27-A06B151261B5}"/>
    <cellStyle name="Normal 2 4 2 4 3" xfId="292" xr:uid="{00000000-0005-0000-0000-00005F0F0000}"/>
    <cellStyle name="Normal 2 4 2 4 3 10" xfId="8907" xr:uid="{1E0EC9B6-B85A-4ABF-A34B-29CA0D88063A}"/>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24122" xr:uid="{A3CEAB63-654D-432E-B93D-AE8D2BDA29D9}"/>
    <cellStyle name="Normal 2 4 2 4 3 2 2 2 3" xfId="32556" xr:uid="{C7BDCBB6-2965-42C7-B9E6-97FA3483041D}"/>
    <cellStyle name="Normal 2 4 2 4 3 2 2 2 4" xfId="15684" xr:uid="{AE9EB84B-695E-4BB5-BEF4-BB919911F908}"/>
    <cellStyle name="Normal 2 4 2 4 3 2 2 3" xfId="19904" xr:uid="{88CDFAEE-EEB9-4349-900C-C994C4EC10B4}"/>
    <cellStyle name="Normal 2 4 2 4 3 2 2 4" xfId="28339" xr:uid="{2E445AB9-F193-4170-9AC8-1B33A200C060}"/>
    <cellStyle name="Normal 2 4 2 4 3 2 2 5" xfId="11466" xr:uid="{56A62F14-81AB-4AD0-A08B-CBAD7C9C769D}"/>
    <cellStyle name="Normal 2 4 2 4 3 2 3" xfId="5100" xr:uid="{00000000-0005-0000-0000-0000630F0000}"/>
    <cellStyle name="Normal 2 4 2 4 3 2 3 2" xfId="21977" xr:uid="{C95A9F37-44A8-4951-A656-A1075A8946D8}"/>
    <cellStyle name="Normal 2 4 2 4 3 2 3 3" xfId="30411" xr:uid="{45195D15-94E3-4F4C-B459-C760E3C91D85}"/>
    <cellStyle name="Normal 2 4 2 4 3 2 3 4" xfId="13539" xr:uid="{68120178-BD87-4398-A22E-0F1EC661036F}"/>
    <cellStyle name="Normal 2 4 2 4 3 2 4" xfId="17759" xr:uid="{57BC9EFA-56D7-4624-B866-590F427D7313}"/>
    <cellStyle name="Normal 2 4 2 4 3 2 5" xfId="26194" xr:uid="{9B3B4DED-162A-40F8-AF4E-966ACA3B95CA}"/>
    <cellStyle name="Normal 2 4 2 4 3 2 6" xfId="9321" xr:uid="{6B23C9BB-ECF9-4C00-91CE-8A05242B8BFF}"/>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24535" xr:uid="{997BFF14-27D5-445A-BCA6-8930B0784D26}"/>
    <cellStyle name="Normal 2 4 2 4 3 3 2 2 3" xfId="32969" xr:uid="{5729658C-8DC0-4F52-99B0-EAB4576E30E1}"/>
    <cellStyle name="Normal 2 4 2 4 3 3 2 2 4" xfId="16097" xr:uid="{99234AB5-00F2-4EF6-8956-DA163D431364}"/>
    <cellStyle name="Normal 2 4 2 4 3 3 2 3" xfId="20317" xr:uid="{81817034-A6E5-4595-95EC-56A6FEB3F531}"/>
    <cellStyle name="Normal 2 4 2 4 3 3 2 4" xfId="28752" xr:uid="{E3677F24-06B3-4F56-9448-9217B87FAEAB}"/>
    <cellStyle name="Normal 2 4 2 4 3 3 2 5" xfId="11879" xr:uid="{DA47B455-4755-4A25-8AD9-E142656F7728}"/>
    <cellStyle name="Normal 2 4 2 4 3 3 3" xfId="5513" xr:uid="{00000000-0005-0000-0000-0000670F0000}"/>
    <cellStyle name="Normal 2 4 2 4 3 3 3 2" xfId="22390" xr:uid="{EE64A5A7-3A93-4D8B-981E-08F5DA3856D6}"/>
    <cellStyle name="Normal 2 4 2 4 3 3 3 3" xfId="30824" xr:uid="{0AE1C548-9F0F-4C12-A3E4-C528EE20BDC8}"/>
    <cellStyle name="Normal 2 4 2 4 3 3 3 4" xfId="13952" xr:uid="{EEF6FC52-37F4-42EB-AB0F-A5761F1101C8}"/>
    <cellStyle name="Normal 2 4 2 4 3 3 4" xfId="18172" xr:uid="{250EDD86-0BD2-4062-828F-E415EA3372AB}"/>
    <cellStyle name="Normal 2 4 2 4 3 3 5" xfId="26607" xr:uid="{F893785E-74E5-43D5-9EED-CB4FF5A3CFFA}"/>
    <cellStyle name="Normal 2 4 2 4 3 3 6" xfId="9734" xr:uid="{8FDE2FFC-9C9F-4416-8399-34D1F9DFCEC6}"/>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24948" xr:uid="{251A2CA9-BE68-46F1-A938-A74D40388D11}"/>
    <cellStyle name="Normal 2 4 2 4 3 4 2 2 3" xfId="33382" xr:uid="{41E1CACC-75FC-4826-89CD-908DDA25BE11}"/>
    <cellStyle name="Normal 2 4 2 4 3 4 2 2 4" xfId="16510" xr:uid="{2491413B-5775-4DD0-A4F8-46D1B41D4180}"/>
    <cellStyle name="Normal 2 4 2 4 3 4 2 3" xfId="20730" xr:uid="{D7A30009-7E3F-4036-BB78-0F29B0225864}"/>
    <cellStyle name="Normal 2 4 2 4 3 4 2 4" xfId="29165" xr:uid="{AD0F81E7-2B79-44D4-A2EE-7F19ED2CA03C}"/>
    <cellStyle name="Normal 2 4 2 4 3 4 2 5" xfId="12292" xr:uid="{DF3C40A2-32B4-42B0-AEF9-E7BDD2E0656E}"/>
    <cellStyle name="Normal 2 4 2 4 3 4 3" xfId="5926" xr:uid="{00000000-0005-0000-0000-00006B0F0000}"/>
    <cellStyle name="Normal 2 4 2 4 3 4 3 2" xfId="22803" xr:uid="{0BD37053-220F-4398-8939-29B25050CAAA}"/>
    <cellStyle name="Normal 2 4 2 4 3 4 3 3" xfId="31237" xr:uid="{D9FE8D07-8742-467E-8E3A-D629FDBC00E3}"/>
    <cellStyle name="Normal 2 4 2 4 3 4 3 4" xfId="14365" xr:uid="{DFB7B5BE-6DF0-4919-B906-9E952ADA4ABF}"/>
    <cellStyle name="Normal 2 4 2 4 3 4 4" xfId="18585" xr:uid="{562C0E5F-2313-47CA-A0F2-1308D354B035}"/>
    <cellStyle name="Normal 2 4 2 4 3 4 5" xfId="27020" xr:uid="{C0C3CA99-8026-44BD-BD7A-CEA4B7B239ED}"/>
    <cellStyle name="Normal 2 4 2 4 3 4 6" xfId="10147" xr:uid="{CDE91130-0DAE-4909-8A8D-953A70EFE3E2}"/>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25361" xr:uid="{350B4813-74CB-4735-908F-41AC0A1E8FAB}"/>
    <cellStyle name="Normal 2 4 2 4 3 5 2 2 3" xfId="33795" xr:uid="{0FE220CA-BF21-4098-B8B9-F2ABEEBEEB6D}"/>
    <cellStyle name="Normal 2 4 2 4 3 5 2 2 4" xfId="16923" xr:uid="{BF8FDAF8-EAE6-4470-86F5-86048356F361}"/>
    <cellStyle name="Normal 2 4 2 4 3 5 2 3" xfId="21143" xr:uid="{73BA4D59-0C52-4A60-848C-78E352669878}"/>
    <cellStyle name="Normal 2 4 2 4 3 5 2 4" xfId="29578" xr:uid="{332A5390-C8DE-4395-9FD7-ADA076689D8D}"/>
    <cellStyle name="Normal 2 4 2 4 3 5 2 5" xfId="12705" xr:uid="{99EED53B-A6D2-4B8D-B864-4EB187E1C17E}"/>
    <cellStyle name="Normal 2 4 2 4 3 5 3" xfId="6339" xr:uid="{00000000-0005-0000-0000-00006F0F0000}"/>
    <cellStyle name="Normal 2 4 2 4 3 5 3 2" xfId="23216" xr:uid="{B5727953-9648-4DE7-99C5-F09054BE814F}"/>
    <cellStyle name="Normal 2 4 2 4 3 5 3 3" xfId="31650" xr:uid="{E6FBFEC4-C0C3-41CA-87A4-0355F877A2F2}"/>
    <cellStyle name="Normal 2 4 2 4 3 5 3 4" xfId="14778" xr:uid="{3EF04B05-45D3-4C9E-BA9A-671B96AE9E97}"/>
    <cellStyle name="Normal 2 4 2 4 3 5 4" xfId="18998" xr:uid="{021C1284-5D2F-498B-A66C-CEEBC56B9AE7}"/>
    <cellStyle name="Normal 2 4 2 4 3 5 5" xfId="27433" xr:uid="{8B288208-6561-4052-8CBC-E2FC9AA34143}"/>
    <cellStyle name="Normal 2 4 2 4 3 5 6" xfId="10560" xr:uid="{8AEA66D2-152B-479B-8003-C4071CE3616A}"/>
    <cellStyle name="Normal 2 4 2 4 3 6" xfId="2468" xr:uid="{00000000-0005-0000-0000-0000700F0000}"/>
    <cellStyle name="Normal 2 4 2 4 3 6 2" xfId="6752" xr:uid="{00000000-0005-0000-0000-0000710F0000}"/>
    <cellStyle name="Normal 2 4 2 4 3 6 2 2" xfId="23629" xr:uid="{381E4A45-90B3-485C-8087-2829B5CD18B5}"/>
    <cellStyle name="Normal 2 4 2 4 3 6 2 3" xfId="32063" xr:uid="{175D6FE2-D510-49D3-A576-0B82061A71B9}"/>
    <cellStyle name="Normal 2 4 2 4 3 6 2 4" xfId="15191" xr:uid="{A0B2F943-AA3C-4247-A0EE-CF59E4E71C2C}"/>
    <cellStyle name="Normal 2 4 2 4 3 6 3" xfId="19411" xr:uid="{85D0CD28-1496-4F5A-9957-EB0B3F44C566}"/>
    <cellStyle name="Normal 2 4 2 4 3 6 4" xfId="27846" xr:uid="{85229528-84A2-4A65-B3BF-F133C295CD93}"/>
    <cellStyle name="Normal 2 4 2 4 3 6 5" xfId="10973" xr:uid="{679E436E-6A6A-421E-9F9C-6DB97F33CDA3}"/>
    <cellStyle name="Normal 2 4 2 4 3 7" xfId="4686" xr:uid="{00000000-0005-0000-0000-0000720F0000}"/>
    <cellStyle name="Normal 2 4 2 4 3 7 2" xfId="21563" xr:uid="{D1B70180-ABC6-4AD6-9E0B-56BC8F806494}"/>
    <cellStyle name="Normal 2 4 2 4 3 7 3" xfId="29997" xr:uid="{A5BEF13E-13CF-4129-BC34-7316E8D43374}"/>
    <cellStyle name="Normal 2 4 2 4 3 7 4" xfId="13125" xr:uid="{39789E7A-A3FE-4AD2-B4BE-A9E0E9B7BE1F}"/>
    <cellStyle name="Normal 2 4 2 4 3 8" xfId="17345" xr:uid="{BF0FAACC-3C2A-43C2-BA66-198A4A6CFE49}"/>
    <cellStyle name="Normal 2 4 2 4 3 9" xfId="25780" xr:uid="{D83D0768-7E6C-451A-ACD0-B94057298D4D}"/>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24119" xr:uid="{BFD9E073-4CF5-4B16-B811-370E0E4BD9F9}"/>
    <cellStyle name="Normal 2 4 2 4 4 2 2 3" xfId="32553" xr:uid="{20CBF4FA-EDE8-4CFF-B1D0-E4B490501666}"/>
    <cellStyle name="Normal 2 4 2 4 4 2 2 4" xfId="15681" xr:uid="{1FBCF9EC-A284-4ECC-B74C-5CACA335FF71}"/>
    <cellStyle name="Normal 2 4 2 4 4 2 3" xfId="19901" xr:uid="{0E83D4CC-E84D-4371-93E3-F49DF6C75BF3}"/>
    <cellStyle name="Normal 2 4 2 4 4 2 4" xfId="28336" xr:uid="{4C631395-A904-489C-A609-CDBF4F71507E}"/>
    <cellStyle name="Normal 2 4 2 4 4 2 5" xfId="11463" xr:uid="{5A29843D-4195-42FD-A682-547E21C0D2FF}"/>
    <cellStyle name="Normal 2 4 2 4 4 3" xfId="5097" xr:uid="{00000000-0005-0000-0000-0000760F0000}"/>
    <cellStyle name="Normal 2 4 2 4 4 3 2" xfId="21974" xr:uid="{8377C4E7-6613-411F-BD54-041B13CD5829}"/>
    <cellStyle name="Normal 2 4 2 4 4 3 3" xfId="30408" xr:uid="{C7363DBE-4B20-488E-AC57-C6F4B36BDE91}"/>
    <cellStyle name="Normal 2 4 2 4 4 3 4" xfId="13536" xr:uid="{889A75F5-AD84-420F-888B-F5D0A89B3EBB}"/>
    <cellStyle name="Normal 2 4 2 4 4 4" xfId="17756" xr:uid="{58E44445-750A-4757-B9AB-F89D3A5B3F32}"/>
    <cellStyle name="Normal 2 4 2 4 4 5" xfId="26191" xr:uid="{40165C77-BF81-4E8A-8E74-FD84A7D9FB52}"/>
    <cellStyle name="Normal 2 4 2 4 4 6" xfId="9318" xr:uid="{7BB14B94-98A8-404B-899B-DD5D1682DBAA}"/>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24532" xr:uid="{EB978C41-2046-40A1-BBD1-F1EDAC3833FC}"/>
    <cellStyle name="Normal 2 4 2 4 5 2 2 3" xfId="32966" xr:uid="{97F01942-53C6-4873-BEB1-6F41C0A166D2}"/>
    <cellStyle name="Normal 2 4 2 4 5 2 2 4" xfId="16094" xr:uid="{BA39E341-BE5F-4E96-81EF-C14CE4E497C6}"/>
    <cellStyle name="Normal 2 4 2 4 5 2 3" xfId="20314" xr:uid="{A1783411-135E-4F77-9D96-9E301E95BFFE}"/>
    <cellStyle name="Normal 2 4 2 4 5 2 4" xfId="28749" xr:uid="{D5C3E522-F54C-43B5-B006-A7689E577F60}"/>
    <cellStyle name="Normal 2 4 2 4 5 2 5" xfId="11876" xr:uid="{AA908257-CDE5-4827-92E0-299FE801A177}"/>
    <cellStyle name="Normal 2 4 2 4 5 3" xfId="5510" xr:uid="{00000000-0005-0000-0000-00007A0F0000}"/>
    <cellStyle name="Normal 2 4 2 4 5 3 2" xfId="22387" xr:uid="{F4509D44-ED34-4234-8EEF-3EB2BA80570A}"/>
    <cellStyle name="Normal 2 4 2 4 5 3 3" xfId="30821" xr:uid="{288CC028-6B41-4FC3-8022-C09AED618DDE}"/>
    <cellStyle name="Normal 2 4 2 4 5 3 4" xfId="13949" xr:uid="{3FFF08B4-304F-4075-A3F3-08C4441B31BC}"/>
    <cellStyle name="Normal 2 4 2 4 5 4" xfId="18169" xr:uid="{20362CFB-8190-4AB0-9847-667D0B7968DA}"/>
    <cellStyle name="Normal 2 4 2 4 5 5" xfId="26604" xr:uid="{EC8D9D6D-1D33-4E96-89D8-EFBF62A16012}"/>
    <cellStyle name="Normal 2 4 2 4 5 6" xfId="9731" xr:uid="{D045FBBC-66E0-4969-87D7-9E9A136D7CEF}"/>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24945" xr:uid="{66F4AEAB-1AC2-40DA-B0FB-DB97D9C5F6D4}"/>
    <cellStyle name="Normal 2 4 2 4 6 2 2 3" xfId="33379" xr:uid="{869AC59B-2328-4FE1-933A-06A16B181057}"/>
    <cellStyle name="Normal 2 4 2 4 6 2 2 4" xfId="16507" xr:uid="{14BB492B-8E3A-48D2-859C-A609A5B1DB80}"/>
    <cellStyle name="Normal 2 4 2 4 6 2 3" xfId="20727" xr:uid="{28658590-5367-4503-BC4F-CECA12C5E32D}"/>
    <cellStyle name="Normal 2 4 2 4 6 2 4" xfId="29162" xr:uid="{3A4CDE0F-403C-4E00-B780-36B5DC31190C}"/>
    <cellStyle name="Normal 2 4 2 4 6 2 5" xfId="12289" xr:uid="{A07419AA-D62C-4A09-AB8F-78D9B0446322}"/>
    <cellStyle name="Normal 2 4 2 4 6 3" xfId="5923" xr:uid="{00000000-0005-0000-0000-00007E0F0000}"/>
    <cellStyle name="Normal 2 4 2 4 6 3 2" xfId="22800" xr:uid="{C878F04E-8A09-49C5-BF0E-2D2718427D06}"/>
    <cellStyle name="Normal 2 4 2 4 6 3 3" xfId="31234" xr:uid="{6546881F-7D63-4639-9552-5CD2641DFD3C}"/>
    <cellStyle name="Normal 2 4 2 4 6 3 4" xfId="14362" xr:uid="{CD7B9EC0-FBBF-46F3-A86A-BB7B6420D62B}"/>
    <cellStyle name="Normal 2 4 2 4 6 4" xfId="18582" xr:uid="{E509E0E2-68CD-4CDB-8D5B-1F6DA2451D37}"/>
    <cellStyle name="Normal 2 4 2 4 6 5" xfId="27017" xr:uid="{5A3DEE1E-141D-4AAE-8671-82D1EE414148}"/>
    <cellStyle name="Normal 2 4 2 4 6 6" xfId="10144" xr:uid="{7521B1C4-09A5-4401-8371-7CFB8C1E0350}"/>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25358" xr:uid="{2601834C-6468-4D6E-9210-7A6949DADC5F}"/>
    <cellStyle name="Normal 2 4 2 4 7 2 2 3" xfId="33792" xr:uid="{3AEE9A34-C5EA-48A2-9838-680452F37B6A}"/>
    <cellStyle name="Normal 2 4 2 4 7 2 2 4" xfId="16920" xr:uid="{FBF8B0A2-CC62-44A2-91CD-93F1A986CC11}"/>
    <cellStyle name="Normal 2 4 2 4 7 2 3" xfId="21140" xr:uid="{98AF4656-72D4-4E08-8627-11CA97C9614E}"/>
    <cellStyle name="Normal 2 4 2 4 7 2 4" xfId="29575" xr:uid="{0A911649-2484-4ABF-96F2-445822C4AF50}"/>
    <cellStyle name="Normal 2 4 2 4 7 2 5" xfId="12702" xr:uid="{7A2ADB49-8DB0-4AA2-A661-BF86BC6299B7}"/>
    <cellStyle name="Normal 2 4 2 4 7 3" xfId="6336" xr:uid="{00000000-0005-0000-0000-0000820F0000}"/>
    <cellStyle name="Normal 2 4 2 4 7 3 2" xfId="23213" xr:uid="{B0696F93-EEB4-4CEF-8BB9-871F066FA9FF}"/>
    <cellStyle name="Normal 2 4 2 4 7 3 3" xfId="31647" xr:uid="{4BC7E782-D30B-4D19-9970-A5D9D8422B44}"/>
    <cellStyle name="Normal 2 4 2 4 7 3 4" xfId="14775" xr:uid="{1A9145EC-89BB-4241-B6C1-E16342A955BE}"/>
    <cellStyle name="Normal 2 4 2 4 7 4" xfId="18995" xr:uid="{6AA33770-8ACD-467A-8C77-EE21144A51BE}"/>
    <cellStyle name="Normal 2 4 2 4 7 5" xfId="27430" xr:uid="{62AFBBC0-B4AF-4634-B18B-485FBB49A532}"/>
    <cellStyle name="Normal 2 4 2 4 7 6" xfId="10557" xr:uid="{B8FA984B-96F1-4C00-B540-2883810D7ED2}"/>
    <cellStyle name="Normal 2 4 2 4 8" xfId="2465" xr:uid="{00000000-0005-0000-0000-0000830F0000}"/>
    <cellStyle name="Normal 2 4 2 4 8 2" xfId="6749" xr:uid="{00000000-0005-0000-0000-0000840F0000}"/>
    <cellStyle name="Normal 2 4 2 4 8 2 2" xfId="23626" xr:uid="{1DFD724F-707B-4C3C-BD54-6995A3371D38}"/>
    <cellStyle name="Normal 2 4 2 4 8 2 3" xfId="32060" xr:uid="{67C7B98F-3286-4E77-BF28-21CF96551CC4}"/>
    <cellStyle name="Normal 2 4 2 4 8 2 4" xfId="15188" xr:uid="{D7D1B819-2CC7-4DE8-9958-91D23BCB8FC3}"/>
    <cellStyle name="Normal 2 4 2 4 8 3" xfId="19408" xr:uid="{425ED931-9371-44AA-A00E-D6BC6B6D854F}"/>
    <cellStyle name="Normal 2 4 2 4 8 4" xfId="27843" xr:uid="{75BDC1B4-9FEE-4574-AA3A-EA42FF200DA2}"/>
    <cellStyle name="Normal 2 4 2 4 8 5" xfId="10970" xr:uid="{E05E1C1A-F808-45FF-BC6E-7B38CB3FD3CF}"/>
    <cellStyle name="Normal 2 4 2 4 9" xfId="4683" xr:uid="{00000000-0005-0000-0000-0000850F0000}"/>
    <cellStyle name="Normal 2 4 2 4 9 2" xfId="21560" xr:uid="{ACDB012E-4BCA-4814-AC9F-1BF9B918CB74}"/>
    <cellStyle name="Normal 2 4 2 4 9 3" xfId="29994" xr:uid="{9D2A1FF0-135F-4A70-BD17-E4B414461D73}"/>
    <cellStyle name="Normal 2 4 2 4 9 4" xfId="13122" xr:uid="{DE7A897A-110C-4732-BDF4-3D51F73F2517}"/>
    <cellStyle name="Normal 2 4 2 5" xfId="293" xr:uid="{00000000-0005-0000-0000-0000860F0000}"/>
    <cellStyle name="Normal 2 4 2 5 10" xfId="25781" xr:uid="{9F000A2F-6131-45CC-ACFF-4B9B49825DB3}"/>
    <cellStyle name="Normal 2 4 2 5 11" xfId="8908" xr:uid="{4B802F50-BDDF-4E59-B834-EE14531396B7}"/>
    <cellStyle name="Normal 2 4 2 5 2" xfId="294" xr:uid="{00000000-0005-0000-0000-0000870F0000}"/>
    <cellStyle name="Normal 2 4 2 5 2 10" xfId="8909" xr:uid="{B02AC1A9-5AE5-4BA6-884E-31110B22735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24124" xr:uid="{F6D3581E-3CFE-4A4D-BB3A-6237CBB6B16C}"/>
    <cellStyle name="Normal 2 4 2 5 2 2 2 2 3" xfId="32558" xr:uid="{56E22F25-AD72-4542-9229-F0D8BA67A867}"/>
    <cellStyle name="Normal 2 4 2 5 2 2 2 2 4" xfId="15686" xr:uid="{2202CA29-449B-4027-BBCF-418360AE3F41}"/>
    <cellStyle name="Normal 2 4 2 5 2 2 2 3" xfId="19906" xr:uid="{A79C09B3-2370-4B71-9876-EBACA3D51A5A}"/>
    <cellStyle name="Normal 2 4 2 5 2 2 2 4" xfId="28341" xr:uid="{88AD2D81-2850-41AB-8959-EA60D4BF0438}"/>
    <cellStyle name="Normal 2 4 2 5 2 2 2 5" xfId="11468" xr:uid="{A381C692-A6B1-42F8-B3B8-61A65DEF85BF}"/>
    <cellStyle name="Normal 2 4 2 5 2 2 3" xfId="5102" xr:uid="{00000000-0005-0000-0000-00008B0F0000}"/>
    <cellStyle name="Normal 2 4 2 5 2 2 3 2" xfId="21979" xr:uid="{5EB488D1-AEAB-41A0-81A7-E9B89790F877}"/>
    <cellStyle name="Normal 2 4 2 5 2 2 3 3" xfId="30413" xr:uid="{C12B3C5E-F179-47D0-A552-AAE6D068683F}"/>
    <cellStyle name="Normal 2 4 2 5 2 2 3 4" xfId="13541" xr:uid="{D058C397-7FA8-4D01-A558-0D7A88210CEB}"/>
    <cellStyle name="Normal 2 4 2 5 2 2 4" xfId="17761" xr:uid="{EF7A272D-5320-444E-8D22-42C405C3F106}"/>
    <cellStyle name="Normal 2 4 2 5 2 2 5" xfId="26196" xr:uid="{0FC61420-B261-4C5A-9A00-8CDBB782FD8C}"/>
    <cellStyle name="Normal 2 4 2 5 2 2 6" xfId="9323" xr:uid="{3F6E8997-BF1E-4FD1-A924-B5A6B87D07B7}"/>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24537" xr:uid="{ED62EB46-D3D0-4B1C-9679-60CA3FD29B33}"/>
    <cellStyle name="Normal 2 4 2 5 2 3 2 2 3" xfId="32971" xr:uid="{951404CF-F882-4946-A7F3-8CF554569243}"/>
    <cellStyle name="Normal 2 4 2 5 2 3 2 2 4" xfId="16099" xr:uid="{A2E0ED95-19C4-460D-8F85-958AB407A583}"/>
    <cellStyle name="Normal 2 4 2 5 2 3 2 3" xfId="20319" xr:uid="{07967BAF-A371-4953-B9C0-8F9619E5EF93}"/>
    <cellStyle name="Normal 2 4 2 5 2 3 2 4" xfId="28754" xr:uid="{B894DF58-4665-4F3A-AD38-DACA4068C5A4}"/>
    <cellStyle name="Normal 2 4 2 5 2 3 2 5" xfId="11881" xr:uid="{56F4BD99-60D1-427B-A1FB-A26DB5879773}"/>
    <cellStyle name="Normal 2 4 2 5 2 3 3" xfId="5515" xr:uid="{00000000-0005-0000-0000-00008F0F0000}"/>
    <cellStyle name="Normal 2 4 2 5 2 3 3 2" xfId="22392" xr:uid="{779A31B0-5BD7-4F80-AFE0-69530954DCCC}"/>
    <cellStyle name="Normal 2 4 2 5 2 3 3 3" xfId="30826" xr:uid="{0AAC7D32-FFA3-4670-9B18-18948F9CCB91}"/>
    <cellStyle name="Normal 2 4 2 5 2 3 3 4" xfId="13954" xr:uid="{1F291B01-6031-410E-B65A-16F7E97B801E}"/>
    <cellStyle name="Normal 2 4 2 5 2 3 4" xfId="18174" xr:uid="{7EAF02D6-3A2F-41E6-9D47-9FC4B57384F3}"/>
    <cellStyle name="Normal 2 4 2 5 2 3 5" xfId="26609" xr:uid="{1D8D0C4E-64B5-418F-977B-A4B24619E665}"/>
    <cellStyle name="Normal 2 4 2 5 2 3 6" xfId="9736" xr:uid="{BA76A24C-E344-4B1E-B38C-7BE2E9FBC5B6}"/>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24950" xr:uid="{331D2848-8B94-47BA-9FFF-0113A019D3AD}"/>
    <cellStyle name="Normal 2 4 2 5 2 4 2 2 3" xfId="33384" xr:uid="{B7BD5F5E-4C34-4007-B3EB-0C93EC030C0A}"/>
    <cellStyle name="Normal 2 4 2 5 2 4 2 2 4" xfId="16512" xr:uid="{6B6B3381-D397-4C92-95BD-854F00F9953D}"/>
    <cellStyle name="Normal 2 4 2 5 2 4 2 3" xfId="20732" xr:uid="{38784FF3-D615-4CD1-9FA0-D439564A4886}"/>
    <cellStyle name="Normal 2 4 2 5 2 4 2 4" xfId="29167" xr:uid="{1CF8EBAD-F8AC-4370-AC92-B2728FA8887E}"/>
    <cellStyle name="Normal 2 4 2 5 2 4 2 5" xfId="12294" xr:uid="{9D8C98AF-0DA9-4252-AF9F-ECF25EFFEA99}"/>
    <cellStyle name="Normal 2 4 2 5 2 4 3" xfId="5928" xr:uid="{00000000-0005-0000-0000-0000930F0000}"/>
    <cellStyle name="Normal 2 4 2 5 2 4 3 2" xfId="22805" xr:uid="{454345B1-ECC9-4052-AE6B-982A3AF7194D}"/>
    <cellStyle name="Normal 2 4 2 5 2 4 3 3" xfId="31239" xr:uid="{9D331FAA-A9AB-4ED3-BD45-CE0B69B9C6D6}"/>
    <cellStyle name="Normal 2 4 2 5 2 4 3 4" xfId="14367" xr:uid="{310FF6F8-5621-47AF-96C9-88F25542F500}"/>
    <cellStyle name="Normal 2 4 2 5 2 4 4" xfId="18587" xr:uid="{7CB6D68B-4BC4-4537-81EF-DC70A145A268}"/>
    <cellStyle name="Normal 2 4 2 5 2 4 5" xfId="27022" xr:uid="{B755DDB3-EDAC-4B22-948B-3C833CC61D9F}"/>
    <cellStyle name="Normal 2 4 2 5 2 4 6" xfId="10149" xr:uid="{49C9D604-A375-4DED-8641-3BEE0016F63F}"/>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25363" xr:uid="{5932BB7D-56BB-4282-94B3-532C82777752}"/>
    <cellStyle name="Normal 2 4 2 5 2 5 2 2 3" xfId="33797" xr:uid="{0485DF48-F070-4387-8362-57BACBCBB1EE}"/>
    <cellStyle name="Normal 2 4 2 5 2 5 2 2 4" xfId="16925" xr:uid="{FC3B8447-C8C6-4678-B5E4-B137BBDB348F}"/>
    <cellStyle name="Normal 2 4 2 5 2 5 2 3" xfId="21145" xr:uid="{F0A6548A-F107-4FCB-8924-ECBD87CF9345}"/>
    <cellStyle name="Normal 2 4 2 5 2 5 2 4" xfId="29580" xr:uid="{A35C6F26-4144-4C3B-A442-99E51E6E708D}"/>
    <cellStyle name="Normal 2 4 2 5 2 5 2 5" xfId="12707" xr:uid="{1EA2BDDD-7D98-4711-A8F3-BD08E462EEED}"/>
    <cellStyle name="Normal 2 4 2 5 2 5 3" xfId="6341" xr:uid="{00000000-0005-0000-0000-0000970F0000}"/>
    <cellStyle name="Normal 2 4 2 5 2 5 3 2" xfId="23218" xr:uid="{F9B07E1F-CFB2-4C10-A71F-9A4311CD1B75}"/>
    <cellStyle name="Normal 2 4 2 5 2 5 3 3" xfId="31652" xr:uid="{76410120-4033-49B6-A254-8A11EE3150B9}"/>
    <cellStyle name="Normal 2 4 2 5 2 5 3 4" xfId="14780" xr:uid="{48686B10-8DD6-4204-93CE-CF4FE1FAB277}"/>
    <cellStyle name="Normal 2 4 2 5 2 5 4" xfId="19000" xr:uid="{AD30F70F-1EC8-48B9-A427-2E337EE91B1E}"/>
    <cellStyle name="Normal 2 4 2 5 2 5 5" xfId="27435" xr:uid="{3C9005A4-4FB7-45EC-81A6-8C617ADBC273}"/>
    <cellStyle name="Normal 2 4 2 5 2 5 6" xfId="10562" xr:uid="{CE759272-8026-4CB5-A80E-C94F4D06DD9F}"/>
    <cellStyle name="Normal 2 4 2 5 2 6" xfId="2470" xr:uid="{00000000-0005-0000-0000-0000980F0000}"/>
    <cellStyle name="Normal 2 4 2 5 2 6 2" xfId="6754" xr:uid="{00000000-0005-0000-0000-0000990F0000}"/>
    <cellStyle name="Normal 2 4 2 5 2 6 2 2" xfId="23631" xr:uid="{A538EA99-BD65-4956-A2D1-6AAA8E75786E}"/>
    <cellStyle name="Normal 2 4 2 5 2 6 2 3" xfId="32065" xr:uid="{3363B6BA-4754-460F-B0DA-90BF7B21270F}"/>
    <cellStyle name="Normal 2 4 2 5 2 6 2 4" xfId="15193" xr:uid="{58F3EAE6-89A9-48F6-AE40-580909F7242B}"/>
    <cellStyle name="Normal 2 4 2 5 2 6 3" xfId="19413" xr:uid="{CE1F102B-8BEB-4B72-9FB1-5B1778F997A9}"/>
    <cellStyle name="Normal 2 4 2 5 2 6 4" xfId="27848" xr:uid="{F9C48411-8152-4DB4-9B50-DB905C46D73C}"/>
    <cellStyle name="Normal 2 4 2 5 2 6 5" xfId="10975" xr:uid="{4982D5AD-25CB-43DE-8CA7-707729CC1C33}"/>
    <cellStyle name="Normal 2 4 2 5 2 7" xfId="4688" xr:uid="{00000000-0005-0000-0000-00009A0F0000}"/>
    <cellStyle name="Normal 2 4 2 5 2 7 2" xfId="21565" xr:uid="{3CA634E0-2B7E-4D8C-91F3-73125BF9AF80}"/>
    <cellStyle name="Normal 2 4 2 5 2 7 3" xfId="29999" xr:uid="{B74F6345-DA62-432F-9596-A55F5079D4F9}"/>
    <cellStyle name="Normal 2 4 2 5 2 7 4" xfId="13127" xr:uid="{AB66F3A3-E157-4B60-A86E-3B4C31A934FD}"/>
    <cellStyle name="Normal 2 4 2 5 2 8" xfId="17347" xr:uid="{F26A827A-6770-4AC5-B7FA-215F26087CFB}"/>
    <cellStyle name="Normal 2 4 2 5 2 9" xfId="25782" xr:uid="{71A00EBE-5F81-492D-8B3D-D59D39B9C7B3}"/>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24123" xr:uid="{5C181BD7-0965-43F1-B790-7A03822A7FCE}"/>
    <cellStyle name="Normal 2 4 2 5 3 2 2 3" xfId="32557" xr:uid="{0589F916-9386-4E99-8F34-8364F44E2FDD}"/>
    <cellStyle name="Normal 2 4 2 5 3 2 2 4" xfId="15685" xr:uid="{386E9F56-5CCA-4149-A477-17C9D891159F}"/>
    <cellStyle name="Normal 2 4 2 5 3 2 3" xfId="19905" xr:uid="{5197DBD1-684A-49A5-BCB0-595B5C2CFB09}"/>
    <cellStyle name="Normal 2 4 2 5 3 2 4" xfId="28340" xr:uid="{D6AD467C-515D-4E98-A561-6D5FD9DFFA37}"/>
    <cellStyle name="Normal 2 4 2 5 3 2 5" xfId="11467" xr:uid="{A4D2635E-CEC1-4CC9-8D4B-2C11A40E47E4}"/>
    <cellStyle name="Normal 2 4 2 5 3 3" xfId="5101" xr:uid="{00000000-0005-0000-0000-00009E0F0000}"/>
    <cellStyle name="Normal 2 4 2 5 3 3 2" xfId="21978" xr:uid="{3DF72C5D-4859-4513-B9FD-B4C5AAB13B86}"/>
    <cellStyle name="Normal 2 4 2 5 3 3 3" xfId="30412" xr:uid="{5F03D902-F78B-464B-83CC-64F6E5AD3C2F}"/>
    <cellStyle name="Normal 2 4 2 5 3 3 4" xfId="13540" xr:uid="{E9681F8E-A34E-4F88-AD7B-A5FAFA46B152}"/>
    <cellStyle name="Normal 2 4 2 5 3 4" xfId="17760" xr:uid="{F043FC33-CE36-495D-A115-14DB9B2FB915}"/>
    <cellStyle name="Normal 2 4 2 5 3 5" xfId="26195" xr:uid="{827368D3-5BAB-4B70-A046-F568F631B4E7}"/>
    <cellStyle name="Normal 2 4 2 5 3 6" xfId="9322" xr:uid="{76BA8C30-C742-43C6-8C05-0507BBF62569}"/>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24536" xr:uid="{6A06983E-4066-4E58-91D0-4C37CAC9EC72}"/>
    <cellStyle name="Normal 2 4 2 5 4 2 2 3" xfId="32970" xr:uid="{24FA0D9E-E5E7-4E38-8E30-8BF24A8453A2}"/>
    <cellStyle name="Normal 2 4 2 5 4 2 2 4" xfId="16098" xr:uid="{01E37D0C-3001-467F-9AEE-D8B85D75DCE7}"/>
    <cellStyle name="Normal 2 4 2 5 4 2 3" xfId="20318" xr:uid="{C19438BC-F7A5-4463-AE5C-6214D2161EA6}"/>
    <cellStyle name="Normal 2 4 2 5 4 2 4" xfId="28753" xr:uid="{EEBBF1EC-140B-44C9-95AA-178615DA7B84}"/>
    <cellStyle name="Normal 2 4 2 5 4 2 5" xfId="11880" xr:uid="{5BE6B560-16E5-4759-A502-195953CB502B}"/>
    <cellStyle name="Normal 2 4 2 5 4 3" xfId="5514" xr:uid="{00000000-0005-0000-0000-0000A20F0000}"/>
    <cellStyle name="Normal 2 4 2 5 4 3 2" xfId="22391" xr:uid="{AA93DDF1-9215-47B9-9A1A-8B37491190F8}"/>
    <cellStyle name="Normal 2 4 2 5 4 3 3" xfId="30825" xr:uid="{F6F30D0A-B2E6-4374-857D-0701270105B0}"/>
    <cellStyle name="Normal 2 4 2 5 4 3 4" xfId="13953" xr:uid="{649048A4-1DDA-4701-AC6E-AAF44DC9CEA4}"/>
    <cellStyle name="Normal 2 4 2 5 4 4" xfId="18173" xr:uid="{0DB210C7-A967-4239-91E7-34DBA40FAFF8}"/>
    <cellStyle name="Normal 2 4 2 5 4 5" xfId="26608" xr:uid="{B7A3F392-4D55-48CF-8ED3-6E05E68B174D}"/>
    <cellStyle name="Normal 2 4 2 5 4 6" xfId="9735" xr:uid="{7542170B-C492-4DD2-AC95-BEA2F79E16DA}"/>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24949" xr:uid="{E52ACDA9-49B0-48AA-A50F-EA84E4029131}"/>
    <cellStyle name="Normal 2 4 2 5 5 2 2 3" xfId="33383" xr:uid="{613F3F50-0B4B-4488-9253-1649C0DE4EC2}"/>
    <cellStyle name="Normal 2 4 2 5 5 2 2 4" xfId="16511" xr:uid="{98022C1B-E06F-41CD-BB61-89F19D6906F3}"/>
    <cellStyle name="Normal 2 4 2 5 5 2 3" xfId="20731" xr:uid="{398E714A-6EBF-4D17-9F85-1B3B65FD72A9}"/>
    <cellStyle name="Normal 2 4 2 5 5 2 4" xfId="29166" xr:uid="{B73A9286-12D8-4FB1-8639-338EB001A9B9}"/>
    <cellStyle name="Normal 2 4 2 5 5 2 5" xfId="12293" xr:uid="{9680938B-88E5-4E7A-A05A-AFDFFD1942CB}"/>
    <cellStyle name="Normal 2 4 2 5 5 3" xfId="5927" xr:uid="{00000000-0005-0000-0000-0000A60F0000}"/>
    <cellStyle name="Normal 2 4 2 5 5 3 2" xfId="22804" xr:uid="{DD5BF68A-C5CA-4208-B37B-8FF34D45EC2E}"/>
    <cellStyle name="Normal 2 4 2 5 5 3 3" xfId="31238" xr:uid="{A1EB033F-4701-4181-A1E6-17B60571FF27}"/>
    <cellStyle name="Normal 2 4 2 5 5 3 4" xfId="14366" xr:uid="{74E7292B-E6C7-43EA-852A-AFE328FDF790}"/>
    <cellStyle name="Normal 2 4 2 5 5 4" xfId="18586" xr:uid="{FFBD2FDB-C34D-4612-994C-4E9D94A79CD1}"/>
    <cellStyle name="Normal 2 4 2 5 5 5" xfId="27021" xr:uid="{81704E62-6B24-4E69-BA81-436B9701D9E4}"/>
    <cellStyle name="Normal 2 4 2 5 5 6" xfId="10148" xr:uid="{071BA630-7671-4B54-9F4B-5ECE9ED422D2}"/>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25362" xr:uid="{0E5885C1-C7CB-4D85-9585-4C17A7410115}"/>
    <cellStyle name="Normal 2 4 2 5 6 2 2 3" xfId="33796" xr:uid="{B93E651C-A5CB-447D-ABE8-62D3C773EDCC}"/>
    <cellStyle name="Normal 2 4 2 5 6 2 2 4" xfId="16924" xr:uid="{CDF2F7FF-3036-4429-9912-F7025F57D51E}"/>
    <cellStyle name="Normal 2 4 2 5 6 2 3" xfId="21144" xr:uid="{76984A37-ACC1-44B7-AB01-05BEC774EBF4}"/>
    <cellStyle name="Normal 2 4 2 5 6 2 4" xfId="29579" xr:uid="{8F49F9CD-26AD-4133-A28A-494984A292A9}"/>
    <cellStyle name="Normal 2 4 2 5 6 2 5" xfId="12706" xr:uid="{AD57A058-D6E0-4BBF-AC24-67F958195E63}"/>
    <cellStyle name="Normal 2 4 2 5 6 3" xfId="6340" xr:uid="{00000000-0005-0000-0000-0000AA0F0000}"/>
    <cellStyle name="Normal 2 4 2 5 6 3 2" xfId="23217" xr:uid="{8C58DACF-8DB5-44AF-AD72-FAB2CF9A40C5}"/>
    <cellStyle name="Normal 2 4 2 5 6 3 3" xfId="31651" xr:uid="{3169B4F8-4A75-4F4E-8A91-B90DC69A3DAC}"/>
    <cellStyle name="Normal 2 4 2 5 6 3 4" xfId="14779" xr:uid="{0C15C36E-4791-40A4-A02A-334D68C74550}"/>
    <cellStyle name="Normal 2 4 2 5 6 4" xfId="18999" xr:uid="{D9BC72FC-9197-429B-8DA9-663BE582AA4D}"/>
    <cellStyle name="Normal 2 4 2 5 6 5" xfId="27434" xr:uid="{075470D6-6971-4230-B35D-4F2480E524DD}"/>
    <cellStyle name="Normal 2 4 2 5 6 6" xfId="10561" xr:uid="{6644356A-0EEC-4732-A3CD-5C32982C34EB}"/>
    <cellStyle name="Normal 2 4 2 5 7" xfId="2469" xr:uid="{00000000-0005-0000-0000-0000AB0F0000}"/>
    <cellStyle name="Normal 2 4 2 5 7 2" xfId="6753" xr:uid="{00000000-0005-0000-0000-0000AC0F0000}"/>
    <cellStyle name="Normal 2 4 2 5 7 2 2" xfId="23630" xr:uid="{1F8FE750-D2F5-49C4-985D-9DCFF76F01F1}"/>
    <cellStyle name="Normal 2 4 2 5 7 2 3" xfId="32064" xr:uid="{E146C7AB-FA1F-4FE2-8A8A-45A7E152D9C7}"/>
    <cellStyle name="Normal 2 4 2 5 7 2 4" xfId="15192" xr:uid="{79DA4D7B-A28A-4BBF-9852-6EE81EAEAA8C}"/>
    <cellStyle name="Normal 2 4 2 5 7 3" xfId="19412" xr:uid="{D714E471-26B1-45D1-85B8-B8BE752FF084}"/>
    <cellStyle name="Normal 2 4 2 5 7 4" xfId="27847" xr:uid="{F42C7AC0-06C0-4C77-A023-F22411115091}"/>
    <cellStyle name="Normal 2 4 2 5 7 5" xfId="10974" xr:uid="{F495AAF8-1298-4ACC-86A9-B6AA8CBA4C06}"/>
    <cellStyle name="Normal 2 4 2 5 8" xfId="4687" xr:uid="{00000000-0005-0000-0000-0000AD0F0000}"/>
    <cellStyle name="Normal 2 4 2 5 8 2" xfId="21564" xr:uid="{E2C6733B-9460-4BA2-B8B1-190F05957F65}"/>
    <cellStyle name="Normal 2 4 2 5 8 3" xfId="29998" xr:uid="{C3209238-4334-416B-A73D-8C3D318F8567}"/>
    <cellStyle name="Normal 2 4 2 5 8 4" xfId="13126" xr:uid="{AB916DC6-9B5F-4E72-A69D-76543D5FCDB7}"/>
    <cellStyle name="Normal 2 4 2 5 9" xfId="17346" xr:uid="{950F2C71-B3E8-41A0-B5DA-79DD0347655A}"/>
    <cellStyle name="Normal 2 4 2 6" xfId="295" xr:uid="{00000000-0005-0000-0000-0000AE0F0000}"/>
    <cellStyle name="Normal 2 4 2 6 10" xfId="8910" xr:uid="{CD91867D-66B3-4C63-9028-2FC415DA107E}"/>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24125" xr:uid="{CE4A3A47-9842-4E08-B248-93E0B01397EA}"/>
    <cellStyle name="Normal 2 4 2 6 2 2 2 3" xfId="32559" xr:uid="{8A5C19E1-27CB-4653-89DD-6D4F95672D3D}"/>
    <cellStyle name="Normal 2 4 2 6 2 2 2 4" xfId="15687" xr:uid="{E5D99877-A375-4578-8C03-2698E8369B41}"/>
    <cellStyle name="Normal 2 4 2 6 2 2 3" xfId="19907" xr:uid="{0F2638A1-4B1C-462F-9BDA-29B9E5E1881C}"/>
    <cellStyle name="Normal 2 4 2 6 2 2 4" xfId="28342" xr:uid="{383508FC-BEF1-498D-906F-2AB90ED818AB}"/>
    <cellStyle name="Normal 2 4 2 6 2 2 5" xfId="11469" xr:uid="{C1CD7793-5801-45C0-8226-C7546077AF9D}"/>
    <cellStyle name="Normal 2 4 2 6 2 3" xfId="5103" xr:uid="{00000000-0005-0000-0000-0000B20F0000}"/>
    <cellStyle name="Normal 2 4 2 6 2 3 2" xfId="21980" xr:uid="{0E1D1891-8898-4DF4-A9FA-0F258CE866AA}"/>
    <cellStyle name="Normal 2 4 2 6 2 3 3" xfId="30414" xr:uid="{CA147ACE-1D7F-4EDB-BA13-DCC491C4BF43}"/>
    <cellStyle name="Normal 2 4 2 6 2 3 4" xfId="13542" xr:uid="{63B2FDA9-0391-4D61-BE4B-410C1D7401E1}"/>
    <cellStyle name="Normal 2 4 2 6 2 4" xfId="17762" xr:uid="{01A5E633-6E80-4FAE-937D-3C6F49C0B54E}"/>
    <cellStyle name="Normal 2 4 2 6 2 5" xfId="26197" xr:uid="{F8A21BA3-DBD9-4F63-8FDE-EF5AD8C11FA7}"/>
    <cellStyle name="Normal 2 4 2 6 2 6" xfId="9324" xr:uid="{981C1837-1416-4216-952A-52CF4E7D764B}"/>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24538" xr:uid="{CB996C33-1A52-47D6-9D33-C28DF2C94F62}"/>
    <cellStyle name="Normal 2 4 2 6 3 2 2 3" xfId="32972" xr:uid="{E10EC292-029F-489C-89FA-1E2A6973F5A3}"/>
    <cellStyle name="Normal 2 4 2 6 3 2 2 4" xfId="16100" xr:uid="{DAB1507A-0A08-4B99-864A-AE1D62944442}"/>
    <cellStyle name="Normal 2 4 2 6 3 2 3" xfId="20320" xr:uid="{EF4B0C3F-8449-42E7-B1F9-6A4B2A80343E}"/>
    <cellStyle name="Normal 2 4 2 6 3 2 4" xfId="28755" xr:uid="{EC821C45-68FB-4F12-87CD-8037257FD5FF}"/>
    <cellStyle name="Normal 2 4 2 6 3 2 5" xfId="11882" xr:uid="{9C6C7659-443A-445C-A855-5F95C57DF52A}"/>
    <cellStyle name="Normal 2 4 2 6 3 3" xfId="5516" xr:uid="{00000000-0005-0000-0000-0000B60F0000}"/>
    <cellStyle name="Normal 2 4 2 6 3 3 2" xfId="22393" xr:uid="{5CE9D238-4CBC-45CB-B828-FB2336C1DFAC}"/>
    <cellStyle name="Normal 2 4 2 6 3 3 3" xfId="30827" xr:uid="{C7FE6F18-B431-439F-B89B-4657DFB6845C}"/>
    <cellStyle name="Normal 2 4 2 6 3 3 4" xfId="13955" xr:uid="{C54E4760-C54B-4339-B8E4-32F928649745}"/>
    <cellStyle name="Normal 2 4 2 6 3 4" xfId="18175" xr:uid="{563D3340-798D-4E12-BDD4-90330782B08F}"/>
    <cellStyle name="Normal 2 4 2 6 3 5" xfId="26610" xr:uid="{D7E6A233-D187-4C3D-8713-B4E923ADBCF8}"/>
    <cellStyle name="Normal 2 4 2 6 3 6" xfId="9737" xr:uid="{9ED8828C-9C67-4B28-9766-288FD92BF30E}"/>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24951" xr:uid="{AD4D8631-F8E2-4D9B-8B6A-380E3A4113FB}"/>
    <cellStyle name="Normal 2 4 2 6 4 2 2 3" xfId="33385" xr:uid="{246F5402-2501-461B-AB33-79C2BA288720}"/>
    <cellStyle name="Normal 2 4 2 6 4 2 2 4" xfId="16513" xr:uid="{D6826BA6-5407-4D1C-8738-DD92972E36D9}"/>
    <cellStyle name="Normal 2 4 2 6 4 2 3" xfId="20733" xr:uid="{BC3277B1-6680-4563-8806-AB0B4B004AFC}"/>
    <cellStyle name="Normal 2 4 2 6 4 2 4" xfId="29168" xr:uid="{298A6AB4-CB8E-483A-B247-88E32CAB9B1B}"/>
    <cellStyle name="Normal 2 4 2 6 4 2 5" xfId="12295" xr:uid="{F586E8EA-B981-4919-990C-EFC84DABDDF8}"/>
    <cellStyle name="Normal 2 4 2 6 4 3" xfId="5929" xr:uid="{00000000-0005-0000-0000-0000BA0F0000}"/>
    <cellStyle name="Normal 2 4 2 6 4 3 2" xfId="22806" xr:uid="{9E949FDC-65A4-434D-81B1-D6BA92E823B1}"/>
    <cellStyle name="Normal 2 4 2 6 4 3 3" xfId="31240" xr:uid="{7B75DCD0-FABA-43F7-82C8-558645A137A8}"/>
    <cellStyle name="Normal 2 4 2 6 4 3 4" xfId="14368" xr:uid="{5FBC2FC7-EE95-46EB-A2B0-6AFA106E892F}"/>
    <cellStyle name="Normal 2 4 2 6 4 4" xfId="18588" xr:uid="{9635FDC2-7535-4459-82FD-147D0238A32A}"/>
    <cellStyle name="Normal 2 4 2 6 4 5" xfId="27023" xr:uid="{7B902DCF-4E5D-42ED-BC88-DC29ED11BCD2}"/>
    <cellStyle name="Normal 2 4 2 6 4 6" xfId="10150" xr:uid="{B71F67A3-7C9B-4F32-9A80-BE16F71CE2E5}"/>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25364" xr:uid="{D17BCBA7-05D5-4A24-80AC-D229BFEEDBD7}"/>
    <cellStyle name="Normal 2 4 2 6 5 2 2 3" xfId="33798" xr:uid="{EE6CDC26-7D7A-4ED0-AE21-75D70B248672}"/>
    <cellStyle name="Normal 2 4 2 6 5 2 2 4" xfId="16926" xr:uid="{4CFDC8B3-2148-47C5-ABA3-A927BD7FFFFE}"/>
    <cellStyle name="Normal 2 4 2 6 5 2 3" xfId="21146" xr:uid="{BF6AA70E-51BC-4E4A-BA73-A8921F98B854}"/>
    <cellStyle name="Normal 2 4 2 6 5 2 4" xfId="29581" xr:uid="{226947A1-4110-4A84-893E-32500C037E8A}"/>
    <cellStyle name="Normal 2 4 2 6 5 2 5" xfId="12708" xr:uid="{11C85798-F9AC-4903-BBD0-B8FCF2067C70}"/>
    <cellStyle name="Normal 2 4 2 6 5 3" xfId="6342" xr:uid="{00000000-0005-0000-0000-0000BE0F0000}"/>
    <cellStyle name="Normal 2 4 2 6 5 3 2" xfId="23219" xr:uid="{B6F2628E-197A-4F04-8211-36ECFA477DC7}"/>
    <cellStyle name="Normal 2 4 2 6 5 3 3" xfId="31653" xr:uid="{4CE661E1-450F-4F62-8F33-BE48033D664A}"/>
    <cellStyle name="Normal 2 4 2 6 5 3 4" xfId="14781" xr:uid="{41B64E71-2FF6-4B3E-B136-2A938A24E700}"/>
    <cellStyle name="Normal 2 4 2 6 5 4" xfId="19001" xr:uid="{3505D413-280B-4FE8-8E57-DA5C644D69CF}"/>
    <cellStyle name="Normal 2 4 2 6 5 5" xfId="27436" xr:uid="{AAB1C34B-991C-4FAB-B78D-FFD81A2A0181}"/>
    <cellStyle name="Normal 2 4 2 6 5 6" xfId="10563" xr:uid="{90EF97D1-17E8-4BB1-858C-B87859CAF76F}"/>
    <cellStyle name="Normal 2 4 2 6 6" xfId="2471" xr:uid="{00000000-0005-0000-0000-0000BF0F0000}"/>
    <cellStyle name="Normal 2 4 2 6 6 2" xfId="6755" xr:uid="{00000000-0005-0000-0000-0000C00F0000}"/>
    <cellStyle name="Normal 2 4 2 6 6 2 2" xfId="23632" xr:uid="{842233D7-F0F2-42D1-B045-4C176D0227AD}"/>
    <cellStyle name="Normal 2 4 2 6 6 2 3" xfId="32066" xr:uid="{DF20695B-8784-419D-A80D-EBB44A5F3BD4}"/>
    <cellStyle name="Normal 2 4 2 6 6 2 4" xfId="15194" xr:uid="{A66E5F42-6F42-4792-BB0B-79F51776A67F}"/>
    <cellStyle name="Normal 2 4 2 6 6 3" xfId="19414" xr:uid="{0038A54B-8E63-41A4-AA1C-38CB0AC7F05C}"/>
    <cellStyle name="Normal 2 4 2 6 6 4" xfId="27849" xr:uid="{2A877129-1E78-4E37-A9DE-92933CE3583C}"/>
    <cellStyle name="Normal 2 4 2 6 6 5" xfId="10976" xr:uid="{E1AB7AD9-2263-4B69-9988-CC8BDD13B755}"/>
    <cellStyle name="Normal 2 4 2 6 7" xfId="4689" xr:uid="{00000000-0005-0000-0000-0000C10F0000}"/>
    <cellStyle name="Normal 2 4 2 6 7 2" xfId="21566" xr:uid="{23344640-A633-440B-B89D-7954FDB87416}"/>
    <cellStyle name="Normal 2 4 2 6 7 3" xfId="30000" xr:uid="{CF0E52D8-31A3-4B7A-BC8C-B0AA0A5C464A}"/>
    <cellStyle name="Normal 2 4 2 6 7 4" xfId="13128" xr:uid="{CCFC014D-9AD7-460B-AA37-5C50A305AE47}"/>
    <cellStyle name="Normal 2 4 2 6 8" xfId="17348" xr:uid="{9E7CCB77-5CCF-48FD-A892-947DC3C5F9E5}"/>
    <cellStyle name="Normal 2 4 2 6 9" xfId="25783" xr:uid="{E044FAFC-DF2D-4860-8A42-DCE94CCBE621}"/>
    <cellStyle name="Normal 2 4 2 7" xfId="771" xr:uid="{00000000-0005-0000-0000-0000C20F0000}"/>
    <cellStyle name="Normal 2 4 2 7 2" xfId="3010" xr:uid="{00000000-0005-0000-0000-0000C30F0000}"/>
    <cellStyle name="Normal 2 4 2 7 2 2" xfId="7233" xr:uid="{00000000-0005-0000-0000-0000C40F0000}"/>
    <cellStyle name="Normal 2 4 2 7 2 2 2" xfId="24110" xr:uid="{C603498A-296E-4CBF-B525-8B54086A189D}"/>
    <cellStyle name="Normal 2 4 2 7 2 2 3" xfId="32544" xr:uid="{D1A74AC8-F636-4F24-B129-A99CAD268611}"/>
    <cellStyle name="Normal 2 4 2 7 2 2 4" xfId="15672" xr:uid="{B0E8886E-B02A-4CFE-A8B9-3EF252DEE246}"/>
    <cellStyle name="Normal 2 4 2 7 2 3" xfId="19892" xr:uid="{4AB21CD4-FCAA-4440-917A-825D93019F1B}"/>
    <cellStyle name="Normal 2 4 2 7 2 4" xfId="28327" xr:uid="{15F30D94-2AD1-4FF7-9086-B0A13E7A499C}"/>
    <cellStyle name="Normal 2 4 2 7 2 5" xfId="11454" xr:uid="{94507414-7765-4EC6-908D-8466DF484290}"/>
    <cellStyle name="Normal 2 4 2 7 3" xfId="5088" xr:uid="{00000000-0005-0000-0000-0000C50F0000}"/>
    <cellStyle name="Normal 2 4 2 7 3 2" xfId="21965" xr:uid="{A400D502-EA2D-464A-BB25-C10C4FFEB2D5}"/>
    <cellStyle name="Normal 2 4 2 7 3 3" xfId="30399" xr:uid="{5601910E-C6B8-453E-ABFF-4AC17A33F7A6}"/>
    <cellStyle name="Normal 2 4 2 7 3 4" xfId="13527" xr:uid="{19935FC1-F170-40E6-991F-5918C9ECFF09}"/>
    <cellStyle name="Normal 2 4 2 7 4" xfId="17747" xr:uid="{A69912D2-DB7E-4978-81CB-D97A936B43DF}"/>
    <cellStyle name="Normal 2 4 2 7 5" xfId="26182" xr:uid="{BA0DE1D2-BE46-49AF-860A-51A6D8FA2B48}"/>
    <cellStyle name="Normal 2 4 2 7 6" xfId="9309" xr:uid="{2B3A5635-7CDE-4264-8863-FD26E52F013F}"/>
    <cellStyle name="Normal 2 4 2 8" xfId="1193" xr:uid="{00000000-0005-0000-0000-0000C60F0000}"/>
    <cellStyle name="Normal 2 4 2 8 2" xfId="3423" xr:uid="{00000000-0005-0000-0000-0000C70F0000}"/>
    <cellStyle name="Normal 2 4 2 8 2 2" xfId="7646" xr:uid="{00000000-0005-0000-0000-0000C80F0000}"/>
    <cellStyle name="Normal 2 4 2 8 2 2 2" xfId="24523" xr:uid="{624A359A-D6DA-4232-A1A7-24C3C3B6B361}"/>
    <cellStyle name="Normal 2 4 2 8 2 2 3" xfId="32957" xr:uid="{E382D666-6A90-4377-BC3A-83BE57120510}"/>
    <cellStyle name="Normal 2 4 2 8 2 2 4" xfId="16085" xr:uid="{908CBCEB-051C-4F98-946A-F9647E468991}"/>
    <cellStyle name="Normal 2 4 2 8 2 3" xfId="20305" xr:uid="{86169459-5D6C-426E-9D44-8A84AC79939B}"/>
    <cellStyle name="Normal 2 4 2 8 2 4" xfId="28740" xr:uid="{266121FF-27AE-4FFB-8EB6-6E648BF8419B}"/>
    <cellStyle name="Normal 2 4 2 8 2 5" xfId="11867" xr:uid="{6E244DB3-29B1-4520-9F2B-4F1B4F6FC0BD}"/>
    <cellStyle name="Normal 2 4 2 8 3" xfId="5501" xr:uid="{00000000-0005-0000-0000-0000C90F0000}"/>
    <cellStyle name="Normal 2 4 2 8 3 2" xfId="22378" xr:uid="{D116FAAA-85C1-4CB6-988D-E59C2EE81084}"/>
    <cellStyle name="Normal 2 4 2 8 3 3" xfId="30812" xr:uid="{7FB96395-709D-4C98-9B27-7C63FE0FF33B}"/>
    <cellStyle name="Normal 2 4 2 8 3 4" xfId="13940" xr:uid="{C29F331B-4F18-4A85-B039-A5DB351BA8A5}"/>
    <cellStyle name="Normal 2 4 2 8 4" xfId="18160" xr:uid="{56ED8B46-9DD5-4D8C-A3EA-FB402E802501}"/>
    <cellStyle name="Normal 2 4 2 8 5" xfId="26595" xr:uid="{F1099D1A-03C8-4CFB-8B22-67F0B40274F1}"/>
    <cellStyle name="Normal 2 4 2 8 6" xfId="9722" xr:uid="{DA93D576-A2E1-45C2-AD4B-2C187E4B2C06}"/>
    <cellStyle name="Normal 2 4 2 9" xfId="1606" xr:uid="{00000000-0005-0000-0000-0000CA0F0000}"/>
    <cellStyle name="Normal 2 4 2 9 2" xfId="3836" xr:uid="{00000000-0005-0000-0000-0000CB0F0000}"/>
    <cellStyle name="Normal 2 4 2 9 2 2" xfId="8059" xr:uid="{00000000-0005-0000-0000-0000CC0F0000}"/>
    <cellStyle name="Normal 2 4 2 9 2 2 2" xfId="24936" xr:uid="{C25E53F1-E081-4673-B745-B71031F45253}"/>
    <cellStyle name="Normal 2 4 2 9 2 2 3" xfId="33370" xr:uid="{FC8AA04F-2916-43CC-84A3-B7B1CB4F2E59}"/>
    <cellStyle name="Normal 2 4 2 9 2 2 4" xfId="16498" xr:uid="{2C1D1DFD-7A48-43C6-9C61-87A4E39A4A41}"/>
    <cellStyle name="Normal 2 4 2 9 2 3" xfId="20718" xr:uid="{830F5DC7-AE97-4638-BFB7-3CB804C5D9E9}"/>
    <cellStyle name="Normal 2 4 2 9 2 4" xfId="29153" xr:uid="{B65494B9-7DAC-4CF4-B038-202D14DF3D8A}"/>
    <cellStyle name="Normal 2 4 2 9 2 5" xfId="12280" xr:uid="{11F7BA5F-4677-438F-A2C5-44F83FBECACE}"/>
    <cellStyle name="Normal 2 4 2 9 3" xfId="5914" xr:uid="{00000000-0005-0000-0000-0000CD0F0000}"/>
    <cellStyle name="Normal 2 4 2 9 3 2" xfId="22791" xr:uid="{5A6F8D91-4AB0-4B98-9D04-2FFE24579075}"/>
    <cellStyle name="Normal 2 4 2 9 3 3" xfId="31225" xr:uid="{07FE8181-8A87-4759-8522-4353C2A5771E}"/>
    <cellStyle name="Normal 2 4 2 9 3 4" xfId="14353" xr:uid="{FB3D6437-8391-4CC8-86E9-B9D8F4161BA7}"/>
    <cellStyle name="Normal 2 4 2 9 4" xfId="18573" xr:uid="{B3798FFF-660A-420E-BC36-7A721EE5F039}"/>
    <cellStyle name="Normal 2 4 2 9 5" xfId="27008" xr:uid="{A7CDA519-E57B-45B3-9B01-9D0B5014BA6E}"/>
    <cellStyle name="Normal 2 4 2 9 6" xfId="10135" xr:uid="{6B20072C-B9A6-4430-B64E-F50196D172D8}"/>
    <cellStyle name="Normal 2 4 3" xfId="296" xr:uid="{00000000-0005-0000-0000-0000CE0F0000}"/>
    <cellStyle name="Normal 2 4 3 10" xfId="17349" xr:uid="{DEB2B64B-A053-47F5-B869-331819D9286F}"/>
    <cellStyle name="Normal 2 4 3 11" xfId="25784" xr:uid="{F1110C6A-7DCD-4F06-B7D6-281A7BA8D08B}"/>
    <cellStyle name="Normal 2 4 3 12" xfId="8911" xr:uid="{63CC680F-B338-4751-B919-5E35217CF17D}"/>
    <cellStyle name="Normal 2 4 3 2" xfId="297" xr:uid="{00000000-0005-0000-0000-0000CF0F0000}"/>
    <cellStyle name="Normal 2 4 3 3" xfId="298" xr:uid="{00000000-0005-0000-0000-0000D00F0000}"/>
    <cellStyle name="Normal 2 4 3 3 10" xfId="17350" xr:uid="{E18213DB-F300-4A89-B466-CDB27A9555BB}"/>
    <cellStyle name="Normal 2 4 3 3 11" xfId="25785" xr:uid="{E374F864-4AB1-4BDD-9C85-75FF757F6BD6}"/>
    <cellStyle name="Normal 2 4 3 3 12" xfId="8912" xr:uid="{ACD2C849-D643-46CA-A5CF-44C866E9059F}"/>
    <cellStyle name="Normal 2 4 3 3 2" xfId="299" xr:uid="{00000000-0005-0000-0000-0000D10F0000}"/>
    <cellStyle name="Normal 2 4 3 3 2 10" xfId="25786" xr:uid="{D5213BD0-614A-49AA-BE04-BB479176006F}"/>
    <cellStyle name="Normal 2 4 3 3 2 11" xfId="8913" xr:uid="{C2515625-8E7B-463F-974B-56B1936A6CBB}"/>
    <cellStyle name="Normal 2 4 3 3 2 2" xfId="300" xr:uid="{00000000-0005-0000-0000-0000D20F0000}"/>
    <cellStyle name="Normal 2 4 3 3 2 2 10" xfId="8914" xr:uid="{C89EE9D0-C628-4D2A-8D13-9517DEE74C1E}"/>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24129" xr:uid="{C92C5179-7855-4D73-8DDD-6BC8695E4804}"/>
    <cellStyle name="Normal 2 4 3 3 2 2 2 2 2 3" xfId="32563" xr:uid="{18E8D0B1-D0D7-4772-9F92-4C6400A114A7}"/>
    <cellStyle name="Normal 2 4 3 3 2 2 2 2 2 4" xfId="15691" xr:uid="{D0CA877E-CE26-43D5-883B-4EE08EBD645E}"/>
    <cellStyle name="Normal 2 4 3 3 2 2 2 2 3" xfId="19911" xr:uid="{CC3573FD-A2C0-4BD3-80AB-3CEEE3F3D85A}"/>
    <cellStyle name="Normal 2 4 3 3 2 2 2 2 4" xfId="28346" xr:uid="{3DAD2688-4740-46DC-B42B-549E9EA8D61C}"/>
    <cellStyle name="Normal 2 4 3 3 2 2 2 2 5" xfId="11473" xr:uid="{B88796DC-B833-4D43-95B2-B17230D76679}"/>
    <cellStyle name="Normal 2 4 3 3 2 2 2 3" xfId="5107" xr:uid="{00000000-0005-0000-0000-0000D60F0000}"/>
    <cellStyle name="Normal 2 4 3 3 2 2 2 3 2" xfId="21984" xr:uid="{E0BC1216-A057-4F04-B23A-C24E20408F6E}"/>
    <cellStyle name="Normal 2 4 3 3 2 2 2 3 3" xfId="30418" xr:uid="{DBB39D4F-3720-4D63-8F19-2394DE7F8373}"/>
    <cellStyle name="Normal 2 4 3 3 2 2 2 3 4" xfId="13546" xr:uid="{9C20F2C4-B237-4842-BB77-770EC7759284}"/>
    <cellStyle name="Normal 2 4 3 3 2 2 2 4" xfId="17766" xr:uid="{7787DC3D-B9C2-4725-8858-0CC8E5CBE1FB}"/>
    <cellStyle name="Normal 2 4 3 3 2 2 2 5" xfId="26201" xr:uid="{3149E8D3-E8F0-4D1A-9E06-D06D8D0B02B5}"/>
    <cellStyle name="Normal 2 4 3 3 2 2 2 6" xfId="9328" xr:uid="{617E14BE-B16B-418A-BABC-D34790B1D3BF}"/>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24542" xr:uid="{A9CC46DD-F54D-4E1B-BF52-B424E63F6A4C}"/>
    <cellStyle name="Normal 2 4 3 3 2 2 3 2 2 3" xfId="32976" xr:uid="{C97CEA61-648C-4099-82D0-6161EF173AA2}"/>
    <cellStyle name="Normal 2 4 3 3 2 2 3 2 2 4" xfId="16104" xr:uid="{5BC5A520-81F1-4B59-95D4-4FFC5E31C0F9}"/>
    <cellStyle name="Normal 2 4 3 3 2 2 3 2 3" xfId="20324" xr:uid="{886BCB74-6380-459F-900E-885AAD722E2F}"/>
    <cellStyle name="Normal 2 4 3 3 2 2 3 2 4" xfId="28759" xr:uid="{5295DBD6-266B-4B0C-B88A-5827E039D3B5}"/>
    <cellStyle name="Normal 2 4 3 3 2 2 3 2 5" xfId="11886" xr:uid="{8DFB3524-C172-4D39-8679-B40967AC2E82}"/>
    <cellStyle name="Normal 2 4 3 3 2 2 3 3" xfId="5520" xr:uid="{00000000-0005-0000-0000-0000DA0F0000}"/>
    <cellStyle name="Normal 2 4 3 3 2 2 3 3 2" xfId="22397" xr:uid="{CBC6CAB5-F735-4B52-AE2C-0D6C3C5E5762}"/>
    <cellStyle name="Normal 2 4 3 3 2 2 3 3 3" xfId="30831" xr:uid="{F0DD8FDE-EF1F-4EF0-8FCE-A195637B04B8}"/>
    <cellStyle name="Normal 2 4 3 3 2 2 3 3 4" xfId="13959" xr:uid="{19369497-C1F1-4BD1-BA6E-D92B6129F803}"/>
    <cellStyle name="Normal 2 4 3 3 2 2 3 4" xfId="18179" xr:uid="{32AE98E5-4ED0-4CA3-A7AD-08B0A7DEF82B}"/>
    <cellStyle name="Normal 2 4 3 3 2 2 3 5" xfId="26614" xr:uid="{DA54033D-99C2-410F-82BA-E77855D13B8A}"/>
    <cellStyle name="Normal 2 4 3 3 2 2 3 6" xfId="9741" xr:uid="{62AF1C79-B04D-42F4-99DE-8A585CB251BD}"/>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24955" xr:uid="{EEAD939C-F5FE-4811-B7EA-026E753950C2}"/>
    <cellStyle name="Normal 2 4 3 3 2 2 4 2 2 3" xfId="33389" xr:uid="{883A49B1-212F-460D-83D6-E91F18B0B389}"/>
    <cellStyle name="Normal 2 4 3 3 2 2 4 2 2 4" xfId="16517" xr:uid="{F63B3CBB-980E-4218-9145-72E9F726FD47}"/>
    <cellStyle name="Normal 2 4 3 3 2 2 4 2 3" xfId="20737" xr:uid="{038C15F1-61EC-40E0-BC47-5E0AD1B1CB3B}"/>
    <cellStyle name="Normal 2 4 3 3 2 2 4 2 4" xfId="29172" xr:uid="{57C5D3C0-C0F9-44CE-BCD4-3F6087B64B08}"/>
    <cellStyle name="Normal 2 4 3 3 2 2 4 2 5" xfId="12299" xr:uid="{C0DEBDF5-9A34-4B06-8B9B-BF78CA5AFC16}"/>
    <cellStyle name="Normal 2 4 3 3 2 2 4 3" xfId="5933" xr:uid="{00000000-0005-0000-0000-0000DE0F0000}"/>
    <cellStyle name="Normal 2 4 3 3 2 2 4 3 2" xfId="22810" xr:uid="{BB9CA8AC-0CDB-42D4-9C15-42E5143DD3FA}"/>
    <cellStyle name="Normal 2 4 3 3 2 2 4 3 3" xfId="31244" xr:uid="{93F5B8C8-30E2-42E9-A2F1-AC08D6FF6AF8}"/>
    <cellStyle name="Normal 2 4 3 3 2 2 4 3 4" xfId="14372" xr:uid="{08D46103-C549-4DEB-A316-DDB099AC1BEE}"/>
    <cellStyle name="Normal 2 4 3 3 2 2 4 4" xfId="18592" xr:uid="{22164CC3-A19D-4CFC-A4B0-43BFCE314198}"/>
    <cellStyle name="Normal 2 4 3 3 2 2 4 5" xfId="27027" xr:uid="{3C11E0AE-30CC-44A9-AA15-9690F7630305}"/>
    <cellStyle name="Normal 2 4 3 3 2 2 4 6" xfId="10154" xr:uid="{9F846380-172C-4751-BB8A-027C7656FB4C}"/>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25368" xr:uid="{6A06A325-8536-4FDE-90E0-EBAD3C4FE461}"/>
    <cellStyle name="Normal 2 4 3 3 2 2 5 2 2 3" xfId="33802" xr:uid="{092896BD-5555-44B4-96CB-DB519ED1D38C}"/>
    <cellStyle name="Normal 2 4 3 3 2 2 5 2 2 4" xfId="16930" xr:uid="{C9CF4228-C325-478C-8A5A-14EBC32611BA}"/>
    <cellStyle name="Normal 2 4 3 3 2 2 5 2 3" xfId="21150" xr:uid="{BAF4E776-0630-4A42-B3A1-BF0E1CCCDFCB}"/>
    <cellStyle name="Normal 2 4 3 3 2 2 5 2 4" xfId="29585" xr:uid="{E2764CF5-630E-42BD-BCD6-03C7EFBA8AC7}"/>
    <cellStyle name="Normal 2 4 3 3 2 2 5 2 5" xfId="12712" xr:uid="{54B00CB8-67C0-4077-8DD0-4DC6DE32D27C}"/>
    <cellStyle name="Normal 2 4 3 3 2 2 5 3" xfId="6346" xr:uid="{00000000-0005-0000-0000-0000E20F0000}"/>
    <cellStyle name="Normal 2 4 3 3 2 2 5 3 2" xfId="23223" xr:uid="{4F02C69E-BCEB-4828-9C54-3B42283FE7F3}"/>
    <cellStyle name="Normal 2 4 3 3 2 2 5 3 3" xfId="31657" xr:uid="{D08874A4-C004-4AB3-8781-950E85DBBA1B}"/>
    <cellStyle name="Normal 2 4 3 3 2 2 5 3 4" xfId="14785" xr:uid="{D5492007-CC50-40A8-BA17-A70A686EA170}"/>
    <cellStyle name="Normal 2 4 3 3 2 2 5 4" xfId="19005" xr:uid="{E301394D-E4CD-49C9-A5C1-921B201B1876}"/>
    <cellStyle name="Normal 2 4 3 3 2 2 5 5" xfId="27440" xr:uid="{BCF491E2-BF73-4F18-B6D1-8786873FA7C2}"/>
    <cellStyle name="Normal 2 4 3 3 2 2 5 6" xfId="10567" xr:uid="{EC3EC578-519E-41D1-9303-1463A6A20305}"/>
    <cellStyle name="Normal 2 4 3 3 2 2 6" xfId="2475" xr:uid="{00000000-0005-0000-0000-0000E30F0000}"/>
    <cellStyle name="Normal 2 4 3 3 2 2 6 2" xfId="6759" xr:uid="{00000000-0005-0000-0000-0000E40F0000}"/>
    <cellStyle name="Normal 2 4 3 3 2 2 6 2 2" xfId="23636" xr:uid="{708263AF-4D99-4049-AC7E-7E1D4C55192D}"/>
    <cellStyle name="Normal 2 4 3 3 2 2 6 2 3" xfId="32070" xr:uid="{6A52103F-50F2-4837-84AE-4C54DF3D9C47}"/>
    <cellStyle name="Normal 2 4 3 3 2 2 6 2 4" xfId="15198" xr:uid="{EB1C768D-CF89-4369-8170-3D70B1E32B1A}"/>
    <cellStyle name="Normal 2 4 3 3 2 2 6 3" xfId="19418" xr:uid="{E8C37179-0563-4DC9-BE80-A28F8F7B0CAE}"/>
    <cellStyle name="Normal 2 4 3 3 2 2 6 4" xfId="27853" xr:uid="{CFD65AD7-AF7B-4F0E-A633-6CA9F54CC16B}"/>
    <cellStyle name="Normal 2 4 3 3 2 2 6 5" xfId="10980" xr:uid="{9AE69EE3-4690-4EFC-BE94-324068C43F2E}"/>
    <cellStyle name="Normal 2 4 3 3 2 2 7" xfId="4693" xr:uid="{00000000-0005-0000-0000-0000E50F0000}"/>
    <cellStyle name="Normal 2 4 3 3 2 2 7 2" xfId="21570" xr:uid="{350FA4D8-41EE-4464-8A4C-A7EA2C0D3BF4}"/>
    <cellStyle name="Normal 2 4 3 3 2 2 7 3" xfId="30004" xr:uid="{CB158785-7CDA-47D5-B379-7632D42365A3}"/>
    <cellStyle name="Normal 2 4 3 3 2 2 7 4" xfId="13132" xr:uid="{18D7CD34-CE23-43A0-B38D-80DD3259EB30}"/>
    <cellStyle name="Normal 2 4 3 3 2 2 8" xfId="17352" xr:uid="{10314951-B9F9-4502-9A18-9C2541E7134A}"/>
    <cellStyle name="Normal 2 4 3 3 2 2 9" xfId="25787" xr:uid="{8CC9530E-F6C2-4130-A00B-DBF13EB1B398}"/>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24128" xr:uid="{81837DD3-F996-4622-8553-C7E7FE845A93}"/>
    <cellStyle name="Normal 2 4 3 3 2 3 2 2 3" xfId="32562" xr:uid="{9BD74983-EFDA-4258-85A7-C58CD265BC8A}"/>
    <cellStyle name="Normal 2 4 3 3 2 3 2 2 4" xfId="15690" xr:uid="{1D431FE5-8B62-435C-A5D9-4BF247D3203A}"/>
    <cellStyle name="Normal 2 4 3 3 2 3 2 3" xfId="19910" xr:uid="{30807013-1EB9-434E-920F-6B8E00AC639D}"/>
    <cellStyle name="Normal 2 4 3 3 2 3 2 4" xfId="28345" xr:uid="{966CC207-A7B3-4BBB-BDD0-16613585EDD9}"/>
    <cellStyle name="Normal 2 4 3 3 2 3 2 5" xfId="11472" xr:uid="{A125DD63-DE28-4C41-A58C-69E25D12D9FF}"/>
    <cellStyle name="Normal 2 4 3 3 2 3 3" xfId="5106" xr:uid="{00000000-0005-0000-0000-0000E90F0000}"/>
    <cellStyle name="Normal 2 4 3 3 2 3 3 2" xfId="21983" xr:uid="{2F6465C4-7913-4C5B-B204-97D9EFAAB322}"/>
    <cellStyle name="Normal 2 4 3 3 2 3 3 3" xfId="30417" xr:uid="{D9B60677-C864-4930-AFAD-CADF25F89F6B}"/>
    <cellStyle name="Normal 2 4 3 3 2 3 3 4" xfId="13545" xr:uid="{94C779CA-C20B-4F48-9099-BEC32E4BFCC8}"/>
    <cellStyle name="Normal 2 4 3 3 2 3 4" xfId="17765" xr:uid="{00706D09-39DD-4E54-AA6A-8DD5EF283344}"/>
    <cellStyle name="Normal 2 4 3 3 2 3 5" xfId="26200" xr:uid="{A2E0C2B6-C5AD-4207-BCAF-0EB0C42A5014}"/>
    <cellStyle name="Normal 2 4 3 3 2 3 6" xfId="9327" xr:uid="{D21E171A-E6B8-4860-AF2F-3364BA692B3D}"/>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24541" xr:uid="{162E3968-5B28-4927-AA3C-FD5AFD446B40}"/>
    <cellStyle name="Normal 2 4 3 3 2 4 2 2 3" xfId="32975" xr:uid="{D0E431E7-B24A-4D61-B83D-EB92216A6EA5}"/>
    <cellStyle name="Normal 2 4 3 3 2 4 2 2 4" xfId="16103" xr:uid="{237B675B-A56B-4165-9EDC-A4F548622724}"/>
    <cellStyle name="Normal 2 4 3 3 2 4 2 3" xfId="20323" xr:uid="{9CDA51B0-6E6F-4593-8BAD-BE8F2C7FE7A3}"/>
    <cellStyle name="Normal 2 4 3 3 2 4 2 4" xfId="28758" xr:uid="{B08BBEB2-E4DD-4E1C-A18A-948DB66B9BFA}"/>
    <cellStyle name="Normal 2 4 3 3 2 4 2 5" xfId="11885" xr:uid="{AF82767D-1DE1-4CE5-BAA7-7D511C41A95A}"/>
    <cellStyle name="Normal 2 4 3 3 2 4 3" xfId="5519" xr:uid="{00000000-0005-0000-0000-0000ED0F0000}"/>
    <cellStyle name="Normal 2 4 3 3 2 4 3 2" xfId="22396" xr:uid="{99BA7A1F-E110-4686-8090-98966980942F}"/>
    <cellStyle name="Normal 2 4 3 3 2 4 3 3" xfId="30830" xr:uid="{E9BA6D7B-E533-41A9-B5D6-E6ED4F228F44}"/>
    <cellStyle name="Normal 2 4 3 3 2 4 3 4" xfId="13958" xr:uid="{9B95D060-BA17-4823-BF99-A1C70965CB27}"/>
    <cellStyle name="Normal 2 4 3 3 2 4 4" xfId="18178" xr:uid="{A36B7A68-0102-412F-8ACB-CBA67817C9DF}"/>
    <cellStyle name="Normal 2 4 3 3 2 4 5" xfId="26613" xr:uid="{9D156C32-0890-4ABC-BE2E-655C6A1C3925}"/>
    <cellStyle name="Normal 2 4 3 3 2 4 6" xfId="9740" xr:uid="{6E57B366-BBDE-4D8B-AE50-B971603156A6}"/>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24954" xr:uid="{33AFF9CF-F8ED-42B9-A6E9-5BFC2C4FFA8B}"/>
    <cellStyle name="Normal 2 4 3 3 2 5 2 2 3" xfId="33388" xr:uid="{E296A214-F864-4B52-9394-9E028725F09B}"/>
    <cellStyle name="Normal 2 4 3 3 2 5 2 2 4" xfId="16516" xr:uid="{993B9921-0139-433E-B677-30440AFE0A5A}"/>
    <cellStyle name="Normal 2 4 3 3 2 5 2 3" xfId="20736" xr:uid="{81FC3AF2-F13B-4C53-A2C8-0534EE704821}"/>
    <cellStyle name="Normal 2 4 3 3 2 5 2 4" xfId="29171" xr:uid="{AFB433BA-A2AF-4B39-8031-A39CE3B6F0F7}"/>
    <cellStyle name="Normal 2 4 3 3 2 5 2 5" xfId="12298" xr:uid="{011668D0-1AD5-4D34-9891-EE8A2F6CD1FF}"/>
    <cellStyle name="Normal 2 4 3 3 2 5 3" xfId="5932" xr:uid="{00000000-0005-0000-0000-0000F10F0000}"/>
    <cellStyle name="Normal 2 4 3 3 2 5 3 2" xfId="22809" xr:uid="{95C68C66-3355-4B43-A665-9D7D898366F3}"/>
    <cellStyle name="Normal 2 4 3 3 2 5 3 3" xfId="31243" xr:uid="{6C151619-4D7C-4981-AED1-B39B479BC327}"/>
    <cellStyle name="Normal 2 4 3 3 2 5 3 4" xfId="14371" xr:uid="{20E4AF4E-3F20-44EE-B1DC-DD369F84DA0B}"/>
    <cellStyle name="Normal 2 4 3 3 2 5 4" xfId="18591" xr:uid="{55BF1D46-A34E-4320-98D7-E5E6803A27E0}"/>
    <cellStyle name="Normal 2 4 3 3 2 5 5" xfId="27026" xr:uid="{A2EAC972-9EDD-4F23-B172-01A4550C8501}"/>
    <cellStyle name="Normal 2 4 3 3 2 5 6" xfId="10153" xr:uid="{F426B9DE-6178-4EE0-B84C-5B8D30158DF3}"/>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25367" xr:uid="{35636DE4-1FCC-4934-873F-F616DD6E59EB}"/>
    <cellStyle name="Normal 2 4 3 3 2 6 2 2 3" xfId="33801" xr:uid="{1A061967-34F6-4E81-942A-01A873BC756E}"/>
    <cellStyle name="Normal 2 4 3 3 2 6 2 2 4" xfId="16929" xr:uid="{6F3697A1-1619-4916-B79E-DFFBEF631C9C}"/>
    <cellStyle name="Normal 2 4 3 3 2 6 2 3" xfId="21149" xr:uid="{6FCC34A2-5D1B-4B86-8668-D22581C0454F}"/>
    <cellStyle name="Normal 2 4 3 3 2 6 2 4" xfId="29584" xr:uid="{0BC74043-94DC-4C6E-8A59-7A182879B351}"/>
    <cellStyle name="Normal 2 4 3 3 2 6 2 5" xfId="12711" xr:uid="{20A78FF4-39B8-424A-92D4-2297C505C035}"/>
    <cellStyle name="Normal 2 4 3 3 2 6 3" xfId="6345" xr:uid="{00000000-0005-0000-0000-0000F50F0000}"/>
    <cellStyle name="Normal 2 4 3 3 2 6 3 2" xfId="23222" xr:uid="{8DCE4CF4-A807-4893-A8C8-66721EAC36A7}"/>
    <cellStyle name="Normal 2 4 3 3 2 6 3 3" xfId="31656" xr:uid="{339108F0-36FE-4ADE-A0F0-42FB22609674}"/>
    <cellStyle name="Normal 2 4 3 3 2 6 3 4" xfId="14784" xr:uid="{E792BC74-EAD0-44BA-B56B-943C1BBE2161}"/>
    <cellStyle name="Normal 2 4 3 3 2 6 4" xfId="19004" xr:uid="{1B458729-A200-4295-9D51-067C64E881D0}"/>
    <cellStyle name="Normal 2 4 3 3 2 6 5" xfId="27439" xr:uid="{42E57603-5A8C-440E-AD52-F98EC6BFF22D}"/>
    <cellStyle name="Normal 2 4 3 3 2 6 6" xfId="10566" xr:uid="{3D6AA2A2-2353-473B-8B01-A3FFF58F1AE0}"/>
    <cellStyle name="Normal 2 4 3 3 2 7" xfId="2474" xr:uid="{00000000-0005-0000-0000-0000F60F0000}"/>
    <cellStyle name="Normal 2 4 3 3 2 7 2" xfId="6758" xr:uid="{00000000-0005-0000-0000-0000F70F0000}"/>
    <cellStyle name="Normal 2 4 3 3 2 7 2 2" xfId="23635" xr:uid="{EFF7F2B9-E35B-4FFD-98FB-94B20F390B4D}"/>
    <cellStyle name="Normal 2 4 3 3 2 7 2 3" xfId="32069" xr:uid="{873D9069-A8BB-4C51-AC88-19F1144AC99C}"/>
    <cellStyle name="Normal 2 4 3 3 2 7 2 4" xfId="15197" xr:uid="{C8A2929D-C2D1-434E-AA48-3365C14467C9}"/>
    <cellStyle name="Normal 2 4 3 3 2 7 3" xfId="19417" xr:uid="{EB367F02-A8DB-4837-952F-3E9CC45420C8}"/>
    <cellStyle name="Normal 2 4 3 3 2 7 4" xfId="27852" xr:uid="{9462B394-1FBD-48FE-93E0-14597B4CC868}"/>
    <cellStyle name="Normal 2 4 3 3 2 7 5" xfId="10979" xr:uid="{2B550A55-77A7-4A0C-82E3-B2D0957B1D69}"/>
    <cellStyle name="Normal 2 4 3 3 2 8" xfId="4692" xr:uid="{00000000-0005-0000-0000-0000F80F0000}"/>
    <cellStyle name="Normal 2 4 3 3 2 8 2" xfId="21569" xr:uid="{6BD4556C-9DA1-41AF-AAD5-3AD7E817B14C}"/>
    <cellStyle name="Normal 2 4 3 3 2 8 3" xfId="30003" xr:uid="{5BE9A801-AA3D-4631-A968-20267B5BCA67}"/>
    <cellStyle name="Normal 2 4 3 3 2 8 4" xfId="13131" xr:uid="{6690468E-C6B1-4394-82D8-AEC72CC96323}"/>
    <cellStyle name="Normal 2 4 3 3 2 9" xfId="17351" xr:uid="{C5CCC76F-F2D1-4225-9129-BC8E9ECAB5B8}"/>
    <cellStyle name="Normal 2 4 3 3 3" xfId="301" xr:uid="{00000000-0005-0000-0000-0000F90F0000}"/>
    <cellStyle name="Normal 2 4 3 3 3 10" xfId="8915" xr:uid="{4FD4B672-D8B0-495C-863E-9FB2106413EC}"/>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24130" xr:uid="{00F07ACD-56E3-4543-8E8F-8B81A54A9156}"/>
    <cellStyle name="Normal 2 4 3 3 3 2 2 2 3" xfId="32564" xr:uid="{9E9135AE-D0CE-48B6-AF28-9FEB3E01D959}"/>
    <cellStyle name="Normal 2 4 3 3 3 2 2 2 4" xfId="15692" xr:uid="{13F99484-0B18-4FD1-9297-BBE6FEC6433F}"/>
    <cellStyle name="Normal 2 4 3 3 3 2 2 3" xfId="19912" xr:uid="{B8D50D84-0257-425F-A71D-D870F56E20C3}"/>
    <cellStyle name="Normal 2 4 3 3 3 2 2 4" xfId="28347" xr:uid="{8F401084-ED70-4C77-9ACF-D2FEB6307504}"/>
    <cellStyle name="Normal 2 4 3 3 3 2 2 5" xfId="11474" xr:uid="{42961154-4D7F-48C9-B449-F92BBC257CF8}"/>
    <cellStyle name="Normal 2 4 3 3 3 2 3" xfId="5108" xr:uid="{00000000-0005-0000-0000-0000FD0F0000}"/>
    <cellStyle name="Normal 2 4 3 3 3 2 3 2" xfId="21985" xr:uid="{3A13B749-EC6F-4A63-872E-E6539DE0F29B}"/>
    <cellStyle name="Normal 2 4 3 3 3 2 3 3" xfId="30419" xr:uid="{BE10966A-8B11-4A92-BA9E-8B01EFE2562F}"/>
    <cellStyle name="Normal 2 4 3 3 3 2 3 4" xfId="13547" xr:uid="{E1E7EBD6-55E3-4483-8C99-5BC0BE750FB2}"/>
    <cellStyle name="Normal 2 4 3 3 3 2 4" xfId="17767" xr:uid="{5AB92D82-5BFE-483D-AD7A-C732EEC10D70}"/>
    <cellStyle name="Normal 2 4 3 3 3 2 5" xfId="26202" xr:uid="{ECF76B0C-411E-4AB1-B326-5097EBFEEE30}"/>
    <cellStyle name="Normal 2 4 3 3 3 2 6" xfId="9329" xr:uid="{9816FE80-7B14-4D5F-9D60-ABCE32A93446}"/>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24543" xr:uid="{1B4B7D51-65CF-4562-8A6C-B422A052A99C}"/>
    <cellStyle name="Normal 2 4 3 3 3 3 2 2 3" xfId="32977" xr:uid="{9F7A10EE-F55C-4A7B-8170-2F943FB01A33}"/>
    <cellStyle name="Normal 2 4 3 3 3 3 2 2 4" xfId="16105" xr:uid="{407FCA9C-9DCE-4A9F-A172-B0FB21E4DDE3}"/>
    <cellStyle name="Normal 2 4 3 3 3 3 2 3" xfId="20325" xr:uid="{5F10E42F-4E06-4C0C-83CE-50E9AFFC526C}"/>
    <cellStyle name="Normal 2 4 3 3 3 3 2 4" xfId="28760" xr:uid="{55DEE322-D10D-4A6E-8F2E-4F0A2EABC1E2}"/>
    <cellStyle name="Normal 2 4 3 3 3 3 2 5" xfId="11887" xr:uid="{2695023E-4A6B-4BDD-97CF-9C415748BB8C}"/>
    <cellStyle name="Normal 2 4 3 3 3 3 3" xfId="5521" xr:uid="{00000000-0005-0000-0000-000001100000}"/>
    <cellStyle name="Normal 2 4 3 3 3 3 3 2" xfId="22398" xr:uid="{46BDAA58-7C03-49CF-914E-1AF4A5F57295}"/>
    <cellStyle name="Normal 2 4 3 3 3 3 3 3" xfId="30832" xr:uid="{88F868A3-9402-42FA-A054-D7958DE8CCD9}"/>
    <cellStyle name="Normal 2 4 3 3 3 3 3 4" xfId="13960" xr:uid="{D5C7C23E-EC20-4A31-BE10-C075839823BF}"/>
    <cellStyle name="Normal 2 4 3 3 3 3 4" xfId="18180" xr:uid="{1E6DE737-359E-4C16-A40E-2E5F6E563F52}"/>
    <cellStyle name="Normal 2 4 3 3 3 3 5" xfId="26615" xr:uid="{55F04D58-382F-4DED-B8F4-C8181AC86589}"/>
    <cellStyle name="Normal 2 4 3 3 3 3 6" xfId="9742" xr:uid="{3CCE8E4A-6BBA-403A-BC37-F0C672485FC1}"/>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24956" xr:uid="{2F5ECAA2-2196-4A7F-9100-2C47733C6307}"/>
    <cellStyle name="Normal 2 4 3 3 3 4 2 2 3" xfId="33390" xr:uid="{0A5F479F-7B4C-4D6D-95D8-40680AC177E2}"/>
    <cellStyle name="Normal 2 4 3 3 3 4 2 2 4" xfId="16518" xr:uid="{643D8349-B74F-4CC0-86AA-2E84526CB940}"/>
    <cellStyle name="Normal 2 4 3 3 3 4 2 3" xfId="20738" xr:uid="{5BDA3D43-149D-457B-A187-DEA57454EF60}"/>
    <cellStyle name="Normal 2 4 3 3 3 4 2 4" xfId="29173" xr:uid="{62C10903-0AB7-49FB-9BA6-4A28F6E3CA58}"/>
    <cellStyle name="Normal 2 4 3 3 3 4 2 5" xfId="12300" xr:uid="{0AB2E481-2296-4E5C-978A-58DC6B67E006}"/>
    <cellStyle name="Normal 2 4 3 3 3 4 3" xfId="5934" xr:uid="{00000000-0005-0000-0000-000005100000}"/>
    <cellStyle name="Normal 2 4 3 3 3 4 3 2" xfId="22811" xr:uid="{FDD7F59B-0315-4365-B2C0-1F874FB8C5C7}"/>
    <cellStyle name="Normal 2 4 3 3 3 4 3 3" xfId="31245" xr:uid="{3AA45CFD-E77C-4C5D-AE25-1533A20E275F}"/>
    <cellStyle name="Normal 2 4 3 3 3 4 3 4" xfId="14373" xr:uid="{D9AE26AC-D04B-4D0B-AF37-DBA41C3A48A7}"/>
    <cellStyle name="Normal 2 4 3 3 3 4 4" xfId="18593" xr:uid="{DB2B2B83-A05B-4E8F-9FDF-B752DD630878}"/>
    <cellStyle name="Normal 2 4 3 3 3 4 5" xfId="27028" xr:uid="{0326A6DA-4E3F-4EF7-BD91-9C4679711831}"/>
    <cellStyle name="Normal 2 4 3 3 3 4 6" xfId="10155" xr:uid="{C35ED87D-89B4-40B7-BC43-F0EAAEB6387B}"/>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25369" xr:uid="{4C1C51AE-4E4F-4200-92EC-D3AAAF26D8A2}"/>
    <cellStyle name="Normal 2 4 3 3 3 5 2 2 3" xfId="33803" xr:uid="{41DBE552-39A8-43F9-97FE-0D9503185288}"/>
    <cellStyle name="Normal 2 4 3 3 3 5 2 2 4" xfId="16931" xr:uid="{E2F97EC6-D5F6-4EB3-A0EE-6537274A2498}"/>
    <cellStyle name="Normal 2 4 3 3 3 5 2 3" xfId="21151" xr:uid="{AE600F37-B322-4B4B-A288-6426316B1D9E}"/>
    <cellStyle name="Normal 2 4 3 3 3 5 2 4" xfId="29586" xr:uid="{8ADDCD5B-B1F6-42B6-94F7-CA1FF1440819}"/>
    <cellStyle name="Normal 2 4 3 3 3 5 2 5" xfId="12713" xr:uid="{BF23823F-76BB-4305-A006-102B7A4DB0BD}"/>
    <cellStyle name="Normal 2 4 3 3 3 5 3" xfId="6347" xr:uid="{00000000-0005-0000-0000-000009100000}"/>
    <cellStyle name="Normal 2 4 3 3 3 5 3 2" xfId="23224" xr:uid="{E15091B1-6D97-4C64-BC21-021C23048F22}"/>
    <cellStyle name="Normal 2 4 3 3 3 5 3 3" xfId="31658" xr:uid="{DA2A684F-5538-46A1-914D-35F7228C844B}"/>
    <cellStyle name="Normal 2 4 3 3 3 5 3 4" xfId="14786" xr:uid="{36EFD5B5-C8F9-4736-8A1F-9BFD060D8B82}"/>
    <cellStyle name="Normal 2 4 3 3 3 5 4" xfId="19006" xr:uid="{D0689FCA-CF3E-40BF-9968-75EB00B9DD1B}"/>
    <cellStyle name="Normal 2 4 3 3 3 5 5" xfId="27441" xr:uid="{D091BED7-A0CF-41AF-B39B-6C979D7C0555}"/>
    <cellStyle name="Normal 2 4 3 3 3 5 6" xfId="10568" xr:uid="{B7153E7F-ECDF-415D-8A5F-C35D23F928BC}"/>
    <cellStyle name="Normal 2 4 3 3 3 6" xfId="2476" xr:uid="{00000000-0005-0000-0000-00000A100000}"/>
    <cellStyle name="Normal 2 4 3 3 3 6 2" xfId="6760" xr:uid="{00000000-0005-0000-0000-00000B100000}"/>
    <cellStyle name="Normal 2 4 3 3 3 6 2 2" xfId="23637" xr:uid="{50E91F06-A07E-47FA-8344-BD326B11528C}"/>
    <cellStyle name="Normal 2 4 3 3 3 6 2 3" xfId="32071" xr:uid="{69D88D76-E941-48BA-A38E-AD6DDC364980}"/>
    <cellStyle name="Normal 2 4 3 3 3 6 2 4" xfId="15199" xr:uid="{6A652895-FD64-4BD3-93E4-1A329F55F8CF}"/>
    <cellStyle name="Normal 2 4 3 3 3 6 3" xfId="19419" xr:uid="{6230C84A-1372-4978-91C8-089EEFAE264C}"/>
    <cellStyle name="Normal 2 4 3 3 3 6 4" xfId="27854" xr:uid="{695E6806-4378-4567-8B34-84B5AA8E858C}"/>
    <cellStyle name="Normal 2 4 3 3 3 6 5" xfId="10981" xr:uid="{CC163DCA-66C0-447E-8474-8C8D484B393F}"/>
    <cellStyle name="Normal 2 4 3 3 3 7" xfId="4694" xr:uid="{00000000-0005-0000-0000-00000C100000}"/>
    <cellStyle name="Normal 2 4 3 3 3 7 2" xfId="21571" xr:uid="{E373B931-4B78-4607-9B5C-BD22CC41879C}"/>
    <cellStyle name="Normal 2 4 3 3 3 7 3" xfId="30005" xr:uid="{B00CC1E0-D548-4314-9399-E783AEB5E78A}"/>
    <cellStyle name="Normal 2 4 3 3 3 7 4" xfId="13133" xr:uid="{1B7FF6FD-AB0E-4A1C-9B5F-6A7F7BB7267A}"/>
    <cellStyle name="Normal 2 4 3 3 3 8" xfId="17353" xr:uid="{BC44CD19-D1DC-49BF-832C-7EFB450C02A6}"/>
    <cellStyle name="Normal 2 4 3 3 3 9" xfId="25788" xr:uid="{CD8D7C73-842A-4228-8E2E-BCD01B4FB13B}"/>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24127" xr:uid="{F9D99F81-6964-4669-8430-C2D7BDDF00A7}"/>
    <cellStyle name="Normal 2 4 3 3 4 2 2 3" xfId="32561" xr:uid="{2F974749-DB43-461B-86C1-AF6F28F51811}"/>
    <cellStyle name="Normal 2 4 3 3 4 2 2 4" xfId="15689" xr:uid="{A28A9116-29CE-473D-9CE3-2AE072E7214F}"/>
    <cellStyle name="Normal 2 4 3 3 4 2 3" xfId="19909" xr:uid="{5BB73234-988D-4E59-B42E-18C4D463D723}"/>
    <cellStyle name="Normal 2 4 3 3 4 2 4" xfId="28344" xr:uid="{AEACB222-E559-4F0A-ABAB-5577B5FC7CE1}"/>
    <cellStyle name="Normal 2 4 3 3 4 2 5" xfId="11471" xr:uid="{9624286A-31FB-4B5E-B685-D411021F433E}"/>
    <cellStyle name="Normal 2 4 3 3 4 3" xfId="5105" xr:uid="{00000000-0005-0000-0000-000010100000}"/>
    <cellStyle name="Normal 2 4 3 3 4 3 2" xfId="21982" xr:uid="{D8E32B5A-4A62-49E1-8845-FA179D250370}"/>
    <cellStyle name="Normal 2 4 3 3 4 3 3" xfId="30416" xr:uid="{E4D612A1-B7D9-4E87-9100-62997819FBD2}"/>
    <cellStyle name="Normal 2 4 3 3 4 3 4" xfId="13544" xr:uid="{82CA43CF-1C53-4E43-8C0C-E190B2F0FA80}"/>
    <cellStyle name="Normal 2 4 3 3 4 4" xfId="17764" xr:uid="{64BF4E91-712D-4CFA-B9F3-7BEC85AB2873}"/>
    <cellStyle name="Normal 2 4 3 3 4 5" xfId="26199" xr:uid="{FD0B3BB7-D083-40EA-B5BA-3CB93918007C}"/>
    <cellStyle name="Normal 2 4 3 3 4 6" xfId="9326" xr:uid="{8713EEFC-C53E-4FC2-A81B-0A5DA674F8AC}"/>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24540" xr:uid="{5D85548A-FFE2-42CC-B8B2-25FF5AAA5988}"/>
    <cellStyle name="Normal 2 4 3 3 5 2 2 3" xfId="32974" xr:uid="{B684705E-293A-4D0A-9999-BA54FD726194}"/>
    <cellStyle name="Normal 2 4 3 3 5 2 2 4" xfId="16102" xr:uid="{8E081677-4CCB-439F-8C37-6836C7C62FE7}"/>
    <cellStyle name="Normal 2 4 3 3 5 2 3" xfId="20322" xr:uid="{8A7BB077-1F01-4EDB-AB1B-561B21EB87BB}"/>
    <cellStyle name="Normal 2 4 3 3 5 2 4" xfId="28757" xr:uid="{55E0761A-0D9E-4E68-B276-E295046FEB7E}"/>
    <cellStyle name="Normal 2 4 3 3 5 2 5" xfId="11884" xr:uid="{A650EF52-1AD4-4881-93D7-771C06CA2DD5}"/>
    <cellStyle name="Normal 2 4 3 3 5 3" xfId="5518" xr:uid="{00000000-0005-0000-0000-000014100000}"/>
    <cellStyle name="Normal 2 4 3 3 5 3 2" xfId="22395" xr:uid="{230F8897-53B1-44DA-A697-24442CFF1ED4}"/>
    <cellStyle name="Normal 2 4 3 3 5 3 3" xfId="30829" xr:uid="{055B3390-FFAF-4D7C-92E8-028C7BBC44B3}"/>
    <cellStyle name="Normal 2 4 3 3 5 3 4" xfId="13957" xr:uid="{28FC2008-12B0-472B-B855-2DF59F305B03}"/>
    <cellStyle name="Normal 2 4 3 3 5 4" xfId="18177" xr:uid="{6B6B35B4-EC74-4713-8712-2D3CE664E95F}"/>
    <cellStyle name="Normal 2 4 3 3 5 5" xfId="26612" xr:uid="{9030782B-92EF-4A4B-866C-0826ED755E1E}"/>
    <cellStyle name="Normal 2 4 3 3 5 6" xfId="9739" xr:uid="{F050C52F-8763-4F5E-9727-CDC5DBA9168D}"/>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24953" xr:uid="{903E9770-552D-4678-8136-12206DC5B19F}"/>
    <cellStyle name="Normal 2 4 3 3 6 2 2 3" xfId="33387" xr:uid="{5EE7C4F2-5FA0-4A1F-849E-F8A88C32D67F}"/>
    <cellStyle name="Normal 2 4 3 3 6 2 2 4" xfId="16515" xr:uid="{F2EB1C7C-5B96-4146-945E-7146C1F62407}"/>
    <cellStyle name="Normal 2 4 3 3 6 2 3" xfId="20735" xr:uid="{FFCC3F8D-759C-4F29-9660-B1602AE3BDE7}"/>
    <cellStyle name="Normal 2 4 3 3 6 2 4" xfId="29170" xr:uid="{15849DB3-801E-4AF4-992D-455E29AA942E}"/>
    <cellStyle name="Normal 2 4 3 3 6 2 5" xfId="12297" xr:uid="{2DBA0759-0044-411F-A17E-9CC2FB2D22E4}"/>
    <cellStyle name="Normal 2 4 3 3 6 3" xfId="5931" xr:uid="{00000000-0005-0000-0000-000018100000}"/>
    <cellStyle name="Normal 2 4 3 3 6 3 2" xfId="22808" xr:uid="{02E8E57B-68A3-4EA3-B438-D7EC86B13101}"/>
    <cellStyle name="Normal 2 4 3 3 6 3 3" xfId="31242" xr:uid="{50C67A26-507D-4769-A79D-3BE3233B8660}"/>
    <cellStyle name="Normal 2 4 3 3 6 3 4" xfId="14370" xr:uid="{BF1338BF-7BD5-4E52-8AED-4D4617E67A1E}"/>
    <cellStyle name="Normal 2 4 3 3 6 4" xfId="18590" xr:uid="{D67034D0-ECD9-4F2F-B994-770EFBE7AD57}"/>
    <cellStyle name="Normal 2 4 3 3 6 5" xfId="27025" xr:uid="{81E18BE5-6B27-49FD-8890-D298C34F53AA}"/>
    <cellStyle name="Normal 2 4 3 3 6 6" xfId="10152" xr:uid="{9FC272EA-4E4E-4606-A922-418EF429ED7A}"/>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25366" xr:uid="{C7055DCC-6839-4528-8EBD-4BA7AF06EDAA}"/>
    <cellStyle name="Normal 2 4 3 3 7 2 2 3" xfId="33800" xr:uid="{1170811B-CAC0-41AF-A734-5C7C67B77976}"/>
    <cellStyle name="Normal 2 4 3 3 7 2 2 4" xfId="16928" xr:uid="{B8E54D2F-CCE6-4FFF-8AA3-EF74406351F0}"/>
    <cellStyle name="Normal 2 4 3 3 7 2 3" xfId="21148" xr:uid="{EEA1DD99-B851-4D50-85FA-E2824014F412}"/>
    <cellStyle name="Normal 2 4 3 3 7 2 4" xfId="29583" xr:uid="{A8FFE6CC-2462-46A8-8740-61F6FE82889E}"/>
    <cellStyle name="Normal 2 4 3 3 7 2 5" xfId="12710" xr:uid="{C12AFB14-3585-4B6E-B868-FE96C1D9B185}"/>
    <cellStyle name="Normal 2 4 3 3 7 3" xfId="6344" xr:uid="{00000000-0005-0000-0000-00001C100000}"/>
    <cellStyle name="Normal 2 4 3 3 7 3 2" xfId="23221" xr:uid="{0F50F1B2-47D0-4734-8282-2CAFE73EE479}"/>
    <cellStyle name="Normal 2 4 3 3 7 3 3" xfId="31655" xr:uid="{9C37361A-C050-48B8-99DA-83F82874A7E7}"/>
    <cellStyle name="Normal 2 4 3 3 7 3 4" xfId="14783" xr:uid="{DE6C3FAE-9FAF-489A-A717-96339F999E43}"/>
    <cellStyle name="Normal 2 4 3 3 7 4" xfId="19003" xr:uid="{89D23D92-77B8-4DD3-9854-BCBB8BDB7D84}"/>
    <cellStyle name="Normal 2 4 3 3 7 5" xfId="27438" xr:uid="{90B33B77-A916-4BB7-9CCF-522820DDC58C}"/>
    <cellStyle name="Normal 2 4 3 3 7 6" xfId="10565" xr:uid="{A42D95C8-6DEA-41D9-8516-63E43A5E9132}"/>
    <cellStyle name="Normal 2 4 3 3 8" xfId="2473" xr:uid="{00000000-0005-0000-0000-00001D100000}"/>
    <cellStyle name="Normal 2 4 3 3 8 2" xfId="6757" xr:uid="{00000000-0005-0000-0000-00001E100000}"/>
    <cellStyle name="Normal 2 4 3 3 8 2 2" xfId="23634" xr:uid="{BC36B998-EB01-434A-BCF8-80EE9894C539}"/>
    <cellStyle name="Normal 2 4 3 3 8 2 3" xfId="32068" xr:uid="{C1120D27-CDD1-41AA-8569-B03C73C20D13}"/>
    <cellStyle name="Normal 2 4 3 3 8 2 4" xfId="15196" xr:uid="{0BDF9DBE-9B5A-4FE3-AACB-3B40600C3F3A}"/>
    <cellStyle name="Normal 2 4 3 3 8 3" xfId="19416" xr:uid="{BD17DDC7-1590-481C-942A-47CB693F40B2}"/>
    <cellStyle name="Normal 2 4 3 3 8 4" xfId="27851" xr:uid="{2BA80CC4-FBE4-4FB6-B420-F3E36111C7A2}"/>
    <cellStyle name="Normal 2 4 3 3 8 5" xfId="10978" xr:uid="{9FBD9576-375B-4711-BA6D-7849D1CE1383}"/>
    <cellStyle name="Normal 2 4 3 3 9" xfId="4691" xr:uid="{00000000-0005-0000-0000-00001F100000}"/>
    <cellStyle name="Normal 2 4 3 3 9 2" xfId="21568" xr:uid="{C9434E27-B709-4F20-A313-7AD7298B3E22}"/>
    <cellStyle name="Normal 2 4 3 3 9 3" xfId="30002" xr:uid="{1E805F34-57B2-4F38-840E-0761EC89259A}"/>
    <cellStyle name="Normal 2 4 3 3 9 4" xfId="13130" xr:uid="{5587FD0C-D04A-431A-A0D8-7F602167D5F1}"/>
    <cellStyle name="Normal 2 4 3 4" xfId="787" xr:uid="{00000000-0005-0000-0000-000020100000}"/>
    <cellStyle name="Normal 2 4 3 4 2" xfId="3026" xr:uid="{00000000-0005-0000-0000-000021100000}"/>
    <cellStyle name="Normal 2 4 3 4 2 2" xfId="7249" xr:uid="{00000000-0005-0000-0000-000022100000}"/>
    <cellStyle name="Normal 2 4 3 4 2 2 2" xfId="24126" xr:uid="{F321CF50-AD51-44B1-9037-D673DB401C5C}"/>
    <cellStyle name="Normal 2 4 3 4 2 2 3" xfId="32560" xr:uid="{8DC94B31-AA31-49D8-AC42-A892CB7E5FD5}"/>
    <cellStyle name="Normal 2 4 3 4 2 2 4" xfId="15688" xr:uid="{42E22CD7-C74C-4B37-87AE-C5708A3F57DF}"/>
    <cellStyle name="Normal 2 4 3 4 2 3" xfId="19908" xr:uid="{0FFCB2CE-D2BE-4774-8E8E-D6026AC16827}"/>
    <cellStyle name="Normal 2 4 3 4 2 4" xfId="28343" xr:uid="{6788C089-CF8F-4539-93C8-31635240976C}"/>
    <cellStyle name="Normal 2 4 3 4 2 5" xfId="11470" xr:uid="{8506429B-E979-4136-B763-437CEAD0C0E7}"/>
    <cellStyle name="Normal 2 4 3 4 3" xfId="5104" xr:uid="{00000000-0005-0000-0000-000023100000}"/>
    <cellStyle name="Normal 2 4 3 4 3 2" xfId="21981" xr:uid="{66416AFD-0406-49EB-97C2-E9D20D76BF59}"/>
    <cellStyle name="Normal 2 4 3 4 3 3" xfId="30415" xr:uid="{82A9E7B1-B099-4FF3-BA17-DB37DAB196AE}"/>
    <cellStyle name="Normal 2 4 3 4 3 4" xfId="13543" xr:uid="{924B2C34-11F1-4EBE-BF2D-F4A79C379D29}"/>
    <cellStyle name="Normal 2 4 3 4 4" xfId="17763" xr:uid="{DC868011-DEF5-41FC-8183-D49426146EF0}"/>
    <cellStyle name="Normal 2 4 3 4 5" xfId="26198" xr:uid="{25A8DDE9-39D3-4EAA-A66E-4E409FC9B9C1}"/>
    <cellStyle name="Normal 2 4 3 4 6" xfId="9325" xr:uid="{3D707B24-CB2B-4FC4-8B42-2683EC1C3F29}"/>
    <cellStyle name="Normal 2 4 3 5" xfId="1209" xr:uid="{00000000-0005-0000-0000-000024100000}"/>
    <cellStyle name="Normal 2 4 3 5 2" xfId="3439" xr:uid="{00000000-0005-0000-0000-000025100000}"/>
    <cellStyle name="Normal 2 4 3 5 2 2" xfId="7662" xr:uid="{00000000-0005-0000-0000-000026100000}"/>
    <cellStyle name="Normal 2 4 3 5 2 2 2" xfId="24539" xr:uid="{F3B79974-7929-418B-BD5E-398EBAB5AEBE}"/>
    <cellStyle name="Normal 2 4 3 5 2 2 3" xfId="32973" xr:uid="{DF3DF4E3-9C14-4B09-8497-04551ECBAA64}"/>
    <cellStyle name="Normal 2 4 3 5 2 2 4" xfId="16101" xr:uid="{75908867-9BA8-43DC-9570-A0DD5019527B}"/>
    <cellStyle name="Normal 2 4 3 5 2 3" xfId="20321" xr:uid="{C8870CB5-0FFD-42E4-A739-C9BCE55365A1}"/>
    <cellStyle name="Normal 2 4 3 5 2 4" xfId="28756" xr:uid="{5E0493DB-8B3A-4ECC-9472-B379089AE1BE}"/>
    <cellStyle name="Normal 2 4 3 5 2 5" xfId="11883" xr:uid="{7D80411E-805F-469F-AB8A-29B7BC715FD3}"/>
    <cellStyle name="Normal 2 4 3 5 3" xfId="5517" xr:uid="{00000000-0005-0000-0000-000027100000}"/>
    <cellStyle name="Normal 2 4 3 5 3 2" xfId="22394" xr:uid="{91639033-F5DC-42FC-8E6B-C92C5F01D9EB}"/>
    <cellStyle name="Normal 2 4 3 5 3 3" xfId="30828" xr:uid="{5E914D52-9263-46ED-804B-DC7364B8889F}"/>
    <cellStyle name="Normal 2 4 3 5 3 4" xfId="13956" xr:uid="{A5DDC80B-E6DD-49A3-84B3-F2EC1AC679CA}"/>
    <cellStyle name="Normal 2 4 3 5 4" xfId="18176" xr:uid="{EE6DF943-8257-4D8E-A77C-BA8337773F2D}"/>
    <cellStyle name="Normal 2 4 3 5 5" xfId="26611" xr:uid="{230EDD88-ECF3-45D5-839D-B5636A9E5D41}"/>
    <cellStyle name="Normal 2 4 3 5 6" xfId="9738" xr:uid="{1832F666-5BFD-4EFF-916C-57BA14C0A658}"/>
    <cellStyle name="Normal 2 4 3 6" xfId="1622" xr:uid="{00000000-0005-0000-0000-000028100000}"/>
    <cellStyle name="Normal 2 4 3 6 2" xfId="3852" xr:uid="{00000000-0005-0000-0000-000029100000}"/>
    <cellStyle name="Normal 2 4 3 6 2 2" xfId="8075" xr:uid="{00000000-0005-0000-0000-00002A100000}"/>
    <cellStyle name="Normal 2 4 3 6 2 2 2" xfId="24952" xr:uid="{D562429B-EF26-453B-AA50-10D479E611EC}"/>
    <cellStyle name="Normal 2 4 3 6 2 2 3" xfId="33386" xr:uid="{4A18AB58-B0AB-42B1-BEB5-DC6122891E23}"/>
    <cellStyle name="Normal 2 4 3 6 2 2 4" xfId="16514" xr:uid="{1F58C987-DD27-4F56-8156-91D16ABFB92A}"/>
    <cellStyle name="Normal 2 4 3 6 2 3" xfId="20734" xr:uid="{B0A60AA6-40CE-4D3B-957D-11F575CDD92D}"/>
    <cellStyle name="Normal 2 4 3 6 2 4" xfId="29169" xr:uid="{80B2E540-D824-42D2-8AC4-A70AE7E3FA02}"/>
    <cellStyle name="Normal 2 4 3 6 2 5" xfId="12296" xr:uid="{38399BB8-F20F-482E-B185-F803C951F848}"/>
    <cellStyle name="Normal 2 4 3 6 3" xfId="5930" xr:uid="{00000000-0005-0000-0000-00002B100000}"/>
    <cellStyle name="Normal 2 4 3 6 3 2" xfId="22807" xr:uid="{6DF27D53-B7E2-483C-805E-326722ED875A}"/>
    <cellStyle name="Normal 2 4 3 6 3 3" xfId="31241" xr:uid="{CED885D5-F315-4988-995A-1DD9F55E4C20}"/>
    <cellStyle name="Normal 2 4 3 6 3 4" xfId="14369" xr:uid="{F6BE4AD2-C536-4D4E-84D8-8ECEA1F604C5}"/>
    <cellStyle name="Normal 2 4 3 6 4" xfId="18589" xr:uid="{2D79AD07-57E1-417C-AC15-79D85AABB0C9}"/>
    <cellStyle name="Normal 2 4 3 6 5" xfId="27024" xr:uid="{614DB715-4FD0-4D6B-B80B-321FD250B697}"/>
    <cellStyle name="Normal 2 4 3 6 6" xfId="10151" xr:uid="{BD4891AF-C055-4591-A976-CB6A862C1198}"/>
    <cellStyle name="Normal 2 4 3 7" xfId="2036" xr:uid="{00000000-0005-0000-0000-00002C100000}"/>
    <cellStyle name="Normal 2 4 3 7 2" xfId="4265" xr:uid="{00000000-0005-0000-0000-00002D100000}"/>
    <cellStyle name="Normal 2 4 3 7 2 2" xfId="8488" xr:uid="{00000000-0005-0000-0000-00002E100000}"/>
    <cellStyle name="Normal 2 4 3 7 2 2 2" xfId="25365" xr:uid="{85E5FA17-B422-4BA8-91C5-4F480E9B324F}"/>
    <cellStyle name="Normal 2 4 3 7 2 2 3" xfId="33799" xr:uid="{2DD0B024-F1C7-4A92-8859-493C9C0E6C71}"/>
    <cellStyle name="Normal 2 4 3 7 2 2 4" xfId="16927" xr:uid="{17863FF5-586E-4BDC-A215-9AC80D3CB2F5}"/>
    <cellStyle name="Normal 2 4 3 7 2 3" xfId="21147" xr:uid="{4850E1B2-8255-4869-9431-6965D180B61C}"/>
    <cellStyle name="Normal 2 4 3 7 2 4" xfId="29582" xr:uid="{0F0365D0-69D6-429A-A451-D56768B294FA}"/>
    <cellStyle name="Normal 2 4 3 7 2 5" xfId="12709" xr:uid="{FA23454E-5625-441C-87B3-2124EC0D24B5}"/>
    <cellStyle name="Normal 2 4 3 7 3" xfId="6343" xr:uid="{00000000-0005-0000-0000-00002F100000}"/>
    <cellStyle name="Normal 2 4 3 7 3 2" xfId="23220" xr:uid="{4933149C-578A-452A-86AC-A138D81E2207}"/>
    <cellStyle name="Normal 2 4 3 7 3 3" xfId="31654" xr:uid="{B963F54D-9AF7-4EA1-B2D9-CFA5FDB38E21}"/>
    <cellStyle name="Normal 2 4 3 7 3 4" xfId="14782" xr:uid="{8FA843D9-5AF2-4D73-AF8E-9AD53F8235B6}"/>
    <cellStyle name="Normal 2 4 3 7 4" xfId="19002" xr:uid="{E450401F-44D1-411F-BD4A-859CEB6115CA}"/>
    <cellStyle name="Normal 2 4 3 7 5" xfId="27437" xr:uid="{8144444A-E894-4D2D-A0B7-1E87283BEB69}"/>
    <cellStyle name="Normal 2 4 3 7 6" xfId="10564" xr:uid="{B3A868E7-6C14-4996-A13E-78CAC2FFE471}"/>
    <cellStyle name="Normal 2 4 3 8" xfId="2472" xr:uid="{00000000-0005-0000-0000-000030100000}"/>
    <cellStyle name="Normal 2 4 3 8 2" xfId="6756" xr:uid="{00000000-0005-0000-0000-000031100000}"/>
    <cellStyle name="Normal 2 4 3 8 2 2" xfId="23633" xr:uid="{86DBF15F-A98F-4EEF-82F8-5EDF59CBA124}"/>
    <cellStyle name="Normal 2 4 3 8 2 3" xfId="32067" xr:uid="{D813DA4A-6463-44F7-81B2-40E494EBD49E}"/>
    <cellStyle name="Normal 2 4 3 8 2 4" xfId="15195" xr:uid="{E00D41E9-E8FB-4C5F-881E-22F063361172}"/>
    <cellStyle name="Normal 2 4 3 8 3" xfId="19415" xr:uid="{C72C8456-244C-4F27-8BB8-C23539B45B11}"/>
    <cellStyle name="Normal 2 4 3 8 4" xfId="27850" xr:uid="{296B1DAA-C784-4262-B0B8-2614E11841A6}"/>
    <cellStyle name="Normal 2 4 3 8 5" xfId="10977" xr:uid="{C18E311D-2A27-4E6B-BFBE-B7D202AF5C65}"/>
    <cellStyle name="Normal 2 4 3 9" xfId="4690" xr:uid="{00000000-0005-0000-0000-000032100000}"/>
    <cellStyle name="Normal 2 4 3 9 2" xfId="21567" xr:uid="{DFB43A36-634B-49C4-95BE-E73B73E81AF9}"/>
    <cellStyle name="Normal 2 4 3 9 3" xfId="30001" xr:uid="{5309C32B-E643-4F41-8A6A-1F3172F6168B}"/>
    <cellStyle name="Normal 2 4 3 9 4" xfId="13129" xr:uid="{27560279-0361-4369-BCDF-369FF33D2F42}"/>
    <cellStyle name="Normal 2 4 4" xfId="302" xr:uid="{00000000-0005-0000-0000-000033100000}"/>
    <cellStyle name="Normal 2 4 5" xfId="303" xr:uid="{00000000-0005-0000-0000-000034100000}"/>
    <cellStyle name="Normal 2 4 5 10" xfId="4695" xr:uid="{00000000-0005-0000-0000-000035100000}"/>
    <cellStyle name="Normal 2 4 5 10 2" xfId="21572" xr:uid="{6A207E60-ED7D-49CF-B59A-9EA76C5D66BF}"/>
    <cellStyle name="Normal 2 4 5 10 3" xfId="30006" xr:uid="{699AD22E-E634-4BFA-8194-B9FDB9E96D17}"/>
    <cellStyle name="Normal 2 4 5 10 4" xfId="13134" xr:uid="{6CC4FB06-5A0B-46C7-85AA-02CEB7F97040}"/>
    <cellStyle name="Normal 2 4 5 11" xfId="17354" xr:uid="{EDC03046-58E2-4452-9887-5542873B9202}"/>
    <cellStyle name="Normal 2 4 5 12" xfId="25789" xr:uid="{336EEAE2-B132-4EF6-8FF1-CAA0EAEBCE6A}"/>
    <cellStyle name="Normal 2 4 5 13" xfId="8916" xr:uid="{DB2D0342-E067-4A2E-90A1-812D960EB232}"/>
    <cellStyle name="Normal 2 4 5 2" xfId="304" xr:uid="{00000000-0005-0000-0000-000036100000}"/>
    <cellStyle name="Normal 2 4 5 2 10" xfId="17355" xr:uid="{C6F83ED1-3315-4A8F-B0C1-7ECF38821163}"/>
    <cellStyle name="Normal 2 4 5 2 11" xfId="25790" xr:uid="{7BE97814-ECC1-4CAC-AB7E-CFD260A089BA}"/>
    <cellStyle name="Normal 2 4 5 2 12" xfId="8917" xr:uid="{D7811B6C-5D11-45B1-B39B-384E89C1E04B}"/>
    <cellStyle name="Normal 2 4 5 2 2" xfId="305" xr:uid="{00000000-0005-0000-0000-000037100000}"/>
    <cellStyle name="Normal 2 4 5 2 2 10" xfId="25791" xr:uid="{045884BA-EEFB-4B46-ACFB-D12843BB7AAC}"/>
    <cellStyle name="Normal 2 4 5 2 2 11" xfId="8918" xr:uid="{4AB48CC2-4658-4B71-B073-AC90B02BCE74}"/>
    <cellStyle name="Normal 2 4 5 2 2 2" xfId="306" xr:uid="{00000000-0005-0000-0000-000038100000}"/>
    <cellStyle name="Normal 2 4 5 2 2 2 10" xfId="8919" xr:uid="{9D5C85D6-2900-4310-BC03-FE60BF35577A}"/>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24134" xr:uid="{8FB16C51-6A78-4B87-AA06-C520DDBE7167}"/>
    <cellStyle name="Normal 2 4 5 2 2 2 2 2 2 3" xfId="32568" xr:uid="{0C5CF5FD-D56A-4DEE-8215-4EF2943AD498}"/>
    <cellStyle name="Normal 2 4 5 2 2 2 2 2 2 4" xfId="15696" xr:uid="{258A35CC-BC40-4143-A529-B1E9F1A5B216}"/>
    <cellStyle name="Normal 2 4 5 2 2 2 2 2 3" xfId="19916" xr:uid="{EB66ABFD-75FE-4960-A718-EEAF38A527CE}"/>
    <cellStyle name="Normal 2 4 5 2 2 2 2 2 4" xfId="28351" xr:uid="{F0E08F1F-1908-45A5-8D79-78B5AC28535B}"/>
    <cellStyle name="Normal 2 4 5 2 2 2 2 2 5" xfId="11478" xr:uid="{77D9C457-6E3C-4D0D-9ED2-55E715B48A23}"/>
    <cellStyle name="Normal 2 4 5 2 2 2 2 3" xfId="5112" xr:uid="{00000000-0005-0000-0000-00003C100000}"/>
    <cellStyle name="Normal 2 4 5 2 2 2 2 3 2" xfId="21989" xr:uid="{23DC344B-F2A6-4532-97AD-714CDDC628AE}"/>
    <cellStyle name="Normal 2 4 5 2 2 2 2 3 3" xfId="30423" xr:uid="{5949D0CB-6B76-4F8F-845F-0F9FCA1C0E1A}"/>
    <cellStyle name="Normal 2 4 5 2 2 2 2 3 4" xfId="13551" xr:uid="{6DB9E0F0-EF4D-4756-85E8-CC4366C3C0F3}"/>
    <cellStyle name="Normal 2 4 5 2 2 2 2 4" xfId="17771" xr:uid="{BDC252A7-7AC8-4043-8847-9F8717FFFBE7}"/>
    <cellStyle name="Normal 2 4 5 2 2 2 2 5" xfId="26206" xr:uid="{55FB0595-297E-4012-8822-5365BD6F404F}"/>
    <cellStyle name="Normal 2 4 5 2 2 2 2 6" xfId="9333" xr:uid="{77DB1EAC-19C1-4585-AC91-96920CE7007C}"/>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24547" xr:uid="{3CC795B0-995E-411A-8614-BE8F7771D7DA}"/>
    <cellStyle name="Normal 2 4 5 2 2 2 3 2 2 3" xfId="32981" xr:uid="{DA183E0E-498C-4FB4-92A9-55BD5B6F6764}"/>
    <cellStyle name="Normal 2 4 5 2 2 2 3 2 2 4" xfId="16109" xr:uid="{92C03069-4CB6-4686-80EE-693FB9B07431}"/>
    <cellStyle name="Normal 2 4 5 2 2 2 3 2 3" xfId="20329" xr:uid="{68CEC5EC-4715-4248-8418-3D3005EE8ABC}"/>
    <cellStyle name="Normal 2 4 5 2 2 2 3 2 4" xfId="28764" xr:uid="{3CB4A1B7-BA5E-4D22-AFA8-61296FF4EB1E}"/>
    <cellStyle name="Normal 2 4 5 2 2 2 3 2 5" xfId="11891" xr:uid="{5B3873F6-F171-42BF-9791-B531BB689B81}"/>
    <cellStyle name="Normal 2 4 5 2 2 2 3 3" xfId="5525" xr:uid="{00000000-0005-0000-0000-000040100000}"/>
    <cellStyle name="Normal 2 4 5 2 2 2 3 3 2" xfId="22402" xr:uid="{80CBA75E-DC88-43E7-80EA-6C77BCC8CC56}"/>
    <cellStyle name="Normal 2 4 5 2 2 2 3 3 3" xfId="30836" xr:uid="{D6E3063A-6897-485A-A8FD-D0ED18089283}"/>
    <cellStyle name="Normal 2 4 5 2 2 2 3 3 4" xfId="13964" xr:uid="{19B39F33-8039-4FA3-B5E3-3990D2B6E53D}"/>
    <cellStyle name="Normal 2 4 5 2 2 2 3 4" xfId="18184" xr:uid="{F8ADC47A-A111-43B3-BACF-498D91A4558A}"/>
    <cellStyle name="Normal 2 4 5 2 2 2 3 5" xfId="26619" xr:uid="{C631A79E-2970-4933-BFCD-1B0528D9E411}"/>
    <cellStyle name="Normal 2 4 5 2 2 2 3 6" xfId="9746" xr:uid="{3226CCF8-6208-4CF1-B6EB-B14464B6A8E2}"/>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24960" xr:uid="{9E557817-CF4A-474C-83AC-D000112E5329}"/>
    <cellStyle name="Normal 2 4 5 2 2 2 4 2 2 3" xfId="33394" xr:uid="{8884CA87-9BB7-4CF6-B566-512CBFA26659}"/>
    <cellStyle name="Normal 2 4 5 2 2 2 4 2 2 4" xfId="16522" xr:uid="{28124FD3-F2AC-4E90-82E9-3A73610B2EBD}"/>
    <cellStyle name="Normal 2 4 5 2 2 2 4 2 3" xfId="20742" xr:uid="{B5D4AE0A-D73B-4770-A83C-3CD90160FAD6}"/>
    <cellStyle name="Normal 2 4 5 2 2 2 4 2 4" xfId="29177" xr:uid="{13D58C07-F7E1-4577-8045-54E65D8B80CD}"/>
    <cellStyle name="Normal 2 4 5 2 2 2 4 2 5" xfId="12304" xr:uid="{10F94017-1AA4-4DEA-83A7-23170E00341B}"/>
    <cellStyle name="Normal 2 4 5 2 2 2 4 3" xfId="5938" xr:uid="{00000000-0005-0000-0000-000044100000}"/>
    <cellStyle name="Normal 2 4 5 2 2 2 4 3 2" xfId="22815" xr:uid="{F341520F-721E-472E-A348-CADC9F2152A5}"/>
    <cellStyle name="Normal 2 4 5 2 2 2 4 3 3" xfId="31249" xr:uid="{D1C138AA-2502-4B2C-93F7-C63FDE96BA37}"/>
    <cellStyle name="Normal 2 4 5 2 2 2 4 3 4" xfId="14377" xr:uid="{B1861B14-1328-41A2-9B18-9C003E9DD3B1}"/>
    <cellStyle name="Normal 2 4 5 2 2 2 4 4" xfId="18597" xr:uid="{958D55D4-5B03-4726-B24F-F99B78F7A6EE}"/>
    <cellStyle name="Normal 2 4 5 2 2 2 4 5" xfId="27032" xr:uid="{445BD2CB-7BCD-441C-81B3-71F379BE442C}"/>
    <cellStyle name="Normal 2 4 5 2 2 2 4 6" xfId="10159" xr:uid="{576F80A0-AAC3-4CC4-9640-7870A51EE09F}"/>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25373" xr:uid="{7C8B7F7E-4EF2-434E-8D4F-6FEAD332BB52}"/>
    <cellStyle name="Normal 2 4 5 2 2 2 5 2 2 3" xfId="33807" xr:uid="{FE3C6C61-6C41-488A-AC23-93C26FBB1574}"/>
    <cellStyle name="Normal 2 4 5 2 2 2 5 2 2 4" xfId="16935" xr:uid="{51B648CD-4D07-4D7A-AEA5-3FDBDC139FD5}"/>
    <cellStyle name="Normal 2 4 5 2 2 2 5 2 3" xfId="21155" xr:uid="{E6DD631E-D713-407A-AEAE-B4249136D509}"/>
    <cellStyle name="Normal 2 4 5 2 2 2 5 2 4" xfId="29590" xr:uid="{9D066FE8-1DE3-4923-8E86-B41D33783E6E}"/>
    <cellStyle name="Normal 2 4 5 2 2 2 5 2 5" xfId="12717" xr:uid="{D32531BB-79F1-44AB-BDAC-02E75D0CA25D}"/>
    <cellStyle name="Normal 2 4 5 2 2 2 5 3" xfId="6351" xr:uid="{00000000-0005-0000-0000-000048100000}"/>
    <cellStyle name="Normal 2 4 5 2 2 2 5 3 2" xfId="23228" xr:uid="{9220ECD7-D84E-47AB-8D02-02CE24FB0ADC}"/>
    <cellStyle name="Normal 2 4 5 2 2 2 5 3 3" xfId="31662" xr:uid="{6A310C92-8AF3-4042-AE22-5DC318CCAD3D}"/>
    <cellStyle name="Normal 2 4 5 2 2 2 5 3 4" xfId="14790" xr:uid="{5BC27A60-A70D-4369-A50E-18143BF91BD8}"/>
    <cellStyle name="Normal 2 4 5 2 2 2 5 4" xfId="19010" xr:uid="{D0F299C0-496F-4F5E-BBF6-1C54F7D26FFA}"/>
    <cellStyle name="Normal 2 4 5 2 2 2 5 5" xfId="27445" xr:uid="{DA6A64FD-D34A-4C0B-A949-7C46D735959F}"/>
    <cellStyle name="Normal 2 4 5 2 2 2 5 6" xfId="10572" xr:uid="{7688D1FE-F111-4FDD-92F5-DEEE6F25F50B}"/>
    <cellStyle name="Normal 2 4 5 2 2 2 6" xfId="2480" xr:uid="{00000000-0005-0000-0000-000049100000}"/>
    <cellStyle name="Normal 2 4 5 2 2 2 6 2" xfId="6764" xr:uid="{00000000-0005-0000-0000-00004A100000}"/>
    <cellStyle name="Normal 2 4 5 2 2 2 6 2 2" xfId="23641" xr:uid="{AF7ACEC4-58D6-490F-8715-1D5A04397B01}"/>
    <cellStyle name="Normal 2 4 5 2 2 2 6 2 3" xfId="32075" xr:uid="{55707ACD-FD54-472D-BF15-3637FD32A865}"/>
    <cellStyle name="Normal 2 4 5 2 2 2 6 2 4" xfId="15203" xr:uid="{EF0685B6-4AAF-4D19-BEC9-F23516C09BC3}"/>
    <cellStyle name="Normal 2 4 5 2 2 2 6 3" xfId="19423" xr:uid="{B72585A2-5E1F-4B0C-B31D-A15B2AB60C3A}"/>
    <cellStyle name="Normal 2 4 5 2 2 2 6 4" xfId="27858" xr:uid="{557F6D54-B5A4-4764-BCE8-AA94CBB4BDA2}"/>
    <cellStyle name="Normal 2 4 5 2 2 2 6 5" xfId="10985" xr:uid="{678FF428-9FF8-4CD9-8FC5-719E2B16FC49}"/>
    <cellStyle name="Normal 2 4 5 2 2 2 7" xfId="4698" xr:uid="{00000000-0005-0000-0000-00004B100000}"/>
    <cellStyle name="Normal 2 4 5 2 2 2 7 2" xfId="21575" xr:uid="{F2D3DEA9-7EDE-4640-BEEF-C742A960801D}"/>
    <cellStyle name="Normal 2 4 5 2 2 2 7 3" xfId="30009" xr:uid="{5393178F-383A-4E2D-AB8A-0B9B8F7A5A7E}"/>
    <cellStyle name="Normal 2 4 5 2 2 2 7 4" xfId="13137" xr:uid="{88478DD6-5110-400E-B835-1D3C3889F5B4}"/>
    <cellStyle name="Normal 2 4 5 2 2 2 8" xfId="17357" xr:uid="{09249079-86D3-482A-9960-5E670A0F1CDA}"/>
    <cellStyle name="Normal 2 4 5 2 2 2 9" xfId="25792" xr:uid="{B7770840-E651-420C-AC57-C00525177BAA}"/>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24133" xr:uid="{239A94A9-E4F0-4B3C-B321-081BAD5BBB47}"/>
    <cellStyle name="Normal 2 4 5 2 2 3 2 2 3" xfId="32567" xr:uid="{6BE17F46-B6FE-4727-9577-E4BD9EFAC711}"/>
    <cellStyle name="Normal 2 4 5 2 2 3 2 2 4" xfId="15695" xr:uid="{7C023E87-8E64-4A29-84A4-7DD5D0902911}"/>
    <cellStyle name="Normal 2 4 5 2 2 3 2 3" xfId="19915" xr:uid="{AF75A347-8890-4F8A-ADE5-6E2D747B3BE8}"/>
    <cellStyle name="Normal 2 4 5 2 2 3 2 4" xfId="28350" xr:uid="{453B0028-2406-4ACF-A9E1-51FF1EFC20B3}"/>
    <cellStyle name="Normal 2 4 5 2 2 3 2 5" xfId="11477" xr:uid="{CB290345-33A4-4BAB-BC73-1EA3AEA6D13D}"/>
    <cellStyle name="Normal 2 4 5 2 2 3 3" xfId="5111" xr:uid="{00000000-0005-0000-0000-00004F100000}"/>
    <cellStyle name="Normal 2 4 5 2 2 3 3 2" xfId="21988" xr:uid="{CB615E66-B1A2-4EE2-A1C5-1A3D54F5E338}"/>
    <cellStyle name="Normal 2 4 5 2 2 3 3 3" xfId="30422" xr:uid="{3A3ED2FC-45BF-48BB-8455-2F9055FF14C3}"/>
    <cellStyle name="Normal 2 4 5 2 2 3 3 4" xfId="13550" xr:uid="{3D9FE186-B03E-4ECA-A9B7-3660708845AB}"/>
    <cellStyle name="Normal 2 4 5 2 2 3 4" xfId="17770" xr:uid="{F4FA2A09-F0A8-4774-AD35-ADB70D5BFE22}"/>
    <cellStyle name="Normal 2 4 5 2 2 3 5" xfId="26205" xr:uid="{A157F9EB-53BA-4F0F-A543-B19EA46B65FF}"/>
    <cellStyle name="Normal 2 4 5 2 2 3 6" xfId="9332" xr:uid="{C35E4778-249F-4F5C-951A-44E098BDF154}"/>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24546" xr:uid="{25E5AFBA-CCDA-41F5-B42D-D7DED12C933C}"/>
    <cellStyle name="Normal 2 4 5 2 2 4 2 2 3" xfId="32980" xr:uid="{6BC36D49-FAE0-4DF0-9DF9-E4950920511F}"/>
    <cellStyle name="Normal 2 4 5 2 2 4 2 2 4" xfId="16108" xr:uid="{B5D2C504-7E2A-425A-85B0-86DAB72EFAF6}"/>
    <cellStyle name="Normal 2 4 5 2 2 4 2 3" xfId="20328" xr:uid="{14F8AF7A-D2AA-4A20-BACE-04B14D6C3EED}"/>
    <cellStyle name="Normal 2 4 5 2 2 4 2 4" xfId="28763" xr:uid="{FAB717B0-5505-4B41-A7D1-342FC7DCF9E2}"/>
    <cellStyle name="Normal 2 4 5 2 2 4 2 5" xfId="11890" xr:uid="{373A9D45-A400-45D9-8218-F9A85B7743F8}"/>
    <cellStyle name="Normal 2 4 5 2 2 4 3" xfId="5524" xr:uid="{00000000-0005-0000-0000-000053100000}"/>
    <cellStyle name="Normal 2 4 5 2 2 4 3 2" xfId="22401" xr:uid="{AC2B37C0-1630-4BF7-8F06-EF87546D55E3}"/>
    <cellStyle name="Normal 2 4 5 2 2 4 3 3" xfId="30835" xr:uid="{A38100CF-56CA-4964-8E41-2FC27ECC4769}"/>
    <cellStyle name="Normal 2 4 5 2 2 4 3 4" xfId="13963" xr:uid="{F060C11F-77BB-43F2-912D-D535C830380A}"/>
    <cellStyle name="Normal 2 4 5 2 2 4 4" xfId="18183" xr:uid="{4E620C86-D6E4-4EC0-9CDF-430C9A0B7192}"/>
    <cellStyle name="Normal 2 4 5 2 2 4 5" xfId="26618" xr:uid="{B087ACCB-A179-4F23-BAC4-B696A9E8EE40}"/>
    <cellStyle name="Normal 2 4 5 2 2 4 6" xfId="9745" xr:uid="{72C7CF41-091C-4A19-B279-1F63C4386A59}"/>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24959" xr:uid="{FD59CA2F-8E48-4BC6-8AC8-F391FAB56770}"/>
    <cellStyle name="Normal 2 4 5 2 2 5 2 2 3" xfId="33393" xr:uid="{03ACA0D7-B924-4EAD-82F4-A3425E092058}"/>
    <cellStyle name="Normal 2 4 5 2 2 5 2 2 4" xfId="16521" xr:uid="{84F5D84F-ED01-4969-B7A3-FBE25AA23A42}"/>
    <cellStyle name="Normal 2 4 5 2 2 5 2 3" xfId="20741" xr:uid="{249F9983-F5FC-431C-8EAE-306EE105C8EC}"/>
    <cellStyle name="Normal 2 4 5 2 2 5 2 4" xfId="29176" xr:uid="{C14FA112-FA37-4E6A-9E2E-9FAC023AB4E1}"/>
    <cellStyle name="Normal 2 4 5 2 2 5 2 5" xfId="12303" xr:uid="{D9C887D8-A6C5-4829-A196-F3E8F49639CA}"/>
    <cellStyle name="Normal 2 4 5 2 2 5 3" xfId="5937" xr:uid="{00000000-0005-0000-0000-000057100000}"/>
    <cellStyle name="Normal 2 4 5 2 2 5 3 2" xfId="22814" xr:uid="{26174121-71BC-4DE5-A5D3-7EDAB6656A29}"/>
    <cellStyle name="Normal 2 4 5 2 2 5 3 3" xfId="31248" xr:uid="{74228514-4896-426E-BC8D-DF0C2713DEE1}"/>
    <cellStyle name="Normal 2 4 5 2 2 5 3 4" xfId="14376" xr:uid="{86AAE372-3012-4EB3-A889-4FE3E6DB0D47}"/>
    <cellStyle name="Normal 2 4 5 2 2 5 4" xfId="18596" xr:uid="{E6F4673A-57A3-4B59-947D-6541A0F1B5AA}"/>
    <cellStyle name="Normal 2 4 5 2 2 5 5" xfId="27031" xr:uid="{F455857E-5777-44AA-87EC-E943EA3B2DBB}"/>
    <cellStyle name="Normal 2 4 5 2 2 5 6" xfId="10158" xr:uid="{C7AAE8B1-08FE-46E7-A5A6-C4416A8D190B}"/>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25372" xr:uid="{F0A7F4F3-6E27-4DC1-A082-5EDC38FE8B2D}"/>
    <cellStyle name="Normal 2 4 5 2 2 6 2 2 3" xfId="33806" xr:uid="{451B6DA9-D8D3-4A27-A12F-DBD7BEB75F62}"/>
    <cellStyle name="Normal 2 4 5 2 2 6 2 2 4" xfId="16934" xr:uid="{A78E730F-7ECB-46D4-BC0B-58A536ABFA35}"/>
    <cellStyle name="Normal 2 4 5 2 2 6 2 3" xfId="21154" xr:uid="{9EF09F43-A9D2-46BA-97FB-EC8E33BE3D1A}"/>
    <cellStyle name="Normal 2 4 5 2 2 6 2 4" xfId="29589" xr:uid="{037A31DE-7060-4479-9FA4-C62283B43A4A}"/>
    <cellStyle name="Normal 2 4 5 2 2 6 2 5" xfId="12716" xr:uid="{5DCC20EE-B693-4919-9513-7EB138C419DD}"/>
    <cellStyle name="Normal 2 4 5 2 2 6 3" xfId="6350" xr:uid="{00000000-0005-0000-0000-00005B100000}"/>
    <cellStyle name="Normal 2 4 5 2 2 6 3 2" xfId="23227" xr:uid="{5BFD866E-E415-46E1-B1E3-E8E153265990}"/>
    <cellStyle name="Normal 2 4 5 2 2 6 3 3" xfId="31661" xr:uid="{81397CAD-4768-4094-934B-8DE0B3451811}"/>
    <cellStyle name="Normal 2 4 5 2 2 6 3 4" xfId="14789" xr:uid="{3EA284FC-973B-4EB4-948B-CDB1B74CED33}"/>
    <cellStyle name="Normal 2 4 5 2 2 6 4" xfId="19009" xr:uid="{2FEFB559-D089-422A-B467-237D1FF8CA57}"/>
    <cellStyle name="Normal 2 4 5 2 2 6 5" xfId="27444" xr:uid="{96168066-5EFE-4467-9ADB-A1C48611CA73}"/>
    <cellStyle name="Normal 2 4 5 2 2 6 6" xfId="10571" xr:uid="{1438B5C6-4246-4C6C-91FC-FBD30186A710}"/>
    <cellStyle name="Normal 2 4 5 2 2 7" xfId="2479" xr:uid="{00000000-0005-0000-0000-00005C100000}"/>
    <cellStyle name="Normal 2 4 5 2 2 7 2" xfId="6763" xr:uid="{00000000-0005-0000-0000-00005D100000}"/>
    <cellStyle name="Normal 2 4 5 2 2 7 2 2" xfId="23640" xr:uid="{FFFA2738-AC03-477F-8E4D-8F73DC0A5A73}"/>
    <cellStyle name="Normal 2 4 5 2 2 7 2 3" xfId="32074" xr:uid="{49F503EA-A4EF-40B2-A140-48733E3A2D60}"/>
    <cellStyle name="Normal 2 4 5 2 2 7 2 4" xfId="15202" xr:uid="{A8D2CB08-71E1-4F4E-8B81-E9F5A372A234}"/>
    <cellStyle name="Normal 2 4 5 2 2 7 3" xfId="19422" xr:uid="{0D0DA8AC-C697-4082-B509-D8A935C93DD4}"/>
    <cellStyle name="Normal 2 4 5 2 2 7 4" xfId="27857" xr:uid="{F92D53C0-8097-4753-9B99-7F952FDDA372}"/>
    <cellStyle name="Normal 2 4 5 2 2 7 5" xfId="10984" xr:uid="{DFF6F2B1-8E51-4349-AA76-671F8A8EF4AE}"/>
    <cellStyle name="Normal 2 4 5 2 2 8" xfId="4697" xr:uid="{00000000-0005-0000-0000-00005E100000}"/>
    <cellStyle name="Normal 2 4 5 2 2 8 2" xfId="21574" xr:uid="{B9CEB4A1-ED99-432F-8BCD-0B734A94A845}"/>
    <cellStyle name="Normal 2 4 5 2 2 8 3" xfId="30008" xr:uid="{1A25B461-8503-4CF7-91E7-566BB9962887}"/>
    <cellStyle name="Normal 2 4 5 2 2 8 4" xfId="13136" xr:uid="{678770FD-5CD4-4B63-A369-0CEC23A47C12}"/>
    <cellStyle name="Normal 2 4 5 2 2 9" xfId="17356" xr:uid="{F9848194-9F67-4109-B36D-F3533FBA408A}"/>
    <cellStyle name="Normal 2 4 5 2 3" xfId="307" xr:uid="{00000000-0005-0000-0000-00005F100000}"/>
    <cellStyle name="Normal 2 4 5 2 3 10" xfId="8920" xr:uid="{0A52A6D0-D745-473B-9AA1-D5ECA24E40B4}"/>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24135" xr:uid="{859D93B5-30ED-4DD8-AE9E-98BCA58AE69E}"/>
    <cellStyle name="Normal 2 4 5 2 3 2 2 2 3" xfId="32569" xr:uid="{6EC3938A-1EA9-4A41-A30D-22D72DB7E82F}"/>
    <cellStyle name="Normal 2 4 5 2 3 2 2 2 4" xfId="15697" xr:uid="{3C8812BC-AC49-4155-9B54-17584FA7695F}"/>
    <cellStyle name="Normal 2 4 5 2 3 2 2 3" xfId="19917" xr:uid="{DA3BB9CC-95D1-4C0F-A78F-08B8B3945950}"/>
    <cellStyle name="Normal 2 4 5 2 3 2 2 4" xfId="28352" xr:uid="{42FC5FA7-C823-4061-8CBA-1CC114EC5997}"/>
    <cellStyle name="Normal 2 4 5 2 3 2 2 5" xfId="11479" xr:uid="{23D91F7B-F3F0-4E4A-9275-BDE4433DFC8D}"/>
    <cellStyle name="Normal 2 4 5 2 3 2 3" xfId="5113" xr:uid="{00000000-0005-0000-0000-000063100000}"/>
    <cellStyle name="Normal 2 4 5 2 3 2 3 2" xfId="21990" xr:uid="{799F4EC8-BCC9-495F-AA07-F6C6A2EBB9DC}"/>
    <cellStyle name="Normal 2 4 5 2 3 2 3 3" xfId="30424" xr:uid="{5350588D-3113-4AA9-BB07-D49147DE46B8}"/>
    <cellStyle name="Normal 2 4 5 2 3 2 3 4" xfId="13552" xr:uid="{B536D2C9-5091-43C1-AEDF-9DA3663AEC0B}"/>
    <cellStyle name="Normal 2 4 5 2 3 2 4" xfId="17772" xr:uid="{ADC2796B-D249-4708-ABAB-89B88493FED5}"/>
    <cellStyle name="Normal 2 4 5 2 3 2 5" xfId="26207" xr:uid="{854FE65C-5E09-4997-BF69-5C110D8C3963}"/>
    <cellStyle name="Normal 2 4 5 2 3 2 6" xfId="9334" xr:uid="{3F724207-8A3C-4396-AAEF-0276A48578D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24548" xr:uid="{CB966934-17F7-4F71-BBA3-E0D0BA48C5F4}"/>
    <cellStyle name="Normal 2 4 5 2 3 3 2 2 3" xfId="32982" xr:uid="{7BB5DB66-A4CA-407B-A25B-1BCC38DB4FB0}"/>
    <cellStyle name="Normal 2 4 5 2 3 3 2 2 4" xfId="16110" xr:uid="{B6138BCC-D7C9-490F-B274-94645249C354}"/>
    <cellStyle name="Normal 2 4 5 2 3 3 2 3" xfId="20330" xr:uid="{FF5D8F1D-02A5-4E1D-8345-264A8781DEA8}"/>
    <cellStyle name="Normal 2 4 5 2 3 3 2 4" xfId="28765" xr:uid="{DE1D4A16-9762-498B-9086-51E242788EE0}"/>
    <cellStyle name="Normal 2 4 5 2 3 3 2 5" xfId="11892" xr:uid="{024131F7-2D12-4F2E-8CE3-AC7550528827}"/>
    <cellStyle name="Normal 2 4 5 2 3 3 3" xfId="5526" xr:uid="{00000000-0005-0000-0000-000067100000}"/>
    <cellStyle name="Normal 2 4 5 2 3 3 3 2" xfId="22403" xr:uid="{B9B5B3B1-E5C5-4BD0-84EF-24949FE446C1}"/>
    <cellStyle name="Normal 2 4 5 2 3 3 3 3" xfId="30837" xr:uid="{6D37AC5E-4C0A-477F-9E8B-F1A8B691D0F1}"/>
    <cellStyle name="Normal 2 4 5 2 3 3 3 4" xfId="13965" xr:uid="{F3EBC54E-DE45-4F4C-99F0-EE2C20B2F842}"/>
    <cellStyle name="Normal 2 4 5 2 3 3 4" xfId="18185" xr:uid="{2E0D9F90-783C-4553-B973-BF44C60B6C88}"/>
    <cellStyle name="Normal 2 4 5 2 3 3 5" xfId="26620" xr:uid="{7424193C-69B3-4FB6-BF8C-A3F27F3ACC9B}"/>
    <cellStyle name="Normal 2 4 5 2 3 3 6" xfId="9747" xr:uid="{EC3C6858-7719-4BE4-B38E-094AB640F447}"/>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24961" xr:uid="{5D6B384C-3457-40F1-BA80-6D71AA85DC51}"/>
    <cellStyle name="Normal 2 4 5 2 3 4 2 2 3" xfId="33395" xr:uid="{FF1D8588-8878-44E3-AAB3-AD8EE614F036}"/>
    <cellStyle name="Normal 2 4 5 2 3 4 2 2 4" xfId="16523" xr:uid="{C4464893-1BDC-427E-A91E-C105AE4C7CDB}"/>
    <cellStyle name="Normal 2 4 5 2 3 4 2 3" xfId="20743" xr:uid="{341CE8F2-0AD6-4006-AC4D-66F169E2A513}"/>
    <cellStyle name="Normal 2 4 5 2 3 4 2 4" xfId="29178" xr:uid="{8F16AB41-45FA-45FC-A404-EB91B688190A}"/>
    <cellStyle name="Normal 2 4 5 2 3 4 2 5" xfId="12305" xr:uid="{764B1D55-C071-4BA9-AFB3-92E5AD91CF71}"/>
    <cellStyle name="Normal 2 4 5 2 3 4 3" xfId="5939" xr:uid="{00000000-0005-0000-0000-00006B100000}"/>
    <cellStyle name="Normal 2 4 5 2 3 4 3 2" xfId="22816" xr:uid="{2899A9C7-B6B4-4FE0-A58C-A86D4068D5E8}"/>
    <cellStyle name="Normal 2 4 5 2 3 4 3 3" xfId="31250" xr:uid="{38A3580C-ECBE-4268-91C9-B5DD747BBFB1}"/>
    <cellStyle name="Normal 2 4 5 2 3 4 3 4" xfId="14378" xr:uid="{68A69B35-5417-4AB9-AE44-81F8765D7737}"/>
    <cellStyle name="Normal 2 4 5 2 3 4 4" xfId="18598" xr:uid="{B9E002BB-2AB9-435E-AEC1-A7E50F4692C5}"/>
    <cellStyle name="Normal 2 4 5 2 3 4 5" xfId="27033" xr:uid="{3E1EE8D2-E1AA-4588-954A-37F3DB5FB1CF}"/>
    <cellStyle name="Normal 2 4 5 2 3 4 6" xfId="10160" xr:uid="{7080BC18-7E8F-49F8-BE82-24EEDDBA2702}"/>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25374" xr:uid="{CE319D11-14C6-4493-A8BD-F739BC12241F}"/>
    <cellStyle name="Normal 2 4 5 2 3 5 2 2 3" xfId="33808" xr:uid="{31B4A435-3180-4818-805F-8BC03B6436D8}"/>
    <cellStyle name="Normal 2 4 5 2 3 5 2 2 4" xfId="16936" xr:uid="{F1EA5F19-1F00-47C0-83E5-813E73DC3970}"/>
    <cellStyle name="Normal 2 4 5 2 3 5 2 3" xfId="21156" xr:uid="{00F58148-AD68-4D66-B280-149D1891BC8E}"/>
    <cellStyle name="Normal 2 4 5 2 3 5 2 4" xfId="29591" xr:uid="{AA67E09F-323E-4479-8BE7-FFDF7759931D}"/>
    <cellStyle name="Normal 2 4 5 2 3 5 2 5" xfId="12718" xr:uid="{0A2B1355-C677-4AC8-B974-C2406694598F}"/>
    <cellStyle name="Normal 2 4 5 2 3 5 3" xfId="6352" xr:uid="{00000000-0005-0000-0000-00006F100000}"/>
    <cellStyle name="Normal 2 4 5 2 3 5 3 2" xfId="23229" xr:uid="{647EA30B-83CD-482F-8F2E-C1E34E3FD2E0}"/>
    <cellStyle name="Normal 2 4 5 2 3 5 3 3" xfId="31663" xr:uid="{F964E3AE-87FA-4ACC-8125-F2499E87F088}"/>
    <cellStyle name="Normal 2 4 5 2 3 5 3 4" xfId="14791" xr:uid="{002AAEA2-87D8-4886-B45C-E5B4DD144043}"/>
    <cellStyle name="Normal 2 4 5 2 3 5 4" xfId="19011" xr:uid="{8D492CF1-9C8F-4209-8F75-3E4F35EA0ECA}"/>
    <cellStyle name="Normal 2 4 5 2 3 5 5" xfId="27446" xr:uid="{EAD1F1EC-2B69-4C5E-B381-4ED8944B8A29}"/>
    <cellStyle name="Normal 2 4 5 2 3 5 6" xfId="10573" xr:uid="{D940663B-3E9D-4CFF-BA42-0821C18B8A4D}"/>
    <cellStyle name="Normal 2 4 5 2 3 6" xfId="2481" xr:uid="{00000000-0005-0000-0000-000070100000}"/>
    <cellStyle name="Normal 2 4 5 2 3 6 2" xfId="6765" xr:uid="{00000000-0005-0000-0000-000071100000}"/>
    <cellStyle name="Normal 2 4 5 2 3 6 2 2" xfId="23642" xr:uid="{BB7E0468-66DB-46B1-9910-56DEFBB5BE38}"/>
    <cellStyle name="Normal 2 4 5 2 3 6 2 3" xfId="32076" xr:uid="{9DA66919-D4B2-4B5F-87D0-EE7FA5AE1BBA}"/>
    <cellStyle name="Normal 2 4 5 2 3 6 2 4" xfId="15204" xr:uid="{32832246-3331-4F9B-B98A-AC97B78DF4B2}"/>
    <cellStyle name="Normal 2 4 5 2 3 6 3" xfId="19424" xr:uid="{6DAA4EDC-FF68-4D9D-B604-75FFFF4E0476}"/>
    <cellStyle name="Normal 2 4 5 2 3 6 4" xfId="27859" xr:uid="{47A14B79-408F-4FC3-B085-3ABAB1E9A106}"/>
    <cellStyle name="Normal 2 4 5 2 3 6 5" xfId="10986" xr:uid="{7AD0F550-7496-4E67-A3C7-33FE9DBB8450}"/>
    <cellStyle name="Normal 2 4 5 2 3 7" xfId="4699" xr:uid="{00000000-0005-0000-0000-000072100000}"/>
    <cellStyle name="Normal 2 4 5 2 3 7 2" xfId="21576" xr:uid="{8FDD4AFE-4DD5-47F7-9D90-C0A0B4321C2F}"/>
    <cellStyle name="Normal 2 4 5 2 3 7 3" xfId="30010" xr:uid="{344E5D31-B198-4F85-A057-49F95AF7B362}"/>
    <cellStyle name="Normal 2 4 5 2 3 7 4" xfId="13138" xr:uid="{EFF6D7DC-CD03-4DF8-BC7A-0C1C5F416A3A}"/>
    <cellStyle name="Normal 2 4 5 2 3 8" xfId="17358" xr:uid="{B9608CE8-F3E7-4195-8B3C-1F392FE1AC79}"/>
    <cellStyle name="Normal 2 4 5 2 3 9" xfId="25793" xr:uid="{4FE43616-8B05-4048-8CC4-42927EB2E37B}"/>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24132" xr:uid="{9E377CA1-16D9-4817-ACB3-E2D98569AE09}"/>
    <cellStyle name="Normal 2 4 5 2 4 2 2 3" xfId="32566" xr:uid="{66D87D4C-BED4-42F0-A9BF-916017D218BF}"/>
    <cellStyle name="Normal 2 4 5 2 4 2 2 4" xfId="15694" xr:uid="{948EFE82-480D-4F82-9CFF-C201E155FCBE}"/>
    <cellStyle name="Normal 2 4 5 2 4 2 3" xfId="19914" xr:uid="{F69AF268-EF66-4721-8A29-76D155D17F98}"/>
    <cellStyle name="Normal 2 4 5 2 4 2 4" xfId="28349" xr:uid="{4056BD47-2ABF-45F6-B0AE-5DE869234A77}"/>
    <cellStyle name="Normal 2 4 5 2 4 2 5" xfId="11476" xr:uid="{57805933-ABD7-49E8-BBB8-DAAE3ABEBAFD}"/>
    <cellStyle name="Normal 2 4 5 2 4 3" xfId="5110" xr:uid="{00000000-0005-0000-0000-000076100000}"/>
    <cellStyle name="Normal 2 4 5 2 4 3 2" xfId="21987" xr:uid="{CB4B71E4-5180-40BB-9CEA-D53D30064852}"/>
    <cellStyle name="Normal 2 4 5 2 4 3 3" xfId="30421" xr:uid="{3E3CA211-80AA-43EB-89CA-57D2BF482A98}"/>
    <cellStyle name="Normal 2 4 5 2 4 3 4" xfId="13549" xr:uid="{CF5F7A64-2032-4402-A5BB-ABE20A055B44}"/>
    <cellStyle name="Normal 2 4 5 2 4 4" xfId="17769" xr:uid="{54908D1B-ACA6-42DB-AC4C-6717B8B8B40E}"/>
    <cellStyle name="Normal 2 4 5 2 4 5" xfId="26204" xr:uid="{1B8BB611-9E1D-47C0-BBCC-3D284EF5A51B}"/>
    <cellStyle name="Normal 2 4 5 2 4 6" xfId="9331" xr:uid="{FD6E29F9-3F2A-43BA-BCD3-68C0D871022A}"/>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24545" xr:uid="{A1AC58AF-C309-45FA-AC01-E20872950DB7}"/>
    <cellStyle name="Normal 2 4 5 2 5 2 2 3" xfId="32979" xr:uid="{70547077-ABB5-445A-B686-11CE3C01DFB0}"/>
    <cellStyle name="Normal 2 4 5 2 5 2 2 4" xfId="16107" xr:uid="{298C3A01-8D83-4D8E-8785-9A54800F98E9}"/>
    <cellStyle name="Normal 2 4 5 2 5 2 3" xfId="20327" xr:uid="{AADEA47B-EE0D-4040-A83B-0CE0D015990F}"/>
    <cellStyle name="Normal 2 4 5 2 5 2 4" xfId="28762" xr:uid="{6D7B8F45-AC31-404A-A1D0-4E4B6AB0FF0C}"/>
    <cellStyle name="Normal 2 4 5 2 5 2 5" xfId="11889" xr:uid="{08047922-FEB3-4159-A135-C7A10901C036}"/>
    <cellStyle name="Normal 2 4 5 2 5 3" xfId="5523" xr:uid="{00000000-0005-0000-0000-00007A100000}"/>
    <cellStyle name="Normal 2 4 5 2 5 3 2" xfId="22400" xr:uid="{9308C17D-2ADA-4CBC-9CC1-4FB8A3A73F67}"/>
    <cellStyle name="Normal 2 4 5 2 5 3 3" xfId="30834" xr:uid="{EC18668A-5667-4387-9574-0BB0E64EB0BA}"/>
    <cellStyle name="Normal 2 4 5 2 5 3 4" xfId="13962" xr:uid="{03261A0D-2D90-4C46-9677-9AA1E1BF25B6}"/>
    <cellStyle name="Normal 2 4 5 2 5 4" xfId="18182" xr:uid="{6182D81B-41B2-451C-8261-18603A61917D}"/>
    <cellStyle name="Normal 2 4 5 2 5 5" xfId="26617" xr:uid="{05F752E7-827F-411F-9C00-7C1146308A18}"/>
    <cellStyle name="Normal 2 4 5 2 5 6" xfId="9744" xr:uid="{73F78809-6670-47FE-BE36-443136C4CBAA}"/>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24958" xr:uid="{644A04EC-C465-481C-A947-3D2F8DAD15C1}"/>
    <cellStyle name="Normal 2 4 5 2 6 2 2 3" xfId="33392" xr:uid="{08A70BFD-E042-4B0A-B072-8DAE0C1765BB}"/>
    <cellStyle name="Normal 2 4 5 2 6 2 2 4" xfId="16520" xr:uid="{78813FBF-E045-4B4C-8BA5-01742B1D0B5B}"/>
    <cellStyle name="Normal 2 4 5 2 6 2 3" xfId="20740" xr:uid="{58861A23-A6D3-49BB-8E6D-D17E83F3550C}"/>
    <cellStyle name="Normal 2 4 5 2 6 2 4" xfId="29175" xr:uid="{9ED4C714-B587-4D8B-8DD2-4DB14411C3DA}"/>
    <cellStyle name="Normal 2 4 5 2 6 2 5" xfId="12302" xr:uid="{DC35721C-2DC9-4678-AD40-B21A9421E777}"/>
    <cellStyle name="Normal 2 4 5 2 6 3" xfId="5936" xr:uid="{00000000-0005-0000-0000-00007E100000}"/>
    <cellStyle name="Normal 2 4 5 2 6 3 2" xfId="22813" xr:uid="{3C051382-061A-4CB5-A808-50BC04C39CFB}"/>
    <cellStyle name="Normal 2 4 5 2 6 3 3" xfId="31247" xr:uid="{D14AFF5A-08BD-4FEE-BCA6-D92BFCEB2736}"/>
    <cellStyle name="Normal 2 4 5 2 6 3 4" xfId="14375" xr:uid="{C972DC7F-B829-4C65-BEDA-5B7C57378620}"/>
    <cellStyle name="Normal 2 4 5 2 6 4" xfId="18595" xr:uid="{18E634F3-A512-4C72-8F00-D44CD73C2F05}"/>
    <cellStyle name="Normal 2 4 5 2 6 5" xfId="27030" xr:uid="{BA7035D0-E581-4EE9-8A57-4B5586FFC3C8}"/>
    <cellStyle name="Normal 2 4 5 2 6 6" xfId="10157" xr:uid="{30CBE09C-EB63-44F5-9C40-559F348E1A83}"/>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25371" xr:uid="{32DD5970-A399-47C6-A96C-4A97A26CC466}"/>
    <cellStyle name="Normal 2 4 5 2 7 2 2 3" xfId="33805" xr:uid="{12FBCB6F-C7EC-4CBA-B6FB-846D0D40F3B7}"/>
    <cellStyle name="Normal 2 4 5 2 7 2 2 4" xfId="16933" xr:uid="{2CC1140B-5766-44F2-9D20-525998CF8E45}"/>
    <cellStyle name="Normal 2 4 5 2 7 2 3" xfId="21153" xr:uid="{37F57839-6B36-40C0-811D-C478FA3B6877}"/>
    <cellStyle name="Normal 2 4 5 2 7 2 4" xfId="29588" xr:uid="{B4FCD54B-7341-4E88-B217-B4F0B7538740}"/>
    <cellStyle name="Normal 2 4 5 2 7 2 5" xfId="12715" xr:uid="{B04E1C5F-2896-438A-A473-0E96E0C5C21F}"/>
    <cellStyle name="Normal 2 4 5 2 7 3" xfId="6349" xr:uid="{00000000-0005-0000-0000-000082100000}"/>
    <cellStyle name="Normal 2 4 5 2 7 3 2" xfId="23226" xr:uid="{4265CFFD-C57D-499F-9310-871DF51C566E}"/>
    <cellStyle name="Normal 2 4 5 2 7 3 3" xfId="31660" xr:uid="{BEEF1855-4D3A-4DF2-9138-0A4106E38FEA}"/>
    <cellStyle name="Normal 2 4 5 2 7 3 4" xfId="14788" xr:uid="{FD867167-333B-40E2-B3E3-8F8CC58227E6}"/>
    <cellStyle name="Normal 2 4 5 2 7 4" xfId="19008" xr:uid="{A86A7055-785A-4775-AC09-845BA0ECA97B}"/>
    <cellStyle name="Normal 2 4 5 2 7 5" xfId="27443" xr:uid="{81305392-18CE-4865-862E-A527B463663E}"/>
    <cellStyle name="Normal 2 4 5 2 7 6" xfId="10570" xr:uid="{7CCC6429-2061-4470-8321-934F899CB7C5}"/>
    <cellStyle name="Normal 2 4 5 2 8" xfId="2478" xr:uid="{00000000-0005-0000-0000-000083100000}"/>
    <cellStyle name="Normal 2 4 5 2 8 2" xfId="6762" xr:uid="{00000000-0005-0000-0000-000084100000}"/>
    <cellStyle name="Normal 2 4 5 2 8 2 2" xfId="23639" xr:uid="{93735298-3C81-4038-8CB2-7B437AA3F7FE}"/>
    <cellStyle name="Normal 2 4 5 2 8 2 3" xfId="32073" xr:uid="{8D07286A-BDFA-4712-82B4-1150FCE2B356}"/>
    <cellStyle name="Normal 2 4 5 2 8 2 4" xfId="15201" xr:uid="{EAAE1FE1-031C-4829-86DC-58CE29014042}"/>
    <cellStyle name="Normal 2 4 5 2 8 3" xfId="19421" xr:uid="{EEAF047D-9DA5-4FD3-A2D5-4CDFBFFD4B47}"/>
    <cellStyle name="Normal 2 4 5 2 8 4" xfId="27856" xr:uid="{07801CD5-EED6-4789-8D16-E69B059B5B3A}"/>
    <cellStyle name="Normal 2 4 5 2 8 5" xfId="10983" xr:uid="{99A9ECBF-A69A-47BB-94CD-F058E1117B8E}"/>
    <cellStyle name="Normal 2 4 5 2 9" xfId="4696" xr:uid="{00000000-0005-0000-0000-000085100000}"/>
    <cellStyle name="Normal 2 4 5 2 9 2" xfId="21573" xr:uid="{0EA42A80-695B-4DAC-8872-C27ED37AD9D8}"/>
    <cellStyle name="Normal 2 4 5 2 9 3" xfId="30007" xr:uid="{BDA7CD06-1B19-49F3-8B5A-BAAB1F9E1D77}"/>
    <cellStyle name="Normal 2 4 5 2 9 4" xfId="13135" xr:uid="{7057CA2F-FE8D-48F8-8FBD-2E1363C9B7BB}"/>
    <cellStyle name="Normal 2 4 5 3" xfId="308" xr:uid="{00000000-0005-0000-0000-000086100000}"/>
    <cellStyle name="Normal 2 4 5 3 10" xfId="25794" xr:uid="{831C5E3F-C773-4519-B7B6-00F706517178}"/>
    <cellStyle name="Normal 2 4 5 3 11" xfId="8921" xr:uid="{7BBCFCED-A7C3-433E-8CB0-B11DD0C38F91}"/>
    <cellStyle name="Normal 2 4 5 3 2" xfId="309" xr:uid="{00000000-0005-0000-0000-000087100000}"/>
    <cellStyle name="Normal 2 4 5 3 2 10" xfId="8922" xr:uid="{74FBE168-7E18-413B-BAC5-77F7CD8C0261}"/>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24137" xr:uid="{6EFDDEF4-BFE2-4D04-ADD2-B53FE7E9B503}"/>
    <cellStyle name="Normal 2 4 5 3 2 2 2 2 3" xfId="32571" xr:uid="{04C17294-B495-40E9-947C-2C957E25D9CB}"/>
    <cellStyle name="Normal 2 4 5 3 2 2 2 2 4" xfId="15699" xr:uid="{15903663-2CA1-4C4B-9A6E-0AAA010AC908}"/>
    <cellStyle name="Normal 2 4 5 3 2 2 2 3" xfId="19919" xr:uid="{0C8CDBBD-A950-477A-B656-A91B2341F1B7}"/>
    <cellStyle name="Normal 2 4 5 3 2 2 2 4" xfId="28354" xr:uid="{E2DBFC16-EE51-4FA2-8D92-9A0ADBC89B29}"/>
    <cellStyle name="Normal 2 4 5 3 2 2 2 5" xfId="11481" xr:uid="{99EC8729-9623-470A-9196-3603D0B1ED7A}"/>
    <cellStyle name="Normal 2 4 5 3 2 2 3" xfId="5115" xr:uid="{00000000-0005-0000-0000-00008B100000}"/>
    <cellStyle name="Normal 2 4 5 3 2 2 3 2" xfId="21992" xr:uid="{3A36669F-33FA-4F95-A1C6-3E7D0221A375}"/>
    <cellStyle name="Normal 2 4 5 3 2 2 3 3" xfId="30426" xr:uid="{F5B314EB-E571-4379-809C-703D87682237}"/>
    <cellStyle name="Normal 2 4 5 3 2 2 3 4" xfId="13554" xr:uid="{3F5648F4-86E2-4228-8607-D5781FCB7B42}"/>
    <cellStyle name="Normal 2 4 5 3 2 2 4" xfId="17774" xr:uid="{3405E080-6893-43CB-82D5-955E652406C6}"/>
    <cellStyle name="Normal 2 4 5 3 2 2 5" xfId="26209" xr:uid="{E45AA574-CEA0-4792-82BA-A2DFAEF9BF86}"/>
    <cellStyle name="Normal 2 4 5 3 2 2 6" xfId="9336" xr:uid="{89BE78A5-5310-4C53-989F-57A48CC4D586}"/>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24550" xr:uid="{951B764F-4A63-4FD4-A5A7-490963E7FB5E}"/>
    <cellStyle name="Normal 2 4 5 3 2 3 2 2 3" xfId="32984" xr:uid="{AB96FCBA-2ADC-48C8-B65D-A0FE33C5B9A2}"/>
    <cellStyle name="Normal 2 4 5 3 2 3 2 2 4" xfId="16112" xr:uid="{B5B60BBF-6F92-4862-8A9C-751CAA275E5C}"/>
    <cellStyle name="Normal 2 4 5 3 2 3 2 3" xfId="20332" xr:uid="{2095B11C-2613-473C-8F94-A4638411F9A8}"/>
    <cellStyle name="Normal 2 4 5 3 2 3 2 4" xfId="28767" xr:uid="{BD207D86-CAAC-4984-A4E1-30277B010916}"/>
    <cellStyle name="Normal 2 4 5 3 2 3 2 5" xfId="11894" xr:uid="{2B6A2AC8-C918-4598-818D-12502806AAEF}"/>
    <cellStyle name="Normal 2 4 5 3 2 3 3" xfId="5528" xr:uid="{00000000-0005-0000-0000-00008F100000}"/>
    <cellStyle name="Normal 2 4 5 3 2 3 3 2" xfId="22405" xr:uid="{6B906C21-B793-4907-BE1D-2541058912AC}"/>
    <cellStyle name="Normal 2 4 5 3 2 3 3 3" xfId="30839" xr:uid="{B97A0309-6D2D-4041-A88C-FE3358044108}"/>
    <cellStyle name="Normal 2 4 5 3 2 3 3 4" xfId="13967" xr:uid="{569557E2-D9F7-4FAE-A7A9-FC1127498CEF}"/>
    <cellStyle name="Normal 2 4 5 3 2 3 4" xfId="18187" xr:uid="{7F1A8475-F8EC-4045-A75C-EA3167C2DB9A}"/>
    <cellStyle name="Normal 2 4 5 3 2 3 5" xfId="26622" xr:uid="{194F9E6D-C340-472E-9190-4C0130C874F7}"/>
    <cellStyle name="Normal 2 4 5 3 2 3 6" xfId="9749" xr:uid="{19FA8A3E-3DC4-4AC2-9CC0-1564E914B367}"/>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24963" xr:uid="{B4F557CE-08BC-4D0A-971E-3280783F89F9}"/>
    <cellStyle name="Normal 2 4 5 3 2 4 2 2 3" xfId="33397" xr:uid="{D6124737-51A1-455C-A0B3-8A9DA2AD374C}"/>
    <cellStyle name="Normal 2 4 5 3 2 4 2 2 4" xfId="16525" xr:uid="{57FD40F4-7C34-46EA-83A0-246886910CAA}"/>
    <cellStyle name="Normal 2 4 5 3 2 4 2 3" xfId="20745" xr:uid="{B8EACA4F-2C71-4C14-92F7-2C0835A3F700}"/>
    <cellStyle name="Normal 2 4 5 3 2 4 2 4" xfId="29180" xr:uid="{68F3DBAA-D34C-4349-AEC3-FC9E4710D7B3}"/>
    <cellStyle name="Normal 2 4 5 3 2 4 2 5" xfId="12307" xr:uid="{28883572-FB3E-4EF0-860C-AEE58BDB964D}"/>
    <cellStyle name="Normal 2 4 5 3 2 4 3" xfId="5941" xr:uid="{00000000-0005-0000-0000-000093100000}"/>
    <cellStyle name="Normal 2 4 5 3 2 4 3 2" xfId="22818" xr:uid="{73587D33-C0FC-4722-9B0C-09A02D321CC7}"/>
    <cellStyle name="Normal 2 4 5 3 2 4 3 3" xfId="31252" xr:uid="{9CA0A787-4368-4AF0-AC69-71CEF4B2EED9}"/>
    <cellStyle name="Normal 2 4 5 3 2 4 3 4" xfId="14380" xr:uid="{D440F6EE-C275-41A0-B0CA-E567091F6CDF}"/>
    <cellStyle name="Normal 2 4 5 3 2 4 4" xfId="18600" xr:uid="{6B904FD5-F30D-45E8-BAEB-BA691211941D}"/>
    <cellStyle name="Normal 2 4 5 3 2 4 5" xfId="27035" xr:uid="{571787F7-CA4E-4EA0-9FDB-84420EE827BC}"/>
    <cellStyle name="Normal 2 4 5 3 2 4 6" xfId="10162" xr:uid="{AB69B6F0-37EC-48C7-93AA-75D5724E8908}"/>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25376" xr:uid="{1564DEF4-B4AA-4415-AA21-A8BB6135F4AC}"/>
    <cellStyle name="Normal 2 4 5 3 2 5 2 2 3" xfId="33810" xr:uid="{CCD2B40F-187A-4B25-9461-F401BE859286}"/>
    <cellStyle name="Normal 2 4 5 3 2 5 2 2 4" xfId="16938" xr:uid="{55FAC50C-462A-4FA7-993F-6C20200A8468}"/>
    <cellStyle name="Normal 2 4 5 3 2 5 2 3" xfId="21158" xr:uid="{CCD12EAA-7D7D-4C1E-8D64-EB0F323C058D}"/>
    <cellStyle name="Normal 2 4 5 3 2 5 2 4" xfId="29593" xr:uid="{3FCE81DA-BA5B-4F0E-9436-208069177BDC}"/>
    <cellStyle name="Normal 2 4 5 3 2 5 2 5" xfId="12720" xr:uid="{470B75B1-36DF-4B96-8429-477EA199064C}"/>
    <cellStyle name="Normal 2 4 5 3 2 5 3" xfId="6354" xr:uid="{00000000-0005-0000-0000-000097100000}"/>
    <cellStyle name="Normal 2 4 5 3 2 5 3 2" xfId="23231" xr:uid="{68A0BC8C-602F-4923-AC73-51D7E046FB09}"/>
    <cellStyle name="Normal 2 4 5 3 2 5 3 3" xfId="31665" xr:uid="{8666D24D-033A-487A-A386-667E5910AA33}"/>
    <cellStyle name="Normal 2 4 5 3 2 5 3 4" xfId="14793" xr:uid="{26DC66D3-BB6D-4962-B519-827C55378C54}"/>
    <cellStyle name="Normal 2 4 5 3 2 5 4" xfId="19013" xr:uid="{F000E775-876B-4EA6-89E4-9E10E803AE83}"/>
    <cellStyle name="Normal 2 4 5 3 2 5 5" xfId="27448" xr:uid="{D857B3F6-172B-452A-B5C7-AD557EB871B1}"/>
    <cellStyle name="Normal 2 4 5 3 2 5 6" xfId="10575" xr:uid="{9FBB292B-4D85-4DD4-B87A-0662642042A4}"/>
    <cellStyle name="Normal 2 4 5 3 2 6" xfId="2483" xr:uid="{00000000-0005-0000-0000-000098100000}"/>
    <cellStyle name="Normal 2 4 5 3 2 6 2" xfId="6767" xr:uid="{00000000-0005-0000-0000-000099100000}"/>
    <cellStyle name="Normal 2 4 5 3 2 6 2 2" xfId="23644" xr:uid="{07DB06C6-EA42-40CA-85B9-72C9FDA33103}"/>
    <cellStyle name="Normal 2 4 5 3 2 6 2 3" xfId="32078" xr:uid="{C03F661D-627C-434C-8CF0-DD1484888250}"/>
    <cellStyle name="Normal 2 4 5 3 2 6 2 4" xfId="15206" xr:uid="{92FFBEC8-7734-4569-B602-71AEA44936FD}"/>
    <cellStyle name="Normal 2 4 5 3 2 6 3" xfId="19426" xr:uid="{303E6BF4-5268-4082-BF49-9918D0EA2239}"/>
    <cellStyle name="Normal 2 4 5 3 2 6 4" xfId="27861" xr:uid="{A4B62FBB-C1F1-4470-8029-75F47995B3CC}"/>
    <cellStyle name="Normal 2 4 5 3 2 6 5" xfId="10988" xr:uid="{07908752-F55F-40D5-9FC7-981D0FFEECC5}"/>
    <cellStyle name="Normal 2 4 5 3 2 7" xfId="4701" xr:uid="{00000000-0005-0000-0000-00009A100000}"/>
    <cellStyle name="Normal 2 4 5 3 2 7 2" xfId="21578" xr:uid="{725EEDD4-13D3-4F26-B48F-BA6ED7B5B34D}"/>
    <cellStyle name="Normal 2 4 5 3 2 7 3" xfId="30012" xr:uid="{91345D22-A1EF-4DF3-BB0A-6BE5E1DE70AB}"/>
    <cellStyle name="Normal 2 4 5 3 2 7 4" xfId="13140" xr:uid="{3F7D833B-8C2D-4DF3-9BBD-69ECD95B79BE}"/>
    <cellStyle name="Normal 2 4 5 3 2 8" xfId="17360" xr:uid="{2AB5DBE9-E1B7-4E83-8988-6CA63C5377D0}"/>
    <cellStyle name="Normal 2 4 5 3 2 9" xfId="25795" xr:uid="{04CF3ADB-AE5B-4D77-B0E7-7BD084339CA3}"/>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24136" xr:uid="{A2938C1A-B4AC-41D1-BAE2-01D269DD3AEB}"/>
    <cellStyle name="Normal 2 4 5 3 3 2 2 3" xfId="32570" xr:uid="{1E593365-99D5-4114-A38E-884C051A3868}"/>
    <cellStyle name="Normal 2 4 5 3 3 2 2 4" xfId="15698" xr:uid="{1549D9FF-32C1-482F-9E98-CCDE52E1E473}"/>
    <cellStyle name="Normal 2 4 5 3 3 2 3" xfId="19918" xr:uid="{6A256341-9537-4B0D-8CF8-6555365087B1}"/>
    <cellStyle name="Normal 2 4 5 3 3 2 4" xfId="28353" xr:uid="{717FFA82-3281-4FF4-9FF7-7A1F33885224}"/>
    <cellStyle name="Normal 2 4 5 3 3 2 5" xfId="11480" xr:uid="{5CB74C9A-815D-4282-9F0C-E318BF0B0BE0}"/>
    <cellStyle name="Normal 2 4 5 3 3 3" xfId="5114" xr:uid="{00000000-0005-0000-0000-00009E100000}"/>
    <cellStyle name="Normal 2 4 5 3 3 3 2" xfId="21991" xr:uid="{D6A2AC5C-800F-4D5F-8CF8-B18DEE73E900}"/>
    <cellStyle name="Normal 2 4 5 3 3 3 3" xfId="30425" xr:uid="{6B23B7C7-46A7-4CEF-8270-09466C6129A5}"/>
    <cellStyle name="Normal 2 4 5 3 3 3 4" xfId="13553" xr:uid="{28535A01-2BAB-4577-9271-477D48708649}"/>
    <cellStyle name="Normal 2 4 5 3 3 4" xfId="17773" xr:uid="{0F2DA358-CBBF-413B-9C22-0F75FABBA715}"/>
    <cellStyle name="Normal 2 4 5 3 3 5" xfId="26208" xr:uid="{7DEED741-C13A-48BE-9745-A63F564773C4}"/>
    <cellStyle name="Normal 2 4 5 3 3 6" xfId="9335" xr:uid="{BB8CC28C-1674-433B-AC91-A7FFA268133F}"/>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24549" xr:uid="{A2B1454D-1EE9-40A7-B82D-369A764B8551}"/>
    <cellStyle name="Normal 2 4 5 3 4 2 2 3" xfId="32983" xr:uid="{2C8E71D2-1F25-45BD-80EC-5DAB93FA889F}"/>
    <cellStyle name="Normal 2 4 5 3 4 2 2 4" xfId="16111" xr:uid="{D25E9CF6-DBE2-4E52-ACA7-149F08C18255}"/>
    <cellStyle name="Normal 2 4 5 3 4 2 3" xfId="20331" xr:uid="{40F3BEB6-49F0-4BDA-88FF-28BB5DE74FE4}"/>
    <cellStyle name="Normal 2 4 5 3 4 2 4" xfId="28766" xr:uid="{6ED36F79-2952-4D5B-B528-9C7D847421D6}"/>
    <cellStyle name="Normal 2 4 5 3 4 2 5" xfId="11893" xr:uid="{8AD1B246-52F4-4E99-9598-FE019E73255D}"/>
    <cellStyle name="Normal 2 4 5 3 4 3" xfId="5527" xr:uid="{00000000-0005-0000-0000-0000A2100000}"/>
    <cellStyle name="Normal 2 4 5 3 4 3 2" xfId="22404" xr:uid="{D8CD6FF3-F576-43DE-9918-C9B6A924C489}"/>
    <cellStyle name="Normal 2 4 5 3 4 3 3" xfId="30838" xr:uid="{BA4E990B-328D-4B98-BA31-1F3BEE720061}"/>
    <cellStyle name="Normal 2 4 5 3 4 3 4" xfId="13966" xr:uid="{4A105C2C-BAFF-4EB5-A1E8-73E7BE218BC2}"/>
    <cellStyle name="Normal 2 4 5 3 4 4" xfId="18186" xr:uid="{3A478234-C2E9-4913-B9AA-89782EEB3F9D}"/>
    <cellStyle name="Normal 2 4 5 3 4 5" xfId="26621" xr:uid="{BCA12172-1FBB-4ECB-ADD9-13CFE8C4D2B5}"/>
    <cellStyle name="Normal 2 4 5 3 4 6" xfId="9748" xr:uid="{BA2F297F-12B7-49FD-AB4D-CE05EAA83FD1}"/>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24962" xr:uid="{49085F51-1279-4AF3-AC3D-166E04B7C61A}"/>
    <cellStyle name="Normal 2 4 5 3 5 2 2 3" xfId="33396" xr:uid="{7CC3BF2E-97D8-42CE-9BA7-44BCE7951AFE}"/>
    <cellStyle name="Normal 2 4 5 3 5 2 2 4" xfId="16524" xr:uid="{0450AF1B-0B88-4E2E-A0B4-4DBE584A9594}"/>
    <cellStyle name="Normal 2 4 5 3 5 2 3" xfId="20744" xr:uid="{8D1DB602-582B-44E5-AEFF-C77B0FFC2AA1}"/>
    <cellStyle name="Normal 2 4 5 3 5 2 4" xfId="29179" xr:uid="{5118D166-46B1-408D-B62F-6065856B9779}"/>
    <cellStyle name="Normal 2 4 5 3 5 2 5" xfId="12306" xr:uid="{E101032E-4CBB-4991-9BEB-A6D162A48C32}"/>
    <cellStyle name="Normal 2 4 5 3 5 3" xfId="5940" xr:uid="{00000000-0005-0000-0000-0000A6100000}"/>
    <cellStyle name="Normal 2 4 5 3 5 3 2" xfId="22817" xr:uid="{AACF5B6E-F8E9-4F57-B3F1-50023835EB3A}"/>
    <cellStyle name="Normal 2 4 5 3 5 3 3" xfId="31251" xr:uid="{3AF83F8D-D367-49CC-83DD-345725F9092E}"/>
    <cellStyle name="Normal 2 4 5 3 5 3 4" xfId="14379" xr:uid="{DE5CEE45-2A40-4906-A5DD-D08EB2D3F191}"/>
    <cellStyle name="Normal 2 4 5 3 5 4" xfId="18599" xr:uid="{A690D4A0-2870-4D5B-A093-9733D5DEE775}"/>
    <cellStyle name="Normal 2 4 5 3 5 5" xfId="27034" xr:uid="{7AC759E2-65E1-4ED6-A0AE-88D5F820A4DD}"/>
    <cellStyle name="Normal 2 4 5 3 5 6" xfId="10161" xr:uid="{F275C5AE-1B0E-4D83-AD8F-2B3E3850BD9A}"/>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25375" xr:uid="{917161EF-5D85-4A82-B542-6FAF1E7948E5}"/>
    <cellStyle name="Normal 2 4 5 3 6 2 2 3" xfId="33809" xr:uid="{62213E3F-4DA2-42BD-92B8-474DEEFEAED4}"/>
    <cellStyle name="Normal 2 4 5 3 6 2 2 4" xfId="16937" xr:uid="{D09916B9-0D43-4754-A70B-2EB8E3DEEA1B}"/>
    <cellStyle name="Normal 2 4 5 3 6 2 3" xfId="21157" xr:uid="{70AD1B7B-6D7E-475A-A4B5-3000E4E57283}"/>
    <cellStyle name="Normal 2 4 5 3 6 2 4" xfId="29592" xr:uid="{F0DBEDA4-7E1E-476D-8178-281820F28C98}"/>
    <cellStyle name="Normal 2 4 5 3 6 2 5" xfId="12719" xr:uid="{DCFB467C-206C-4BB0-9C93-9B58CDE9A1C4}"/>
    <cellStyle name="Normal 2 4 5 3 6 3" xfId="6353" xr:uid="{00000000-0005-0000-0000-0000AA100000}"/>
    <cellStyle name="Normal 2 4 5 3 6 3 2" xfId="23230" xr:uid="{B47BDBF9-5340-46F5-8958-5C717D71FF99}"/>
    <cellStyle name="Normal 2 4 5 3 6 3 3" xfId="31664" xr:uid="{13DFB2B6-44EA-4F73-B1A6-083431107196}"/>
    <cellStyle name="Normal 2 4 5 3 6 3 4" xfId="14792" xr:uid="{F67A09B4-2773-40FD-85EF-78CE25C3157A}"/>
    <cellStyle name="Normal 2 4 5 3 6 4" xfId="19012" xr:uid="{7B2A6822-5990-4F8B-962B-45279A0BB2A1}"/>
    <cellStyle name="Normal 2 4 5 3 6 5" xfId="27447" xr:uid="{40939612-DCE4-4505-B108-2FC908317285}"/>
    <cellStyle name="Normal 2 4 5 3 6 6" xfId="10574" xr:uid="{4B181087-DC6C-42F4-A221-4C4D19A62988}"/>
    <cellStyle name="Normal 2 4 5 3 7" xfId="2482" xr:uid="{00000000-0005-0000-0000-0000AB100000}"/>
    <cellStyle name="Normal 2 4 5 3 7 2" xfId="6766" xr:uid="{00000000-0005-0000-0000-0000AC100000}"/>
    <cellStyle name="Normal 2 4 5 3 7 2 2" xfId="23643" xr:uid="{1935D598-4665-42FB-9467-407942A2727B}"/>
    <cellStyle name="Normal 2 4 5 3 7 2 3" xfId="32077" xr:uid="{EE4A836E-3DBF-46EB-A86E-12CC7E2C7D7D}"/>
    <cellStyle name="Normal 2 4 5 3 7 2 4" xfId="15205" xr:uid="{ABA0DACA-D0C2-46C9-95DF-72BD084FE836}"/>
    <cellStyle name="Normal 2 4 5 3 7 3" xfId="19425" xr:uid="{BBD86A4D-4F28-4022-92FB-2CE47C8CBD5C}"/>
    <cellStyle name="Normal 2 4 5 3 7 4" xfId="27860" xr:uid="{3A082D2E-1ACA-4389-9957-052B13271B73}"/>
    <cellStyle name="Normal 2 4 5 3 7 5" xfId="10987" xr:uid="{0A7217E9-57F3-48D6-87C8-7E43EFC2B222}"/>
    <cellStyle name="Normal 2 4 5 3 8" xfId="4700" xr:uid="{00000000-0005-0000-0000-0000AD100000}"/>
    <cellStyle name="Normal 2 4 5 3 8 2" xfId="21577" xr:uid="{8B9C3CB9-5B80-4E0E-AB27-6E5467E3FABD}"/>
    <cellStyle name="Normal 2 4 5 3 8 3" xfId="30011" xr:uid="{1572C29F-9E74-4A7E-B5EC-70DDA2A85DC6}"/>
    <cellStyle name="Normal 2 4 5 3 8 4" xfId="13139" xr:uid="{1D7A3ED2-DC33-4CB1-ABB8-037B88719342}"/>
    <cellStyle name="Normal 2 4 5 3 9" xfId="17359" xr:uid="{75BA72DF-6417-44D6-B6BB-03CC8B65CCD8}"/>
    <cellStyle name="Normal 2 4 5 4" xfId="310" xr:uid="{00000000-0005-0000-0000-0000AE100000}"/>
    <cellStyle name="Normal 2 4 5 4 10" xfId="8923" xr:uid="{72C2C3E4-A17C-48E7-90CD-DF616CF041D6}"/>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24138" xr:uid="{6FBDA3E8-4E33-4715-96BC-C575D92E917D}"/>
    <cellStyle name="Normal 2 4 5 4 2 2 2 3" xfId="32572" xr:uid="{E560F380-C155-40DD-9919-E9D58ADAE7E8}"/>
    <cellStyle name="Normal 2 4 5 4 2 2 2 4" xfId="15700" xr:uid="{D673E76E-CB1E-488A-A3F4-151DA3CD834A}"/>
    <cellStyle name="Normal 2 4 5 4 2 2 3" xfId="19920" xr:uid="{4EBE5BBF-0C15-47F4-8E8B-AE8129A91FF3}"/>
    <cellStyle name="Normal 2 4 5 4 2 2 4" xfId="28355" xr:uid="{807FC8C3-B7C2-4B29-946B-3C18CC9E86C8}"/>
    <cellStyle name="Normal 2 4 5 4 2 2 5" xfId="11482" xr:uid="{25A38FA7-03AE-456C-92C4-41406C742C19}"/>
    <cellStyle name="Normal 2 4 5 4 2 3" xfId="5116" xr:uid="{00000000-0005-0000-0000-0000B2100000}"/>
    <cellStyle name="Normal 2 4 5 4 2 3 2" xfId="21993" xr:uid="{32DF562B-BA49-4714-B245-DFB2F496BF68}"/>
    <cellStyle name="Normal 2 4 5 4 2 3 3" xfId="30427" xr:uid="{43B7DFD0-60A1-469C-9D6D-625432CC99C3}"/>
    <cellStyle name="Normal 2 4 5 4 2 3 4" xfId="13555" xr:uid="{2307DA0C-702D-46EF-999E-E4DF8BDFAF1B}"/>
    <cellStyle name="Normal 2 4 5 4 2 4" xfId="17775" xr:uid="{D0F38173-D8C5-4F59-9408-F6F96D37AC29}"/>
    <cellStyle name="Normal 2 4 5 4 2 5" xfId="26210" xr:uid="{A2FF4E54-9064-49B7-845D-61894C21F424}"/>
    <cellStyle name="Normal 2 4 5 4 2 6" xfId="9337" xr:uid="{32B16DB1-C286-402A-9BD9-023E73187228}"/>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24551" xr:uid="{3C9724AD-EF19-42DC-A411-1B2AA7FE49B2}"/>
    <cellStyle name="Normal 2 4 5 4 3 2 2 3" xfId="32985" xr:uid="{D7C446C8-0C17-47D0-ADAE-8594A60BD13B}"/>
    <cellStyle name="Normal 2 4 5 4 3 2 2 4" xfId="16113" xr:uid="{648EA7F1-0F28-4E61-AF54-2AE93A8BCC11}"/>
    <cellStyle name="Normal 2 4 5 4 3 2 3" xfId="20333" xr:uid="{8AE491F6-9628-4151-B74F-E9B968FDB55E}"/>
    <cellStyle name="Normal 2 4 5 4 3 2 4" xfId="28768" xr:uid="{C82BCE4D-7996-4816-8331-6B8A2C171D12}"/>
    <cellStyle name="Normal 2 4 5 4 3 2 5" xfId="11895" xr:uid="{A73B0250-D46E-4BD3-B4FA-89CEDF0DDA07}"/>
    <cellStyle name="Normal 2 4 5 4 3 3" xfId="5529" xr:uid="{00000000-0005-0000-0000-0000B6100000}"/>
    <cellStyle name="Normal 2 4 5 4 3 3 2" xfId="22406" xr:uid="{589A770C-6BAE-496D-8D81-A26E835EB36E}"/>
    <cellStyle name="Normal 2 4 5 4 3 3 3" xfId="30840" xr:uid="{F27BDAC1-05E1-49AC-B59E-B887C6D14B4E}"/>
    <cellStyle name="Normal 2 4 5 4 3 3 4" xfId="13968" xr:uid="{A61BC69C-F84D-45F5-A7B5-43205AE1B33F}"/>
    <cellStyle name="Normal 2 4 5 4 3 4" xfId="18188" xr:uid="{2305CAA6-9F13-4E8C-A25A-70C8146B605B}"/>
    <cellStyle name="Normal 2 4 5 4 3 5" xfId="26623" xr:uid="{7067EA56-2BE7-40CD-A895-67D06F1986B2}"/>
    <cellStyle name="Normal 2 4 5 4 3 6" xfId="9750" xr:uid="{2FFFDA3F-4185-4C99-B4AC-06D24EA823A9}"/>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24964" xr:uid="{5C7B16D9-B3BD-47B8-B874-9E91E6A48D33}"/>
    <cellStyle name="Normal 2 4 5 4 4 2 2 3" xfId="33398" xr:uid="{B758B197-C774-4F39-8A94-6E9589EF58CC}"/>
    <cellStyle name="Normal 2 4 5 4 4 2 2 4" xfId="16526" xr:uid="{56C229BF-B4BA-4EF8-9176-64BAB9BB2075}"/>
    <cellStyle name="Normal 2 4 5 4 4 2 3" xfId="20746" xr:uid="{F9F2D68B-1C94-4A2C-B646-AC34B3D5C034}"/>
    <cellStyle name="Normal 2 4 5 4 4 2 4" xfId="29181" xr:uid="{063DBBD8-D242-4747-B23A-7038DE585333}"/>
    <cellStyle name="Normal 2 4 5 4 4 2 5" xfId="12308" xr:uid="{4568CA67-7E0E-445A-911D-B5575CC61852}"/>
    <cellStyle name="Normal 2 4 5 4 4 3" xfId="5942" xr:uid="{00000000-0005-0000-0000-0000BA100000}"/>
    <cellStyle name="Normal 2 4 5 4 4 3 2" xfId="22819" xr:uid="{DAC7C995-72A1-4633-9EB8-2E50BB1801E8}"/>
    <cellStyle name="Normal 2 4 5 4 4 3 3" xfId="31253" xr:uid="{2B795049-F181-475A-9C4E-E6AAF9DE195C}"/>
    <cellStyle name="Normal 2 4 5 4 4 3 4" xfId="14381" xr:uid="{A4A9E31A-7621-4EF8-9EE2-0B09EF91ECF3}"/>
    <cellStyle name="Normal 2 4 5 4 4 4" xfId="18601" xr:uid="{E50A391B-BFDF-47BD-B3E4-691BC2BEA8F3}"/>
    <cellStyle name="Normal 2 4 5 4 4 5" xfId="27036" xr:uid="{06B02740-C144-4DE0-804D-22E83D2266F8}"/>
    <cellStyle name="Normal 2 4 5 4 4 6" xfId="10163" xr:uid="{1E43B5C2-5224-4631-BF68-F2067C888AAE}"/>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25377" xr:uid="{19649AC6-DE18-4B5F-BA1A-A24305A687E7}"/>
    <cellStyle name="Normal 2 4 5 4 5 2 2 3" xfId="33811" xr:uid="{E2AFCF32-EB81-4896-AE65-C7C4C685DD4A}"/>
    <cellStyle name="Normal 2 4 5 4 5 2 2 4" xfId="16939" xr:uid="{8FA10173-9B9C-4346-B2FA-4DB1B8DD7118}"/>
    <cellStyle name="Normal 2 4 5 4 5 2 3" xfId="21159" xr:uid="{75FEE4B0-5870-4D5A-A3F1-11D11BA2DBD6}"/>
    <cellStyle name="Normal 2 4 5 4 5 2 4" xfId="29594" xr:uid="{CC4AD2DC-37E3-4F10-9C80-B8778A56E531}"/>
    <cellStyle name="Normal 2 4 5 4 5 2 5" xfId="12721" xr:uid="{115F0295-D381-4930-84ED-1A450BE216A2}"/>
    <cellStyle name="Normal 2 4 5 4 5 3" xfId="6355" xr:uid="{00000000-0005-0000-0000-0000BE100000}"/>
    <cellStyle name="Normal 2 4 5 4 5 3 2" xfId="23232" xr:uid="{EFE36840-68A8-4144-8484-BE8DB9718F9F}"/>
    <cellStyle name="Normal 2 4 5 4 5 3 3" xfId="31666" xr:uid="{314C1C73-F354-4B31-B28E-D8876AD45F7C}"/>
    <cellStyle name="Normal 2 4 5 4 5 3 4" xfId="14794" xr:uid="{9AFEC78D-8E10-4C92-A473-0CC0DA184121}"/>
    <cellStyle name="Normal 2 4 5 4 5 4" xfId="19014" xr:uid="{55A5F7F7-F009-428C-8EBC-A9500E657D6B}"/>
    <cellStyle name="Normal 2 4 5 4 5 5" xfId="27449" xr:uid="{D5950700-AB7A-4E4D-A83E-EF97E9EF0A01}"/>
    <cellStyle name="Normal 2 4 5 4 5 6" xfId="10576" xr:uid="{4F557775-2D96-4811-8EFC-43CDF25DE9DA}"/>
    <cellStyle name="Normal 2 4 5 4 6" xfId="2484" xr:uid="{00000000-0005-0000-0000-0000BF100000}"/>
    <cellStyle name="Normal 2 4 5 4 6 2" xfId="6768" xr:uid="{00000000-0005-0000-0000-0000C0100000}"/>
    <cellStyle name="Normal 2 4 5 4 6 2 2" xfId="23645" xr:uid="{54EA70CD-C55D-4B90-B01B-B60DA86F1DBE}"/>
    <cellStyle name="Normal 2 4 5 4 6 2 3" xfId="32079" xr:uid="{1C490D68-89D4-4FC2-A0C3-E04679F21F65}"/>
    <cellStyle name="Normal 2 4 5 4 6 2 4" xfId="15207" xr:uid="{85BADB69-C533-4BEF-9EAD-04A67C874CD2}"/>
    <cellStyle name="Normal 2 4 5 4 6 3" xfId="19427" xr:uid="{624B9218-6A1D-473B-BF19-5B78950974ED}"/>
    <cellStyle name="Normal 2 4 5 4 6 4" xfId="27862" xr:uid="{1258B3E2-AFC1-42DA-9F4F-F4FCE8A8F166}"/>
    <cellStyle name="Normal 2 4 5 4 6 5" xfId="10989" xr:uid="{46ADBAFC-48E3-46A6-98A1-251AE366D99C}"/>
    <cellStyle name="Normal 2 4 5 4 7" xfId="4702" xr:uid="{00000000-0005-0000-0000-0000C1100000}"/>
    <cellStyle name="Normal 2 4 5 4 7 2" xfId="21579" xr:uid="{EC11DA46-F4DF-4995-8050-E188F80865D5}"/>
    <cellStyle name="Normal 2 4 5 4 7 3" xfId="30013" xr:uid="{CC3320B3-89BF-4AB4-B50F-2DCA4381FF46}"/>
    <cellStyle name="Normal 2 4 5 4 7 4" xfId="13141" xr:uid="{261CEBEA-AA73-452C-965E-9396C31954AF}"/>
    <cellStyle name="Normal 2 4 5 4 8" xfId="17361" xr:uid="{63128566-299E-45A6-8994-3A0B0418218F}"/>
    <cellStyle name="Normal 2 4 5 4 9" xfId="25796" xr:uid="{7652DD92-B8C6-4975-825D-77F2D8894D96}"/>
    <cellStyle name="Normal 2 4 5 5" xfId="792" xr:uid="{00000000-0005-0000-0000-0000C2100000}"/>
    <cellStyle name="Normal 2 4 5 5 2" xfId="3031" xr:uid="{00000000-0005-0000-0000-0000C3100000}"/>
    <cellStyle name="Normal 2 4 5 5 2 2" xfId="7254" xr:uid="{00000000-0005-0000-0000-0000C4100000}"/>
    <cellStyle name="Normal 2 4 5 5 2 2 2" xfId="24131" xr:uid="{441BD0D2-09F6-4C68-8E31-A37752F76574}"/>
    <cellStyle name="Normal 2 4 5 5 2 2 3" xfId="32565" xr:uid="{58D181EB-BB10-495C-B6CA-70D5BE60FD7C}"/>
    <cellStyle name="Normal 2 4 5 5 2 2 4" xfId="15693" xr:uid="{0B371D10-1F4A-461C-8652-346B3C6C8B87}"/>
    <cellStyle name="Normal 2 4 5 5 2 3" xfId="19913" xr:uid="{73494A9E-F596-479E-A91E-2A3E7662E752}"/>
    <cellStyle name="Normal 2 4 5 5 2 4" xfId="28348" xr:uid="{4B229F6C-4AC8-4232-90D4-DA0DB8BFD748}"/>
    <cellStyle name="Normal 2 4 5 5 2 5" xfId="11475" xr:uid="{5CF2D63E-09B5-4A41-A099-A9B8484AE370}"/>
    <cellStyle name="Normal 2 4 5 5 3" xfId="5109" xr:uid="{00000000-0005-0000-0000-0000C5100000}"/>
    <cellStyle name="Normal 2 4 5 5 3 2" xfId="21986" xr:uid="{17B994B0-1166-4196-89BE-6CDFFC6B437D}"/>
    <cellStyle name="Normal 2 4 5 5 3 3" xfId="30420" xr:uid="{DE99FF27-6F24-4105-A9CE-688D5E4E632A}"/>
    <cellStyle name="Normal 2 4 5 5 3 4" xfId="13548" xr:uid="{3A6BD39E-CBBD-491C-95D2-C28CCE948F4E}"/>
    <cellStyle name="Normal 2 4 5 5 4" xfId="17768" xr:uid="{468A3CF0-E79E-4F3D-9B4A-17D835A771F1}"/>
    <cellStyle name="Normal 2 4 5 5 5" xfId="26203" xr:uid="{E229C0FF-E1C8-48CD-B14B-327DA4168E95}"/>
    <cellStyle name="Normal 2 4 5 5 6" xfId="9330" xr:uid="{896AE774-7A19-4121-8B35-FDD551755219}"/>
    <cellStyle name="Normal 2 4 5 6" xfId="1214" xr:uid="{00000000-0005-0000-0000-0000C6100000}"/>
    <cellStyle name="Normal 2 4 5 6 2" xfId="3444" xr:uid="{00000000-0005-0000-0000-0000C7100000}"/>
    <cellStyle name="Normal 2 4 5 6 2 2" xfId="7667" xr:uid="{00000000-0005-0000-0000-0000C8100000}"/>
    <cellStyle name="Normal 2 4 5 6 2 2 2" xfId="24544" xr:uid="{36F6E798-EECD-4F2F-B654-0762C6746309}"/>
    <cellStyle name="Normal 2 4 5 6 2 2 3" xfId="32978" xr:uid="{81CDD689-E776-4105-A7FF-E6E8F437BA10}"/>
    <cellStyle name="Normal 2 4 5 6 2 2 4" xfId="16106" xr:uid="{11C9B6D2-59A5-407C-92F8-328B943A4DB7}"/>
    <cellStyle name="Normal 2 4 5 6 2 3" xfId="20326" xr:uid="{45B88023-169A-4271-9DE8-22A9D9DC1B64}"/>
    <cellStyle name="Normal 2 4 5 6 2 4" xfId="28761" xr:uid="{B5E5B0D0-A132-4C8A-B20B-05E3AFB09FAC}"/>
    <cellStyle name="Normal 2 4 5 6 2 5" xfId="11888" xr:uid="{B326A5B6-8F6D-4446-98F7-0663417363BC}"/>
    <cellStyle name="Normal 2 4 5 6 3" xfId="5522" xr:uid="{00000000-0005-0000-0000-0000C9100000}"/>
    <cellStyle name="Normal 2 4 5 6 3 2" xfId="22399" xr:uid="{2E6DA6D5-8CBE-4C6A-B608-790B5F00CF12}"/>
    <cellStyle name="Normal 2 4 5 6 3 3" xfId="30833" xr:uid="{AF5F93B1-E98D-4A4A-A943-CC9BDCE6228D}"/>
    <cellStyle name="Normal 2 4 5 6 3 4" xfId="13961" xr:uid="{79E9B938-0061-4CD8-8398-AA7FE0E606F4}"/>
    <cellStyle name="Normal 2 4 5 6 4" xfId="18181" xr:uid="{6614EDA1-E728-4B39-8AD8-349C991A09FC}"/>
    <cellStyle name="Normal 2 4 5 6 5" xfId="26616" xr:uid="{3B243DE4-6E5D-47C1-AB3E-A05D880BED94}"/>
    <cellStyle name="Normal 2 4 5 6 6" xfId="9743" xr:uid="{F3ACC559-3AE4-496B-BBED-AFC02493D92F}"/>
    <cellStyle name="Normal 2 4 5 7" xfId="1627" xr:uid="{00000000-0005-0000-0000-0000CA100000}"/>
    <cellStyle name="Normal 2 4 5 7 2" xfId="3857" xr:uid="{00000000-0005-0000-0000-0000CB100000}"/>
    <cellStyle name="Normal 2 4 5 7 2 2" xfId="8080" xr:uid="{00000000-0005-0000-0000-0000CC100000}"/>
    <cellStyle name="Normal 2 4 5 7 2 2 2" xfId="24957" xr:uid="{187B04C6-AC9F-467B-8334-2BACF901C3D4}"/>
    <cellStyle name="Normal 2 4 5 7 2 2 3" xfId="33391" xr:uid="{2ABB293A-DCB7-43A1-B7D8-6CC8071D3610}"/>
    <cellStyle name="Normal 2 4 5 7 2 2 4" xfId="16519" xr:uid="{502DA85B-0C33-494B-8E81-4A126A36D2C2}"/>
    <cellStyle name="Normal 2 4 5 7 2 3" xfId="20739" xr:uid="{13054D0C-AF4F-469B-87E4-476DA94A47AF}"/>
    <cellStyle name="Normal 2 4 5 7 2 4" xfId="29174" xr:uid="{81425A06-9F2E-40B8-924B-C5AC22A337F4}"/>
    <cellStyle name="Normal 2 4 5 7 2 5" xfId="12301" xr:uid="{BF905272-5928-4F44-B4E6-F55209D5E607}"/>
    <cellStyle name="Normal 2 4 5 7 3" xfId="5935" xr:uid="{00000000-0005-0000-0000-0000CD100000}"/>
    <cellStyle name="Normal 2 4 5 7 3 2" xfId="22812" xr:uid="{676985E6-BA52-4A44-808C-4F70357FA5E2}"/>
    <cellStyle name="Normal 2 4 5 7 3 3" xfId="31246" xr:uid="{80B9CCBD-3B00-444C-9312-54B69CD8876F}"/>
    <cellStyle name="Normal 2 4 5 7 3 4" xfId="14374" xr:uid="{31D039CF-3873-49E5-8A0B-01A0451DD722}"/>
    <cellStyle name="Normal 2 4 5 7 4" xfId="18594" xr:uid="{1DB199DB-AF39-4F38-9F0A-5EE2733D9FB9}"/>
    <cellStyle name="Normal 2 4 5 7 5" xfId="27029" xr:uid="{72CADF1E-FFDB-4BB5-88E7-60B5E87D8FDD}"/>
    <cellStyle name="Normal 2 4 5 7 6" xfId="10156" xr:uid="{7842A37F-F46E-42CA-AC3B-ED9305E6E0C1}"/>
    <cellStyle name="Normal 2 4 5 8" xfId="2041" xr:uid="{00000000-0005-0000-0000-0000CE100000}"/>
    <cellStyle name="Normal 2 4 5 8 2" xfId="4270" xr:uid="{00000000-0005-0000-0000-0000CF100000}"/>
    <cellStyle name="Normal 2 4 5 8 2 2" xfId="8493" xr:uid="{00000000-0005-0000-0000-0000D0100000}"/>
    <cellStyle name="Normal 2 4 5 8 2 2 2" xfId="25370" xr:uid="{DAB47C46-C0D1-4054-9B03-A0AC342510E6}"/>
    <cellStyle name="Normal 2 4 5 8 2 2 3" xfId="33804" xr:uid="{E232026C-19AF-415E-A763-E33DD9AFF3A8}"/>
    <cellStyle name="Normal 2 4 5 8 2 2 4" xfId="16932" xr:uid="{29A139BB-07AB-4D95-B93B-C17D57915157}"/>
    <cellStyle name="Normal 2 4 5 8 2 3" xfId="21152" xr:uid="{643B446B-0745-4161-9D3B-39E17DB5A53F}"/>
    <cellStyle name="Normal 2 4 5 8 2 4" xfId="29587" xr:uid="{A58BB92E-20B2-44F7-A1BC-7EB193D41E2B}"/>
    <cellStyle name="Normal 2 4 5 8 2 5" xfId="12714" xr:uid="{68EA09A8-29D5-4A36-9E64-BA45A05213B2}"/>
    <cellStyle name="Normal 2 4 5 8 3" xfId="6348" xr:uid="{00000000-0005-0000-0000-0000D1100000}"/>
    <cellStyle name="Normal 2 4 5 8 3 2" xfId="23225" xr:uid="{8EE06981-DC2E-483B-BB2C-1BF9E948BF4D}"/>
    <cellStyle name="Normal 2 4 5 8 3 3" xfId="31659" xr:uid="{48653834-B6CB-4694-A8CB-1DCFA472D099}"/>
    <cellStyle name="Normal 2 4 5 8 3 4" xfId="14787" xr:uid="{E26A3BA9-EAA4-4565-91F1-3CBF803E749E}"/>
    <cellStyle name="Normal 2 4 5 8 4" xfId="19007" xr:uid="{4936DB46-62FB-443A-8DA6-57B86335BC25}"/>
    <cellStyle name="Normal 2 4 5 8 5" xfId="27442" xr:uid="{023DE27E-ACE4-4B8F-BE22-A611A4D4723E}"/>
    <cellStyle name="Normal 2 4 5 8 6" xfId="10569" xr:uid="{7276E734-1B83-4460-A753-02EE04855F73}"/>
    <cellStyle name="Normal 2 4 5 9" xfId="2477" xr:uid="{00000000-0005-0000-0000-0000D2100000}"/>
    <cellStyle name="Normal 2 4 5 9 2" xfId="6761" xr:uid="{00000000-0005-0000-0000-0000D3100000}"/>
    <cellStyle name="Normal 2 4 5 9 2 2" xfId="23638" xr:uid="{DBD0F3B7-28B4-48BF-B718-6324A564E9F6}"/>
    <cellStyle name="Normal 2 4 5 9 2 3" xfId="32072" xr:uid="{1F24A5CF-E74A-421F-9859-A83AA689180D}"/>
    <cellStyle name="Normal 2 4 5 9 2 4" xfId="15200" xr:uid="{1EAA886D-3492-43B8-834C-DC5A3340B5C2}"/>
    <cellStyle name="Normal 2 4 5 9 3" xfId="19420" xr:uid="{674E5B0C-0D02-425F-B187-9F01AF3E5F24}"/>
    <cellStyle name="Normal 2 4 5 9 4" xfId="27855" xr:uid="{5001A95E-876D-4604-93D3-E125604611FD}"/>
    <cellStyle name="Normal 2 4 5 9 5" xfId="10982" xr:uid="{21EFACD3-EA2A-433D-BF8B-5B092A920B46}"/>
    <cellStyle name="Normal 2 4 6" xfId="311" xr:uid="{00000000-0005-0000-0000-0000D4100000}"/>
    <cellStyle name="Normal 2 4 7" xfId="312" xr:uid="{00000000-0005-0000-0000-0000D5100000}"/>
    <cellStyle name="Normal 2 4 7 10" xfId="25797" xr:uid="{E828537E-B05A-469F-A79C-2D4DA695F8C3}"/>
    <cellStyle name="Normal 2 4 7 11" xfId="8924" xr:uid="{3DB74533-07CC-4048-8693-B9F0FAC8F50C}"/>
    <cellStyle name="Normal 2 4 7 2" xfId="313" xr:uid="{00000000-0005-0000-0000-0000D6100000}"/>
    <cellStyle name="Normal 2 4 7 2 10" xfId="8925" xr:uid="{228F3AD5-CA04-445F-B172-1DAE7959E364}"/>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24140" xr:uid="{A4D596E7-BD6E-46BA-BB2E-6C2D206551F2}"/>
    <cellStyle name="Normal 2 4 7 2 2 2 2 3" xfId="32574" xr:uid="{85329BF2-820E-43BE-BB6D-A5D3D104211A}"/>
    <cellStyle name="Normal 2 4 7 2 2 2 2 4" xfId="15702" xr:uid="{5E1E7458-F831-449A-A8C8-C1C59455D2E8}"/>
    <cellStyle name="Normal 2 4 7 2 2 2 3" xfId="19922" xr:uid="{E1B59048-B0CC-480C-B67B-C33399F19A75}"/>
    <cellStyle name="Normal 2 4 7 2 2 2 4" xfId="28357" xr:uid="{AA32566B-DDF9-47FB-8580-8537E8093477}"/>
    <cellStyle name="Normal 2 4 7 2 2 2 5" xfId="11484" xr:uid="{6A04D26C-1E91-45E9-A23D-C77197A3A4E2}"/>
    <cellStyle name="Normal 2 4 7 2 2 3" xfId="5118" xr:uid="{00000000-0005-0000-0000-0000DA100000}"/>
    <cellStyle name="Normal 2 4 7 2 2 3 2" xfId="21995" xr:uid="{F19DF70C-3CB8-40EB-92D3-71B2F412DAA2}"/>
    <cellStyle name="Normal 2 4 7 2 2 3 3" xfId="30429" xr:uid="{7921102C-649F-4E04-A26A-22FCCB186228}"/>
    <cellStyle name="Normal 2 4 7 2 2 3 4" xfId="13557" xr:uid="{517A8B93-CE13-4685-99A4-86406D4AF54C}"/>
    <cellStyle name="Normal 2 4 7 2 2 4" xfId="17777" xr:uid="{1F141E68-58D4-45C8-ABE4-F03FA083F25B}"/>
    <cellStyle name="Normal 2 4 7 2 2 5" xfId="26212" xr:uid="{625B87D1-CDED-4195-A7B1-6EB97C0FED50}"/>
    <cellStyle name="Normal 2 4 7 2 2 6" xfId="9339" xr:uid="{AAC8B15E-2581-42BB-A2DE-88412AAEF527}"/>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24553" xr:uid="{F456A4EB-D59C-4B0B-A20F-248662B7C024}"/>
    <cellStyle name="Normal 2 4 7 2 3 2 2 3" xfId="32987" xr:uid="{E746213F-459F-47BE-9DF6-DC8425FB8380}"/>
    <cellStyle name="Normal 2 4 7 2 3 2 2 4" xfId="16115" xr:uid="{C844A59D-7CA4-432D-A87D-ADDB2E0AC11E}"/>
    <cellStyle name="Normal 2 4 7 2 3 2 3" xfId="20335" xr:uid="{EFACD3CD-2BD2-4375-AB09-2B283649255B}"/>
    <cellStyle name="Normal 2 4 7 2 3 2 4" xfId="28770" xr:uid="{B5B7E59A-2BC5-4854-BD38-C7840DF4480E}"/>
    <cellStyle name="Normal 2 4 7 2 3 2 5" xfId="11897" xr:uid="{BA3B352A-E4F9-4A14-A496-B33066489D23}"/>
    <cellStyle name="Normal 2 4 7 2 3 3" xfId="5531" xr:uid="{00000000-0005-0000-0000-0000DE100000}"/>
    <cellStyle name="Normal 2 4 7 2 3 3 2" xfId="22408" xr:uid="{A8D3952A-CB83-4EAC-9BA8-961CD9139E48}"/>
    <cellStyle name="Normal 2 4 7 2 3 3 3" xfId="30842" xr:uid="{3592F6FF-6FF5-468A-83EE-A1B1725CDF48}"/>
    <cellStyle name="Normal 2 4 7 2 3 3 4" xfId="13970" xr:uid="{8139A8F6-DCDE-4F1A-8A9C-918B2218A708}"/>
    <cellStyle name="Normal 2 4 7 2 3 4" xfId="18190" xr:uid="{72138611-9290-4707-9DE2-7B6025BC1127}"/>
    <cellStyle name="Normal 2 4 7 2 3 5" xfId="26625" xr:uid="{C77028FC-7C02-4420-A070-A6F6E7A33DC5}"/>
    <cellStyle name="Normal 2 4 7 2 3 6" xfId="9752" xr:uid="{90AFBA37-06D3-4242-9A3E-C2EE678AB815}"/>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24966" xr:uid="{A6BE9561-10F5-4C81-AF23-A6C98809A73C}"/>
    <cellStyle name="Normal 2 4 7 2 4 2 2 3" xfId="33400" xr:uid="{A684BD09-A4D4-405E-BD91-D9F81EA60ECC}"/>
    <cellStyle name="Normal 2 4 7 2 4 2 2 4" xfId="16528" xr:uid="{5101AB1D-7665-4FF5-B2FF-CF73F88D4B06}"/>
    <cellStyle name="Normal 2 4 7 2 4 2 3" xfId="20748" xr:uid="{F33045C1-DE10-4732-ABB9-4A240D1EA422}"/>
    <cellStyle name="Normal 2 4 7 2 4 2 4" xfId="29183" xr:uid="{74872166-7EC3-49F8-9FA3-28AAD39F5077}"/>
    <cellStyle name="Normal 2 4 7 2 4 2 5" xfId="12310" xr:uid="{4D9854F1-C4D3-4DE6-BE99-30FFD36F8B84}"/>
    <cellStyle name="Normal 2 4 7 2 4 3" xfId="5944" xr:uid="{00000000-0005-0000-0000-0000E2100000}"/>
    <cellStyle name="Normal 2 4 7 2 4 3 2" xfId="22821" xr:uid="{259AE7F2-B75E-4CED-9DF5-BCD5D46065F7}"/>
    <cellStyle name="Normal 2 4 7 2 4 3 3" xfId="31255" xr:uid="{674CB012-BFE2-4948-B75D-D0D9F3AE8B39}"/>
    <cellStyle name="Normal 2 4 7 2 4 3 4" xfId="14383" xr:uid="{85F94C69-FC10-4C5A-9CDB-94115AE79803}"/>
    <cellStyle name="Normal 2 4 7 2 4 4" xfId="18603" xr:uid="{7C782374-4B31-4CC9-AE55-4FA29136D63E}"/>
    <cellStyle name="Normal 2 4 7 2 4 5" xfId="27038" xr:uid="{476AC84B-8C25-43E0-AFBF-3ECE28F13060}"/>
    <cellStyle name="Normal 2 4 7 2 4 6" xfId="10165" xr:uid="{15CD35F0-5AE7-4F8B-9C42-1B56E521DCA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25379" xr:uid="{AB47504A-3C77-4DAF-9ED6-E6E0B7E132B1}"/>
    <cellStyle name="Normal 2 4 7 2 5 2 2 3" xfId="33813" xr:uid="{9027BA5E-2A14-4260-8C9E-6330393BA4B7}"/>
    <cellStyle name="Normal 2 4 7 2 5 2 2 4" xfId="16941" xr:uid="{DAC5DC16-146A-4366-B1F8-A22028EC49FC}"/>
    <cellStyle name="Normal 2 4 7 2 5 2 3" xfId="21161" xr:uid="{86F4C0CB-7548-4CC3-80AA-51EDFF084F50}"/>
    <cellStyle name="Normal 2 4 7 2 5 2 4" xfId="29596" xr:uid="{9959B4D6-0643-4284-8AD5-FD3A38468D8E}"/>
    <cellStyle name="Normal 2 4 7 2 5 2 5" xfId="12723" xr:uid="{C4B281CD-8CDA-41BD-9696-5F33D9F81836}"/>
    <cellStyle name="Normal 2 4 7 2 5 3" xfId="6357" xr:uid="{00000000-0005-0000-0000-0000E6100000}"/>
    <cellStyle name="Normal 2 4 7 2 5 3 2" xfId="23234" xr:uid="{6B240EC8-6909-4142-9174-CB9D7A1B7E6B}"/>
    <cellStyle name="Normal 2 4 7 2 5 3 3" xfId="31668" xr:uid="{6A6F16DE-A193-4F6D-BBC7-B0CA7F93CA21}"/>
    <cellStyle name="Normal 2 4 7 2 5 3 4" xfId="14796" xr:uid="{614D6984-64BB-46D6-BA04-D8A8E39E02A7}"/>
    <cellStyle name="Normal 2 4 7 2 5 4" xfId="19016" xr:uid="{3EF69EB8-C9E6-4F19-B2EF-39A65EEF558B}"/>
    <cellStyle name="Normal 2 4 7 2 5 5" xfId="27451" xr:uid="{E132A0CC-8D9E-453A-AE19-844B7EBD2762}"/>
    <cellStyle name="Normal 2 4 7 2 5 6" xfId="10578" xr:uid="{2861BEF8-BFDF-4F07-A476-EC060F0A676A}"/>
    <cellStyle name="Normal 2 4 7 2 6" xfId="2486" xr:uid="{00000000-0005-0000-0000-0000E7100000}"/>
    <cellStyle name="Normal 2 4 7 2 6 2" xfId="6770" xr:uid="{00000000-0005-0000-0000-0000E8100000}"/>
    <cellStyle name="Normal 2 4 7 2 6 2 2" xfId="23647" xr:uid="{B311001D-29C5-4AAA-82E5-7BB9A327A869}"/>
    <cellStyle name="Normal 2 4 7 2 6 2 3" xfId="32081" xr:uid="{D7C87390-8E3D-4859-8682-51FE9B987072}"/>
    <cellStyle name="Normal 2 4 7 2 6 2 4" xfId="15209" xr:uid="{F0DA97D7-8082-4175-8DBA-F732C241E892}"/>
    <cellStyle name="Normal 2 4 7 2 6 3" xfId="19429" xr:uid="{AC3E3858-590D-44AD-9A95-90074C0A7422}"/>
    <cellStyle name="Normal 2 4 7 2 6 4" xfId="27864" xr:uid="{FBB36416-9CEC-4A1A-9015-1080B2B265EA}"/>
    <cellStyle name="Normal 2 4 7 2 6 5" xfId="10991" xr:uid="{C0BE7B25-206A-43EE-A774-7C52E4D22A9A}"/>
    <cellStyle name="Normal 2 4 7 2 7" xfId="4704" xr:uid="{00000000-0005-0000-0000-0000E9100000}"/>
    <cellStyle name="Normal 2 4 7 2 7 2" xfId="21581" xr:uid="{AB828675-FA97-4799-AC35-3154D41F4E7A}"/>
    <cellStyle name="Normal 2 4 7 2 7 3" xfId="30015" xr:uid="{77E2FCA6-BDE8-4737-9268-7E61BB9BDF05}"/>
    <cellStyle name="Normal 2 4 7 2 7 4" xfId="13143" xr:uid="{73D1D65F-1370-422A-BCC1-7558C0892197}"/>
    <cellStyle name="Normal 2 4 7 2 8" xfId="17363" xr:uid="{82302034-373C-4479-8D89-6F7DEF0D2FF8}"/>
    <cellStyle name="Normal 2 4 7 2 9" xfId="25798" xr:uid="{DDC25D21-B5BF-4ABE-8DB5-EDE70AAF5920}"/>
    <cellStyle name="Normal 2 4 7 3" xfId="800" xr:uid="{00000000-0005-0000-0000-0000EA100000}"/>
    <cellStyle name="Normal 2 4 7 3 2" xfId="3039" xr:uid="{00000000-0005-0000-0000-0000EB100000}"/>
    <cellStyle name="Normal 2 4 7 3 2 2" xfId="7262" xr:uid="{00000000-0005-0000-0000-0000EC100000}"/>
    <cellStyle name="Normal 2 4 7 3 2 2 2" xfId="24139" xr:uid="{5A939180-DD77-4D9F-919B-09A3E02DBF3B}"/>
    <cellStyle name="Normal 2 4 7 3 2 2 3" xfId="32573" xr:uid="{0337C338-CA51-4AB7-ACC7-259A3EACE8C6}"/>
    <cellStyle name="Normal 2 4 7 3 2 2 4" xfId="15701" xr:uid="{C60C39EE-195B-45C8-8AD1-38B11D822DCE}"/>
    <cellStyle name="Normal 2 4 7 3 2 3" xfId="19921" xr:uid="{17D07E34-2C7C-40AE-9856-78946DFA1858}"/>
    <cellStyle name="Normal 2 4 7 3 2 4" xfId="28356" xr:uid="{DBD59320-053F-48F9-B037-E4415CD47DD8}"/>
    <cellStyle name="Normal 2 4 7 3 2 5" xfId="11483" xr:uid="{318962E4-619D-445C-AB2C-4A26D101F3C0}"/>
    <cellStyle name="Normal 2 4 7 3 3" xfId="5117" xr:uid="{00000000-0005-0000-0000-0000ED100000}"/>
    <cellStyle name="Normal 2 4 7 3 3 2" xfId="21994" xr:uid="{8F7DB37E-A296-41B8-BC33-C20AAA899DAF}"/>
    <cellStyle name="Normal 2 4 7 3 3 3" xfId="30428" xr:uid="{0E440401-6144-4D53-8C15-17ED8C5CF6B9}"/>
    <cellStyle name="Normal 2 4 7 3 3 4" xfId="13556" xr:uid="{750B2120-1A43-4D21-8FCF-1D75006EC82D}"/>
    <cellStyle name="Normal 2 4 7 3 4" xfId="17776" xr:uid="{371078F5-6132-444E-AC82-EC8B66D540FC}"/>
    <cellStyle name="Normal 2 4 7 3 5" xfId="26211" xr:uid="{22E36BA3-7BFC-44A1-88D8-D394BA19F8F4}"/>
    <cellStyle name="Normal 2 4 7 3 6" xfId="9338" xr:uid="{5F231053-4CE7-4487-86F8-2243794D640C}"/>
    <cellStyle name="Normal 2 4 7 4" xfId="1222" xr:uid="{00000000-0005-0000-0000-0000EE100000}"/>
    <cellStyle name="Normal 2 4 7 4 2" xfId="3452" xr:uid="{00000000-0005-0000-0000-0000EF100000}"/>
    <cellStyle name="Normal 2 4 7 4 2 2" xfId="7675" xr:uid="{00000000-0005-0000-0000-0000F0100000}"/>
    <cellStyle name="Normal 2 4 7 4 2 2 2" xfId="24552" xr:uid="{712DE08F-E361-4442-9405-0DDC92A05A99}"/>
    <cellStyle name="Normal 2 4 7 4 2 2 3" xfId="32986" xr:uid="{834D332D-2132-4018-BF6D-FBC5E3B833FB}"/>
    <cellStyle name="Normal 2 4 7 4 2 2 4" xfId="16114" xr:uid="{27829A73-F3B5-47A4-A32F-E8A7EC0EB3EA}"/>
    <cellStyle name="Normal 2 4 7 4 2 3" xfId="20334" xr:uid="{CD776066-ACFE-49ED-BE1A-92BC526167EA}"/>
    <cellStyle name="Normal 2 4 7 4 2 4" xfId="28769" xr:uid="{F2EA74FB-66F1-43D6-BAA6-987184097DDF}"/>
    <cellStyle name="Normal 2 4 7 4 2 5" xfId="11896" xr:uid="{3B8B1089-DE57-4BE3-BFF3-CD6EFD130FED}"/>
    <cellStyle name="Normal 2 4 7 4 3" xfId="5530" xr:uid="{00000000-0005-0000-0000-0000F1100000}"/>
    <cellStyle name="Normal 2 4 7 4 3 2" xfId="22407" xr:uid="{FE4668E6-A9FD-42CB-A256-65BCF943DE97}"/>
    <cellStyle name="Normal 2 4 7 4 3 3" xfId="30841" xr:uid="{397A53A7-C985-48AD-B36A-B816F524E3F8}"/>
    <cellStyle name="Normal 2 4 7 4 3 4" xfId="13969" xr:uid="{FF6DCE42-3684-40E2-8FE8-7C04421BBE54}"/>
    <cellStyle name="Normal 2 4 7 4 4" xfId="18189" xr:uid="{8A1672F8-76CA-4B08-9471-0E2EDE2919E2}"/>
    <cellStyle name="Normal 2 4 7 4 5" xfId="26624" xr:uid="{8B13305F-3BE3-4C99-B436-0AADCFF4E36B}"/>
    <cellStyle name="Normal 2 4 7 4 6" xfId="9751" xr:uid="{1CD847D3-C354-4C6D-8793-4B6E910E4CBD}"/>
    <cellStyle name="Normal 2 4 7 5" xfId="1635" xr:uid="{00000000-0005-0000-0000-0000F2100000}"/>
    <cellStyle name="Normal 2 4 7 5 2" xfId="3865" xr:uid="{00000000-0005-0000-0000-0000F3100000}"/>
    <cellStyle name="Normal 2 4 7 5 2 2" xfId="8088" xr:uid="{00000000-0005-0000-0000-0000F4100000}"/>
    <cellStyle name="Normal 2 4 7 5 2 2 2" xfId="24965" xr:uid="{8E45B329-B3DB-4DC7-96DB-BF6ED7451CCF}"/>
    <cellStyle name="Normal 2 4 7 5 2 2 3" xfId="33399" xr:uid="{65C5A005-7BEB-4EB4-9BE0-2B661C343FEB}"/>
    <cellStyle name="Normal 2 4 7 5 2 2 4" xfId="16527" xr:uid="{5A15C7CF-962C-4508-8C52-E8F2FB0F5718}"/>
    <cellStyle name="Normal 2 4 7 5 2 3" xfId="20747" xr:uid="{65ECCA73-8CB9-4CE6-9B0D-79E043541A2D}"/>
    <cellStyle name="Normal 2 4 7 5 2 4" xfId="29182" xr:uid="{3334C628-BFF0-4E99-8DFB-D43DC3886182}"/>
    <cellStyle name="Normal 2 4 7 5 2 5" xfId="12309" xr:uid="{177BE220-E598-465E-9026-CA9B204AC491}"/>
    <cellStyle name="Normal 2 4 7 5 3" xfId="5943" xr:uid="{00000000-0005-0000-0000-0000F5100000}"/>
    <cellStyle name="Normal 2 4 7 5 3 2" xfId="22820" xr:uid="{8CBCC5D7-2757-45F8-8F7C-075856F1798D}"/>
    <cellStyle name="Normal 2 4 7 5 3 3" xfId="31254" xr:uid="{D24A907B-EB57-4D37-BED7-2347923A73C1}"/>
    <cellStyle name="Normal 2 4 7 5 3 4" xfId="14382" xr:uid="{9C35E828-4467-433F-803B-FBC9BBFDB2E3}"/>
    <cellStyle name="Normal 2 4 7 5 4" xfId="18602" xr:uid="{5736AEDC-E542-4A5D-9C2A-CDDF7FDE476F}"/>
    <cellStyle name="Normal 2 4 7 5 5" xfId="27037" xr:uid="{AD796FD2-FFF9-4901-8E2E-BCD0E288C7A1}"/>
    <cellStyle name="Normal 2 4 7 5 6" xfId="10164" xr:uid="{5220A5E7-F6A9-4169-A6D2-D560C01E3E73}"/>
    <cellStyle name="Normal 2 4 7 6" xfId="2049" xr:uid="{00000000-0005-0000-0000-0000F6100000}"/>
    <cellStyle name="Normal 2 4 7 6 2" xfId="4278" xr:uid="{00000000-0005-0000-0000-0000F7100000}"/>
    <cellStyle name="Normal 2 4 7 6 2 2" xfId="8501" xr:uid="{00000000-0005-0000-0000-0000F8100000}"/>
    <cellStyle name="Normal 2 4 7 6 2 2 2" xfId="25378" xr:uid="{21701A9A-C197-4534-9440-1E02AF639AE0}"/>
    <cellStyle name="Normal 2 4 7 6 2 2 3" xfId="33812" xr:uid="{76A3B182-4933-4B31-8FEE-6D25B58E4431}"/>
    <cellStyle name="Normal 2 4 7 6 2 2 4" xfId="16940" xr:uid="{2A3CD786-47F3-4AC0-9A9A-62B7FA05E019}"/>
    <cellStyle name="Normal 2 4 7 6 2 3" xfId="21160" xr:uid="{6B08DCF6-F028-474D-84A9-B6081270A518}"/>
    <cellStyle name="Normal 2 4 7 6 2 4" xfId="29595" xr:uid="{7B681159-6F52-41EC-B1F0-D73421314AAE}"/>
    <cellStyle name="Normal 2 4 7 6 2 5" xfId="12722" xr:uid="{6E826875-FEBC-421B-9F09-D8B03E112F71}"/>
    <cellStyle name="Normal 2 4 7 6 3" xfId="6356" xr:uid="{00000000-0005-0000-0000-0000F9100000}"/>
    <cellStyle name="Normal 2 4 7 6 3 2" xfId="23233" xr:uid="{88DEC040-D327-47FA-A747-D56132C82B2C}"/>
    <cellStyle name="Normal 2 4 7 6 3 3" xfId="31667" xr:uid="{3A42592C-AC4F-4363-A9C7-7D02EAFD7CC6}"/>
    <cellStyle name="Normal 2 4 7 6 3 4" xfId="14795" xr:uid="{B73BBF63-0A64-42C2-9063-53EC71697CDD}"/>
    <cellStyle name="Normal 2 4 7 6 4" xfId="19015" xr:uid="{CFB9A89A-56D0-43A9-881A-63C165D27198}"/>
    <cellStyle name="Normal 2 4 7 6 5" xfId="27450" xr:uid="{C1311F51-0009-4E41-893C-E4EB08A0FBCF}"/>
    <cellStyle name="Normal 2 4 7 6 6" xfId="10577" xr:uid="{84AF03D8-A04A-48CE-88C2-273EA4269C4E}"/>
    <cellStyle name="Normal 2 4 7 7" xfId="2485" xr:uid="{00000000-0005-0000-0000-0000FA100000}"/>
    <cellStyle name="Normal 2 4 7 7 2" xfId="6769" xr:uid="{00000000-0005-0000-0000-0000FB100000}"/>
    <cellStyle name="Normal 2 4 7 7 2 2" xfId="23646" xr:uid="{DD9BE6F1-A603-4210-945D-084D50B2FCD3}"/>
    <cellStyle name="Normal 2 4 7 7 2 3" xfId="32080" xr:uid="{78BDA20D-AF66-4FB3-9DC4-DD8F00E0EE2E}"/>
    <cellStyle name="Normal 2 4 7 7 2 4" xfId="15208" xr:uid="{6A410865-D1F4-463E-B8EC-54A9DF8AB938}"/>
    <cellStyle name="Normal 2 4 7 7 3" xfId="19428" xr:uid="{75CAB19B-68FF-480E-81A5-3B74435B0045}"/>
    <cellStyle name="Normal 2 4 7 7 4" xfId="27863" xr:uid="{02E57E6C-336B-4F24-94CD-BF5C89BA5B4F}"/>
    <cellStyle name="Normal 2 4 7 7 5" xfId="10990" xr:uid="{65A92279-4C64-4793-BAEE-08C8F6FE1FD2}"/>
    <cellStyle name="Normal 2 4 7 8" xfId="4703" xr:uid="{00000000-0005-0000-0000-0000FC100000}"/>
    <cellStyle name="Normal 2 4 7 8 2" xfId="21580" xr:uid="{219862CB-73C7-44BA-B532-66E18D6607D9}"/>
    <cellStyle name="Normal 2 4 7 8 3" xfId="30014" xr:uid="{7FA2EAC6-D085-42B3-AE61-39FAAA4FF320}"/>
    <cellStyle name="Normal 2 4 7 8 4" xfId="13142" xr:uid="{891F3191-7CBD-4CC2-9A6B-DBF6F6242817}"/>
    <cellStyle name="Normal 2 4 7 9" xfId="17362" xr:uid="{3FAA6C4A-3738-4137-96F7-34D59AA71758}"/>
    <cellStyle name="Normal 2 4 8" xfId="314" xr:uid="{00000000-0005-0000-0000-0000FD100000}"/>
    <cellStyle name="Normal 2 4 8 10" xfId="8926" xr:uid="{7340F30C-3F55-4C3D-9966-CBDD61BCBED0}"/>
    <cellStyle name="Normal 2 4 8 2" xfId="802" xr:uid="{00000000-0005-0000-0000-0000FE100000}"/>
    <cellStyle name="Normal 2 4 8 2 2" xfId="3041" xr:uid="{00000000-0005-0000-0000-0000FF100000}"/>
    <cellStyle name="Normal 2 4 8 2 2 2" xfId="7264" xr:uid="{00000000-0005-0000-0000-000000110000}"/>
    <cellStyle name="Normal 2 4 8 2 2 2 2" xfId="24141" xr:uid="{2B2A5633-EC97-4F31-8AF6-BBD9E6774C68}"/>
    <cellStyle name="Normal 2 4 8 2 2 2 3" xfId="32575" xr:uid="{7AE542D3-E165-492A-BE1E-BDBA34E0F3E8}"/>
    <cellStyle name="Normal 2 4 8 2 2 2 4" xfId="15703" xr:uid="{DA09AE36-5027-48E7-A4D3-D2881282E4A0}"/>
    <cellStyle name="Normal 2 4 8 2 2 3" xfId="19923" xr:uid="{49DB9103-7C8D-43F5-BAE6-F748BCCD2DD7}"/>
    <cellStyle name="Normal 2 4 8 2 2 4" xfId="28358" xr:uid="{52A01B49-945C-4CE7-81B4-D3CC947B5FC3}"/>
    <cellStyle name="Normal 2 4 8 2 2 5" xfId="11485" xr:uid="{2B508BFF-7453-49B3-B986-3527F5ADE4F9}"/>
    <cellStyle name="Normal 2 4 8 2 3" xfId="5119" xr:uid="{00000000-0005-0000-0000-000001110000}"/>
    <cellStyle name="Normal 2 4 8 2 3 2" xfId="21996" xr:uid="{F3AE1274-48BB-4EE7-9387-92B1C2DBA274}"/>
    <cellStyle name="Normal 2 4 8 2 3 3" xfId="30430" xr:uid="{D265124C-3F22-4134-9BCB-02B7746C873F}"/>
    <cellStyle name="Normal 2 4 8 2 3 4" xfId="13558" xr:uid="{BF960F64-D7D9-4E25-9621-1A73EBE1D944}"/>
    <cellStyle name="Normal 2 4 8 2 4" xfId="17778" xr:uid="{581D4CB8-24DC-47A9-AC16-52686BFD19EF}"/>
    <cellStyle name="Normal 2 4 8 2 5" xfId="26213" xr:uid="{A5B677C0-B7FE-4D40-B3D8-D297914B30D4}"/>
    <cellStyle name="Normal 2 4 8 2 6" xfId="9340" xr:uid="{D72A0249-9B62-4EEA-98D3-57563ED33808}"/>
    <cellStyle name="Normal 2 4 8 3" xfId="1224" xr:uid="{00000000-0005-0000-0000-000002110000}"/>
    <cellStyle name="Normal 2 4 8 3 2" xfId="3454" xr:uid="{00000000-0005-0000-0000-000003110000}"/>
    <cellStyle name="Normal 2 4 8 3 2 2" xfId="7677" xr:uid="{00000000-0005-0000-0000-000004110000}"/>
    <cellStyle name="Normal 2 4 8 3 2 2 2" xfId="24554" xr:uid="{779742D7-2563-4CD9-96F7-E8D611ABD0AC}"/>
    <cellStyle name="Normal 2 4 8 3 2 2 3" xfId="32988" xr:uid="{BCC326D8-1D62-445F-A8A8-FFCACBC0BB9C}"/>
    <cellStyle name="Normal 2 4 8 3 2 2 4" xfId="16116" xr:uid="{7D65ADF9-23C5-419D-9E31-3CC13EBDCCC1}"/>
    <cellStyle name="Normal 2 4 8 3 2 3" xfId="20336" xr:uid="{4C9F37A9-1C22-4059-AC8E-82C2D8C32926}"/>
    <cellStyle name="Normal 2 4 8 3 2 4" xfId="28771" xr:uid="{316D26BC-BFBF-4968-883B-4CA2EF1B9155}"/>
    <cellStyle name="Normal 2 4 8 3 2 5" xfId="11898" xr:uid="{6C950407-0BC2-4693-9F40-5ECA71BFC83F}"/>
    <cellStyle name="Normal 2 4 8 3 3" xfId="5532" xr:uid="{00000000-0005-0000-0000-000005110000}"/>
    <cellStyle name="Normal 2 4 8 3 3 2" xfId="22409" xr:uid="{E33F8B35-94F1-4013-9EC6-A285785C8961}"/>
    <cellStyle name="Normal 2 4 8 3 3 3" xfId="30843" xr:uid="{8D93E2DA-5D80-45BD-9052-559303F22C9C}"/>
    <cellStyle name="Normal 2 4 8 3 3 4" xfId="13971" xr:uid="{307CE9E7-BECA-4760-B16F-FC8605205BE9}"/>
    <cellStyle name="Normal 2 4 8 3 4" xfId="18191" xr:uid="{3AD415CB-3A5E-47A8-A80B-E9A952D0D5CE}"/>
    <cellStyle name="Normal 2 4 8 3 5" xfId="26626" xr:uid="{27347B2C-4A5D-4532-8030-8FD46356A963}"/>
    <cellStyle name="Normal 2 4 8 3 6" xfId="9753" xr:uid="{2CD01B80-088B-4F22-9F04-0AABBF94345F}"/>
    <cellStyle name="Normal 2 4 8 4" xfId="1637" xr:uid="{00000000-0005-0000-0000-000006110000}"/>
    <cellStyle name="Normal 2 4 8 4 2" xfId="3867" xr:uid="{00000000-0005-0000-0000-000007110000}"/>
    <cellStyle name="Normal 2 4 8 4 2 2" xfId="8090" xr:uid="{00000000-0005-0000-0000-000008110000}"/>
    <cellStyle name="Normal 2 4 8 4 2 2 2" xfId="24967" xr:uid="{8B73909E-DEB4-4F37-8CBC-16F79E9A5356}"/>
    <cellStyle name="Normal 2 4 8 4 2 2 3" xfId="33401" xr:uid="{89BE728D-CBF0-4A77-9126-8CD3074A2AC6}"/>
    <cellStyle name="Normal 2 4 8 4 2 2 4" xfId="16529" xr:uid="{7183DC18-1A5F-447F-9D12-859060905CDA}"/>
    <cellStyle name="Normal 2 4 8 4 2 3" xfId="20749" xr:uid="{15E8D5EF-E4B9-4958-9404-7F30A4806554}"/>
    <cellStyle name="Normal 2 4 8 4 2 4" xfId="29184" xr:uid="{C81AE68A-C5BC-4FA7-A8D4-05074B112668}"/>
    <cellStyle name="Normal 2 4 8 4 2 5" xfId="12311" xr:uid="{5B266C34-3BC4-48BC-B7B6-AB258D1144A5}"/>
    <cellStyle name="Normal 2 4 8 4 3" xfId="5945" xr:uid="{00000000-0005-0000-0000-000009110000}"/>
    <cellStyle name="Normal 2 4 8 4 3 2" xfId="22822" xr:uid="{E09D1E63-F1DD-4DE7-BCBF-C8D244A2600D}"/>
    <cellStyle name="Normal 2 4 8 4 3 3" xfId="31256" xr:uid="{32435020-A183-432D-944D-7A8174E0AECC}"/>
    <cellStyle name="Normal 2 4 8 4 3 4" xfId="14384" xr:uid="{3CABB2E0-54AA-4693-84E6-EC8292D855CB}"/>
    <cellStyle name="Normal 2 4 8 4 4" xfId="18604" xr:uid="{498B2A77-B40E-46D7-B992-5042CD1F87F2}"/>
    <cellStyle name="Normal 2 4 8 4 5" xfId="27039" xr:uid="{3A486E89-19EE-4A03-876C-34DC2D0C6B23}"/>
    <cellStyle name="Normal 2 4 8 4 6" xfId="10166" xr:uid="{72F21085-68EB-43EB-A018-A502DB33BCF2}"/>
    <cellStyle name="Normal 2 4 8 5" xfId="2051" xr:uid="{00000000-0005-0000-0000-00000A110000}"/>
    <cellStyle name="Normal 2 4 8 5 2" xfId="4280" xr:uid="{00000000-0005-0000-0000-00000B110000}"/>
    <cellStyle name="Normal 2 4 8 5 2 2" xfId="8503" xr:uid="{00000000-0005-0000-0000-00000C110000}"/>
    <cellStyle name="Normal 2 4 8 5 2 2 2" xfId="25380" xr:uid="{71829BD6-4C0F-45EC-99DC-9E14DF0125C3}"/>
    <cellStyle name="Normal 2 4 8 5 2 2 3" xfId="33814" xr:uid="{2E0399A5-65D4-4CE6-AA30-7A68564B80C2}"/>
    <cellStyle name="Normal 2 4 8 5 2 2 4" xfId="16942" xr:uid="{94544A24-A6FB-4A12-B1D8-BC70DC08D029}"/>
    <cellStyle name="Normal 2 4 8 5 2 3" xfId="21162" xr:uid="{8A3A990B-912C-40C7-AF77-4FC9C1BECAF1}"/>
    <cellStyle name="Normal 2 4 8 5 2 4" xfId="29597" xr:uid="{D41D4C53-2348-405C-AB8C-782FBE4CD69E}"/>
    <cellStyle name="Normal 2 4 8 5 2 5" xfId="12724" xr:uid="{AD478FCA-F0FB-4FAC-99F5-C9FF17C32B01}"/>
    <cellStyle name="Normal 2 4 8 5 3" xfId="6358" xr:uid="{00000000-0005-0000-0000-00000D110000}"/>
    <cellStyle name="Normal 2 4 8 5 3 2" xfId="23235" xr:uid="{F739D3A0-6F06-492C-8E33-75799F35BA2B}"/>
    <cellStyle name="Normal 2 4 8 5 3 3" xfId="31669" xr:uid="{F30CB5B9-CC39-483A-947B-14D5DB856328}"/>
    <cellStyle name="Normal 2 4 8 5 3 4" xfId="14797" xr:uid="{0846FA16-B191-482B-8D05-62FBCD6BCAA2}"/>
    <cellStyle name="Normal 2 4 8 5 4" xfId="19017" xr:uid="{50132D85-D737-42C3-8AC4-8670ABE1CF95}"/>
    <cellStyle name="Normal 2 4 8 5 5" xfId="27452" xr:uid="{2945E293-4CE7-4023-BCDA-FB3043C7CFDE}"/>
    <cellStyle name="Normal 2 4 8 5 6" xfId="10579" xr:uid="{591F513A-741D-4060-BEEA-7FF14343D9DA}"/>
    <cellStyle name="Normal 2 4 8 6" xfId="2487" xr:uid="{00000000-0005-0000-0000-00000E110000}"/>
    <cellStyle name="Normal 2 4 8 6 2" xfId="6771" xr:uid="{00000000-0005-0000-0000-00000F110000}"/>
    <cellStyle name="Normal 2 4 8 6 2 2" xfId="23648" xr:uid="{B753B69A-F251-44E0-A61B-EE9D6471A400}"/>
    <cellStyle name="Normal 2 4 8 6 2 3" xfId="32082" xr:uid="{E7395F59-11D4-4DD0-A379-9EFA3FC01406}"/>
    <cellStyle name="Normal 2 4 8 6 2 4" xfId="15210" xr:uid="{39CF55B3-9829-4E53-9791-619D668284DD}"/>
    <cellStyle name="Normal 2 4 8 6 3" xfId="19430" xr:uid="{6D94694F-1FEA-4DD6-97E6-4087B3780384}"/>
    <cellStyle name="Normal 2 4 8 6 4" xfId="27865" xr:uid="{F08C3050-0494-4365-BCBA-09589AA79B97}"/>
    <cellStyle name="Normal 2 4 8 6 5" xfId="10992" xr:uid="{D5EE16DB-5E27-49E5-8819-644E0467204E}"/>
    <cellStyle name="Normal 2 4 8 7" xfId="4705" xr:uid="{00000000-0005-0000-0000-000010110000}"/>
    <cellStyle name="Normal 2 4 8 7 2" xfId="21582" xr:uid="{0494DB68-135B-4634-BA1A-8F07E2594DA1}"/>
    <cellStyle name="Normal 2 4 8 7 3" xfId="30016" xr:uid="{B09749EC-E236-46DD-B8B4-1284B640E27A}"/>
    <cellStyle name="Normal 2 4 8 7 4" xfId="13144" xr:uid="{B9A40A57-5878-48B2-8FAA-A312AB94BD57}"/>
    <cellStyle name="Normal 2 4 8 8" xfId="17364" xr:uid="{B7E24DFE-ADF1-4A32-A4A1-F615CBDD634C}"/>
    <cellStyle name="Normal 2 4 8 9" xfId="25799" xr:uid="{EF8D0F77-0127-4EF0-82AD-11F988F67A78}"/>
    <cellStyle name="Normal 2 5" xfId="315" xr:uid="{00000000-0005-0000-0000-000011110000}"/>
    <cellStyle name="Normal 2 5 10" xfId="4706" xr:uid="{00000000-0005-0000-0000-000012110000}"/>
    <cellStyle name="Normal 2 5 10 2" xfId="21583" xr:uid="{B8F3287A-186D-4315-B368-FB9E9B911573}"/>
    <cellStyle name="Normal 2 5 10 3" xfId="30017" xr:uid="{8C4F56FE-9649-4943-940F-FCC4220FE05C}"/>
    <cellStyle name="Normal 2 5 10 4" xfId="13145" xr:uid="{81D8BCD9-CF53-46F6-AF4E-578A11E3AA69}"/>
    <cellStyle name="Normal 2 5 11" xfId="17365" xr:uid="{DEA79947-CD47-42B8-AA9A-C9F343425DE3}"/>
    <cellStyle name="Normal 2 5 12" xfId="25800" xr:uid="{8020C7EB-8144-4453-B47B-1FBE6C13E223}"/>
    <cellStyle name="Normal 2 5 13" xfId="8927" xr:uid="{DAEF69AD-DC59-4142-A659-1819E8975202}"/>
    <cellStyle name="Normal 2 5 2" xfId="316" xr:uid="{00000000-0005-0000-0000-000013110000}"/>
    <cellStyle name="Normal 2 5 3" xfId="317" xr:uid="{00000000-0005-0000-0000-000014110000}"/>
    <cellStyle name="Normal 2 5 4" xfId="318" xr:uid="{00000000-0005-0000-0000-000015110000}"/>
    <cellStyle name="Normal 2 5 4 10" xfId="17366" xr:uid="{DAC20575-69DB-4390-8C25-3AD2B7446090}"/>
    <cellStyle name="Normal 2 5 4 11" xfId="25801" xr:uid="{443BD418-3281-4CB0-927D-1AEDAAE92927}"/>
    <cellStyle name="Normal 2 5 4 12" xfId="8928" xr:uid="{C9ECA5B6-91F1-4E6F-A7B6-5EF7F66FC377}"/>
    <cellStyle name="Normal 2 5 4 2" xfId="319" xr:uid="{00000000-0005-0000-0000-000016110000}"/>
    <cellStyle name="Normal 2 5 4 2 10" xfId="25802" xr:uid="{595A9255-E4FA-49C2-86E8-EE2683A3C8E5}"/>
    <cellStyle name="Normal 2 5 4 2 11" xfId="8929" xr:uid="{8576DCB2-41E5-4567-88C5-5B4F8168BC31}"/>
    <cellStyle name="Normal 2 5 4 2 2" xfId="320" xr:uid="{00000000-0005-0000-0000-000017110000}"/>
    <cellStyle name="Normal 2 5 4 2 2 10" xfId="8930" xr:uid="{5F0975EC-5607-41B7-88BC-E103ECA17765}"/>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24145" xr:uid="{C82E0B00-9767-4F7F-B459-D82400397C2F}"/>
    <cellStyle name="Normal 2 5 4 2 2 2 2 2 3" xfId="32579" xr:uid="{51F83444-7B14-4294-BBFC-7A529A1366D0}"/>
    <cellStyle name="Normal 2 5 4 2 2 2 2 2 4" xfId="15707" xr:uid="{ECAE10D0-8D70-4DBE-965F-EEC2A240AAA3}"/>
    <cellStyle name="Normal 2 5 4 2 2 2 2 3" xfId="19927" xr:uid="{2A33BA45-824C-419C-82F5-4909AE1EAA1D}"/>
    <cellStyle name="Normal 2 5 4 2 2 2 2 4" xfId="28362" xr:uid="{2374C0DF-8DB0-47A7-A291-A1867794D40F}"/>
    <cellStyle name="Normal 2 5 4 2 2 2 2 5" xfId="11489" xr:uid="{86175E04-38A3-480C-A608-15DA0633DB94}"/>
    <cellStyle name="Normal 2 5 4 2 2 2 3" xfId="5123" xr:uid="{00000000-0005-0000-0000-00001B110000}"/>
    <cellStyle name="Normal 2 5 4 2 2 2 3 2" xfId="22000" xr:uid="{8D0286B6-4EC8-4CE4-9882-8806DF2337A7}"/>
    <cellStyle name="Normal 2 5 4 2 2 2 3 3" xfId="30434" xr:uid="{72DF06D1-05DB-4037-9DA7-747D082362AE}"/>
    <cellStyle name="Normal 2 5 4 2 2 2 3 4" xfId="13562" xr:uid="{3047D93A-B1EF-4D4E-8CBF-B95EB8DE83B0}"/>
    <cellStyle name="Normal 2 5 4 2 2 2 4" xfId="17782" xr:uid="{7FB57085-6237-4EA2-BC46-2EF08D3815EB}"/>
    <cellStyle name="Normal 2 5 4 2 2 2 5" xfId="26217" xr:uid="{58990396-4977-4D8D-96B1-2094A905A8A7}"/>
    <cellStyle name="Normal 2 5 4 2 2 2 6" xfId="9344" xr:uid="{3253D28D-AEFE-47F9-A5F8-7A4A9A3CA66D}"/>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24558" xr:uid="{5ACB80BA-62D3-4D89-B767-8C2633F51CBA}"/>
    <cellStyle name="Normal 2 5 4 2 2 3 2 2 3" xfId="32992" xr:uid="{69CFF0BA-05F8-4DB6-99DF-0D9A6CB4AC87}"/>
    <cellStyle name="Normal 2 5 4 2 2 3 2 2 4" xfId="16120" xr:uid="{16B131AC-EC0C-4CB2-9495-56AF4FABA7D4}"/>
    <cellStyle name="Normal 2 5 4 2 2 3 2 3" xfId="20340" xr:uid="{74106EC6-67E0-4A3D-9D7C-4E665F5D1D69}"/>
    <cellStyle name="Normal 2 5 4 2 2 3 2 4" xfId="28775" xr:uid="{B3CB9443-2ED0-45E4-8F7F-7D71AA7309E5}"/>
    <cellStyle name="Normal 2 5 4 2 2 3 2 5" xfId="11902" xr:uid="{4E6AF9A8-5EEC-472A-8FA8-157AD6DA62F1}"/>
    <cellStyle name="Normal 2 5 4 2 2 3 3" xfId="5536" xr:uid="{00000000-0005-0000-0000-00001F110000}"/>
    <cellStyle name="Normal 2 5 4 2 2 3 3 2" xfId="22413" xr:uid="{656E0105-52EF-4331-870F-1859BF57BDCD}"/>
    <cellStyle name="Normal 2 5 4 2 2 3 3 3" xfId="30847" xr:uid="{E82BB3C5-B49A-4444-A8E6-CBC6DCEEC27A}"/>
    <cellStyle name="Normal 2 5 4 2 2 3 3 4" xfId="13975" xr:uid="{572BDF29-95B9-404F-932E-345DACADA40C}"/>
    <cellStyle name="Normal 2 5 4 2 2 3 4" xfId="18195" xr:uid="{05954251-076C-4385-BFE1-E86DB2B173A8}"/>
    <cellStyle name="Normal 2 5 4 2 2 3 5" xfId="26630" xr:uid="{432598E1-C088-41A0-8A9A-1E876DB82401}"/>
    <cellStyle name="Normal 2 5 4 2 2 3 6" xfId="9757" xr:uid="{73CE472A-5908-4FEC-84AF-2328FDDAE9B4}"/>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24971" xr:uid="{5B843C21-CA99-4DB5-9B70-2D9DF797C9F8}"/>
    <cellStyle name="Normal 2 5 4 2 2 4 2 2 3" xfId="33405" xr:uid="{5599B6DE-4EAD-42FE-B790-859C91579426}"/>
    <cellStyle name="Normal 2 5 4 2 2 4 2 2 4" xfId="16533" xr:uid="{5F40FE36-19EE-4CE4-A59E-D747979FAF0A}"/>
    <cellStyle name="Normal 2 5 4 2 2 4 2 3" xfId="20753" xr:uid="{1B66B852-493D-4FDF-9973-5FBC8CA6F653}"/>
    <cellStyle name="Normal 2 5 4 2 2 4 2 4" xfId="29188" xr:uid="{AFEE9B14-9815-438C-9D0F-1F4F0A4AA328}"/>
    <cellStyle name="Normal 2 5 4 2 2 4 2 5" xfId="12315" xr:uid="{10671FC6-0DFB-44B2-BE02-5EB10995F5EE}"/>
    <cellStyle name="Normal 2 5 4 2 2 4 3" xfId="5949" xr:uid="{00000000-0005-0000-0000-000023110000}"/>
    <cellStyle name="Normal 2 5 4 2 2 4 3 2" xfId="22826" xr:uid="{D2E197B4-7A93-4A4F-B72C-231FB98D5917}"/>
    <cellStyle name="Normal 2 5 4 2 2 4 3 3" xfId="31260" xr:uid="{5CC6AAF5-76B2-4A4C-A2F1-B68484DBDC13}"/>
    <cellStyle name="Normal 2 5 4 2 2 4 3 4" xfId="14388" xr:uid="{9B0BEDE3-CCB4-4157-BC96-F41843085DCD}"/>
    <cellStyle name="Normal 2 5 4 2 2 4 4" xfId="18608" xr:uid="{E6378F37-D8A4-4536-9A31-086A4D726B55}"/>
    <cellStyle name="Normal 2 5 4 2 2 4 5" xfId="27043" xr:uid="{3FAE33A2-8204-4A21-B669-8D94AA6F5585}"/>
    <cellStyle name="Normal 2 5 4 2 2 4 6" xfId="10170" xr:uid="{30061B06-02F3-40ED-8717-EC258D12F22F}"/>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25384" xr:uid="{4ACF0351-5788-45ED-9C85-0C1A2B36B58B}"/>
    <cellStyle name="Normal 2 5 4 2 2 5 2 2 3" xfId="33818" xr:uid="{1EDF63F6-18CB-4727-B6D1-B97ACB6FE632}"/>
    <cellStyle name="Normal 2 5 4 2 2 5 2 2 4" xfId="16946" xr:uid="{0F4D36DF-9BD8-4B0F-8ED3-52ED3363CB9F}"/>
    <cellStyle name="Normal 2 5 4 2 2 5 2 3" xfId="21166" xr:uid="{03CFC414-FF61-44CD-837C-395360FA6F8E}"/>
    <cellStyle name="Normal 2 5 4 2 2 5 2 4" xfId="29601" xr:uid="{0939EE06-ACFB-464D-AAA0-D544FE43F6AF}"/>
    <cellStyle name="Normal 2 5 4 2 2 5 2 5" xfId="12728" xr:uid="{FD19D045-4430-41D4-9068-5E4EB937F707}"/>
    <cellStyle name="Normal 2 5 4 2 2 5 3" xfId="6362" xr:uid="{00000000-0005-0000-0000-000027110000}"/>
    <cellStyle name="Normal 2 5 4 2 2 5 3 2" xfId="23239" xr:uid="{E758F327-7CAF-4F28-B9B2-55D254FDC8C2}"/>
    <cellStyle name="Normal 2 5 4 2 2 5 3 3" xfId="31673" xr:uid="{55AF6625-9939-409C-9375-3EE63D12650A}"/>
    <cellStyle name="Normal 2 5 4 2 2 5 3 4" xfId="14801" xr:uid="{BB476FA6-2C23-4CBC-AFC6-6EB45217400E}"/>
    <cellStyle name="Normal 2 5 4 2 2 5 4" xfId="19021" xr:uid="{46535749-3678-4C8E-9F6E-BDAFC5279916}"/>
    <cellStyle name="Normal 2 5 4 2 2 5 5" xfId="27456" xr:uid="{CFED5BA1-E6C8-463B-9679-E2CDD742DEDA}"/>
    <cellStyle name="Normal 2 5 4 2 2 5 6" xfId="10583" xr:uid="{F4575621-8C5B-4F52-B02F-A55F2962FC2B}"/>
    <cellStyle name="Normal 2 5 4 2 2 6" xfId="2491" xr:uid="{00000000-0005-0000-0000-000028110000}"/>
    <cellStyle name="Normal 2 5 4 2 2 6 2" xfId="6775" xr:uid="{00000000-0005-0000-0000-000029110000}"/>
    <cellStyle name="Normal 2 5 4 2 2 6 2 2" xfId="23652" xr:uid="{6E537B20-0339-4C08-BCBB-EC83C1E0D046}"/>
    <cellStyle name="Normal 2 5 4 2 2 6 2 3" xfId="32086" xr:uid="{8A5C5E4C-4E94-4621-82EA-903F2D4AED98}"/>
    <cellStyle name="Normal 2 5 4 2 2 6 2 4" xfId="15214" xr:uid="{24B4BC4F-E0F2-4A89-974F-FD770DA926BA}"/>
    <cellStyle name="Normal 2 5 4 2 2 6 3" xfId="19434" xr:uid="{3244ACCD-8646-49E2-818C-CE902B822BF5}"/>
    <cellStyle name="Normal 2 5 4 2 2 6 4" xfId="27869" xr:uid="{CCFD0AF1-0F53-4879-875E-70C97C83228D}"/>
    <cellStyle name="Normal 2 5 4 2 2 6 5" xfId="10996" xr:uid="{04016A54-0C73-4579-B10D-9E215514B6FD}"/>
    <cellStyle name="Normal 2 5 4 2 2 7" xfId="4709" xr:uid="{00000000-0005-0000-0000-00002A110000}"/>
    <cellStyle name="Normal 2 5 4 2 2 7 2" xfId="21586" xr:uid="{D73CD1AA-B894-42C8-8FA1-9F0452E009B0}"/>
    <cellStyle name="Normal 2 5 4 2 2 7 3" xfId="30020" xr:uid="{C7B50311-B95F-4C29-8615-D670CC3B5726}"/>
    <cellStyle name="Normal 2 5 4 2 2 7 4" xfId="13148" xr:uid="{EFF2E615-432A-4F03-A90C-B68684CD78B0}"/>
    <cellStyle name="Normal 2 5 4 2 2 8" xfId="17368" xr:uid="{AB5B0D55-32BC-4477-96D9-A0019F6B7F0C}"/>
    <cellStyle name="Normal 2 5 4 2 2 9" xfId="25803" xr:uid="{2C27A990-C550-49D7-A9E9-5B4CE78C23D9}"/>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24144" xr:uid="{7B0B21CB-3F4C-4645-9AD4-7D6C64469041}"/>
    <cellStyle name="Normal 2 5 4 2 3 2 2 3" xfId="32578" xr:uid="{554D7E6D-1F87-4ECB-84CC-8718BF75490B}"/>
    <cellStyle name="Normal 2 5 4 2 3 2 2 4" xfId="15706" xr:uid="{DC55C44C-54F8-4E05-AD71-A8A5C2998DB3}"/>
    <cellStyle name="Normal 2 5 4 2 3 2 3" xfId="19926" xr:uid="{9C8E3FDB-2673-4815-BA07-2994B171E38B}"/>
    <cellStyle name="Normal 2 5 4 2 3 2 4" xfId="28361" xr:uid="{96A2923C-A805-48F5-ABB6-19EA8BD4AB17}"/>
    <cellStyle name="Normal 2 5 4 2 3 2 5" xfId="11488" xr:uid="{A4034D41-CD6C-4890-BFED-32DDEC7A213B}"/>
    <cellStyle name="Normal 2 5 4 2 3 3" xfId="5122" xr:uid="{00000000-0005-0000-0000-00002E110000}"/>
    <cellStyle name="Normal 2 5 4 2 3 3 2" xfId="21999" xr:uid="{6DBDBAD7-230A-45BB-8DC7-E6DF8F4D52EA}"/>
    <cellStyle name="Normal 2 5 4 2 3 3 3" xfId="30433" xr:uid="{AE1D0EB3-5CA6-4919-BE19-4C91A2D52757}"/>
    <cellStyle name="Normal 2 5 4 2 3 3 4" xfId="13561" xr:uid="{BCADB5AE-3D0E-400F-BA6A-4D37F329F12A}"/>
    <cellStyle name="Normal 2 5 4 2 3 4" xfId="17781" xr:uid="{05888144-9C39-427A-91EA-054219B8160A}"/>
    <cellStyle name="Normal 2 5 4 2 3 5" xfId="26216" xr:uid="{B39AE5D8-E2A2-4CD3-9A17-0192A69C5080}"/>
    <cellStyle name="Normal 2 5 4 2 3 6" xfId="9343" xr:uid="{38FA0CC0-0734-431F-AD50-3392222986E8}"/>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24557" xr:uid="{8B96C3A4-CADB-4EE8-B3E5-6F59FD42BFB7}"/>
    <cellStyle name="Normal 2 5 4 2 4 2 2 3" xfId="32991" xr:uid="{56BE2A4F-629D-4D92-84DA-1CBEFA1A32A2}"/>
    <cellStyle name="Normal 2 5 4 2 4 2 2 4" xfId="16119" xr:uid="{8D1EC20C-A6E9-4CAA-B39D-102C1AFA1CF4}"/>
    <cellStyle name="Normal 2 5 4 2 4 2 3" xfId="20339" xr:uid="{191CCF47-C1D5-4EFE-94DF-C818DF0C5F21}"/>
    <cellStyle name="Normal 2 5 4 2 4 2 4" xfId="28774" xr:uid="{698E37E1-C6C6-480E-BA5E-660DD4C8A5E5}"/>
    <cellStyle name="Normal 2 5 4 2 4 2 5" xfId="11901" xr:uid="{902FFE72-4B20-472D-BBCD-926A25134F8D}"/>
    <cellStyle name="Normal 2 5 4 2 4 3" xfId="5535" xr:uid="{00000000-0005-0000-0000-000032110000}"/>
    <cellStyle name="Normal 2 5 4 2 4 3 2" xfId="22412" xr:uid="{AFEF3CA4-706D-44C0-8056-243192639DF6}"/>
    <cellStyle name="Normal 2 5 4 2 4 3 3" xfId="30846" xr:uid="{86C5BED5-EA46-4C29-B30B-9E0026B0EFA4}"/>
    <cellStyle name="Normal 2 5 4 2 4 3 4" xfId="13974" xr:uid="{533510B6-E6D5-4827-A3EC-F246A8821639}"/>
    <cellStyle name="Normal 2 5 4 2 4 4" xfId="18194" xr:uid="{B3CC52B8-39F7-4CC6-8F95-F6F83817B4F1}"/>
    <cellStyle name="Normal 2 5 4 2 4 5" xfId="26629" xr:uid="{075ABF1D-37CB-493E-8F25-9D5BB5B3ED74}"/>
    <cellStyle name="Normal 2 5 4 2 4 6" xfId="9756" xr:uid="{031C9E57-B12E-4204-8A1A-3FE3E3715ECD}"/>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24970" xr:uid="{AE485B72-62DA-4454-9836-F66FE72F8CA6}"/>
    <cellStyle name="Normal 2 5 4 2 5 2 2 3" xfId="33404" xr:uid="{4AB298F4-3F69-4E55-B8F9-D0E960C162AC}"/>
    <cellStyle name="Normal 2 5 4 2 5 2 2 4" xfId="16532" xr:uid="{52E4E9DA-1D45-4313-8C29-16FC19823870}"/>
    <cellStyle name="Normal 2 5 4 2 5 2 3" xfId="20752" xr:uid="{033A98AD-50EC-4066-8B9A-06C0C009E524}"/>
    <cellStyle name="Normal 2 5 4 2 5 2 4" xfId="29187" xr:uid="{F69FFF3D-AB05-40CF-A22A-6A2FDDB5611F}"/>
    <cellStyle name="Normal 2 5 4 2 5 2 5" xfId="12314" xr:uid="{46556A04-A663-40E9-BE64-E78EEB0B723E}"/>
    <cellStyle name="Normal 2 5 4 2 5 3" xfId="5948" xr:uid="{00000000-0005-0000-0000-000036110000}"/>
    <cellStyle name="Normal 2 5 4 2 5 3 2" xfId="22825" xr:uid="{A6B11EFF-C64F-43D9-BD1A-C20392A1A8E3}"/>
    <cellStyle name="Normal 2 5 4 2 5 3 3" xfId="31259" xr:uid="{9E1C4C55-A6FA-4D14-BCBA-E930B5F7A28A}"/>
    <cellStyle name="Normal 2 5 4 2 5 3 4" xfId="14387" xr:uid="{5B914233-C705-4661-8869-EF2352082597}"/>
    <cellStyle name="Normal 2 5 4 2 5 4" xfId="18607" xr:uid="{980899FE-5E40-4E4E-B312-A7CD4FECAF09}"/>
    <cellStyle name="Normal 2 5 4 2 5 5" xfId="27042" xr:uid="{53D1C805-B3DA-45F5-B264-F03C121E9721}"/>
    <cellStyle name="Normal 2 5 4 2 5 6" xfId="10169" xr:uid="{D426C691-4714-4BD3-B792-1DF3C3327C4D}"/>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25383" xr:uid="{F119629B-E906-46C0-8C98-EBC89B6FC82D}"/>
    <cellStyle name="Normal 2 5 4 2 6 2 2 3" xfId="33817" xr:uid="{3F21614C-9C71-461B-A69C-E9B724D2C262}"/>
    <cellStyle name="Normal 2 5 4 2 6 2 2 4" xfId="16945" xr:uid="{18D6111B-BA05-4410-9A93-A80F4F32C4A1}"/>
    <cellStyle name="Normal 2 5 4 2 6 2 3" xfId="21165" xr:uid="{26BBE0EF-362D-45A1-A992-8F29709050AD}"/>
    <cellStyle name="Normal 2 5 4 2 6 2 4" xfId="29600" xr:uid="{BFB4DB12-A9B9-4314-8FE8-21CE3DC0DDBB}"/>
    <cellStyle name="Normal 2 5 4 2 6 2 5" xfId="12727" xr:uid="{65723E44-DB8B-4A21-A405-81C60B36C262}"/>
    <cellStyle name="Normal 2 5 4 2 6 3" xfId="6361" xr:uid="{00000000-0005-0000-0000-00003A110000}"/>
    <cellStyle name="Normal 2 5 4 2 6 3 2" xfId="23238" xr:uid="{832C42DD-1D0A-4A7D-9920-65C72503719F}"/>
    <cellStyle name="Normal 2 5 4 2 6 3 3" xfId="31672" xr:uid="{5E37A7BC-83FB-447A-994B-69C7BAD0344F}"/>
    <cellStyle name="Normal 2 5 4 2 6 3 4" xfId="14800" xr:uid="{BDD5BE2F-BCD0-4DA4-8E6F-26BF87C9EEBF}"/>
    <cellStyle name="Normal 2 5 4 2 6 4" xfId="19020" xr:uid="{F7E126BF-0222-4C49-A595-4E46D9EEAD62}"/>
    <cellStyle name="Normal 2 5 4 2 6 5" xfId="27455" xr:uid="{B360E5C9-AD3D-43F0-9CA3-972977D31482}"/>
    <cellStyle name="Normal 2 5 4 2 6 6" xfId="10582" xr:uid="{B0AE5C0C-6FE2-4F86-8B64-6811CC63AF4C}"/>
    <cellStyle name="Normal 2 5 4 2 7" xfId="2490" xr:uid="{00000000-0005-0000-0000-00003B110000}"/>
    <cellStyle name="Normal 2 5 4 2 7 2" xfId="6774" xr:uid="{00000000-0005-0000-0000-00003C110000}"/>
    <cellStyle name="Normal 2 5 4 2 7 2 2" xfId="23651" xr:uid="{CF6DCAF8-F38D-4DD4-AEE3-2E48A388C234}"/>
    <cellStyle name="Normal 2 5 4 2 7 2 3" xfId="32085" xr:uid="{DDF385E5-4D48-45F6-9EAD-4B6F655BEECE}"/>
    <cellStyle name="Normal 2 5 4 2 7 2 4" xfId="15213" xr:uid="{58FFF8C6-4D44-4A4A-B104-046312ECA3CA}"/>
    <cellStyle name="Normal 2 5 4 2 7 3" xfId="19433" xr:uid="{EE57ECAE-6567-49BE-874B-AA0E2F0B5937}"/>
    <cellStyle name="Normal 2 5 4 2 7 4" xfId="27868" xr:uid="{850277E9-AC2F-449F-AE5F-537A0ADC01A0}"/>
    <cellStyle name="Normal 2 5 4 2 7 5" xfId="10995" xr:uid="{8314446F-29C2-4BBE-8AE3-F9D58E2064A0}"/>
    <cellStyle name="Normal 2 5 4 2 8" xfId="4708" xr:uid="{00000000-0005-0000-0000-00003D110000}"/>
    <cellStyle name="Normal 2 5 4 2 8 2" xfId="21585" xr:uid="{8EF98958-8BA2-49D6-86AD-D6D37C404DD3}"/>
    <cellStyle name="Normal 2 5 4 2 8 3" xfId="30019" xr:uid="{736E0B4D-0231-49E4-B686-D0113797F149}"/>
    <cellStyle name="Normal 2 5 4 2 8 4" xfId="13147" xr:uid="{DE7ECAF3-1336-4799-96F4-EDCD3DFBDCFA}"/>
    <cellStyle name="Normal 2 5 4 2 9" xfId="17367" xr:uid="{2C51FCE5-97AC-44FE-8808-DD4ED57FF3DD}"/>
    <cellStyle name="Normal 2 5 4 3" xfId="321" xr:uid="{00000000-0005-0000-0000-00003E110000}"/>
    <cellStyle name="Normal 2 5 4 3 10" xfId="8931" xr:uid="{DA971381-7993-453B-9007-F5D6E56EB5EC}"/>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24146" xr:uid="{E5E8872D-1661-45E1-BBF6-EBADB783D9B3}"/>
    <cellStyle name="Normal 2 5 4 3 2 2 2 3" xfId="32580" xr:uid="{545D3DE1-F709-45DA-BABC-2D198382AC42}"/>
    <cellStyle name="Normal 2 5 4 3 2 2 2 4" xfId="15708" xr:uid="{4BDDB0AB-668C-4D50-B497-E87F8FC2B10E}"/>
    <cellStyle name="Normal 2 5 4 3 2 2 3" xfId="19928" xr:uid="{1D9D12D5-5CFA-448D-9F10-8C3F1EA17806}"/>
    <cellStyle name="Normal 2 5 4 3 2 2 4" xfId="28363" xr:uid="{45355CB1-5ABE-4DF0-82D6-7D87D3BBE62D}"/>
    <cellStyle name="Normal 2 5 4 3 2 2 5" xfId="11490" xr:uid="{E3C56FEC-F5E4-4A04-9CBB-F7C936A4425C}"/>
    <cellStyle name="Normal 2 5 4 3 2 3" xfId="5124" xr:uid="{00000000-0005-0000-0000-000042110000}"/>
    <cellStyle name="Normal 2 5 4 3 2 3 2" xfId="22001" xr:uid="{457055DD-5BD6-4BD7-B03D-308F1C74EDCD}"/>
    <cellStyle name="Normal 2 5 4 3 2 3 3" xfId="30435" xr:uid="{C43BDE6C-5D65-42AC-A2B5-782C6744263A}"/>
    <cellStyle name="Normal 2 5 4 3 2 3 4" xfId="13563" xr:uid="{D9A4F842-43CD-4DB8-9049-7661EF93FBA8}"/>
    <cellStyle name="Normal 2 5 4 3 2 4" xfId="17783" xr:uid="{6E0D83D0-7EFC-48E6-81C0-7EC14205E3F8}"/>
    <cellStyle name="Normal 2 5 4 3 2 5" xfId="26218" xr:uid="{54F847A2-752C-4F01-836C-503BB43C41FC}"/>
    <cellStyle name="Normal 2 5 4 3 2 6" xfId="9345" xr:uid="{679BB83B-F8DD-467E-ABA6-A457376C56A0}"/>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24559" xr:uid="{7B8EA76A-13A0-429E-967B-693B5EC1D7FC}"/>
    <cellStyle name="Normal 2 5 4 3 3 2 2 3" xfId="32993" xr:uid="{4C6FC87C-B5DC-49FD-BEA1-463749302CAC}"/>
    <cellStyle name="Normal 2 5 4 3 3 2 2 4" xfId="16121" xr:uid="{4ECB9201-8995-4FD6-9755-884BC130F53B}"/>
    <cellStyle name="Normal 2 5 4 3 3 2 3" xfId="20341" xr:uid="{865A98F9-D2AC-4B44-9818-43D3D171D17D}"/>
    <cellStyle name="Normal 2 5 4 3 3 2 4" xfId="28776" xr:uid="{7412D35D-1B73-4D93-B8D4-4B2FC2700736}"/>
    <cellStyle name="Normal 2 5 4 3 3 2 5" xfId="11903" xr:uid="{AA4B248A-9D95-4E94-84CF-D44F76F796B7}"/>
    <cellStyle name="Normal 2 5 4 3 3 3" xfId="5537" xr:uid="{00000000-0005-0000-0000-000046110000}"/>
    <cellStyle name="Normal 2 5 4 3 3 3 2" xfId="22414" xr:uid="{516AEA66-67B8-4CB7-AF83-89695AC011F8}"/>
    <cellStyle name="Normal 2 5 4 3 3 3 3" xfId="30848" xr:uid="{56E9AD0B-5A8F-4A88-B51B-3AA13939A3BF}"/>
    <cellStyle name="Normal 2 5 4 3 3 3 4" xfId="13976" xr:uid="{F91E7EE7-2667-4486-AAAB-3D25B05286FA}"/>
    <cellStyle name="Normal 2 5 4 3 3 4" xfId="18196" xr:uid="{710573A9-CB62-4310-BCCD-758277E43ED2}"/>
    <cellStyle name="Normal 2 5 4 3 3 5" xfId="26631" xr:uid="{2578CFC3-6DF6-42F5-A5BB-87CD20B0CC30}"/>
    <cellStyle name="Normal 2 5 4 3 3 6" xfId="9758" xr:uid="{EB5659C4-6ADA-42AD-90E1-FF4B5CA7626F}"/>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24972" xr:uid="{CD06C4FF-233A-4C0D-8DD4-FC6D82FB57CF}"/>
    <cellStyle name="Normal 2 5 4 3 4 2 2 3" xfId="33406" xr:uid="{5AEDCFC2-4625-4261-B510-4D4A9CE80854}"/>
    <cellStyle name="Normal 2 5 4 3 4 2 2 4" xfId="16534" xr:uid="{9D736734-5139-454A-8A4D-BFCD93B5D210}"/>
    <cellStyle name="Normal 2 5 4 3 4 2 3" xfId="20754" xr:uid="{E238F1C1-4BB8-4485-B56D-617FA0E0D4D8}"/>
    <cellStyle name="Normal 2 5 4 3 4 2 4" xfId="29189" xr:uid="{46C9E15B-E685-406A-A11F-61F3727B697D}"/>
    <cellStyle name="Normal 2 5 4 3 4 2 5" xfId="12316" xr:uid="{E1667AEB-D515-4043-9362-D4B57331BFC2}"/>
    <cellStyle name="Normal 2 5 4 3 4 3" xfId="5950" xr:uid="{00000000-0005-0000-0000-00004A110000}"/>
    <cellStyle name="Normal 2 5 4 3 4 3 2" xfId="22827" xr:uid="{CCCDD647-2BA0-4785-87F3-FF370986736E}"/>
    <cellStyle name="Normal 2 5 4 3 4 3 3" xfId="31261" xr:uid="{DAF9780C-9B97-4751-969D-20D7DC140A9A}"/>
    <cellStyle name="Normal 2 5 4 3 4 3 4" xfId="14389" xr:uid="{E0C46A6C-8A4B-478A-9B1D-13ADBB722D66}"/>
    <cellStyle name="Normal 2 5 4 3 4 4" xfId="18609" xr:uid="{E6C16893-CEA4-4150-92F5-8A751940C959}"/>
    <cellStyle name="Normal 2 5 4 3 4 5" xfId="27044" xr:uid="{0A3039E4-7414-44D6-813B-543C5C2AF1FC}"/>
    <cellStyle name="Normal 2 5 4 3 4 6" xfId="10171" xr:uid="{92A2250B-D7F3-4823-980C-B637DA0B12EA}"/>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25385" xr:uid="{ECD857AB-2FD3-4CA9-8524-52FA130B61B7}"/>
    <cellStyle name="Normal 2 5 4 3 5 2 2 3" xfId="33819" xr:uid="{5C4D1BD2-52BE-405F-AE26-F4658F8C0322}"/>
    <cellStyle name="Normal 2 5 4 3 5 2 2 4" xfId="16947" xr:uid="{CADE3B34-6E29-44A8-8161-A695059B5785}"/>
    <cellStyle name="Normal 2 5 4 3 5 2 3" xfId="21167" xr:uid="{228C0ED5-7ED1-4500-89D8-FB5B654D9D2B}"/>
    <cellStyle name="Normal 2 5 4 3 5 2 4" xfId="29602" xr:uid="{1D63F46B-1F12-471B-8A03-83965A54F087}"/>
    <cellStyle name="Normal 2 5 4 3 5 2 5" xfId="12729" xr:uid="{5DC4ED05-5FF1-4C61-A618-55AEAD4BAFD8}"/>
    <cellStyle name="Normal 2 5 4 3 5 3" xfId="6363" xr:uid="{00000000-0005-0000-0000-00004E110000}"/>
    <cellStyle name="Normal 2 5 4 3 5 3 2" xfId="23240" xr:uid="{345BB6C9-49ED-442B-B50C-B4316D5653A9}"/>
    <cellStyle name="Normal 2 5 4 3 5 3 3" xfId="31674" xr:uid="{E53F36E8-8AA8-43DE-9870-C33A6C030F39}"/>
    <cellStyle name="Normal 2 5 4 3 5 3 4" xfId="14802" xr:uid="{5A32C074-71A1-4E41-9CA6-CFC73D4FC8A3}"/>
    <cellStyle name="Normal 2 5 4 3 5 4" xfId="19022" xr:uid="{1075768A-D27B-4F90-B48F-1E589C8C7EEE}"/>
    <cellStyle name="Normal 2 5 4 3 5 5" xfId="27457" xr:uid="{B7245564-5770-480E-A29B-DECC96E766D9}"/>
    <cellStyle name="Normal 2 5 4 3 5 6" xfId="10584" xr:uid="{4E87D932-B9CA-4B2F-A71D-97BD51766CBF}"/>
    <cellStyle name="Normal 2 5 4 3 6" xfId="2492" xr:uid="{00000000-0005-0000-0000-00004F110000}"/>
    <cellStyle name="Normal 2 5 4 3 6 2" xfId="6776" xr:uid="{00000000-0005-0000-0000-000050110000}"/>
    <cellStyle name="Normal 2 5 4 3 6 2 2" xfId="23653" xr:uid="{3FE2EB3A-0B02-4852-AACC-E4E3D5450DC4}"/>
    <cellStyle name="Normal 2 5 4 3 6 2 3" xfId="32087" xr:uid="{62ED7016-3243-4883-A881-5918C72A97AA}"/>
    <cellStyle name="Normal 2 5 4 3 6 2 4" xfId="15215" xr:uid="{23666E55-5D71-4F9B-A053-B7BE995C630D}"/>
    <cellStyle name="Normal 2 5 4 3 6 3" xfId="19435" xr:uid="{68AEA310-8144-45B4-B3D9-ACEF6511C283}"/>
    <cellStyle name="Normal 2 5 4 3 6 4" xfId="27870" xr:uid="{88ED7A94-FF07-4019-948B-7F0588B5E047}"/>
    <cellStyle name="Normal 2 5 4 3 6 5" xfId="10997" xr:uid="{AE9595C7-EB05-41B5-B0B7-18E48286D4EA}"/>
    <cellStyle name="Normal 2 5 4 3 7" xfId="4710" xr:uid="{00000000-0005-0000-0000-000051110000}"/>
    <cellStyle name="Normal 2 5 4 3 7 2" xfId="21587" xr:uid="{DD5B64EC-CDA6-4814-AEA7-6866CFF48488}"/>
    <cellStyle name="Normal 2 5 4 3 7 3" xfId="30021" xr:uid="{B6E713AD-11B8-4356-93AA-7C6EF11796E2}"/>
    <cellStyle name="Normal 2 5 4 3 7 4" xfId="13149" xr:uid="{824A529A-E0A2-457B-9672-525677E425D1}"/>
    <cellStyle name="Normal 2 5 4 3 8" xfId="17369" xr:uid="{950E6918-28FE-4DD2-A8FF-F6C332E608A6}"/>
    <cellStyle name="Normal 2 5 4 3 9" xfId="25804" xr:uid="{4BE54969-F539-498B-8D19-4CCFBC86C0A6}"/>
    <cellStyle name="Normal 2 5 4 4" xfId="804" xr:uid="{00000000-0005-0000-0000-000052110000}"/>
    <cellStyle name="Normal 2 5 4 4 2" xfId="3043" xr:uid="{00000000-0005-0000-0000-000053110000}"/>
    <cellStyle name="Normal 2 5 4 4 2 2" xfId="7266" xr:uid="{00000000-0005-0000-0000-000054110000}"/>
    <cellStyle name="Normal 2 5 4 4 2 2 2" xfId="24143" xr:uid="{514CA411-7204-4392-9CE6-E82FF8916F54}"/>
    <cellStyle name="Normal 2 5 4 4 2 2 3" xfId="32577" xr:uid="{D6083CCC-8499-408D-AC46-AA4B3E3DE9AC}"/>
    <cellStyle name="Normal 2 5 4 4 2 2 4" xfId="15705" xr:uid="{056DFD18-8D25-45FC-BA00-26B16E8C5D5D}"/>
    <cellStyle name="Normal 2 5 4 4 2 3" xfId="19925" xr:uid="{8E28D596-FCB1-47C6-9F0A-CB8A902841A2}"/>
    <cellStyle name="Normal 2 5 4 4 2 4" xfId="28360" xr:uid="{F3F4D073-0CBA-4BF1-9097-C767F53E5B7C}"/>
    <cellStyle name="Normal 2 5 4 4 2 5" xfId="11487" xr:uid="{DC23A65E-CE3E-4864-985E-5DFB8CBCD744}"/>
    <cellStyle name="Normal 2 5 4 4 3" xfId="5121" xr:uid="{00000000-0005-0000-0000-000055110000}"/>
    <cellStyle name="Normal 2 5 4 4 3 2" xfId="21998" xr:uid="{57CC1DE5-74B3-442D-B312-53D6D20A69A0}"/>
    <cellStyle name="Normal 2 5 4 4 3 3" xfId="30432" xr:uid="{AC6CD7F9-3517-43D1-8715-805E7CF60466}"/>
    <cellStyle name="Normal 2 5 4 4 3 4" xfId="13560" xr:uid="{B6793A47-E53F-444A-9BA0-48776648ACC4}"/>
    <cellStyle name="Normal 2 5 4 4 4" xfId="17780" xr:uid="{575C2326-4063-4B4F-8A80-C3D5133376DF}"/>
    <cellStyle name="Normal 2 5 4 4 5" xfId="26215" xr:uid="{3B8866E0-C863-48C8-B1FB-A66E68B31737}"/>
    <cellStyle name="Normal 2 5 4 4 6" xfId="9342" xr:uid="{337A53A4-D4C8-4C18-87BC-7F5C246B773A}"/>
    <cellStyle name="Normal 2 5 4 5" xfId="1226" xr:uid="{00000000-0005-0000-0000-000056110000}"/>
    <cellStyle name="Normal 2 5 4 5 2" xfId="3456" xr:uid="{00000000-0005-0000-0000-000057110000}"/>
    <cellStyle name="Normal 2 5 4 5 2 2" xfId="7679" xr:uid="{00000000-0005-0000-0000-000058110000}"/>
    <cellStyle name="Normal 2 5 4 5 2 2 2" xfId="24556" xr:uid="{9E9E65C5-054E-42E0-BFC4-E44733E15FAC}"/>
    <cellStyle name="Normal 2 5 4 5 2 2 3" xfId="32990" xr:uid="{12F4A75B-2D61-445C-BCA0-F99C40117C70}"/>
    <cellStyle name="Normal 2 5 4 5 2 2 4" xfId="16118" xr:uid="{FF5C4B30-22DD-4BE0-A81C-E53BC1069E89}"/>
    <cellStyle name="Normal 2 5 4 5 2 3" xfId="20338" xr:uid="{2275607C-E772-42DB-980D-D77F05543FBF}"/>
    <cellStyle name="Normal 2 5 4 5 2 4" xfId="28773" xr:uid="{FCE55AD1-AAE9-4FA6-9CA2-23098FD9A030}"/>
    <cellStyle name="Normal 2 5 4 5 2 5" xfId="11900" xr:uid="{0CA7FCF8-C9E8-4785-9921-9C704D53C98D}"/>
    <cellStyle name="Normal 2 5 4 5 3" xfId="5534" xr:uid="{00000000-0005-0000-0000-000059110000}"/>
    <cellStyle name="Normal 2 5 4 5 3 2" xfId="22411" xr:uid="{23D2942A-9895-4E30-8368-ED60DDBEC6AB}"/>
    <cellStyle name="Normal 2 5 4 5 3 3" xfId="30845" xr:uid="{22DFF93A-6DF3-4AA0-8628-488AD6ABB663}"/>
    <cellStyle name="Normal 2 5 4 5 3 4" xfId="13973" xr:uid="{8D816840-B2BC-4D4F-85A8-0235E6898FD3}"/>
    <cellStyle name="Normal 2 5 4 5 4" xfId="18193" xr:uid="{9173E89B-7FD6-44FA-9A74-C8C44478B1A3}"/>
    <cellStyle name="Normal 2 5 4 5 5" xfId="26628" xr:uid="{E09631A3-AA57-4ECE-842A-DC981B030AEC}"/>
    <cellStyle name="Normal 2 5 4 5 6" xfId="9755" xr:uid="{14CA4BF1-6841-4293-AC4E-B4306B858FFC}"/>
    <cellStyle name="Normal 2 5 4 6" xfId="1639" xr:uid="{00000000-0005-0000-0000-00005A110000}"/>
    <cellStyle name="Normal 2 5 4 6 2" xfId="3869" xr:uid="{00000000-0005-0000-0000-00005B110000}"/>
    <cellStyle name="Normal 2 5 4 6 2 2" xfId="8092" xr:uid="{00000000-0005-0000-0000-00005C110000}"/>
    <cellStyle name="Normal 2 5 4 6 2 2 2" xfId="24969" xr:uid="{E0E03A56-8100-4AB9-9501-A3587461BC74}"/>
    <cellStyle name="Normal 2 5 4 6 2 2 3" xfId="33403" xr:uid="{6A3013FD-3FEA-4B74-B42A-818B34CE90C7}"/>
    <cellStyle name="Normal 2 5 4 6 2 2 4" xfId="16531" xr:uid="{6E2B0996-27D9-4035-BB43-C57F2FE73910}"/>
    <cellStyle name="Normal 2 5 4 6 2 3" xfId="20751" xr:uid="{CDECD685-82E1-455C-81AF-6A1A00B57FE1}"/>
    <cellStyle name="Normal 2 5 4 6 2 4" xfId="29186" xr:uid="{4C139966-F18F-4146-887F-73006642E83B}"/>
    <cellStyle name="Normal 2 5 4 6 2 5" xfId="12313" xr:uid="{4C05052F-33B8-4733-9DDF-DBF1A86EAD6D}"/>
    <cellStyle name="Normal 2 5 4 6 3" xfId="5947" xr:uid="{00000000-0005-0000-0000-00005D110000}"/>
    <cellStyle name="Normal 2 5 4 6 3 2" xfId="22824" xr:uid="{A58B3AD8-D38C-4EB2-B2CD-2CE67DD5E995}"/>
    <cellStyle name="Normal 2 5 4 6 3 3" xfId="31258" xr:uid="{100B0026-9F5D-43F2-9A90-1467A4C9BF46}"/>
    <cellStyle name="Normal 2 5 4 6 3 4" xfId="14386" xr:uid="{F83779CE-47B4-49EA-B16A-7E3AA4F0AE60}"/>
    <cellStyle name="Normal 2 5 4 6 4" xfId="18606" xr:uid="{183B162D-E5B4-4AE9-B58C-146B4714FA95}"/>
    <cellStyle name="Normal 2 5 4 6 5" xfId="27041" xr:uid="{303860B0-6D6E-46C1-AEF4-EFE343BDBF05}"/>
    <cellStyle name="Normal 2 5 4 6 6" xfId="10168" xr:uid="{E98F97A1-2D55-4E2A-87B2-58C5814B93C8}"/>
    <cellStyle name="Normal 2 5 4 7" xfId="2053" xr:uid="{00000000-0005-0000-0000-00005E110000}"/>
    <cellStyle name="Normal 2 5 4 7 2" xfId="4282" xr:uid="{00000000-0005-0000-0000-00005F110000}"/>
    <cellStyle name="Normal 2 5 4 7 2 2" xfId="8505" xr:uid="{00000000-0005-0000-0000-000060110000}"/>
    <cellStyle name="Normal 2 5 4 7 2 2 2" xfId="25382" xr:uid="{07B18609-8864-4E2E-A4A1-A316D3AFDE9C}"/>
    <cellStyle name="Normal 2 5 4 7 2 2 3" xfId="33816" xr:uid="{D6FD8482-303E-4B51-BB11-964640E9167C}"/>
    <cellStyle name="Normal 2 5 4 7 2 2 4" xfId="16944" xr:uid="{D878AEA4-A364-4C5C-A39A-2A05A63FFAF0}"/>
    <cellStyle name="Normal 2 5 4 7 2 3" xfId="21164" xr:uid="{2CDA21B8-6B8E-4F3F-A9B3-8A58A853CC23}"/>
    <cellStyle name="Normal 2 5 4 7 2 4" xfId="29599" xr:uid="{AE08438F-BB0F-45E5-A442-91AE061B5AFF}"/>
    <cellStyle name="Normal 2 5 4 7 2 5" xfId="12726" xr:uid="{115AF8A4-4449-4172-B842-0D38950F6062}"/>
    <cellStyle name="Normal 2 5 4 7 3" xfId="6360" xr:uid="{00000000-0005-0000-0000-000061110000}"/>
    <cellStyle name="Normal 2 5 4 7 3 2" xfId="23237" xr:uid="{CBB09120-D882-4717-823D-9398E8C6DFA3}"/>
    <cellStyle name="Normal 2 5 4 7 3 3" xfId="31671" xr:uid="{BD82E64E-76F2-4996-A97A-7B1B2E532CE7}"/>
    <cellStyle name="Normal 2 5 4 7 3 4" xfId="14799" xr:uid="{89E18C20-15BC-4DE5-A3F1-9ADA8CEEC736}"/>
    <cellStyle name="Normal 2 5 4 7 4" xfId="19019" xr:uid="{275E6ACE-AEA9-4C7D-8761-AA2AD6ABB2C4}"/>
    <cellStyle name="Normal 2 5 4 7 5" xfId="27454" xr:uid="{3ADED36B-8F96-4B54-8EFE-F6195824CC26}"/>
    <cellStyle name="Normal 2 5 4 7 6" xfId="10581" xr:uid="{CE05FC35-D9DA-43CA-98BD-41A4FE044ABD}"/>
    <cellStyle name="Normal 2 5 4 8" xfId="2489" xr:uid="{00000000-0005-0000-0000-000062110000}"/>
    <cellStyle name="Normal 2 5 4 8 2" xfId="6773" xr:uid="{00000000-0005-0000-0000-000063110000}"/>
    <cellStyle name="Normal 2 5 4 8 2 2" xfId="23650" xr:uid="{69F6CA90-CE32-41F6-AF8E-4B8246CC4350}"/>
    <cellStyle name="Normal 2 5 4 8 2 3" xfId="32084" xr:uid="{68055AC6-3E0E-4F3F-993E-96032296F45D}"/>
    <cellStyle name="Normal 2 5 4 8 2 4" xfId="15212" xr:uid="{B925C9E0-5A3A-4EFB-BA8E-E2A0A93BB1F5}"/>
    <cellStyle name="Normal 2 5 4 8 3" xfId="19432" xr:uid="{69CE9F81-D198-41C1-B6B5-6F75F2589DCE}"/>
    <cellStyle name="Normal 2 5 4 8 4" xfId="27867" xr:uid="{5B0354B5-A437-4710-B99A-8CFB1804577E}"/>
    <cellStyle name="Normal 2 5 4 8 5" xfId="10994" xr:uid="{386FB461-540B-4C1D-85AA-ECD7033F2B9E}"/>
    <cellStyle name="Normal 2 5 4 9" xfId="4707" xr:uid="{00000000-0005-0000-0000-000064110000}"/>
    <cellStyle name="Normal 2 5 4 9 2" xfId="21584" xr:uid="{70A0A1CD-3510-4EC7-B024-FD0ADB89C3E6}"/>
    <cellStyle name="Normal 2 5 4 9 3" xfId="30018" xr:uid="{4C15C64F-86F0-4B9B-890D-969C96019254}"/>
    <cellStyle name="Normal 2 5 4 9 4" xfId="13146" xr:uid="{79D1A8C1-157C-447D-BED1-2D0200F41DA7}"/>
    <cellStyle name="Normal 2 5 5" xfId="803" xr:uid="{00000000-0005-0000-0000-000065110000}"/>
    <cellStyle name="Normal 2 5 5 2" xfId="3042" xr:uid="{00000000-0005-0000-0000-000066110000}"/>
    <cellStyle name="Normal 2 5 5 2 2" xfId="7265" xr:uid="{00000000-0005-0000-0000-000067110000}"/>
    <cellStyle name="Normal 2 5 5 2 2 2" xfId="24142" xr:uid="{A5388791-EEF4-463E-B896-6E16B911D472}"/>
    <cellStyle name="Normal 2 5 5 2 2 3" xfId="32576" xr:uid="{59BCD505-6009-423B-BEA3-1FC871D4829C}"/>
    <cellStyle name="Normal 2 5 5 2 2 4" xfId="15704" xr:uid="{47B26370-87EF-47C6-8C10-DBFB45346168}"/>
    <cellStyle name="Normal 2 5 5 2 3" xfId="19924" xr:uid="{99CCD342-76EB-4419-850B-B0E0CB8D8755}"/>
    <cellStyle name="Normal 2 5 5 2 4" xfId="28359" xr:uid="{924462A4-5EA8-4373-B62F-3107F7077369}"/>
    <cellStyle name="Normal 2 5 5 2 5" xfId="11486" xr:uid="{92AAB7FD-FD04-4CDB-B5C7-594902D9371D}"/>
    <cellStyle name="Normal 2 5 5 3" xfId="5120" xr:uid="{00000000-0005-0000-0000-000068110000}"/>
    <cellStyle name="Normal 2 5 5 3 2" xfId="21997" xr:uid="{EB9D23EB-6C07-4DF6-9BD6-6E0449318562}"/>
    <cellStyle name="Normal 2 5 5 3 3" xfId="30431" xr:uid="{1C4E32AE-FAD5-4759-B40B-E1C745CC7E3D}"/>
    <cellStyle name="Normal 2 5 5 3 4" xfId="13559" xr:uid="{1164B4C9-FDE9-44AF-980F-BC7DC33590D0}"/>
    <cellStyle name="Normal 2 5 5 4" xfId="17779" xr:uid="{41D28012-231E-4610-BB23-66EEF128B6FB}"/>
    <cellStyle name="Normal 2 5 5 5" xfId="26214" xr:uid="{75008A07-402A-4EC7-98E7-2DA2D0ABC729}"/>
    <cellStyle name="Normal 2 5 5 6" xfId="9341" xr:uid="{1C746612-88A6-47F1-B692-E7E9AA7B4AD2}"/>
    <cellStyle name="Normal 2 5 6" xfId="1225" xr:uid="{00000000-0005-0000-0000-000069110000}"/>
    <cellStyle name="Normal 2 5 6 2" xfId="3455" xr:uid="{00000000-0005-0000-0000-00006A110000}"/>
    <cellStyle name="Normal 2 5 6 2 2" xfId="7678" xr:uid="{00000000-0005-0000-0000-00006B110000}"/>
    <cellStyle name="Normal 2 5 6 2 2 2" xfId="24555" xr:uid="{EA64CEB6-613C-4615-8508-AB247EF1A443}"/>
    <cellStyle name="Normal 2 5 6 2 2 3" xfId="32989" xr:uid="{3AE10626-019A-4468-8A80-BDB6CB961335}"/>
    <cellStyle name="Normal 2 5 6 2 2 4" xfId="16117" xr:uid="{E4DABBAE-D7C1-41C2-84BE-8BEBC66A136C}"/>
    <cellStyle name="Normal 2 5 6 2 3" xfId="20337" xr:uid="{0B529724-53DD-417A-B407-23B391D9A2C6}"/>
    <cellStyle name="Normal 2 5 6 2 4" xfId="28772" xr:uid="{0C886EF4-1AA8-46A7-816E-2F72C76884F5}"/>
    <cellStyle name="Normal 2 5 6 2 5" xfId="11899" xr:uid="{D9A6611B-54FD-4DA9-B524-D40609B735DF}"/>
    <cellStyle name="Normal 2 5 6 3" xfId="5533" xr:uid="{00000000-0005-0000-0000-00006C110000}"/>
    <cellStyle name="Normal 2 5 6 3 2" xfId="22410" xr:uid="{B96025A2-78C7-465F-97BF-B14E7449395F}"/>
    <cellStyle name="Normal 2 5 6 3 3" xfId="30844" xr:uid="{3D247F25-96AA-48D3-8313-023BE50C2F04}"/>
    <cellStyle name="Normal 2 5 6 3 4" xfId="13972" xr:uid="{7060C32D-52BF-46C6-8ED3-BF6E85F6E937}"/>
    <cellStyle name="Normal 2 5 6 4" xfId="18192" xr:uid="{FD06A563-24C0-4521-8FC5-CB1B7C8CB85D}"/>
    <cellStyle name="Normal 2 5 6 5" xfId="26627" xr:uid="{45E503BE-9A93-4369-A39C-F99EC9A17FFD}"/>
    <cellStyle name="Normal 2 5 6 6" xfId="9754" xr:uid="{44F6B33B-A979-4BCF-B821-31F46AD68487}"/>
    <cellStyle name="Normal 2 5 7" xfId="1638" xr:uid="{00000000-0005-0000-0000-00006D110000}"/>
    <cellStyle name="Normal 2 5 7 2" xfId="3868" xr:uid="{00000000-0005-0000-0000-00006E110000}"/>
    <cellStyle name="Normal 2 5 7 2 2" xfId="8091" xr:uid="{00000000-0005-0000-0000-00006F110000}"/>
    <cellStyle name="Normal 2 5 7 2 2 2" xfId="24968" xr:uid="{70DFB0FB-5D72-495E-8F3C-9E2966043221}"/>
    <cellStyle name="Normal 2 5 7 2 2 3" xfId="33402" xr:uid="{3A105CEF-C0BC-4D49-8663-E0107427D0B4}"/>
    <cellStyle name="Normal 2 5 7 2 2 4" xfId="16530" xr:uid="{66212EEF-5009-4023-B939-060EDFBC2725}"/>
    <cellStyle name="Normal 2 5 7 2 3" xfId="20750" xr:uid="{C7747CCF-B540-404E-B462-4489388EB2F2}"/>
    <cellStyle name="Normal 2 5 7 2 4" xfId="29185" xr:uid="{AA8BD21E-26F4-49F0-A3C7-A754FEB707B3}"/>
    <cellStyle name="Normal 2 5 7 2 5" xfId="12312" xr:uid="{B6F96DCC-3E22-4013-B4B4-D5684EDD0208}"/>
    <cellStyle name="Normal 2 5 7 3" xfId="5946" xr:uid="{00000000-0005-0000-0000-000070110000}"/>
    <cellStyle name="Normal 2 5 7 3 2" xfId="22823" xr:uid="{0A07ECEA-033D-4D7D-9A40-36EF0C84727F}"/>
    <cellStyle name="Normal 2 5 7 3 3" xfId="31257" xr:uid="{B242CE2B-8644-4440-A1C3-1751FECC5E5B}"/>
    <cellStyle name="Normal 2 5 7 3 4" xfId="14385" xr:uid="{8DE2569D-BC48-402F-B745-244361D236EE}"/>
    <cellStyle name="Normal 2 5 7 4" xfId="18605" xr:uid="{B20293A5-5AFD-4B47-A305-06B9D9EDB4AA}"/>
    <cellStyle name="Normal 2 5 7 5" xfId="27040" xr:uid="{AE441C06-0AF5-40CB-B62A-9C72FA53CF16}"/>
    <cellStyle name="Normal 2 5 7 6" xfId="10167" xr:uid="{6B44C777-223A-4163-BA15-F75C01C76FFE}"/>
    <cellStyle name="Normal 2 5 8" xfId="2052" xr:uid="{00000000-0005-0000-0000-000071110000}"/>
    <cellStyle name="Normal 2 5 8 2" xfId="4281" xr:uid="{00000000-0005-0000-0000-000072110000}"/>
    <cellStyle name="Normal 2 5 8 2 2" xfId="8504" xr:uid="{00000000-0005-0000-0000-000073110000}"/>
    <cellStyle name="Normal 2 5 8 2 2 2" xfId="25381" xr:uid="{A592E8F7-3A1B-495C-ABF0-AA637038BF93}"/>
    <cellStyle name="Normal 2 5 8 2 2 3" xfId="33815" xr:uid="{5A67242E-4417-417C-91B0-CFBF64ACA703}"/>
    <cellStyle name="Normal 2 5 8 2 2 4" xfId="16943" xr:uid="{48CDBF67-748F-43A2-8CAB-9C4371E235AA}"/>
    <cellStyle name="Normal 2 5 8 2 3" xfId="21163" xr:uid="{EBA91CE6-D990-41F0-A34C-DD308C63EC24}"/>
    <cellStyle name="Normal 2 5 8 2 4" xfId="29598" xr:uid="{551B4376-1B3D-4274-A61E-318CFD1703C1}"/>
    <cellStyle name="Normal 2 5 8 2 5" xfId="12725" xr:uid="{6E9F9236-9987-4290-89A1-2C12E181FDC6}"/>
    <cellStyle name="Normal 2 5 8 3" xfId="6359" xr:uid="{00000000-0005-0000-0000-000074110000}"/>
    <cellStyle name="Normal 2 5 8 3 2" xfId="23236" xr:uid="{1CBB6A46-C127-46CD-818C-64022FB7962F}"/>
    <cellStyle name="Normal 2 5 8 3 3" xfId="31670" xr:uid="{3E72E89F-0EDA-401C-864D-74EF5F3608AB}"/>
    <cellStyle name="Normal 2 5 8 3 4" xfId="14798" xr:uid="{448D21DD-8778-41F7-B953-719196C8A299}"/>
    <cellStyle name="Normal 2 5 8 4" xfId="19018" xr:uid="{7AACCB0F-3377-4C5B-B68A-4016D2E49990}"/>
    <cellStyle name="Normal 2 5 8 5" xfId="27453" xr:uid="{E6EF0922-3669-42BD-8BC4-63D790944DBC}"/>
    <cellStyle name="Normal 2 5 8 6" xfId="10580" xr:uid="{BC6761D1-F376-4FEB-A655-9FE83EF193C4}"/>
    <cellStyle name="Normal 2 5 9" xfId="2488" xr:uid="{00000000-0005-0000-0000-000075110000}"/>
    <cellStyle name="Normal 2 5 9 2" xfId="6772" xr:uid="{00000000-0005-0000-0000-000076110000}"/>
    <cellStyle name="Normal 2 5 9 2 2" xfId="23649" xr:uid="{6DE1AF19-B5A8-41CD-B03F-1826A6A20AF5}"/>
    <cellStyle name="Normal 2 5 9 2 3" xfId="32083" xr:uid="{A295C3D8-9DA8-4F7F-98B7-E8DC21090754}"/>
    <cellStyle name="Normal 2 5 9 2 4" xfId="15211" xr:uid="{745F6A59-28B4-4992-BBD3-6297EDB0AB30}"/>
    <cellStyle name="Normal 2 5 9 3" xfId="19431" xr:uid="{ECB58FE0-9A67-4A3E-B1D5-A655C051135B}"/>
    <cellStyle name="Normal 2 5 9 4" xfId="27866" xr:uid="{B57C28A6-0C3E-4B8E-A4A8-4A52A1027324}"/>
    <cellStyle name="Normal 2 5 9 5" xfId="10993" xr:uid="{4286FDFA-9DFB-4E36-A683-34BEECC643C7}"/>
    <cellStyle name="Normal 2 6" xfId="322" xr:uid="{00000000-0005-0000-0000-000077110000}"/>
    <cellStyle name="Normal 2 7" xfId="769" xr:uid="{00000000-0005-0000-0000-000078110000}"/>
    <cellStyle name="Normal 2 8" xfId="4495" xr:uid="{00000000-0005-0000-0000-000079110000}"/>
    <cellStyle name="Normal 2 8 2" xfId="21375" xr:uid="{017BDBF8-6AEC-472E-A2CF-0860746A0C70}"/>
    <cellStyle name="Normal 2 8 3" xfId="12937" xr:uid="{34BCE905-4D9C-47FB-A9A1-29C77A2B1C3F}"/>
    <cellStyle name="Normal 3" xfId="323" xr:uid="{00000000-0005-0000-0000-00007A110000}"/>
    <cellStyle name="Normal 3 2" xfId="324" xr:uid="{00000000-0005-0000-0000-00007B110000}"/>
    <cellStyle name="Normal 3 2 10" xfId="17370" xr:uid="{4B97DECC-048A-4E84-9B1B-549B7BED4B40}"/>
    <cellStyle name="Normal 3 2 11" xfId="25805" xr:uid="{3DA1B06D-057B-4661-B7A1-E0CAEE02AF63}"/>
    <cellStyle name="Normal 3 2 12" xfId="8932" xr:uid="{45242836-C77D-42C8-82D2-E676162DAED8}"/>
    <cellStyle name="Normal 3 2 2" xfId="325" xr:uid="{00000000-0005-0000-0000-00007C110000}"/>
    <cellStyle name="Normal 3 2 2 2" xfId="810" xr:uid="{00000000-0005-0000-0000-00007D110000}"/>
    <cellStyle name="Normal 3 2 3" xfId="326" xr:uid="{00000000-0005-0000-0000-00007E110000}"/>
    <cellStyle name="Normal 3 2 3 10" xfId="17371" xr:uid="{90A77024-7F0E-4637-B5FE-54219CA3562B}"/>
    <cellStyle name="Normal 3 2 3 11" xfId="25806" xr:uid="{67515D70-EC36-428B-821C-6AEE1408F7DA}"/>
    <cellStyle name="Normal 3 2 3 12" xfId="8933" xr:uid="{38B2C83F-58EF-4EE1-B3DC-46652472B6A0}"/>
    <cellStyle name="Normal 3 2 3 2" xfId="327" xr:uid="{00000000-0005-0000-0000-00007F110000}"/>
    <cellStyle name="Normal 3 2 3 2 10" xfId="25807" xr:uid="{4B651FC5-DDF0-4060-9B3D-224E852302D9}"/>
    <cellStyle name="Normal 3 2 3 2 11" xfId="8934" xr:uid="{D861D310-D747-444D-99F9-F9160898756A}"/>
    <cellStyle name="Normal 3 2 3 2 2" xfId="328" xr:uid="{00000000-0005-0000-0000-000080110000}"/>
    <cellStyle name="Normal 3 2 3 2 2 10" xfId="8935" xr:uid="{1792DAF5-AB2D-4A79-8350-4A9726B0A4E6}"/>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24150" xr:uid="{CAD769DE-0FBE-4D32-85B3-8254CE7AA641}"/>
    <cellStyle name="Normal 3 2 3 2 2 2 2 2 3" xfId="32584" xr:uid="{66EB8C2E-7C2D-474D-8E81-531C6DA1C9E4}"/>
    <cellStyle name="Normal 3 2 3 2 2 2 2 2 4" xfId="15712" xr:uid="{4E0AD18F-46B8-4FD9-8D97-AACA442573B3}"/>
    <cellStyle name="Normal 3 2 3 2 2 2 2 3" xfId="19932" xr:uid="{FA24712F-0106-42BD-B115-9E16CDFDB4FF}"/>
    <cellStyle name="Normal 3 2 3 2 2 2 2 4" xfId="28367" xr:uid="{FD3B55A0-E4D1-44CC-9897-7C4F9E4468E4}"/>
    <cellStyle name="Normal 3 2 3 2 2 2 2 5" xfId="11494" xr:uid="{0B8C4270-88C8-4C76-93C7-F953507D6592}"/>
    <cellStyle name="Normal 3 2 3 2 2 2 3" xfId="5128" xr:uid="{00000000-0005-0000-0000-000084110000}"/>
    <cellStyle name="Normal 3 2 3 2 2 2 3 2" xfId="22005" xr:uid="{DC243285-B6BD-4A19-A58D-627B9CBE9534}"/>
    <cellStyle name="Normal 3 2 3 2 2 2 3 3" xfId="30439" xr:uid="{6D6B86FA-0FB6-4AAB-8B34-3B37EB93550A}"/>
    <cellStyle name="Normal 3 2 3 2 2 2 3 4" xfId="13567" xr:uid="{2C6B668B-03DF-48BC-B862-1E8D51BDB53D}"/>
    <cellStyle name="Normal 3 2 3 2 2 2 4" xfId="17787" xr:uid="{0DB52247-813C-4EB0-9FBC-B29CEC195794}"/>
    <cellStyle name="Normal 3 2 3 2 2 2 5" xfId="26222" xr:uid="{EAC3CBC3-3712-44F8-902A-DC91CD6A8D7F}"/>
    <cellStyle name="Normal 3 2 3 2 2 2 6" xfId="9349" xr:uid="{75D1938B-F219-43EC-893F-6DA5FD668B9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24563" xr:uid="{DECA63E6-6339-42E2-AB46-44EDE25A73C0}"/>
    <cellStyle name="Normal 3 2 3 2 2 3 2 2 3" xfId="32997" xr:uid="{AAA408C0-7D07-4F6B-AA24-AB2C48D23C2B}"/>
    <cellStyle name="Normal 3 2 3 2 2 3 2 2 4" xfId="16125" xr:uid="{67E80789-5B87-485A-B070-9CC3B41D9EE7}"/>
    <cellStyle name="Normal 3 2 3 2 2 3 2 3" xfId="20345" xr:uid="{77FB5496-59D7-43E5-B556-1FA5B3424F06}"/>
    <cellStyle name="Normal 3 2 3 2 2 3 2 4" xfId="28780" xr:uid="{A9D7F849-F153-4A7B-9E87-A179039B18D8}"/>
    <cellStyle name="Normal 3 2 3 2 2 3 2 5" xfId="11907" xr:uid="{44883E5D-E312-448F-BDFF-452305BA380F}"/>
    <cellStyle name="Normal 3 2 3 2 2 3 3" xfId="5541" xr:uid="{00000000-0005-0000-0000-000088110000}"/>
    <cellStyle name="Normal 3 2 3 2 2 3 3 2" xfId="22418" xr:uid="{C6BA1C15-8BF4-4400-AF4D-3FA9AE8FCB0B}"/>
    <cellStyle name="Normal 3 2 3 2 2 3 3 3" xfId="30852" xr:uid="{A3E0DA44-2BE1-4060-AE4A-06CA10B506C2}"/>
    <cellStyle name="Normal 3 2 3 2 2 3 3 4" xfId="13980" xr:uid="{96B344F6-B362-40BC-ADF7-321E12B85083}"/>
    <cellStyle name="Normal 3 2 3 2 2 3 4" xfId="18200" xr:uid="{012A78F0-8491-43E0-B75A-F8D5A7D1FC29}"/>
    <cellStyle name="Normal 3 2 3 2 2 3 5" xfId="26635" xr:uid="{5A56F4B4-6754-4745-B80A-F0D4657EE388}"/>
    <cellStyle name="Normal 3 2 3 2 2 3 6" xfId="9762" xr:uid="{007B23AE-FBBE-498B-A956-D823D553EF48}"/>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24976" xr:uid="{9178C25F-C10F-4673-A2FE-706FB0F3F741}"/>
    <cellStyle name="Normal 3 2 3 2 2 4 2 2 3" xfId="33410" xr:uid="{889DD6C2-9030-44BC-A833-021CC81F1B97}"/>
    <cellStyle name="Normal 3 2 3 2 2 4 2 2 4" xfId="16538" xr:uid="{CCDFB9EE-2293-45BE-A40E-239852078933}"/>
    <cellStyle name="Normal 3 2 3 2 2 4 2 3" xfId="20758" xr:uid="{C0AD3DCE-1A08-44A6-9980-2B6B2C3E393E}"/>
    <cellStyle name="Normal 3 2 3 2 2 4 2 4" xfId="29193" xr:uid="{7B8107C3-AE99-4B3F-A403-45149DF4EE78}"/>
    <cellStyle name="Normal 3 2 3 2 2 4 2 5" xfId="12320" xr:uid="{83D2A4FA-26E9-4CC4-9EB2-383049EC46A3}"/>
    <cellStyle name="Normal 3 2 3 2 2 4 3" xfId="5954" xr:uid="{00000000-0005-0000-0000-00008C110000}"/>
    <cellStyle name="Normal 3 2 3 2 2 4 3 2" xfId="22831" xr:uid="{2BF36091-7961-44AB-A104-6DE92F905568}"/>
    <cellStyle name="Normal 3 2 3 2 2 4 3 3" xfId="31265" xr:uid="{F280DC42-4B32-49EA-A6D5-1E4ADC8971D5}"/>
    <cellStyle name="Normal 3 2 3 2 2 4 3 4" xfId="14393" xr:uid="{A5CC6F3B-9E1A-4482-919A-6C55215DC6E4}"/>
    <cellStyle name="Normal 3 2 3 2 2 4 4" xfId="18613" xr:uid="{48F64919-ABD2-44EC-9D63-67F1D8BC0399}"/>
    <cellStyle name="Normal 3 2 3 2 2 4 5" xfId="27048" xr:uid="{3ED604B9-56DB-47BE-8FCC-4E7EEAF0DA4F}"/>
    <cellStyle name="Normal 3 2 3 2 2 4 6" xfId="10175" xr:uid="{327DCEB8-78E2-45D0-8AF0-14D91C45132B}"/>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25389" xr:uid="{4C01CE41-E8F1-46B4-8EF8-4078F2BDCF50}"/>
    <cellStyle name="Normal 3 2 3 2 2 5 2 2 3" xfId="33823" xr:uid="{7B80F9C3-9177-433C-86DF-E7A5BCCAADA1}"/>
    <cellStyle name="Normal 3 2 3 2 2 5 2 2 4" xfId="16951" xr:uid="{1A713A5D-5055-4ED1-BA89-A93FF3D52FA3}"/>
    <cellStyle name="Normal 3 2 3 2 2 5 2 3" xfId="21171" xr:uid="{63758CCB-4A15-4FCE-A5A9-F762331B8DDA}"/>
    <cellStyle name="Normal 3 2 3 2 2 5 2 4" xfId="29606" xr:uid="{6D29753F-1093-48A5-8291-06406F2F51F2}"/>
    <cellStyle name="Normal 3 2 3 2 2 5 2 5" xfId="12733" xr:uid="{80D43A81-DA6A-4B83-A3FB-3F5FE8FB98A4}"/>
    <cellStyle name="Normal 3 2 3 2 2 5 3" xfId="6367" xr:uid="{00000000-0005-0000-0000-000090110000}"/>
    <cellStyle name="Normal 3 2 3 2 2 5 3 2" xfId="23244" xr:uid="{AAC4B7EC-1E38-4DD2-A54A-35D5EF992C2A}"/>
    <cellStyle name="Normal 3 2 3 2 2 5 3 3" xfId="31678" xr:uid="{B0179FFB-4955-4237-ABE8-6FB253DF3C02}"/>
    <cellStyle name="Normal 3 2 3 2 2 5 3 4" xfId="14806" xr:uid="{9DDFE4B2-F582-424D-85E5-52343D6DF9C4}"/>
    <cellStyle name="Normal 3 2 3 2 2 5 4" xfId="19026" xr:uid="{EB034E79-A0B4-4097-A5BB-64EB8D77FC04}"/>
    <cellStyle name="Normal 3 2 3 2 2 5 5" xfId="27461" xr:uid="{D4041A58-5544-47B5-97CB-1E9332C03210}"/>
    <cellStyle name="Normal 3 2 3 2 2 5 6" xfId="10588" xr:uid="{F969507B-D373-4A9A-9F7E-F45FDAA4007D}"/>
    <cellStyle name="Normal 3 2 3 2 2 6" xfId="2496" xr:uid="{00000000-0005-0000-0000-000091110000}"/>
    <cellStyle name="Normal 3 2 3 2 2 6 2" xfId="6780" xr:uid="{00000000-0005-0000-0000-000092110000}"/>
    <cellStyle name="Normal 3 2 3 2 2 6 2 2" xfId="23657" xr:uid="{B2B55C49-452B-4866-947C-02B7221C44DE}"/>
    <cellStyle name="Normal 3 2 3 2 2 6 2 3" xfId="32091" xr:uid="{D6B3C0C4-821C-426F-900A-41C15F66F48B}"/>
    <cellStyle name="Normal 3 2 3 2 2 6 2 4" xfId="15219" xr:uid="{D298D641-152E-42BB-AFF5-B625C40899E4}"/>
    <cellStyle name="Normal 3 2 3 2 2 6 3" xfId="19439" xr:uid="{48D84132-DCED-4070-BCDF-00582B29410C}"/>
    <cellStyle name="Normal 3 2 3 2 2 6 4" xfId="27874" xr:uid="{27BA2EAF-68AF-4AEB-A0C5-79B3CD91B99D}"/>
    <cellStyle name="Normal 3 2 3 2 2 6 5" xfId="11001" xr:uid="{12EEEBFA-0834-4144-991E-9F764100779A}"/>
    <cellStyle name="Normal 3 2 3 2 2 7" xfId="4714" xr:uid="{00000000-0005-0000-0000-000093110000}"/>
    <cellStyle name="Normal 3 2 3 2 2 7 2" xfId="21591" xr:uid="{285AF71A-BB8C-4FAF-8CB8-2BEAED1B7BE8}"/>
    <cellStyle name="Normal 3 2 3 2 2 7 3" xfId="30025" xr:uid="{BC5E11FB-2DD3-41DD-B3AE-10FF0646E099}"/>
    <cellStyle name="Normal 3 2 3 2 2 7 4" xfId="13153" xr:uid="{BF7D8BAB-5D9E-498A-8FE4-8094BDC856BE}"/>
    <cellStyle name="Normal 3 2 3 2 2 8" xfId="17373" xr:uid="{8B69170D-008D-49B0-8921-426F2660C1EC}"/>
    <cellStyle name="Normal 3 2 3 2 2 9" xfId="25808" xr:uid="{99D75779-B5AC-4081-BBEE-D3DBBF5917BD}"/>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24149" xr:uid="{8A1F274C-3325-4523-94A5-B64BBD68EB30}"/>
    <cellStyle name="Normal 3 2 3 2 3 2 2 3" xfId="32583" xr:uid="{D452CE08-B9C7-4D0B-A566-22556DB9A10B}"/>
    <cellStyle name="Normal 3 2 3 2 3 2 2 4" xfId="15711" xr:uid="{F5324223-DA00-4897-92DF-966A8FA4B6AA}"/>
    <cellStyle name="Normal 3 2 3 2 3 2 3" xfId="19931" xr:uid="{FEAE70C0-C77A-4BE4-A16C-E09E52E9F17A}"/>
    <cellStyle name="Normal 3 2 3 2 3 2 4" xfId="28366" xr:uid="{588FD86C-D4BB-4552-90CD-5AFE06D5AC07}"/>
    <cellStyle name="Normal 3 2 3 2 3 2 5" xfId="11493" xr:uid="{29646D11-B0B4-4597-9DE4-8E44DDFE125F}"/>
    <cellStyle name="Normal 3 2 3 2 3 3" xfId="5127" xr:uid="{00000000-0005-0000-0000-000097110000}"/>
    <cellStyle name="Normal 3 2 3 2 3 3 2" xfId="22004" xr:uid="{C85D7282-010C-44CD-89BD-F3BA5C79CA6D}"/>
    <cellStyle name="Normal 3 2 3 2 3 3 3" xfId="30438" xr:uid="{D76763FF-7EF2-4BDE-92DC-15BAB1597E6F}"/>
    <cellStyle name="Normal 3 2 3 2 3 3 4" xfId="13566" xr:uid="{7B532D9F-A284-4C46-8C5C-9DBE4E82DE66}"/>
    <cellStyle name="Normal 3 2 3 2 3 4" xfId="17786" xr:uid="{BA03E3F7-9D7A-43BA-980B-A777908BA54F}"/>
    <cellStyle name="Normal 3 2 3 2 3 5" xfId="26221" xr:uid="{6DCFF46E-5F96-43E5-B6D0-939BD57328DD}"/>
    <cellStyle name="Normal 3 2 3 2 3 6" xfId="9348" xr:uid="{B612845D-FF2B-4E86-A8E4-7DFBFE54CF31}"/>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24562" xr:uid="{A3427028-4EF6-46B8-A59F-09994E19EF79}"/>
    <cellStyle name="Normal 3 2 3 2 4 2 2 3" xfId="32996" xr:uid="{21A5722F-0F16-47B3-9230-BCB788AF5263}"/>
    <cellStyle name="Normal 3 2 3 2 4 2 2 4" xfId="16124" xr:uid="{28760367-C240-466F-9B3C-8A6B2D56E487}"/>
    <cellStyle name="Normal 3 2 3 2 4 2 3" xfId="20344" xr:uid="{80234DA3-276B-4243-B6D2-25E10337C72C}"/>
    <cellStyle name="Normal 3 2 3 2 4 2 4" xfId="28779" xr:uid="{C5C85201-204E-4A6F-AB59-463F7A2FA4A4}"/>
    <cellStyle name="Normal 3 2 3 2 4 2 5" xfId="11906" xr:uid="{32DC2308-8FC0-49B3-B214-090A41E1F500}"/>
    <cellStyle name="Normal 3 2 3 2 4 3" xfId="5540" xr:uid="{00000000-0005-0000-0000-00009B110000}"/>
    <cellStyle name="Normal 3 2 3 2 4 3 2" xfId="22417" xr:uid="{F96A8751-84AF-44CD-88FA-D93091863830}"/>
    <cellStyle name="Normal 3 2 3 2 4 3 3" xfId="30851" xr:uid="{4A341AE5-6944-44CB-A727-4B682760DD38}"/>
    <cellStyle name="Normal 3 2 3 2 4 3 4" xfId="13979" xr:uid="{FF13D52D-0737-49E9-BDE0-C19C53DB6604}"/>
    <cellStyle name="Normal 3 2 3 2 4 4" xfId="18199" xr:uid="{F1C684AC-0E01-47C8-B94B-17AB7B99CBF8}"/>
    <cellStyle name="Normal 3 2 3 2 4 5" xfId="26634" xr:uid="{DF21521B-2C7C-4127-AAC7-3938F1DD3A85}"/>
    <cellStyle name="Normal 3 2 3 2 4 6" xfId="9761" xr:uid="{C5F383E4-14B5-4F59-BF92-686BD545DB3B}"/>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24975" xr:uid="{68F1CA07-F1CB-4986-8EAC-BE83E05DD3BF}"/>
    <cellStyle name="Normal 3 2 3 2 5 2 2 3" xfId="33409" xr:uid="{7BB12898-D507-4F2A-8217-B6A9CC1A4E59}"/>
    <cellStyle name="Normal 3 2 3 2 5 2 2 4" xfId="16537" xr:uid="{61D8C66A-6F49-4AB7-88B6-9BF18E90F299}"/>
    <cellStyle name="Normal 3 2 3 2 5 2 3" xfId="20757" xr:uid="{73EE2E31-FDF8-482A-B5C6-E2D9384DDEC5}"/>
    <cellStyle name="Normal 3 2 3 2 5 2 4" xfId="29192" xr:uid="{4FE9A9F7-F239-4312-997C-DE7557793729}"/>
    <cellStyle name="Normal 3 2 3 2 5 2 5" xfId="12319" xr:uid="{9E573110-B10F-4F01-A77B-FD778DFEF7E1}"/>
    <cellStyle name="Normal 3 2 3 2 5 3" xfId="5953" xr:uid="{00000000-0005-0000-0000-00009F110000}"/>
    <cellStyle name="Normal 3 2 3 2 5 3 2" xfId="22830" xr:uid="{3DC3E066-D031-4D12-BF54-635BD3B413F6}"/>
    <cellStyle name="Normal 3 2 3 2 5 3 3" xfId="31264" xr:uid="{D5535F54-B6B4-436D-9EF0-40550E0AA242}"/>
    <cellStyle name="Normal 3 2 3 2 5 3 4" xfId="14392" xr:uid="{FA2C7447-122D-41DA-8EAB-321FF1390C1B}"/>
    <cellStyle name="Normal 3 2 3 2 5 4" xfId="18612" xr:uid="{F7ED6543-6269-453E-BDF9-D0895ADFEB96}"/>
    <cellStyle name="Normal 3 2 3 2 5 5" xfId="27047" xr:uid="{1A2E23C2-2D23-4B56-B303-86E303FDC72D}"/>
    <cellStyle name="Normal 3 2 3 2 5 6" xfId="10174" xr:uid="{C4E5C0C8-A860-4709-8687-C28B5A5762AF}"/>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25388" xr:uid="{11B283B7-EA5B-443A-8CCD-73E014C1E3D9}"/>
    <cellStyle name="Normal 3 2 3 2 6 2 2 3" xfId="33822" xr:uid="{2D23F3F0-E62E-4632-B9F7-C55EFF89B0EF}"/>
    <cellStyle name="Normal 3 2 3 2 6 2 2 4" xfId="16950" xr:uid="{A2DF6A7E-7377-4C82-AF42-DD023633A924}"/>
    <cellStyle name="Normal 3 2 3 2 6 2 3" xfId="21170" xr:uid="{5DD63F2F-4AE0-4436-AE1A-AEFA9A47F2EA}"/>
    <cellStyle name="Normal 3 2 3 2 6 2 4" xfId="29605" xr:uid="{36C65F99-FAD4-4264-975F-4623F2EF8A0B}"/>
    <cellStyle name="Normal 3 2 3 2 6 2 5" xfId="12732" xr:uid="{9F4CE934-89AD-4579-8AEA-DD8B4E79904B}"/>
    <cellStyle name="Normal 3 2 3 2 6 3" xfId="6366" xr:uid="{00000000-0005-0000-0000-0000A3110000}"/>
    <cellStyle name="Normal 3 2 3 2 6 3 2" xfId="23243" xr:uid="{ABC84EDB-749C-4AE8-9D40-F630415820A7}"/>
    <cellStyle name="Normal 3 2 3 2 6 3 3" xfId="31677" xr:uid="{AC5487B1-C8AD-4152-A289-A0E3556F319A}"/>
    <cellStyle name="Normal 3 2 3 2 6 3 4" xfId="14805" xr:uid="{183F014A-CC58-414C-B41F-0DCFE8FE461B}"/>
    <cellStyle name="Normal 3 2 3 2 6 4" xfId="19025" xr:uid="{05C95786-1368-4C4E-AF61-5D33408F5637}"/>
    <cellStyle name="Normal 3 2 3 2 6 5" xfId="27460" xr:uid="{95A33B7F-12BB-4CEB-9D5F-41966457CEF1}"/>
    <cellStyle name="Normal 3 2 3 2 6 6" xfId="10587" xr:uid="{785B3434-4913-403A-B0E7-3471A7ED9125}"/>
    <cellStyle name="Normal 3 2 3 2 7" xfId="2495" xr:uid="{00000000-0005-0000-0000-0000A4110000}"/>
    <cellStyle name="Normal 3 2 3 2 7 2" xfId="6779" xr:uid="{00000000-0005-0000-0000-0000A5110000}"/>
    <cellStyle name="Normal 3 2 3 2 7 2 2" xfId="23656" xr:uid="{6800D46A-5498-407F-8B7F-CBF338C0C080}"/>
    <cellStyle name="Normal 3 2 3 2 7 2 3" xfId="32090" xr:uid="{0EA933E4-07FC-4AA5-8746-7E105BE6C34D}"/>
    <cellStyle name="Normal 3 2 3 2 7 2 4" xfId="15218" xr:uid="{E0194676-3A52-45E8-9349-3DD4B8E2A57E}"/>
    <cellStyle name="Normal 3 2 3 2 7 3" xfId="19438" xr:uid="{2CD251B2-13EB-469D-A517-040A71A33B57}"/>
    <cellStyle name="Normal 3 2 3 2 7 4" xfId="27873" xr:uid="{6369425A-1F90-4EAF-AC85-7546A766833A}"/>
    <cellStyle name="Normal 3 2 3 2 7 5" xfId="11000" xr:uid="{410858B6-7F46-4947-97E0-041197448608}"/>
    <cellStyle name="Normal 3 2 3 2 8" xfId="4713" xr:uid="{00000000-0005-0000-0000-0000A6110000}"/>
    <cellStyle name="Normal 3 2 3 2 8 2" xfId="21590" xr:uid="{11F5F37B-F704-40E1-A47A-F0BC1EAE21E1}"/>
    <cellStyle name="Normal 3 2 3 2 8 3" xfId="30024" xr:uid="{BC279D13-9D1C-47F3-A734-D52ED4C912B1}"/>
    <cellStyle name="Normal 3 2 3 2 8 4" xfId="13152" xr:uid="{6B18AF58-A7D4-4B28-9331-045C0E5960A6}"/>
    <cellStyle name="Normal 3 2 3 2 9" xfId="17372" xr:uid="{25E787AC-1D42-4FEF-9AC1-3787EFF6DEAB}"/>
    <cellStyle name="Normal 3 2 3 3" xfId="329" xr:uid="{00000000-0005-0000-0000-0000A7110000}"/>
    <cellStyle name="Normal 3 2 3 3 10" xfId="8936" xr:uid="{7BAAD5BC-A020-44AC-BEEF-935F0648F3EF}"/>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24151" xr:uid="{9C606758-2914-4903-8595-0E8874EEDB81}"/>
    <cellStyle name="Normal 3 2 3 3 2 2 2 3" xfId="32585" xr:uid="{0868ACD6-86E9-44F7-906D-8AEBCDD59774}"/>
    <cellStyle name="Normal 3 2 3 3 2 2 2 4" xfId="15713" xr:uid="{6D0007BC-F0C0-4A71-8F99-060CA53B6EFA}"/>
    <cellStyle name="Normal 3 2 3 3 2 2 3" xfId="19933" xr:uid="{6D69D96D-FD47-473B-8C38-CD66B4082D2A}"/>
    <cellStyle name="Normal 3 2 3 3 2 2 4" xfId="28368" xr:uid="{54D95AC7-FEE4-4770-BCF4-B98141014AAC}"/>
    <cellStyle name="Normal 3 2 3 3 2 2 5" xfId="11495" xr:uid="{CEBCFCCA-276B-4ED0-A677-598ADCD61498}"/>
    <cellStyle name="Normal 3 2 3 3 2 3" xfId="5129" xr:uid="{00000000-0005-0000-0000-0000AB110000}"/>
    <cellStyle name="Normal 3 2 3 3 2 3 2" xfId="22006" xr:uid="{131D0AD4-FBCB-442E-B511-969C4002C724}"/>
    <cellStyle name="Normal 3 2 3 3 2 3 3" xfId="30440" xr:uid="{1A55C8E5-36A8-4B19-BCAA-6916E273C8B3}"/>
    <cellStyle name="Normal 3 2 3 3 2 3 4" xfId="13568" xr:uid="{CC9564A6-F898-426C-A95C-52454B908093}"/>
    <cellStyle name="Normal 3 2 3 3 2 4" xfId="17788" xr:uid="{DF1040D1-AE9F-4266-AD9A-516276C3A80C}"/>
    <cellStyle name="Normal 3 2 3 3 2 5" xfId="26223" xr:uid="{C7DFE9A5-A58D-43A6-BA3E-DB292A939A10}"/>
    <cellStyle name="Normal 3 2 3 3 2 6" xfId="9350" xr:uid="{C5AAD2FB-5939-4AB8-BC84-706C81D7A6B5}"/>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24564" xr:uid="{A0F1455C-A822-4722-A0B4-6C187880E58B}"/>
    <cellStyle name="Normal 3 2 3 3 3 2 2 3" xfId="32998" xr:uid="{F3EEF7E0-3580-4213-94D3-7A50CF7063D9}"/>
    <cellStyle name="Normal 3 2 3 3 3 2 2 4" xfId="16126" xr:uid="{83F7E854-E446-49CD-A2EB-D439E533E709}"/>
    <cellStyle name="Normal 3 2 3 3 3 2 3" xfId="20346" xr:uid="{8FF899F7-2571-4317-86FE-08B7412D657D}"/>
    <cellStyle name="Normal 3 2 3 3 3 2 4" xfId="28781" xr:uid="{33D1AADC-3D11-4416-92B1-AC4776285256}"/>
    <cellStyle name="Normal 3 2 3 3 3 2 5" xfId="11908" xr:uid="{605DC269-5330-4F32-AF21-97B33122B785}"/>
    <cellStyle name="Normal 3 2 3 3 3 3" xfId="5542" xr:uid="{00000000-0005-0000-0000-0000AF110000}"/>
    <cellStyle name="Normal 3 2 3 3 3 3 2" xfId="22419" xr:uid="{87D001BE-8ABB-46CD-BDD3-04B175CB345F}"/>
    <cellStyle name="Normal 3 2 3 3 3 3 3" xfId="30853" xr:uid="{AC107DB7-5AEE-437E-86A9-1CA4397B1702}"/>
    <cellStyle name="Normal 3 2 3 3 3 3 4" xfId="13981" xr:uid="{8F9A35AC-7453-4284-ABC6-D9AA6A5C7D0F}"/>
    <cellStyle name="Normal 3 2 3 3 3 4" xfId="18201" xr:uid="{041AB0E9-74C9-49B5-AB4E-DC31D54B4664}"/>
    <cellStyle name="Normal 3 2 3 3 3 5" xfId="26636" xr:uid="{08AC82E0-3F8B-4E0B-91D3-4936B54C0D38}"/>
    <cellStyle name="Normal 3 2 3 3 3 6" xfId="9763" xr:uid="{ECFE3222-7EBA-4ED1-AFC8-77275B8AC825}"/>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24977" xr:uid="{39A318A8-2E3C-418D-9DE7-0227589B5B5E}"/>
    <cellStyle name="Normal 3 2 3 3 4 2 2 3" xfId="33411" xr:uid="{B46A9A06-9F93-42BC-92B4-4C2B8AF9C68D}"/>
    <cellStyle name="Normal 3 2 3 3 4 2 2 4" xfId="16539" xr:uid="{C51D50F6-3FC9-4B3B-B1F0-F08B34AE3B90}"/>
    <cellStyle name="Normal 3 2 3 3 4 2 3" xfId="20759" xr:uid="{54E2F9AD-59CF-4136-98D1-466266D0FE53}"/>
    <cellStyle name="Normal 3 2 3 3 4 2 4" xfId="29194" xr:uid="{8643C8FF-181D-4918-A6A0-CE7BC0446ECB}"/>
    <cellStyle name="Normal 3 2 3 3 4 2 5" xfId="12321" xr:uid="{026D8508-02E4-41FB-8B84-86A932FC714E}"/>
    <cellStyle name="Normal 3 2 3 3 4 3" xfId="5955" xr:uid="{00000000-0005-0000-0000-0000B3110000}"/>
    <cellStyle name="Normal 3 2 3 3 4 3 2" xfId="22832" xr:uid="{4B9926A4-022F-42B1-B081-6DC37DB76531}"/>
    <cellStyle name="Normal 3 2 3 3 4 3 3" xfId="31266" xr:uid="{C6FD4463-3332-43C8-9DCD-5EBD52C72E8C}"/>
    <cellStyle name="Normal 3 2 3 3 4 3 4" xfId="14394" xr:uid="{372C83C7-4EF8-49A2-9956-84E5BFE2270E}"/>
    <cellStyle name="Normal 3 2 3 3 4 4" xfId="18614" xr:uid="{9CA71DDC-F3BE-4761-97AA-A3F04D3F54C5}"/>
    <cellStyle name="Normal 3 2 3 3 4 5" xfId="27049" xr:uid="{40D4EC2E-935C-4B1A-93A5-379B288B8F10}"/>
    <cellStyle name="Normal 3 2 3 3 4 6" xfId="10176" xr:uid="{F5CC8CDC-BC54-414B-9155-0D9DDB9CA680}"/>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25390" xr:uid="{E23E69A7-FC9B-4AA0-A83B-C26A4E01AFB6}"/>
    <cellStyle name="Normal 3 2 3 3 5 2 2 3" xfId="33824" xr:uid="{A4718AD0-9420-414F-81F7-615559A31535}"/>
    <cellStyle name="Normal 3 2 3 3 5 2 2 4" xfId="16952" xr:uid="{0F63DB9A-32B4-4A73-916D-64A393062DBD}"/>
    <cellStyle name="Normal 3 2 3 3 5 2 3" xfId="21172" xr:uid="{A6115411-43D0-4C9C-A2E6-EC3AE56513C8}"/>
    <cellStyle name="Normal 3 2 3 3 5 2 4" xfId="29607" xr:uid="{164F508A-B75F-4957-BF7F-729F68A974E0}"/>
    <cellStyle name="Normal 3 2 3 3 5 2 5" xfId="12734" xr:uid="{175DB6BF-2EB9-41B3-BD3B-4D25D6CDBEDF}"/>
    <cellStyle name="Normal 3 2 3 3 5 3" xfId="6368" xr:uid="{00000000-0005-0000-0000-0000B7110000}"/>
    <cellStyle name="Normal 3 2 3 3 5 3 2" xfId="23245" xr:uid="{91AF4401-2583-4EFC-A570-A92DF5EE3BAF}"/>
    <cellStyle name="Normal 3 2 3 3 5 3 3" xfId="31679" xr:uid="{61D9FC4B-96B6-4510-8008-E30707538283}"/>
    <cellStyle name="Normal 3 2 3 3 5 3 4" xfId="14807" xr:uid="{EE307828-08FA-4B92-B446-326C62BBB0D5}"/>
    <cellStyle name="Normal 3 2 3 3 5 4" xfId="19027" xr:uid="{84A1E8D5-7053-4D07-9E10-AC61C9CB1B1D}"/>
    <cellStyle name="Normal 3 2 3 3 5 5" xfId="27462" xr:uid="{C615C450-E2CA-4193-8207-46EB4EFB2404}"/>
    <cellStyle name="Normal 3 2 3 3 5 6" xfId="10589" xr:uid="{BCC4DF72-2E46-4338-89B0-89F4A6C07815}"/>
    <cellStyle name="Normal 3 2 3 3 6" xfId="2497" xr:uid="{00000000-0005-0000-0000-0000B8110000}"/>
    <cellStyle name="Normal 3 2 3 3 6 2" xfId="6781" xr:uid="{00000000-0005-0000-0000-0000B9110000}"/>
    <cellStyle name="Normal 3 2 3 3 6 2 2" xfId="23658" xr:uid="{4DAC3E16-3B60-45C9-B05C-EB3FBBD96159}"/>
    <cellStyle name="Normal 3 2 3 3 6 2 3" xfId="32092" xr:uid="{715940EC-894C-4476-B8A8-2F160A6CE419}"/>
    <cellStyle name="Normal 3 2 3 3 6 2 4" xfId="15220" xr:uid="{C505208D-9648-4075-906B-BB9CAE78813F}"/>
    <cellStyle name="Normal 3 2 3 3 6 3" xfId="19440" xr:uid="{AAE5B315-9E7F-4750-90E3-063B6F57EADE}"/>
    <cellStyle name="Normal 3 2 3 3 6 4" xfId="27875" xr:uid="{759E487C-B04C-45FD-BCB5-ED705638953C}"/>
    <cellStyle name="Normal 3 2 3 3 6 5" xfId="11002" xr:uid="{F088D356-88E1-472A-9699-1CECBB723654}"/>
    <cellStyle name="Normal 3 2 3 3 7" xfId="4715" xr:uid="{00000000-0005-0000-0000-0000BA110000}"/>
    <cellStyle name="Normal 3 2 3 3 7 2" xfId="21592" xr:uid="{9DD2128C-6E70-4B16-8D20-2EEB590EE855}"/>
    <cellStyle name="Normal 3 2 3 3 7 3" xfId="30026" xr:uid="{5190D814-C2DA-49E7-BDB0-D01894FED1E7}"/>
    <cellStyle name="Normal 3 2 3 3 7 4" xfId="13154" xr:uid="{B76236C6-BBE7-4F06-ABAB-E86C9B8B6A33}"/>
    <cellStyle name="Normal 3 2 3 3 8" xfId="17374" xr:uid="{C9DA4D63-7C31-458B-80B5-FADA70CB3D08}"/>
    <cellStyle name="Normal 3 2 3 3 9" xfId="25809" xr:uid="{A3A29B14-CF4D-4465-B2E4-E44E62AE3437}"/>
    <cellStyle name="Normal 3 2 3 4" xfId="811" xr:uid="{00000000-0005-0000-0000-0000BB110000}"/>
    <cellStyle name="Normal 3 2 3 4 2" xfId="3048" xr:uid="{00000000-0005-0000-0000-0000BC110000}"/>
    <cellStyle name="Normal 3 2 3 4 2 2" xfId="7271" xr:uid="{00000000-0005-0000-0000-0000BD110000}"/>
    <cellStyle name="Normal 3 2 3 4 2 2 2" xfId="24148" xr:uid="{4E036035-DB3C-411F-B430-B8B70E3C0D43}"/>
    <cellStyle name="Normal 3 2 3 4 2 2 3" xfId="32582" xr:uid="{85F2C714-D940-4165-8869-126EB3F3C4C7}"/>
    <cellStyle name="Normal 3 2 3 4 2 2 4" xfId="15710" xr:uid="{60AC04DA-9B37-44E0-BC39-256D29067125}"/>
    <cellStyle name="Normal 3 2 3 4 2 3" xfId="19930" xr:uid="{45823CE6-BFEC-417A-88B8-9799280EF3E6}"/>
    <cellStyle name="Normal 3 2 3 4 2 4" xfId="28365" xr:uid="{E459487F-9694-477E-BD58-EC8CBF1E8BE4}"/>
    <cellStyle name="Normal 3 2 3 4 2 5" xfId="11492" xr:uid="{DE3AF171-AD92-4333-82D9-1D2FB1387ED8}"/>
    <cellStyle name="Normal 3 2 3 4 3" xfId="5126" xr:uid="{00000000-0005-0000-0000-0000BE110000}"/>
    <cellStyle name="Normal 3 2 3 4 3 2" xfId="22003" xr:uid="{F1EC933A-F6CA-43B1-90A6-602CE0D9AEC7}"/>
    <cellStyle name="Normal 3 2 3 4 3 3" xfId="30437" xr:uid="{0AE0804A-D1D1-43A7-917F-122780563B0B}"/>
    <cellStyle name="Normal 3 2 3 4 3 4" xfId="13565" xr:uid="{946CD7A6-8993-422E-B3E1-9D82CA4A0DB0}"/>
    <cellStyle name="Normal 3 2 3 4 4" xfId="17785" xr:uid="{61DB0E1D-2D18-499A-BD3A-49480BA0370B}"/>
    <cellStyle name="Normal 3 2 3 4 5" xfId="26220" xr:uid="{86759B61-F3D8-4627-8943-097AE5F9AFA5}"/>
    <cellStyle name="Normal 3 2 3 4 6" xfId="9347" xr:uid="{AE5B402A-508A-4399-A92B-9CEA60B04FBE}"/>
    <cellStyle name="Normal 3 2 3 5" xfId="1231" xr:uid="{00000000-0005-0000-0000-0000BF110000}"/>
    <cellStyle name="Normal 3 2 3 5 2" xfId="3461" xr:uid="{00000000-0005-0000-0000-0000C0110000}"/>
    <cellStyle name="Normal 3 2 3 5 2 2" xfId="7684" xr:uid="{00000000-0005-0000-0000-0000C1110000}"/>
    <cellStyle name="Normal 3 2 3 5 2 2 2" xfId="24561" xr:uid="{CFEF912C-369F-4AA4-897A-7C93343445F2}"/>
    <cellStyle name="Normal 3 2 3 5 2 2 3" xfId="32995" xr:uid="{10854254-4B22-47D3-AA71-C2A1D085C7F2}"/>
    <cellStyle name="Normal 3 2 3 5 2 2 4" xfId="16123" xr:uid="{1683AAC2-D6ED-45D7-B7E5-CD6DC9D4970D}"/>
    <cellStyle name="Normal 3 2 3 5 2 3" xfId="20343" xr:uid="{DEBFDD5B-AD36-4A26-999E-195234303878}"/>
    <cellStyle name="Normal 3 2 3 5 2 4" xfId="28778" xr:uid="{2D81667B-E4C0-4FE6-A669-057D3FBD780D}"/>
    <cellStyle name="Normal 3 2 3 5 2 5" xfId="11905" xr:uid="{F46B7868-0C3C-40DA-8537-C14B1F693649}"/>
    <cellStyle name="Normal 3 2 3 5 3" xfId="5539" xr:uid="{00000000-0005-0000-0000-0000C2110000}"/>
    <cellStyle name="Normal 3 2 3 5 3 2" xfId="22416" xr:uid="{1346F24F-B61E-46B7-BBF9-7473E71A61FA}"/>
    <cellStyle name="Normal 3 2 3 5 3 3" xfId="30850" xr:uid="{CF2CA932-DC5B-443C-9F2A-F95FEAC78832}"/>
    <cellStyle name="Normal 3 2 3 5 3 4" xfId="13978" xr:uid="{B1F4DD5F-35E4-486A-9D12-8693A7402107}"/>
    <cellStyle name="Normal 3 2 3 5 4" xfId="18198" xr:uid="{4FDCF880-F008-43FB-894D-B9358CD46FB0}"/>
    <cellStyle name="Normal 3 2 3 5 5" xfId="26633" xr:uid="{2E57E9D2-CF7D-45FA-B372-91306D82AB3E}"/>
    <cellStyle name="Normal 3 2 3 5 6" xfId="9760" xr:uid="{45A43D8F-B522-4D2A-8854-374ED07EDBC8}"/>
    <cellStyle name="Normal 3 2 3 6" xfId="1644" xr:uid="{00000000-0005-0000-0000-0000C3110000}"/>
    <cellStyle name="Normal 3 2 3 6 2" xfId="3874" xr:uid="{00000000-0005-0000-0000-0000C4110000}"/>
    <cellStyle name="Normal 3 2 3 6 2 2" xfId="8097" xr:uid="{00000000-0005-0000-0000-0000C5110000}"/>
    <cellStyle name="Normal 3 2 3 6 2 2 2" xfId="24974" xr:uid="{AA3EBF87-3FA8-408D-AB51-B351D1C1B915}"/>
    <cellStyle name="Normal 3 2 3 6 2 2 3" xfId="33408" xr:uid="{B6C6C6A8-2DEF-4A4C-B521-BD2BA441342E}"/>
    <cellStyle name="Normal 3 2 3 6 2 2 4" xfId="16536" xr:uid="{56002061-9408-4790-B7DB-D8D502361870}"/>
    <cellStyle name="Normal 3 2 3 6 2 3" xfId="20756" xr:uid="{A02C6F98-A10E-47A7-97B8-B722FE85E1ED}"/>
    <cellStyle name="Normal 3 2 3 6 2 4" xfId="29191" xr:uid="{188B9D4B-DDB7-4DE1-9641-B0AE5D803E8B}"/>
    <cellStyle name="Normal 3 2 3 6 2 5" xfId="12318" xr:uid="{6220757E-5E3F-43CF-AF2F-3DD5AB1F5FEE}"/>
    <cellStyle name="Normal 3 2 3 6 3" xfId="5952" xr:uid="{00000000-0005-0000-0000-0000C6110000}"/>
    <cellStyle name="Normal 3 2 3 6 3 2" xfId="22829" xr:uid="{3DBB7D47-6890-41FE-BC8D-FEB590A81C5B}"/>
    <cellStyle name="Normal 3 2 3 6 3 3" xfId="31263" xr:uid="{4F8AE79D-1405-45B8-8AD4-A4CEFB491F31}"/>
    <cellStyle name="Normal 3 2 3 6 3 4" xfId="14391" xr:uid="{63DD1531-E352-48C1-A6C9-04254ACF7C21}"/>
    <cellStyle name="Normal 3 2 3 6 4" xfId="18611" xr:uid="{228613C6-F172-4180-BB4B-AA73EE036CF5}"/>
    <cellStyle name="Normal 3 2 3 6 5" xfId="27046" xr:uid="{AEAF4B66-FA3A-4A96-AD41-D280A42DB7B4}"/>
    <cellStyle name="Normal 3 2 3 6 6" xfId="10173" xr:uid="{3E325B1F-2502-4BB5-886E-7BCA0B090F25}"/>
    <cellStyle name="Normal 3 2 3 7" xfId="2058" xr:uid="{00000000-0005-0000-0000-0000C7110000}"/>
    <cellStyle name="Normal 3 2 3 7 2" xfId="4287" xr:uid="{00000000-0005-0000-0000-0000C8110000}"/>
    <cellStyle name="Normal 3 2 3 7 2 2" xfId="8510" xr:uid="{00000000-0005-0000-0000-0000C9110000}"/>
    <cellStyle name="Normal 3 2 3 7 2 2 2" xfId="25387" xr:uid="{F86410EE-E6F7-4B59-AE91-895D71898E30}"/>
    <cellStyle name="Normal 3 2 3 7 2 2 3" xfId="33821" xr:uid="{80C15CE1-32BA-4010-B359-437C874E121A}"/>
    <cellStyle name="Normal 3 2 3 7 2 2 4" xfId="16949" xr:uid="{5151C6CB-BB1F-448D-B984-5C3CBE5F098A}"/>
    <cellStyle name="Normal 3 2 3 7 2 3" xfId="21169" xr:uid="{CE582CB3-C250-4658-AE7B-317DFABC2E72}"/>
    <cellStyle name="Normal 3 2 3 7 2 4" xfId="29604" xr:uid="{7FAA5D52-9CDB-4CD4-BB30-85B83B16F080}"/>
    <cellStyle name="Normal 3 2 3 7 2 5" xfId="12731" xr:uid="{C9E024B2-1BFA-49EA-A4EF-9A9B66643D9C}"/>
    <cellStyle name="Normal 3 2 3 7 3" xfId="6365" xr:uid="{00000000-0005-0000-0000-0000CA110000}"/>
    <cellStyle name="Normal 3 2 3 7 3 2" xfId="23242" xr:uid="{BD4AAFDC-4183-4B28-807E-E71DC7A4681D}"/>
    <cellStyle name="Normal 3 2 3 7 3 3" xfId="31676" xr:uid="{5356870E-4748-4413-9667-CA77BC77E362}"/>
    <cellStyle name="Normal 3 2 3 7 3 4" xfId="14804" xr:uid="{E5AE72EC-1DD3-41F3-A30A-A9095168548A}"/>
    <cellStyle name="Normal 3 2 3 7 4" xfId="19024" xr:uid="{AC37028B-2E84-4F22-B0BB-5E711D84D324}"/>
    <cellStyle name="Normal 3 2 3 7 5" xfId="27459" xr:uid="{AE3311AB-25FC-4EEA-8237-63865A581D7A}"/>
    <cellStyle name="Normal 3 2 3 7 6" xfId="10586" xr:uid="{2DFF5E4E-A86A-4986-87D1-91FE05069ADA}"/>
    <cellStyle name="Normal 3 2 3 8" xfId="2494" xr:uid="{00000000-0005-0000-0000-0000CB110000}"/>
    <cellStyle name="Normal 3 2 3 8 2" xfId="6778" xr:uid="{00000000-0005-0000-0000-0000CC110000}"/>
    <cellStyle name="Normal 3 2 3 8 2 2" xfId="23655" xr:uid="{5C93B72B-4CDF-47C7-9E57-60EAB107F8E5}"/>
    <cellStyle name="Normal 3 2 3 8 2 3" xfId="32089" xr:uid="{D56AEFFE-778B-4D57-83EF-AE4CB37BDB96}"/>
    <cellStyle name="Normal 3 2 3 8 2 4" xfId="15217" xr:uid="{3235C5B8-CDA4-4333-B903-FD65C457A051}"/>
    <cellStyle name="Normal 3 2 3 8 3" xfId="19437" xr:uid="{78BF26F5-FC0E-4EE6-9CF8-709482E3CF1C}"/>
    <cellStyle name="Normal 3 2 3 8 4" xfId="27872" xr:uid="{4BEB07D9-FF51-4A42-B5B1-59B367BE8A99}"/>
    <cellStyle name="Normal 3 2 3 8 5" xfId="10999" xr:uid="{516FA46E-6A83-4CB8-8C4F-88B1D631596D}"/>
    <cellStyle name="Normal 3 2 3 9" xfId="4712" xr:uid="{00000000-0005-0000-0000-0000CD110000}"/>
    <cellStyle name="Normal 3 2 3 9 2" xfId="21589" xr:uid="{F085000E-05A0-4594-AB89-A13427070894}"/>
    <cellStyle name="Normal 3 2 3 9 3" xfId="30023" xr:uid="{BA08EE50-7D3A-4554-9523-6F5C266317CB}"/>
    <cellStyle name="Normal 3 2 3 9 4" xfId="13151" xr:uid="{2A8492B5-F15F-44CA-B2AC-FBE7002BC211}"/>
    <cellStyle name="Normal 3 2 4" xfId="809" xr:uid="{00000000-0005-0000-0000-0000CE110000}"/>
    <cellStyle name="Normal 3 2 4 2" xfId="3047" xr:uid="{00000000-0005-0000-0000-0000CF110000}"/>
    <cellStyle name="Normal 3 2 4 2 2" xfId="7270" xr:uid="{00000000-0005-0000-0000-0000D0110000}"/>
    <cellStyle name="Normal 3 2 4 2 2 2" xfId="24147" xr:uid="{A1B6377C-8B08-4EE1-8E51-AF50ABE5127D}"/>
    <cellStyle name="Normal 3 2 4 2 2 3" xfId="32581" xr:uid="{CA246C16-685C-4ED8-AC41-26805718DFC1}"/>
    <cellStyle name="Normal 3 2 4 2 2 4" xfId="15709" xr:uid="{F0FB5967-892B-4260-AD30-395357E0CFAD}"/>
    <cellStyle name="Normal 3 2 4 2 3" xfId="19929" xr:uid="{EFF15DCE-C3D2-4608-B09B-9FD0C65F0E8E}"/>
    <cellStyle name="Normal 3 2 4 2 4" xfId="28364" xr:uid="{9882CB17-F949-4323-944D-6A816C213B58}"/>
    <cellStyle name="Normal 3 2 4 2 5" xfId="11491" xr:uid="{B4C7AE8A-B8B5-4015-B42E-4E4B31B1BC47}"/>
    <cellStyle name="Normal 3 2 4 3" xfId="5125" xr:uid="{00000000-0005-0000-0000-0000D1110000}"/>
    <cellStyle name="Normal 3 2 4 3 2" xfId="22002" xr:uid="{74BD9AD7-B411-47D8-9141-BFA01C37CE9C}"/>
    <cellStyle name="Normal 3 2 4 3 3" xfId="30436" xr:uid="{318F4476-61CE-48E7-9464-E857FBF2FB01}"/>
    <cellStyle name="Normal 3 2 4 3 4" xfId="13564" xr:uid="{C7C2E1DA-934A-4422-81E5-447557E5B334}"/>
    <cellStyle name="Normal 3 2 4 4" xfId="17784" xr:uid="{3BB56FA7-DAFC-4ABC-9AAD-C43508416D85}"/>
    <cellStyle name="Normal 3 2 4 5" xfId="26219" xr:uid="{3342861E-1437-4150-99D2-F35B5FA4E714}"/>
    <cellStyle name="Normal 3 2 4 6" xfId="9346" xr:uid="{9322874D-F434-4858-8123-EC11ADCFBA73}"/>
    <cellStyle name="Normal 3 2 5" xfId="1230" xr:uid="{00000000-0005-0000-0000-0000D2110000}"/>
    <cellStyle name="Normal 3 2 5 2" xfId="3460" xr:uid="{00000000-0005-0000-0000-0000D3110000}"/>
    <cellStyle name="Normal 3 2 5 2 2" xfId="7683" xr:uid="{00000000-0005-0000-0000-0000D4110000}"/>
    <cellStyle name="Normal 3 2 5 2 2 2" xfId="24560" xr:uid="{096529E7-EBE4-4D88-B072-410F7AD857A3}"/>
    <cellStyle name="Normal 3 2 5 2 2 3" xfId="32994" xr:uid="{8EB1B6F7-893E-4CAD-9936-D4BF2C51620D}"/>
    <cellStyle name="Normal 3 2 5 2 2 4" xfId="16122" xr:uid="{50FF37A0-A880-4E86-9732-E08C094435C6}"/>
    <cellStyle name="Normal 3 2 5 2 3" xfId="20342" xr:uid="{244C7139-641F-4311-82ED-BBDC0EA8D5A9}"/>
    <cellStyle name="Normal 3 2 5 2 4" xfId="28777" xr:uid="{70DD207D-5362-4C1F-AAA8-7A19EF28D0CF}"/>
    <cellStyle name="Normal 3 2 5 2 5" xfId="11904" xr:uid="{992DB625-BA5B-4120-B32F-A17DDC7CCAE7}"/>
    <cellStyle name="Normal 3 2 5 3" xfId="5538" xr:uid="{00000000-0005-0000-0000-0000D5110000}"/>
    <cellStyle name="Normal 3 2 5 3 2" xfId="22415" xr:uid="{277D6977-D1EF-4969-B71C-1C7A87805F63}"/>
    <cellStyle name="Normal 3 2 5 3 3" xfId="30849" xr:uid="{8857D7D3-5B6B-408B-9858-430103E593F9}"/>
    <cellStyle name="Normal 3 2 5 3 4" xfId="13977" xr:uid="{9B057B78-D24E-4BBF-9D1B-34E0020E4FAD}"/>
    <cellStyle name="Normal 3 2 5 4" xfId="18197" xr:uid="{120A2FA9-4EC8-47C2-99E6-E7785C90A424}"/>
    <cellStyle name="Normal 3 2 5 5" xfId="26632" xr:uid="{1255B16C-45CC-4BFF-90A1-21E3E071E6C6}"/>
    <cellStyle name="Normal 3 2 5 6" xfId="9759" xr:uid="{02AEACA0-AAB9-48F5-AE77-1A4408E4AB94}"/>
    <cellStyle name="Normal 3 2 6" xfId="1643" xr:uid="{00000000-0005-0000-0000-0000D6110000}"/>
    <cellStyle name="Normal 3 2 6 2" xfId="3873" xr:uid="{00000000-0005-0000-0000-0000D7110000}"/>
    <cellStyle name="Normal 3 2 6 2 2" xfId="8096" xr:uid="{00000000-0005-0000-0000-0000D8110000}"/>
    <cellStyle name="Normal 3 2 6 2 2 2" xfId="24973" xr:uid="{19AAA38F-D768-49A0-AE5B-F5F429891DD3}"/>
    <cellStyle name="Normal 3 2 6 2 2 3" xfId="33407" xr:uid="{87B11D30-04FD-4FD9-B097-1DE047968282}"/>
    <cellStyle name="Normal 3 2 6 2 2 4" xfId="16535" xr:uid="{E4C79BAB-89A1-4543-8FC1-73748025C847}"/>
    <cellStyle name="Normal 3 2 6 2 3" xfId="20755" xr:uid="{588CE1F8-C0B6-488C-8810-E0EA1F169173}"/>
    <cellStyle name="Normal 3 2 6 2 4" xfId="29190" xr:uid="{A2E89021-E298-4BFD-B0E7-64EDB98C5913}"/>
    <cellStyle name="Normal 3 2 6 2 5" xfId="12317" xr:uid="{56BB9C26-13F2-4069-87A5-1376C483603C}"/>
    <cellStyle name="Normal 3 2 6 3" xfId="5951" xr:uid="{00000000-0005-0000-0000-0000D9110000}"/>
    <cellStyle name="Normal 3 2 6 3 2" xfId="22828" xr:uid="{F86DC17D-BEE7-40DE-8417-8714FF8D2E37}"/>
    <cellStyle name="Normal 3 2 6 3 3" xfId="31262" xr:uid="{29465ED9-E4C0-42C4-877D-7C567B5761B6}"/>
    <cellStyle name="Normal 3 2 6 3 4" xfId="14390" xr:uid="{CC2067A4-135D-438C-8128-D066B8E28809}"/>
    <cellStyle name="Normal 3 2 6 4" xfId="18610" xr:uid="{ED75EC64-0607-497E-9F9A-99039C590258}"/>
    <cellStyle name="Normal 3 2 6 5" xfId="27045" xr:uid="{AAE928A5-B58F-4B1C-9A8D-46271FEBBCB2}"/>
    <cellStyle name="Normal 3 2 6 6" xfId="10172" xr:uid="{E53C1C1C-991C-4369-AF2F-C8CFE2F38260}"/>
    <cellStyle name="Normal 3 2 7" xfId="2057" xr:uid="{00000000-0005-0000-0000-0000DA110000}"/>
    <cellStyle name="Normal 3 2 7 2" xfId="4286" xr:uid="{00000000-0005-0000-0000-0000DB110000}"/>
    <cellStyle name="Normal 3 2 7 2 2" xfId="8509" xr:uid="{00000000-0005-0000-0000-0000DC110000}"/>
    <cellStyle name="Normal 3 2 7 2 2 2" xfId="25386" xr:uid="{7DB0648A-3CF0-4B28-BFE9-24BC257EF1E7}"/>
    <cellStyle name="Normal 3 2 7 2 2 3" xfId="33820" xr:uid="{840C047C-DE3E-42A9-86BF-B858F1E4C11B}"/>
    <cellStyle name="Normal 3 2 7 2 2 4" xfId="16948" xr:uid="{670BD21B-A57C-4868-8D7C-0C0E44AD4FA8}"/>
    <cellStyle name="Normal 3 2 7 2 3" xfId="21168" xr:uid="{7176B9DC-F7EA-4187-B3C2-148A9206C540}"/>
    <cellStyle name="Normal 3 2 7 2 4" xfId="29603" xr:uid="{E6C38122-1CB4-4396-8681-CBC5534D80E7}"/>
    <cellStyle name="Normal 3 2 7 2 5" xfId="12730" xr:uid="{3C93EEA1-CD3D-414F-BD0C-43F269076E19}"/>
    <cellStyle name="Normal 3 2 7 3" xfId="6364" xr:uid="{00000000-0005-0000-0000-0000DD110000}"/>
    <cellStyle name="Normal 3 2 7 3 2" xfId="23241" xr:uid="{776FBCE2-EF33-41DE-BD7A-67ECA166F79C}"/>
    <cellStyle name="Normal 3 2 7 3 3" xfId="31675" xr:uid="{5D1B8B7E-47EF-4EC7-9275-DF662080624C}"/>
    <cellStyle name="Normal 3 2 7 3 4" xfId="14803" xr:uid="{E2CF1FDA-C8E3-4143-93D3-BC669B3F178F}"/>
    <cellStyle name="Normal 3 2 7 4" xfId="19023" xr:uid="{E9CF93FC-2E73-4C92-877A-EEDD9D7C1BFC}"/>
    <cellStyle name="Normal 3 2 7 5" xfId="27458" xr:uid="{CA512E42-DC0D-42DA-AF6B-3914D50C2163}"/>
    <cellStyle name="Normal 3 2 7 6" xfId="10585" xr:uid="{926AD09D-5285-427A-9A01-04B825FEEE06}"/>
    <cellStyle name="Normal 3 2 8" xfId="2493" xr:uid="{00000000-0005-0000-0000-0000DE110000}"/>
    <cellStyle name="Normal 3 2 8 2" xfId="6777" xr:uid="{00000000-0005-0000-0000-0000DF110000}"/>
    <cellStyle name="Normal 3 2 8 2 2" xfId="23654" xr:uid="{457B9AB9-5648-4160-8253-DA8B9DDB3124}"/>
    <cellStyle name="Normal 3 2 8 2 3" xfId="32088" xr:uid="{A8C9CA2F-608C-4E06-942D-B7DAFDB783E9}"/>
    <cellStyle name="Normal 3 2 8 2 4" xfId="15216" xr:uid="{978AB6E8-3D3E-46EC-BB51-CADB57CDE304}"/>
    <cellStyle name="Normal 3 2 8 3" xfId="19436" xr:uid="{AF988145-8C75-41C9-BB63-29905EC5E5C0}"/>
    <cellStyle name="Normal 3 2 8 4" xfId="27871" xr:uid="{0CFC1A0B-3B3C-4909-A59F-96BA044562D4}"/>
    <cellStyle name="Normal 3 2 8 5" xfId="10998" xr:uid="{25FB648B-FA3C-4BC0-AA72-67FAD4A4B174}"/>
    <cellStyle name="Normal 3 2 9" xfId="4711" xr:uid="{00000000-0005-0000-0000-0000E0110000}"/>
    <cellStyle name="Normal 3 2 9 2" xfId="21588" xr:uid="{B106D448-EDD2-4736-AF42-F4D0DE8DA792}"/>
    <cellStyle name="Normal 3 2 9 3" xfId="30022" xr:uid="{61F16A36-2926-43F4-B5BA-0E35CC698FCF}"/>
    <cellStyle name="Normal 3 2 9 4" xfId="13150" xr:uid="{6ABA325F-4937-49F0-BB57-D3A1A3F0EE0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375" xr:uid="{1ED872AF-A72D-41B7-80E7-BF2752E061EF}"/>
    <cellStyle name="Normal 4 11" xfId="25810" xr:uid="{BFAB7C49-F999-46A4-9A5F-AB6CBDB93D77}"/>
    <cellStyle name="Normal 4 12" xfId="8937" xr:uid="{DD3B3E54-2B13-4200-BC27-819EA98F0717}"/>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25391" xr:uid="{B90193EF-F9EF-4BC5-9B08-6111A3D11037}"/>
    <cellStyle name="Normal 4 2 2 10 2 2 3" xfId="33825" xr:uid="{F96E9843-CA08-4FBC-913A-8979618937D6}"/>
    <cellStyle name="Normal 4 2 2 10 2 2 4" xfId="16953" xr:uid="{957EE997-0E77-4008-9DC5-553FF2DF8251}"/>
    <cellStyle name="Normal 4 2 2 10 2 3" xfId="21173" xr:uid="{98F12670-8A44-4FA2-9216-26D329E53D59}"/>
    <cellStyle name="Normal 4 2 2 10 2 4" xfId="29608" xr:uid="{5FB50C27-F5CB-4C00-95A8-4346A9F552AD}"/>
    <cellStyle name="Normal 4 2 2 10 2 5" xfId="12735" xr:uid="{814E78A6-DBF7-4C62-B5BF-82179A6B22CB}"/>
    <cellStyle name="Normal 4 2 2 10 3" xfId="6369" xr:uid="{00000000-0005-0000-0000-0000ED110000}"/>
    <cellStyle name="Normal 4 2 2 10 3 2" xfId="23246" xr:uid="{BA6BB234-AF5B-4938-9BF5-353415AF42F4}"/>
    <cellStyle name="Normal 4 2 2 10 3 3" xfId="31680" xr:uid="{F49763E5-4F79-4740-9036-D5226558B2A3}"/>
    <cellStyle name="Normal 4 2 2 10 3 4" xfId="14808" xr:uid="{3AFAE5E8-3510-4458-A818-73875A74B869}"/>
    <cellStyle name="Normal 4 2 2 10 4" xfId="19028" xr:uid="{344D2C30-99D3-4A38-B4A5-77C9076F4279}"/>
    <cellStyle name="Normal 4 2 2 10 5" xfId="27463" xr:uid="{56FC0995-B32E-4E84-A8D7-B3FE7FA22246}"/>
    <cellStyle name="Normal 4 2 2 10 6" xfId="10590" xr:uid="{1D9B7071-7C1A-4044-9D26-043757F0B622}"/>
    <cellStyle name="Normal 4 2 2 11" xfId="2498" xr:uid="{00000000-0005-0000-0000-0000EE110000}"/>
    <cellStyle name="Normal 4 2 2 11 2" xfId="6782" xr:uid="{00000000-0005-0000-0000-0000EF110000}"/>
    <cellStyle name="Normal 4 2 2 11 2 2" xfId="23659" xr:uid="{E576357F-A65E-4000-B642-F3E7CB1C3EAD}"/>
    <cellStyle name="Normal 4 2 2 11 2 3" xfId="32093" xr:uid="{2D795C37-10B8-4547-9CF4-A87F5E6436FB}"/>
    <cellStyle name="Normal 4 2 2 11 2 4" xfId="15221" xr:uid="{B10FEDC0-C030-4FDF-AAEE-51FF3032F9DB}"/>
    <cellStyle name="Normal 4 2 2 11 3" xfId="19441" xr:uid="{77932063-CCB5-4F13-B405-711BCEA7D930}"/>
    <cellStyle name="Normal 4 2 2 11 4" xfId="27876" xr:uid="{EBAB226F-AE2F-407D-9D9F-611CFE85A7A0}"/>
    <cellStyle name="Normal 4 2 2 11 5" xfId="11003" xr:uid="{AED88C5F-0838-4FB7-9F3E-8A0F47EFB8B5}"/>
    <cellStyle name="Normal 4 2 2 12" xfId="4717" xr:uid="{00000000-0005-0000-0000-0000F0110000}"/>
    <cellStyle name="Normal 4 2 2 12 2" xfId="21594" xr:uid="{9AE03725-7445-404A-8113-9BC72075AE97}"/>
    <cellStyle name="Normal 4 2 2 12 3" xfId="30028" xr:uid="{062B8E1C-9823-4432-BA69-017B75D564F7}"/>
    <cellStyle name="Normal 4 2 2 12 4" xfId="13156" xr:uid="{AF33ECAA-7AC6-4D39-A6C7-C7E5EEB4A570}"/>
    <cellStyle name="Normal 4 2 2 13" xfId="17376" xr:uid="{8B54F27C-B7D3-48A5-9720-0A1853EEE183}"/>
    <cellStyle name="Normal 4 2 2 14" xfId="25811" xr:uid="{917082BF-11A6-4116-B82B-CAF6F7E39DFB}"/>
    <cellStyle name="Normal 4 2 2 15" xfId="8938" xr:uid="{105E1B2E-F9EB-4878-B471-8C99E3267642}"/>
    <cellStyle name="Normal 4 2 2 2" xfId="338" xr:uid="{00000000-0005-0000-0000-0000F1110000}"/>
    <cellStyle name="Normal 4 2 2 3" xfId="339" xr:uid="{00000000-0005-0000-0000-0000F2110000}"/>
    <cellStyle name="Normal 4 2 2 3 10" xfId="4718" xr:uid="{00000000-0005-0000-0000-0000F3110000}"/>
    <cellStyle name="Normal 4 2 2 3 10 2" xfId="21595" xr:uid="{86A79F36-46A6-4EF2-9A6C-B9F4CF32D650}"/>
    <cellStyle name="Normal 4 2 2 3 10 3" xfId="30029" xr:uid="{5CD8EC21-595E-476E-B509-A27CD4C1B805}"/>
    <cellStyle name="Normal 4 2 2 3 10 4" xfId="13157" xr:uid="{3366C92C-4BAE-4E4A-A46E-DCDE5B448BFB}"/>
    <cellStyle name="Normal 4 2 2 3 11" xfId="17377" xr:uid="{03563818-8D52-4834-8A4E-6B972ABB6BCE}"/>
    <cellStyle name="Normal 4 2 2 3 12" xfId="25812" xr:uid="{DB9F1EC8-B9AD-4E5D-B8F6-85E76531FEB7}"/>
    <cellStyle name="Normal 4 2 2 3 13" xfId="8939" xr:uid="{E95A9170-7AD8-4906-BF4E-6102F397B545}"/>
    <cellStyle name="Normal 4 2 2 3 2" xfId="340" xr:uid="{00000000-0005-0000-0000-0000F4110000}"/>
    <cellStyle name="Normal 4 2 2 3 2 10" xfId="17378" xr:uid="{8A956B77-86DA-466F-B8C9-BF048BF252EF}"/>
    <cellStyle name="Normal 4 2 2 3 2 11" xfId="25813" xr:uid="{55B44AE8-8035-4A04-BF43-9B660D98C0D3}"/>
    <cellStyle name="Normal 4 2 2 3 2 12" xfId="8940" xr:uid="{103D11E2-FBE0-402A-90AE-21C4B54DDB54}"/>
    <cellStyle name="Normal 4 2 2 3 2 2" xfId="341" xr:uid="{00000000-0005-0000-0000-0000F5110000}"/>
    <cellStyle name="Normal 4 2 2 3 2 2 10" xfId="25814" xr:uid="{D5119AFE-A732-4108-B604-1152D02DAC73}"/>
    <cellStyle name="Normal 4 2 2 3 2 2 11" xfId="8941" xr:uid="{42393D64-D017-4648-A8E4-EE5077A79E7D}"/>
    <cellStyle name="Normal 4 2 2 3 2 2 2" xfId="342" xr:uid="{00000000-0005-0000-0000-0000F6110000}"/>
    <cellStyle name="Normal 4 2 2 3 2 2 2 10" xfId="8942" xr:uid="{3BA46EFA-A7D1-442C-ADC4-B7272E935BCF}"/>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24156" xr:uid="{54933A13-8256-43AD-8D15-1C3F4FECD289}"/>
    <cellStyle name="Normal 4 2 2 3 2 2 2 2 2 2 3" xfId="32590" xr:uid="{CE8FA095-2648-446C-AD55-EE3FA5B56133}"/>
    <cellStyle name="Normal 4 2 2 3 2 2 2 2 2 2 4" xfId="15718" xr:uid="{EF3EA544-1E01-4F37-B450-33FC1A02855B}"/>
    <cellStyle name="Normal 4 2 2 3 2 2 2 2 2 3" xfId="19938" xr:uid="{45679901-FCA2-463C-B291-31709A250066}"/>
    <cellStyle name="Normal 4 2 2 3 2 2 2 2 2 4" xfId="28373" xr:uid="{0900AED9-42F7-4BB7-8FDE-A04537F85014}"/>
    <cellStyle name="Normal 4 2 2 3 2 2 2 2 2 5" xfId="11500" xr:uid="{8C3E0AD5-79E8-40A7-8A33-37D3D534D015}"/>
    <cellStyle name="Normal 4 2 2 3 2 2 2 2 3" xfId="5134" xr:uid="{00000000-0005-0000-0000-0000FA110000}"/>
    <cellStyle name="Normal 4 2 2 3 2 2 2 2 3 2" xfId="22011" xr:uid="{AA3E5CC2-DE2C-44D3-BD6E-3A63855DAE5D}"/>
    <cellStyle name="Normal 4 2 2 3 2 2 2 2 3 3" xfId="30445" xr:uid="{FAD6F441-6D19-40D8-8BAF-49A44DAF203B}"/>
    <cellStyle name="Normal 4 2 2 3 2 2 2 2 3 4" xfId="13573" xr:uid="{77ED3575-72BB-4A3A-B221-173202E728ED}"/>
    <cellStyle name="Normal 4 2 2 3 2 2 2 2 4" xfId="17793" xr:uid="{A314385E-EB92-4A6F-B610-7F37D0D0EA0E}"/>
    <cellStyle name="Normal 4 2 2 3 2 2 2 2 5" xfId="26228" xr:uid="{4D795709-76F7-462D-800D-8AEA0CA81010}"/>
    <cellStyle name="Normal 4 2 2 3 2 2 2 2 6" xfId="9355" xr:uid="{A99E164A-4099-433E-9FCD-374D0CC1758A}"/>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24569" xr:uid="{6CCA328D-7FC1-4DB9-B0DE-BE29E90FD636}"/>
    <cellStyle name="Normal 4 2 2 3 2 2 2 3 2 2 3" xfId="33003" xr:uid="{6AD2D89C-4FF7-4AD7-936C-DB79E51E538C}"/>
    <cellStyle name="Normal 4 2 2 3 2 2 2 3 2 2 4" xfId="16131" xr:uid="{37AC2956-897C-46A1-969D-498348E0F7CF}"/>
    <cellStyle name="Normal 4 2 2 3 2 2 2 3 2 3" xfId="20351" xr:uid="{4AD3BB08-20BA-4AB2-9D34-9E4BF28E2788}"/>
    <cellStyle name="Normal 4 2 2 3 2 2 2 3 2 4" xfId="28786" xr:uid="{ABBE52D9-DE0F-402A-B85E-3C4F1DC179EB}"/>
    <cellStyle name="Normal 4 2 2 3 2 2 2 3 2 5" xfId="11913" xr:uid="{710B545E-9226-40C5-9E84-F1932954B422}"/>
    <cellStyle name="Normal 4 2 2 3 2 2 2 3 3" xfId="5547" xr:uid="{00000000-0005-0000-0000-0000FE110000}"/>
    <cellStyle name="Normal 4 2 2 3 2 2 2 3 3 2" xfId="22424" xr:uid="{4B610835-9B21-4A94-A3CF-9E25B0FC3019}"/>
    <cellStyle name="Normal 4 2 2 3 2 2 2 3 3 3" xfId="30858" xr:uid="{7A227BE0-021A-40DB-86EB-D54D2B59E17C}"/>
    <cellStyle name="Normal 4 2 2 3 2 2 2 3 3 4" xfId="13986" xr:uid="{E93CFE7B-AFB9-4332-96C6-C5D4A967891A}"/>
    <cellStyle name="Normal 4 2 2 3 2 2 2 3 4" xfId="18206" xr:uid="{2B709FB2-3229-4D00-82B2-AEE9C4371DC0}"/>
    <cellStyle name="Normal 4 2 2 3 2 2 2 3 5" xfId="26641" xr:uid="{7415BEB1-24D8-46E2-989F-EAD7391D0A9D}"/>
    <cellStyle name="Normal 4 2 2 3 2 2 2 3 6" xfId="9768" xr:uid="{6A988CD6-0393-476C-9D0C-4D0C8F277E88}"/>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24982" xr:uid="{E891BADB-1622-47A0-B5DF-E631CF0F4F80}"/>
    <cellStyle name="Normal 4 2 2 3 2 2 2 4 2 2 3" xfId="33416" xr:uid="{64BD624C-9C79-4A89-B9FA-91F7B945B00D}"/>
    <cellStyle name="Normal 4 2 2 3 2 2 2 4 2 2 4" xfId="16544" xr:uid="{65E30BFF-DFB2-405D-BDA2-0019E3205A3D}"/>
    <cellStyle name="Normal 4 2 2 3 2 2 2 4 2 3" xfId="20764" xr:uid="{98C7E8BB-2D5E-48A6-86C2-9ED26EABABB8}"/>
    <cellStyle name="Normal 4 2 2 3 2 2 2 4 2 4" xfId="29199" xr:uid="{302E423D-4054-49E0-8A57-28BC4F0FE865}"/>
    <cellStyle name="Normal 4 2 2 3 2 2 2 4 2 5" xfId="12326" xr:uid="{99409A87-662E-4007-BEE0-4AA1DA6AA3EB}"/>
    <cellStyle name="Normal 4 2 2 3 2 2 2 4 3" xfId="5960" xr:uid="{00000000-0005-0000-0000-000002120000}"/>
    <cellStyle name="Normal 4 2 2 3 2 2 2 4 3 2" xfId="22837" xr:uid="{D1E1C29E-D59A-4B0A-9AEA-C7F026AE3901}"/>
    <cellStyle name="Normal 4 2 2 3 2 2 2 4 3 3" xfId="31271" xr:uid="{84E7FAF5-D199-44B7-BCE4-D5B541368FB1}"/>
    <cellStyle name="Normal 4 2 2 3 2 2 2 4 3 4" xfId="14399" xr:uid="{44A75C4A-2506-49DE-89D6-1A55D4CBD548}"/>
    <cellStyle name="Normal 4 2 2 3 2 2 2 4 4" xfId="18619" xr:uid="{4A99E31E-ED4A-4989-9ADA-DC9685008A14}"/>
    <cellStyle name="Normal 4 2 2 3 2 2 2 4 5" xfId="27054" xr:uid="{647524BA-8D58-4B94-85AD-CFF18C73F016}"/>
    <cellStyle name="Normal 4 2 2 3 2 2 2 4 6" xfId="10181" xr:uid="{EC0227D7-8177-4A01-A174-952D4853C525}"/>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25395" xr:uid="{30D79098-4BEF-4219-88D3-38EB18AD0549}"/>
    <cellStyle name="Normal 4 2 2 3 2 2 2 5 2 2 3" xfId="33829" xr:uid="{47C32281-7501-42CA-B9BB-A57A521A5C1B}"/>
    <cellStyle name="Normal 4 2 2 3 2 2 2 5 2 2 4" xfId="16957" xr:uid="{16EA19FA-5E1C-422E-BD66-295EEDEE7521}"/>
    <cellStyle name="Normal 4 2 2 3 2 2 2 5 2 3" xfId="21177" xr:uid="{8786ABB9-0D47-4463-8854-7E02FCE5B4DC}"/>
    <cellStyle name="Normal 4 2 2 3 2 2 2 5 2 4" xfId="29612" xr:uid="{837260F5-F820-42A9-BBAD-941AE0E1C3E4}"/>
    <cellStyle name="Normal 4 2 2 3 2 2 2 5 2 5" xfId="12739" xr:uid="{4AAAAE71-0D88-4CE0-A65E-8E03D62986EA}"/>
    <cellStyle name="Normal 4 2 2 3 2 2 2 5 3" xfId="6373" xr:uid="{00000000-0005-0000-0000-000006120000}"/>
    <cellStyle name="Normal 4 2 2 3 2 2 2 5 3 2" xfId="23250" xr:uid="{42F2F5E8-C46E-46C9-A2BE-9ED9B6ABCD89}"/>
    <cellStyle name="Normal 4 2 2 3 2 2 2 5 3 3" xfId="31684" xr:uid="{F401722A-352A-48CC-B0AE-2839BE403E4E}"/>
    <cellStyle name="Normal 4 2 2 3 2 2 2 5 3 4" xfId="14812" xr:uid="{25862E44-EE51-43CE-8801-AEC32CFA1B0E}"/>
    <cellStyle name="Normal 4 2 2 3 2 2 2 5 4" xfId="19032" xr:uid="{F3748A84-8C7C-4A0C-8892-B117D915D6DD}"/>
    <cellStyle name="Normal 4 2 2 3 2 2 2 5 5" xfId="27467" xr:uid="{5F8B0B87-051C-4F13-903D-F2FACF3C9884}"/>
    <cellStyle name="Normal 4 2 2 3 2 2 2 5 6" xfId="10594" xr:uid="{34BC472B-C329-45F8-A956-F91E6D4D0C6A}"/>
    <cellStyle name="Normal 4 2 2 3 2 2 2 6" xfId="2502" xr:uid="{00000000-0005-0000-0000-000007120000}"/>
    <cellStyle name="Normal 4 2 2 3 2 2 2 6 2" xfId="6786" xr:uid="{00000000-0005-0000-0000-000008120000}"/>
    <cellStyle name="Normal 4 2 2 3 2 2 2 6 2 2" xfId="23663" xr:uid="{D5DAA801-D55D-4DF8-AFBC-191FAB849761}"/>
    <cellStyle name="Normal 4 2 2 3 2 2 2 6 2 3" xfId="32097" xr:uid="{0E9EA94E-C967-4A64-8C6E-3E09F6EA1D13}"/>
    <cellStyle name="Normal 4 2 2 3 2 2 2 6 2 4" xfId="15225" xr:uid="{D5F0B57A-9AB0-4A44-BC51-FCA5FD06032F}"/>
    <cellStyle name="Normal 4 2 2 3 2 2 2 6 3" xfId="19445" xr:uid="{58DFE0C2-7934-46B8-9ACA-19A2B3A49F3E}"/>
    <cellStyle name="Normal 4 2 2 3 2 2 2 6 4" xfId="27880" xr:uid="{CAFB31D6-CF4C-4FE4-9C57-BECDA5E48624}"/>
    <cellStyle name="Normal 4 2 2 3 2 2 2 6 5" xfId="11007" xr:uid="{0DB28902-CB31-4BCA-A9E0-05863CC4571F}"/>
    <cellStyle name="Normal 4 2 2 3 2 2 2 7" xfId="4721" xr:uid="{00000000-0005-0000-0000-000009120000}"/>
    <cellStyle name="Normal 4 2 2 3 2 2 2 7 2" xfId="21598" xr:uid="{6744C174-8C0D-4B28-B68F-79407B9848F8}"/>
    <cellStyle name="Normal 4 2 2 3 2 2 2 7 3" xfId="30032" xr:uid="{B24C7594-76A9-451B-9B96-1A02D3831097}"/>
    <cellStyle name="Normal 4 2 2 3 2 2 2 7 4" xfId="13160" xr:uid="{4AD4A905-9F48-4EB3-B4FB-A0DA0FD4A007}"/>
    <cellStyle name="Normal 4 2 2 3 2 2 2 8" xfId="17380" xr:uid="{F28582C2-0808-46A1-A0A5-1A3BCD70C014}"/>
    <cellStyle name="Normal 4 2 2 3 2 2 2 9" xfId="25815" xr:uid="{AA0035D2-B8CA-4D1E-996E-974D927E37A2}"/>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24155" xr:uid="{BD94E303-EE58-4215-A134-E7EA4FAD0623}"/>
    <cellStyle name="Normal 4 2 2 3 2 2 3 2 2 3" xfId="32589" xr:uid="{B6274627-BBA2-49B8-AC68-BB83C91798AC}"/>
    <cellStyle name="Normal 4 2 2 3 2 2 3 2 2 4" xfId="15717" xr:uid="{EF23332A-944D-4F48-BE1B-FEE0E54667E7}"/>
    <cellStyle name="Normal 4 2 2 3 2 2 3 2 3" xfId="19937" xr:uid="{3E8CC25B-1C7E-4AB1-BB5B-C892CB555B3C}"/>
    <cellStyle name="Normal 4 2 2 3 2 2 3 2 4" xfId="28372" xr:uid="{080254B8-3CA0-47B2-9651-456AF4003D88}"/>
    <cellStyle name="Normal 4 2 2 3 2 2 3 2 5" xfId="11499" xr:uid="{51204748-5E3C-4850-9D1D-1DD7D0F801AC}"/>
    <cellStyle name="Normal 4 2 2 3 2 2 3 3" xfId="5133" xr:uid="{00000000-0005-0000-0000-00000D120000}"/>
    <cellStyle name="Normal 4 2 2 3 2 2 3 3 2" xfId="22010" xr:uid="{68221538-B613-4F54-B10C-F3AC15E70E8C}"/>
    <cellStyle name="Normal 4 2 2 3 2 2 3 3 3" xfId="30444" xr:uid="{2D380C2F-4926-4618-91F0-A8BE46035E79}"/>
    <cellStyle name="Normal 4 2 2 3 2 2 3 3 4" xfId="13572" xr:uid="{D418C65E-88A7-44AC-A5B1-D4E3135762DE}"/>
    <cellStyle name="Normal 4 2 2 3 2 2 3 4" xfId="17792" xr:uid="{F9A7F77C-D2CB-48C9-90CA-77A5C792F7BC}"/>
    <cellStyle name="Normal 4 2 2 3 2 2 3 5" xfId="26227" xr:uid="{F6BDACA4-1B00-4F87-B9B1-909506E33F54}"/>
    <cellStyle name="Normal 4 2 2 3 2 2 3 6" xfId="9354" xr:uid="{5BBEDEFE-5072-4519-9098-2DF5D9C4DD01}"/>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24568" xr:uid="{EB43F9CD-78B8-4C00-A2C4-4FE07595C168}"/>
    <cellStyle name="Normal 4 2 2 3 2 2 4 2 2 3" xfId="33002" xr:uid="{5AD50F88-B0DA-4F22-90A9-0A3523C5B40B}"/>
    <cellStyle name="Normal 4 2 2 3 2 2 4 2 2 4" xfId="16130" xr:uid="{0AB1E9C4-0FE0-43CB-93C4-171EF2AFA03B}"/>
    <cellStyle name="Normal 4 2 2 3 2 2 4 2 3" xfId="20350" xr:uid="{1CDF41E6-9121-4173-AAD1-2FD84465ECDA}"/>
    <cellStyle name="Normal 4 2 2 3 2 2 4 2 4" xfId="28785" xr:uid="{5EE64D0B-0300-4561-80BE-457B9A56AE4D}"/>
    <cellStyle name="Normal 4 2 2 3 2 2 4 2 5" xfId="11912" xr:uid="{48496610-960E-4AD3-B2C0-C13BAEAE6EAC}"/>
    <cellStyle name="Normal 4 2 2 3 2 2 4 3" xfId="5546" xr:uid="{00000000-0005-0000-0000-000011120000}"/>
    <cellStyle name="Normal 4 2 2 3 2 2 4 3 2" xfId="22423" xr:uid="{1CCF36BA-E4D7-4F1E-B64E-72CC79AE0381}"/>
    <cellStyle name="Normal 4 2 2 3 2 2 4 3 3" xfId="30857" xr:uid="{BA655AC8-A187-4F56-846D-B6070B11AEE9}"/>
    <cellStyle name="Normal 4 2 2 3 2 2 4 3 4" xfId="13985" xr:uid="{5D91CE22-98DE-4A45-9C8F-AFF2FB6BAAFA}"/>
    <cellStyle name="Normal 4 2 2 3 2 2 4 4" xfId="18205" xr:uid="{5F49A1B2-1988-4A38-8FDD-EEE5E4421AFD}"/>
    <cellStyle name="Normal 4 2 2 3 2 2 4 5" xfId="26640" xr:uid="{2C2B8B8D-2B2C-4007-A9C6-FFE91C21A7E2}"/>
    <cellStyle name="Normal 4 2 2 3 2 2 4 6" xfId="9767" xr:uid="{5D739D29-164F-4A6D-AB09-DA74A189A9EC}"/>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24981" xr:uid="{0FC60DCD-CC95-4ECA-8093-ABA3CA330BA9}"/>
    <cellStyle name="Normal 4 2 2 3 2 2 5 2 2 3" xfId="33415" xr:uid="{9197954A-468F-4DEE-80AD-EA6CFD946BD8}"/>
    <cellStyle name="Normal 4 2 2 3 2 2 5 2 2 4" xfId="16543" xr:uid="{47AB828E-55E1-4A1B-B7FC-ADCF323B7BE6}"/>
    <cellStyle name="Normal 4 2 2 3 2 2 5 2 3" xfId="20763" xr:uid="{947B01CB-4401-42AC-AB95-84A344D4D3B3}"/>
    <cellStyle name="Normal 4 2 2 3 2 2 5 2 4" xfId="29198" xr:uid="{40B72F95-4B14-473E-8AD7-551F18D0D304}"/>
    <cellStyle name="Normal 4 2 2 3 2 2 5 2 5" xfId="12325" xr:uid="{941D3BCA-0F24-45C8-AD9C-915A78F60C92}"/>
    <cellStyle name="Normal 4 2 2 3 2 2 5 3" xfId="5959" xr:uid="{00000000-0005-0000-0000-000015120000}"/>
    <cellStyle name="Normal 4 2 2 3 2 2 5 3 2" xfId="22836" xr:uid="{75342097-7F8E-4124-906D-D2AF3B94B994}"/>
    <cellStyle name="Normal 4 2 2 3 2 2 5 3 3" xfId="31270" xr:uid="{80A3CA1E-C05B-4B9B-8E9E-40BF86C87F02}"/>
    <cellStyle name="Normal 4 2 2 3 2 2 5 3 4" xfId="14398" xr:uid="{05806DAC-16C0-4785-A7AB-A97265F7CC85}"/>
    <cellStyle name="Normal 4 2 2 3 2 2 5 4" xfId="18618" xr:uid="{AC6D1249-4300-482E-BC98-2EB4C7612E33}"/>
    <cellStyle name="Normal 4 2 2 3 2 2 5 5" xfId="27053" xr:uid="{0AC4B4DA-BCE0-459A-9D23-5AC1E054ECBF}"/>
    <cellStyle name="Normal 4 2 2 3 2 2 5 6" xfId="10180" xr:uid="{F7CCD5CF-FB08-4AAC-893E-71BEF26FB067}"/>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25394" xr:uid="{F3C2EE1A-D230-4C6D-9EFB-59CF21F85C34}"/>
    <cellStyle name="Normal 4 2 2 3 2 2 6 2 2 3" xfId="33828" xr:uid="{F1717D05-83F4-4325-9B85-104F58181D9C}"/>
    <cellStyle name="Normal 4 2 2 3 2 2 6 2 2 4" xfId="16956" xr:uid="{C4A3D70E-1F07-4827-8006-4E82206DD3D3}"/>
    <cellStyle name="Normal 4 2 2 3 2 2 6 2 3" xfId="21176" xr:uid="{41057F34-E3FA-4E23-8E8C-9F424D523F07}"/>
    <cellStyle name="Normal 4 2 2 3 2 2 6 2 4" xfId="29611" xr:uid="{5E832AEE-FCD2-4807-84E1-1A0A8E79AFE2}"/>
    <cellStyle name="Normal 4 2 2 3 2 2 6 2 5" xfId="12738" xr:uid="{86571BFA-40B6-40B3-A876-A2E7830EB8A3}"/>
    <cellStyle name="Normal 4 2 2 3 2 2 6 3" xfId="6372" xr:uid="{00000000-0005-0000-0000-000019120000}"/>
    <cellStyle name="Normal 4 2 2 3 2 2 6 3 2" xfId="23249" xr:uid="{6F660306-B040-4FF3-A761-7E33677F7E8D}"/>
    <cellStyle name="Normal 4 2 2 3 2 2 6 3 3" xfId="31683" xr:uid="{F7833155-CBCF-4E32-AD81-5B353708B74A}"/>
    <cellStyle name="Normal 4 2 2 3 2 2 6 3 4" xfId="14811" xr:uid="{93A6D2F6-2C42-4416-A32C-844D76011D0F}"/>
    <cellStyle name="Normal 4 2 2 3 2 2 6 4" xfId="19031" xr:uid="{3FA2FB38-224D-4225-AA36-EF3A95AA4A4F}"/>
    <cellStyle name="Normal 4 2 2 3 2 2 6 5" xfId="27466" xr:uid="{5EFC2FEA-A0B9-481B-AC8F-D9F11495AF06}"/>
    <cellStyle name="Normal 4 2 2 3 2 2 6 6" xfId="10593" xr:uid="{8727C4E5-CCB4-4ABC-ACE9-3287E45CA825}"/>
    <cellStyle name="Normal 4 2 2 3 2 2 7" xfId="2501" xr:uid="{00000000-0005-0000-0000-00001A120000}"/>
    <cellStyle name="Normal 4 2 2 3 2 2 7 2" xfId="6785" xr:uid="{00000000-0005-0000-0000-00001B120000}"/>
    <cellStyle name="Normal 4 2 2 3 2 2 7 2 2" xfId="23662" xr:uid="{F8AF0AD7-CA9F-4F48-9767-E85E3D2EEBC6}"/>
    <cellStyle name="Normal 4 2 2 3 2 2 7 2 3" xfId="32096" xr:uid="{A3E4FE27-E145-494B-99F5-4AD513D9D41E}"/>
    <cellStyle name="Normal 4 2 2 3 2 2 7 2 4" xfId="15224" xr:uid="{9E76455B-F608-4B13-8794-8FCEC9E464BC}"/>
    <cellStyle name="Normal 4 2 2 3 2 2 7 3" xfId="19444" xr:uid="{74A5BC59-1B0D-4938-A7A0-3A34C75CD0E7}"/>
    <cellStyle name="Normal 4 2 2 3 2 2 7 4" xfId="27879" xr:uid="{03E01AA7-8DF4-4548-9498-E54039BB63A1}"/>
    <cellStyle name="Normal 4 2 2 3 2 2 7 5" xfId="11006" xr:uid="{37741724-35C8-401C-93BC-44D72FDC225B}"/>
    <cellStyle name="Normal 4 2 2 3 2 2 8" xfId="4720" xr:uid="{00000000-0005-0000-0000-00001C120000}"/>
    <cellStyle name="Normal 4 2 2 3 2 2 8 2" xfId="21597" xr:uid="{4D33ACF6-768F-4B47-911E-6B97203BF486}"/>
    <cellStyle name="Normal 4 2 2 3 2 2 8 3" xfId="30031" xr:uid="{E87027D9-DC83-4056-9D06-B52183E69CDA}"/>
    <cellStyle name="Normal 4 2 2 3 2 2 8 4" xfId="13159" xr:uid="{EFFD2605-73CC-4FD4-B587-CE0B201F6C5D}"/>
    <cellStyle name="Normal 4 2 2 3 2 2 9" xfId="17379" xr:uid="{27635616-9A43-4D1F-819E-34F19F83F26B}"/>
    <cellStyle name="Normal 4 2 2 3 2 3" xfId="343" xr:uid="{00000000-0005-0000-0000-00001D120000}"/>
    <cellStyle name="Normal 4 2 2 3 2 3 10" xfId="8943" xr:uid="{650904E1-21E2-4CC2-B6C0-512CEFD96A15}"/>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24157" xr:uid="{13C4A60B-F21F-4B58-91F2-DFFE853B268E}"/>
    <cellStyle name="Normal 4 2 2 3 2 3 2 2 2 3" xfId="32591" xr:uid="{237397CF-D7D1-4707-B945-612BBF6F4D63}"/>
    <cellStyle name="Normal 4 2 2 3 2 3 2 2 2 4" xfId="15719" xr:uid="{98469DA6-ADB2-42DB-A9E0-718A4BD9DF5F}"/>
    <cellStyle name="Normal 4 2 2 3 2 3 2 2 3" xfId="19939" xr:uid="{2F8640C2-2DAE-4421-B23D-87B40662708C}"/>
    <cellStyle name="Normal 4 2 2 3 2 3 2 2 4" xfId="28374" xr:uid="{654EE399-7DAD-49DE-8DA5-F8AED577E8EE}"/>
    <cellStyle name="Normal 4 2 2 3 2 3 2 2 5" xfId="11501" xr:uid="{60747AA7-4CFB-4A15-95F3-BF78A6EDE81D}"/>
    <cellStyle name="Normal 4 2 2 3 2 3 2 3" xfId="5135" xr:uid="{00000000-0005-0000-0000-000021120000}"/>
    <cellStyle name="Normal 4 2 2 3 2 3 2 3 2" xfId="22012" xr:uid="{47145E08-299A-4092-9A2C-4838B6935120}"/>
    <cellStyle name="Normal 4 2 2 3 2 3 2 3 3" xfId="30446" xr:uid="{55C3DF12-EF9D-4D0E-8F35-A804427F9750}"/>
    <cellStyle name="Normal 4 2 2 3 2 3 2 3 4" xfId="13574" xr:uid="{AC802F92-2389-4066-9CEA-5B538557B232}"/>
    <cellStyle name="Normal 4 2 2 3 2 3 2 4" xfId="17794" xr:uid="{8BE819D0-644D-49FD-850A-77B3CC56E60D}"/>
    <cellStyle name="Normal 4 2 2 3 2 3 2 5" xfId="26229" xr:uid="{C4740246-9679-475B-9D93-6B5EBE7EB03E}"/>
    <cellStyle name="Normal 4 2 2 3 2 3 2 6" xfId="9356" xr:uid="{64390236-8876-464D-A2C7-EFC9E20C5DAD}"/>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24570" xr:uid="{374C3D6D-F64C-4CFC-BD0A-9490A363B9C4}"/>
    <cellStyle name="Normal 4 2 2 3 2 3 3 2 2 3" xfId="33004" xr:uid="{80F469AF-4114-4636-A443-A584C701ECB8}"/>
    <cellStyle name="Normal 4 2 2 3 2 3 3 2 2 4" xfId="16132" xr:uid="{912D899B-B86C-44E5-898B-E4A87527EE0B}"/>
    <cellStyle name="Normal 4 2 2 3 2 3 3 2 3" xfId="20352" xr:uid="{63D11459-CCB4-4615-823A-96FBE7C9F20E}"/>
    <cellStyle name="Normal 4 2 2 3 2 3 3 2 4" xfId="28787" xr:uid="{E5384698-D1B6-4BDF-A866-939108E05A62}"/>
    <cellStyle name="Normal 4 2 2 3 2 3 3 2 5" xfId="11914" xr:uid="{9B69ED97-1454-43A4-B17D-C741F08B9BD2}"/>
    <cellStyle name="Normal 4 2 2 3 2 3 3 3" xfId="5548" xr:uid="{00000000-0005-0000-0000-000025120000}"/>
    <cellStyle name="Normal 4 2 2 3 2 3 3 3 2" xfId="22425" xr:uid="{D78F9288-0E94-45E3-8020-57CE6CB68563}"/>
    <cellStyle name="Normal 4 2 2 3 2 3 3 3 3" xfId="30859" xr:uid="{1701C274-E23B-434B-85CD-FBEDB9B9FA1C}"/>
    <cellStyle name="Normal 4 2 2 3 2 3 3 3 4" xfId="13987" xr:uid="{BF2E858F-071F-4A6F-9DDE-77A50128C690}"/>
    <cellStyle name="Normal 4 2 2 3 2 3 3 4" xfId="18207" xr:uid="{379FD389-A033-48F0-A131-840DFB3E1BBE}"/>
    <cellStyle name="Normal 4 2 2 3 2 3 3 5" xfId="26642" xr:uid="{46089A39-5392-476B-8651-F1EF9A1942D4}"/>
    <cellStyle name="Normal 4 2 2 3 2 3 3 6" xfId="9769" xr:uid="{200110C7-1938-48E8-AAEB-158B4DD1A965}"/>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24983" xr:uid="{C6E3288B-1CA1-4689-9148-30E82AC464EC}"/>
    <cellStyle name="Normal 4 2 2 3 2 3 4 2 2 3" xfId="33417" xr:uid="{45CF1E5B-FDD6-4288-A639-2EDB24AF36FF}"/>
    <cellStyle name="Normal 4 2 2 3 2 3 4 2 2 4" xfId="16545" xr:uid="{960CF6F6-E1D6-443A-A71F-1B6772C36773}"/>
    <cellStyle name="Normal 4 2 2 3 2 3 4 2 3" xfId="20765" xr:uid="{A9D6C828-DB4B-49E6-BA75-8DEC550A6E60}"/>
    <cellStyle name="Normal 4 2 2 3 2 3 4 2 4" xfId="29200" xr:uid="{D84A76E9-E788-4224-802F-080D1C2D1CD3}"/>
    <cellStyle name="Normal 4 2 2 3 2 3 4 2 5" xfId="12327" xr:uid="{0BFC98D2-D280-47D4-AF90-D0828912CB14}"/>
    <cellStyle name="Normal 4 2 2 3 2 3 4 3" xfId="5961" xr:uid="{00000000-0005-0000-0000-000029120000}"/>
    <cellStyle name="Normal 4 2 2 3 2 3 4 3 2" xfId="22838" xr:uid="{6D791BA9-7C85-465E-B6DC-C92558B0118F}"/>
    <cellStyle name="Normal 4 2 2 3 2 3 4 3 3" xfId="31272" xr:uid="{06F9FDDF-D326-41C6-AFDF-7C586F8B92B0}"/>
    <cellStyle name="Normal 4 2 2 3 2 3 4 3 4" xfId="14400" xr:uid="{9154342F-5D4A-4A26-A352-F6A639BD7E3D}"/>
    <cellStyle name="Normal 4 2 2 3 2 3 4 4" xfId="18620" xr:uid="{A8F1A76A-EB0A-405B-AD40-CC43E84EE1C8}"/>
    <cellStyle name="Normal 4 2 2 3 2 3 4 5" xfId="27055" xr:uid="{66B197DE-AE17-4EE1-86D7-2F6CD3D89E53}"/>
    <cellStyle name="Normal 4 2 2 3 2 3 4 6" xfId="10182" xr:uid="{FA665EF3-2AB1-4334-A683-3B44E8A1F40F}"/>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25396" xr:uid="{0A6A2AB0-BC61-41D7-B191-88694456BE60}"/>
    <cellStyle name="Normal 4 2 2 3 2 3 5 2 2 3" xfId="33830" xr:uid="{40FAD85E-491D-4674-B9CA-0809D69790EE}"/>
    <cellStyle name="Normal 4 2 2 3 2 3 5 2 2 4" xfId="16958" xr:uid="{EEF82507-1419-45E7-81D4-A88FB5921549}"/>
    <cellStyle name="Normal 4 2 2 3 2 3 5 2 3" xfId="21178" xr:uid="{6BDFFDC9-23BB-4F3B-8A1E-6C47C4584CCC}"/>
    <cellStyle name="Normal 4 2 2 3 2 3 5 2 4" xfId="29613" xr:uid="{4123F980-C8BE-4813-ACB0-5B786EE9EA55}"/>
    <cellStyle name="Normal 4 2 2 3 2 3 5 2 5" xfId="12740" xr:uid="{2B4B0D4C-177E-47C5-8467-B3738E79B8AE}"/>
    <cellStyle name="Normal 4 2 2 3 2 3 5 3" xfId="6374" xr:uid="{00000000-0005-0000-0000-00002D120000}"/>
    <cellStyle name="Normal 4 2 2 3 2 3 5 3 2" xfId="23251" xr:uid="{402AB204-E86A-4046-8296-43236ED401CA}"/>
    <cellStyle name="Normal 4 2 2 3 2 3 5 3 3" xfId="31685" xr:uid="{5A4FFFDE-B6F7-48B1-B758-DA2A9BAC421B}"/>
    <cellStyle name="Normal 4 2 2 3 2 3 5 3 4" xfId="14813" xr:uid="{29C99003-5AAF-41CA-9E92-1B36E532AAD1}"/>
    <cellStyle name="Normal 4 2 2 3 2 3 5 4" xfId="19033" xr:uid="{394EDA1D-47E4-4078-A38D-00119B6DE4D7}"/>
    <cellStyle name="Normal 4 2 2 3 2 3 5 5" xfId="27468" xr:uid="{FED9218C-6BC9-4D9D-8B64-CD9A05F9073A}"/>
    <cellStyle name="Normal 4 2 2 3 2 3 5 6" xfId="10595" xr:uid="{03451226-5D6A-440C-9B06-F47429F4FF6D}"/>
    <cellStyle name="Normal 4 2 2 3 2 3 6" xfId="2503" xr:uid="{00000000-0005-0000-0000-00002E120000}"/>
    <cellStyle name="Normal 4 2 2 3 2 3 6 2" xfId="6787" xr:uid="{00000000-0005-0000-0000-00002F120000}"/>
    <cellStyle name="Normal 4 2 2 3 2 3 6 2 2" xfId="23664" xr:uid="{304D350C-AB4F-4A71-87EF-95D8B547FE9D}"/>
    <cellStyle name="Normal 4 2 2 3 2 3 6 2 3" xfId="32098" xr:uid="{DC2CB370-6911-4DA9-9178-C871D34007ED}"/>
    <cellStyle name="Normal 4 2 2 3 2 3 6 2 4" xfId="15226" xr:uid="{8ADF6261-5E44-4690-A2E4-6E529484C819}"/>
    <cellStyle name="Normal 4 2 2 3 2 3 6 3" xfId="19446" xr:uid="{93F05743-C15F-4870-B113-E9C00294049D}"/>
    <cellStyle name="Normal 4 2 2 3 2 3 6 4" xfId="27881" xr:uid="{92E6C0A9-8F7F-4FCB-ACA6-39CB02902C31}"/>
    <cellStyle name="Normal 4 2 2 3 2 3 6 5" xfId="11008" xr:uid="{D559A143-0237-406D-AAA9-59E4B52F5F8D}"/>
    <cellStyle name="Normal 4 2 2 3 2 3 7" xfId="4722" xr:uid="{00000000-0005-0000-0000-000030120000}"/>
    <cellStyle name="Normal 4 2 2 3 2 3 7 2" xfId="21599" xr:uid="{C197F52C-AD83-43DE-A0A2-E31DB44E453D}"/>
    <cellStyle name="Normal 4 2 2 3 2 3 7 3" xfId="30033" xr:uid="{13CB9568-0A26-4703-AAA5-6EB7FB2F1E9E}"/>
    <cellStyle name="Normal 4 2 2 3 2 3 7 4" xfId="13161" xr:uid="{65E6B433-9602-49BC-8548-7715C950CAFE}"/>
    <cellStyle name="Normal 4 2 2 3 2 3 8" xfId="17381" xr:uid="{365F8F55-1AB7-4D7A-9666-CE67810CA196}"/>
    <cellStyle name="Normal 4 2 2 3 2 3 9" xfId="25816" xr:uid="{9162C4F0-18B9-42B8-926A-204FD2FEBB1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24154" xr:uid="{4C9FFD24-099C-4633-B2C4-B82286AB544C}"/>
    <cellStyle name="Normal 4 2 2 3 2 4 2 2 3" xfId="32588" xr:uid="{ED803CFA-8103-4E53-8A3B-C6FC8B4DAB1F}"/>
    <cellStyle name="Normal 4 2 2 3 2 4 2 2 4" xfId="15716" xr:uid="{1C8C305B-A2A8-4AD4-A297-277F154C8B5E}"/>
    <cellStyle name="Normal 4 2 2 3 2 4 2 3" xfId="19936" xr:uid="{2A64C5A7-9CD8-4A1D-B04F-7363AD9601E9}"/>
    <cellStyle name="Normal 4 2 2 3 2 4 2 4" xfId="28371" xr:uid="{D8674D91-A50D-4A42-B53F-9FB3CE778DAF}"/>
    <cellStyle name="Normal 4 2 2 3 2 4 2 5" xfId="11498" xr:uid="{E86AECE2-FA8E-45A4-A8EA-7928D0DCE87F}"/>
    <cellStyle name="Normal 4 2 2 3 2 4 3" xfId="5132" xr:uid="{00000000-0005-0000-0000-000034120000}"/>
    <cellStyle name="Normal 4 2 2 3 2 4 3 2" xfId="22009" xr:uid="{2112D0E0-7A79-44DB-B4A2-3D43FE24FB64}"/>
    <cellStyle name="Normal 4 2 2 3 2 4 3 3" xfId="30443" xr:uid="{9EF7F589-24C8-4E34-B41D-067BD5F161DA}"/>
    <cellStyle name="Normal 4 2 2 3 2 4 3 4" xfId="13571" xr:uid="{7F2172D6-5F56-476E-8705-5D1B90A27039}"/>
    <cellStyle name="Normal 4 2 2 3 2 4 4" xfId="17791" xr:uid="{4FBC5FCA-406E-4301-B8A0-268E9778F592}"/>
    <cellStyle name="Normal 4 2 2 3 2 4 5" xfId="26226" xr:uid="{0D584EC9-20FB-41AF-BF7F-465BEC6C742E}"/>
    <cellStyle name="Normal 4 2 2 3 2 4 6" xfId="9353" xr:uid="{C353FF17-32CB-497D-A64C-64746DB94644}"/>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24567" xr:uid="{F9CA01A2-23BD-4F83-A9AB-FFAA3696A0DC}"/>
    <cellStyle name="Normal 4 2 2 3 2 5 2 2 3" xfId="33001" xr:uid="{3031922C-7F66-417E-9783-2C78EBACC401}"/>
    <cellStyle name="Normal 4 2 2 3 2 5 2 2 4" xfId="16129" xr:uid="{CB58ECB6-3BCC-435D-A915-622714BA6EC0}"/>
    <cellStyle name="Normal 4 2 2 3 2 5 2 3" xfId="20349" xr:uid="{551649CE-3457-4BDC-B29A-0F5F55CCB975}"/>
    <cellStyle name="Normal 4 2 2 3 2 5 2 4" xfId="28784" xr:uid="{6DB7FC43-4363-4C4E-B247-E910301FC745}"/>
    <cellStyle name="Normal 4 2 2 3 2 5 2 5" xfId="11911" xr:uid="{C50FE804-CF55-4B27-8BCF-654F8DCBE848}"/>
    <cellStyle name="Normal 4 2 2 3 2 5 3" xfId="5545" xr:uid="{00000000-0005-0000-0000-000038120000}"/>
    <cellStyle name="Normal 4 2 2 3 2 5 3 2" xfId="22422" xr:uid="{E08ECF5F-7C77-4995-89C8-25B68C764DF3}"/>
    <cellStyle name="Normal 4 2 2 3 2 5 3 3" xfId="30856" xr:uid="{C20B22E0-BE74-42F6-BA29-91FABFB6BB71}"/>
    <cellStyle name="Normal 4 2 2 3 2 5 3 4" xfId="13984" xr:uid="{27DE4524-1ABC-455E-B01C-33173E3E4171}"/>
    <cellStyle name="Normal 4 2 2 3 2 5 4" xfId="18204" xr:uid="{A6283AB7-1C67-4F1E-A932-D0E88C0447DF}"/>
    <cellStyle name="Normal 4 2 2 3 2 5 5" xfId="26639" xr:uid="{D7FEEAB6-9BA4-4071-BA64-AA3014AB5912}"/>
    <cellStyle name="Normal 4 2 2 3 2 5 6" xfId="9766" xr:uid="{421D0814-F1E0-451F-BA17-1192158FFDEB}"/>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24980" xr:uid="{7ECA53BB-16AD-42F5-AFF6-D04B087509AF}"/>
    <cellStyle name="Normal 4 2 2 3 2 6 2 2 3" xfId="33414" xr:uid="{C416A4EE-9524-4868-A110-968B1381D73A}"/>
    <cellStyle name="Normal 4 2 2 3 2 6 2 2 4" xfId="16542" xr:uid="{EDD986F8-A194-4147-AA64-C74F4AB0CE64}"/>
    <cellStyle name="Normal 4 2 2 3 2 6 2 3" xfId="20762" xr:uid="{48AD5A5D-C0F8-4868-908E-6B923A719F26}"/>
    <cellStyle name="Normal 4 2 2 3 2 6 2 4" xfId="29197" xr:uid="{95DC0F7A-AEEA-4FE4-9E23-894BC509C85D}"/>
    <cellStyle name="Normal 4 2 2 3 2 6 2 5" xfId="12324" xr:uid="{55C0FB5C-2423-44C3-8D57-5903A4117080}"/>
    <cellStyle name="Normal 4 2 2 3 2 6 3" xfId="5958" xr:uid="{00000000-0005-0000-0000-00003C120000}"/>
    <cellStyle name="Normal 4 2 2 3 2 6 3 2" xfId="22835" xr:uid="{6E955BD0-7256-4E4D-906B-785C9CD915E5}"/>
    <cellStyle name="Normal 4 2 2 3 2 6 3 3" xfId="31269" xr:uid="{EF5BF897-2E8F-4A6B-9F94-82E084956BDA}"/>
    <cellStyle name="Normal 4 2 2 3 2 6 3 4" xfId="14397" xr:uid="{96AC4A77-54AA-4A14-8CF3-3AF507250758}"/>
    <cellStyle name="Normal 4 2 2 3 2 6 4" xfId="18617" xr:uid="{8AA0BAA6-E1F5-4489-9082-3318C57E325F}"/>
    <cellStyle name="Normal 4 2 2 3 2 6 5" xfId="27052" xr:uid="{87BCCECC-5DE2-48F0-8384-9FD818332370}"/>
    <cellStyle name="Normal 4 2 2 3 2 6 6" xfId="10179" xr:uid="{22F958F5-0198-4173-9EDE-C8837BA7576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25393" xr:uid="{D2303F95-FBD2-4419-8683-E276F9125DC4}"/>
    <cellStyle name="Normal 4 2 2 3 2 7 2 2 3" xfId="33827" xr:uid="{F809D0B6-A021-4290-AF00-D6396BB7DD79}"/>
    <cellStyle name="Normal 4 2 2 3 2 7 2 2 4" xfId="16955" xr:uid="{CA67BAF3-A1CB-4E27-9BF5-571C9677C506}"/>
    <cellStyle name="Normal 4 2 2 3 2 7 2 3" xfId="21175" xr:uid="{6BDF5452-4748-4867-BF09-A632E81F1AF3}"/>
    <cellStyle name="Normal 4 2 2 3 2 7 2 4" xfId="29610" xr:uid="{37892D92-C69F-431F-8017-9B5BF79FBA30}"/>
    <cellStyle name="Normal 4 2 2 3 2 7 2 5" xfId="12737" xr:uid="{21466CA2-E226-4539-A9B3-CAAF09E68A9F}"/>
    <cellStyle name="Normal 4 2 2 3 2 7 3" xfId="6371" xr:uid="{00000000-0005-0000-0000-000040120000}"/>
    <cellStyle name="Normal 4 2 2 3 2 7 3 2" xfId="23248" xr:uid="{35BCE4F5-0F5C-44DD-BEC0-5F8967B2C063}"/>
    <cellStyle name="Normal 4 2 2 3 2 7 3 3" xfId="31682" xr:uid="{3DEE8132-3C14-49D9-A8D4-B130CED12994}"/>
    <cellStyle name="Normal 4 2 2 3 2 7 3 4" xfId="14810" xr:uid="{DD4CB99F-EB97-4562-8B2E-43B83B9C9CFB}"/>
    <cellStyle name="Normal 4 2 2 3 2 7 4" xfId="19030" xr:uid="{92C565A3-D0E4-4258-AE26-8F210044001B}"/>
    <cellStyle name="Normal 4 2 2 3 2 7 5" xfId="27465" xr:uid="{73526803-8263-4050-935C-C9BAC3F81C7E}"/>
    <cellStyle name="Normal 4 2 2 3 2 7 6" xfId="10592" xr:uid="{777FB464-7121-495B-939A-9A156B7D4188}"/>
    <cellStyle name="Normal 4 2 2 3 2 8" xfId="2500" xr:uid="{00000000-0005-0000-0000-000041120000}"/>
    <cellStyle name="Normal 4 2 2 3 2 8 2" xfId="6784" xr:uid="{00000000-0005-0000-0000-000042120000}"/>
    <cellStyle name="Normal 4 2 2 3 2 8 2 2" xfId="23661" xr:uid="{8BDCB08F-FC51-418F-B143-350D5D347FC2}"/>
    <cellStyle name="Normal 4 2 2 3 2 8 2 3" xfId="32095" xr:uid="{8B3C38F2-4AEA-47E3-9271-51175EE8CCFC}"/>
    <cellStyle name="Normal 4 2 2 3 2 8 2 4" xfId="15223" xr:uid="{CA4843ED-BB43-4096-9517-78FA00D7660F}"/>
    <cellStyle name="Normal 4 2 2 3 2 8 3" xfId="19443" xr:uid="{7C53FF9A-C45B-4EF1-A682-5EA25D1903A1}"/>
    <cellStyle name="Normal 4 2 2 3 2 8 4" xfId="27878" xr:uid="{D405A9D2-F4DA-4465-A568-C41FEF12ADF6}"/>
    <cellStyle name="Normal 4 2 2 3 2 8 5" xfId="11005" xr:uid="{1DB731F8-3CFF-4D58-8E0A-BEBC5A23E4EC}"/>
    <cellStyle name="Normal 4 2 2 3 2 9" xfId="4719" xr:uid="{00000000-0005-0000-0000-000043120000}"/>
    <cellStyle name="Normal 4 2 2 3 2 9 2" xfId="21596" xr:uid="{C65529FF-5D23-4449-BBDB-A6CD96251B9C}"/>
    <cellStyle name="Normal 4 2 2 3 2 9 3" xfId="30030" xr:uid="{4886ADD4-9636-472E-B233-F8C17F65A66C}"/>
    <cellStyle name="Normal 4 2 2 3 2 9 4" xfId="13158" xr:uid="{DC63559A-1A62-4CFA-A26E-2311522C9C44}"/>
    <cellStyle name="Normal 4 2 2 3 3" xfId="344" xr:uid="{00000000-0005-0000-0000-000044120000}"/>
    <cellStyle name="Normal 4 2 2 3 3 10" xfId="25817" xr:uid="{03CCA5F7-7D24-4344-91A1-264A0374DD2B}"/>
    <cellStyle name="Normal 4 2 2 3 3 11" xfId="8944" xr:uid="{13CD0361-ADBA-4D01-A8EC-6BB4D6C3369A}"/>
    <cellStyle name="Normal 4 2 2 3 3 2" xfId="345" xr:uid="{00000000-0005-0000-0000-000045120000}"/>
    <cellStyle name="Normal 4 2 2 3 3 2 10" xfId="8945" xr:uid="{8565BFF4-5886-41A6-88DE-B10C933CA40F}"/>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24159" xr:uid="{E13543D6-8C47-4544-9E66-71C55387CB65}"/>
    <cellStyle name="Normal 4 2 2 3 3 2 2 2 2 3" xfId="32593" xr:uid="{244972D2-8AB3-4D7E-8002-9A1197A2AE1E}"/>
    <cellStyle name="Normal 4 2 2 3 3 2 2 2 2 4" xfId="15721" xr:uid="{0BC30E7F-98C0-4D7B-B16A-7BF45263D2F3}"/>
    <cellStyle name="Normal 4 2 2 3 3 2 2 2 3" xfId="19941" xr:uid="{F3677CB0-80FC-4141-ACCE-50080CE7FA9B}"/>
    <cellStyle name="Normal 4 2 2 3 3 2 2 2 4" xfId="28376" xr:uid="{27678325-B2B7-49B4-A526-7CDF903A9917}"/>
    <cellStyle name="Normal 4 2 2 3 3 2 2 2 5" xfId="11503" xr:uid="{6F73C006-FB69-4037-A029-A206A05D5CB4}"/>
    <cellStyle name="Normal 4 2 2 3 3 2 2 3" xfId="5137" xr:uid="{00000000-0005-0000-0000-000049120000}"/>
    <cellStyle name="Normal 4 2 2 3 3 2 2 3 2" xfId="22014" xr:uid="{82B9F7F1-C15F-4600-B65C-8114E6FA4320}"/>
    <cellStyle name="Normal 4 2 2 3 3 2 2 3 3" xfId="30448" xr:uid="{B8331D1E-37A6-4EC9-B446-27525FCB1D1E}"/>
    <cellStyle name="Normal 4 2 2 3 3 2 2 3 4" xfId="13576" xr:uid="{ACBF336A-88BC-43C2-A5F2-14BECA4B8C93}"/>
    <cellStyle name="Normal 4 2 2 3 3 2 2 4" xfId="17796" xr:uid="{F51999CB-30E7-4A66-88FB-330B56FB3D2A}"/>
    <cellStyle name="Normal 4 2 2 3 3 2 2 5" xfId="26231" xr:uid="{4470F590-0281-4393-BFFD-A7B7DD2CC77E}"/>
    <cellStyle name="Normal 4 2 2 3 3 2 2 6" xfId="9358" xr:uid="{93720F44-234A-4B49-86B5-BBAEA0AC2CBB}"/>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24572" xr:uid="{EB98F973-4AD7-4FE8-BCAC-A5812FB60627}"/>
    <cellStyle name="Normal 4 2 2 3 3 2 3 2 2 3" xfId="33006" xr:uid="{C644FAA9-7E7C-401A-B215-90ADA068C5AC}"/>
    <cellStyle name="Normal 4 2 2 3 3 2 3 2 2 4" xfId="16134" xr:uid="{5C3C2E81-4F57-4CD7-93CE-C2C79D7AE568}"/>
    <cellStyle name="Normal 4 2 2 3 3 2 3 2 3" xfId="20354" xr:uid="{A5811F62-7739-4528-9AB7-61014392F17E}"/>
    <cellStyle name="Normal 4 2 2 3 3 2 3 2 4" xfId="28789" xr:uid="{4310B1CD-06C6-4CFB-B8FD-A26FFD9F37FA}"/>
    <cellStyle name="Normal 4 2 2 3 3 2 3 2 5" xfId="11916" xr:uid="{55E5FB1D-0496-4A00-B967-3F65E1E084B3}"/>
    <cellStyle name="Normal 4 2 2 3 3 2 3 3" xfId="5550" xr:uid="{00000000-0005-0000-0000-00004D120000}"/>
    <cellStyle name="Normal 4 2 2 3 3 2 3 3 2" xfId="22427" xr:uid="{019AAA19-0095-40A9-9B61-A71650F83622}"/>
    <cellStyle name="Normal 4 2 2 3 3 2 3 3 3" xfId="30861" xr:uid="{02409328-0033-4DFA-B2EB-5FACBBDBE3CE}"/>
    <cellStyle name="Normal 4 2 2 3 3 2 3 3 4" xfId="13989" xr:uid="{0F9AA910-2BD4-4F81-845E-4DAB28A905DB}"/>
    <cellStyle name="Normal 4 2 2 3 3 2 3 4" xfId="18209" xr:uid="{5766612A-91AA-4510-BA0C-BF75A74B4800}"/>
    <cellStyle name="Normal 4 2 2 3 3 2 3 5" xfId="26644" xr:uid="{F68D12C0-1AA4-42B9-9AC9-A3E2028CD5F5}"/>
    <cellStyle name="Normal 4 2 2 3 3 2 3 6" xfId="9771" xr:uid="{0F6AC4D1-E5F2-4F09-923E-E7D44D6545C4}"/>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24985" xr:uid="{26D97E85-113A-4194-9156-5B3FEDCC1526}"/>
    <cellStyle name="Normal 4 2 2 3 3 2 4 2 2 3" xfId="33419" xr:uid="{7727CB66-AF98-4AF3-957F-2CDB034B9306}"/>
    <cellStyle name="Normal 4 2 2 3 3 2 4 2 2 4" xfId="16547" xr:uid="{1E55E3D1-3DD5-4D30-B407-19CA9322F382}"/>
    <cellStyle name="Normal 4 2 2 3 3 2 4 2 3" xfId="20767" xr:uid="{281B5C2D-99FD-4333-A7BC-DE0352FCBC9B}"/>
    <cellStyle name="Normal 4 2 2 3 3 2 4 2 4" xfId="29202" xr:uid="{C93A3A50-1DCE-436E-8213-03E190BF07F1}"/>
    <cellStyle name="Normal 4 2 2 3 3 2 4 2 5" xfId="12329" xr:uid="{34458BC3-C842-46A9-BDB1-D7256EB402B7}"/>
    <cellStyle name="Normal 4 2 2 3 3 2 4 3" xfId="5963" xr:uid="{00000000-0005-0000-0000-000051120000}"/>
    <cellStyle name="Normal 4 2 2 3 3 2 4 3 2" xfId="22840" xr:uid="{5E576845-250F-423A-A0CE-1AABD87FB81E}"/>
    <cellStyle name="Normal 4 2 2 3 3 2 4 3 3" xfId="31274" xr:uid="{5776021F-8240-477A-8EBF-B73EAC149042}"/>
    <cellStyle name="Normal 4 2 2 3 3 2 4 3 4" xfId="14402" xr:uid="{040342D5-2BC3-42A4-A90A-06E8CD12CC87}"/>
    <cellStyle name="Normal 4 2 2 3 3 2 4 4" xfId="18622" xr:uid="{0F4AC731-ED5A-40DE-8FE9-7B847555C128}"/>
    <cellStyle name="Normal 4 2 2 3 3 2 4 5" xfId="27057" xr:uid="{A94AE603-22DB-4798-A02E-0344E41FEADC}"/>
    <cellStyle name="Normal 4 2 2 3 3 2 4 6" xfId="10184" xr:uid="{78F1C5D1-B713-4A8A-A880-FEFC969BAFAD}"/>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25398" xr:uid="{2D2C58FB-6777-4307-A990-7DCCC02FEB78}"/>
    <cellStyle name="Normal 4 2 2 3 3 2 5 2 2 3" xfId="33832" xr:uid="{CC1EC7BD-5C6E-4AB5-A2ED-E544E9D47B95}"/>
    <cellStyle name="Normal 4 2 2 3 3 2 5 2 2 4" xfId="16960" xr:uid="{97D3140D-B324-427C-B831-BC7963D3265A}"/>
    <cellStyle name="Normal 4 2 2 3 3 2 5 2 3" xfId="21180" xr:uid="{1321A148-A1C2-4F5B-9D55-91E9E9E13BA6}"/>
    <cellStyle name="Normal 4 2 2 3 3 2 5 2 4" xfId="29615" xr:uid="{9685E59D-B0E1-49BA-94F5-EAC38DE2D077}"/>
    <cellStyle name="Normal 4 2 2 3 3 2 5 2 5" xfId="12742" xr:uid="{1305D418-87A5-4C73-874C-49BCC28DAF16}"/>
    <cellStyle name="Normal 4 2 2 3 3 2 5 3" xfId="6376" xr:uid="{00000000-0005-0000-0000-000055120000}"/>
    <cellStyle name="Normal 4 2 2 3 3 2 5 3 2" xfId="23253" xr:uid="{E85DD30B-F0D3-41DE-90F2-3E78F95E13E3}"/>
    <cellStyle name="Normal 4 2 2 3 3 2 5 3 3" xfId="31687" xr:uid="{5CC16A06-37E6-4164-BA1A-5C758F5D6718}"/>
    <cellStyle name="Normal 4 2 2 3 3 2 5 3 4" xfId="14815" xr:uid="{197A3797-4DB9-44D4-815A-78BA2E8C3E8A}"/>
    <cellStyle name="Normal 4 2 2 3 3 2 5 4" xfId="19035" xr:uid="{7E439B8B-C26E-4FDD-A0C1-E8B94AFAC46B}"/>
    <cellStyle name="Normal 4 2 2 3 3 2 5 5" xfId="27470" xr:uid="{906BF40E-26F1-4696-9C6A-9DC8D03A68FE}"/>
    <cellStyle name="Normal 4 2 2 3 3 2 5 6" xfId="10597" xr:uid="{09160786-57D6-4EF0-B429-B543853470FC}"/>
    <cellStyle name="Normal 4 2 2 3 3 2 6" xfId="2505" xr:uid="{00000000-0005-0000-0000-000056120000}"/>
    <cellStyle name="Normal 4 2 2 3 3 2 6 2" xfId="6789" xr:uid="{00000000-0005-0000-0000-000057120000}"/>
    <cellStyle name="Normal 4 2 2 3 3 2 6 2 2" xfId="23666" xr:uid="{A84925FC-94C2-4D73-A368-EEACE2A644E7}"/>
    <cellStyle name="Normal 4 2 2 3 3 2 6 2 3" xfId="32100" xr:uid="{D8819711-48DC-411C-B24C-DB5B0FEE6DF3}"/>
    <cellStyle name="Normal 4 2 2 3 3 2 6 2 4" xfId="15228" xr:uid="{62248FF2-BF5A-4B41-89E3-7DE7A1B80EEF}"/>
    <cellStyle name="Normal 4 2 2 3 3 2 6 3" xfId="19448" xr:uid="{C97D982E-96C8-4111-B443-CCA641E1BF09}"/>
    <cellStyle name="Normal 4 2 2 3 3 2 6 4" xfId="27883" xr:uid="{A5F6C3AB-91EB-4D5A-95F3-4D06AC63A541}"/>
    <cellStyle name="Normal 4 2 2 3 3 2 6 5" xfId="11010" xr:uid="{633195A7-39B3-4795-BA65-FB8CF59267C5}"/>
    <cellStyle name="Normal 4 2 2 3 3 2 7" xfId="4724" xr:uid="{00000000-0005-0000-0000-000058120000}"/>
    <cellStyle name="Normal 4 2 2 3 3 2 7 2" xfId="21601" xr:uid="{77165E62-E405-4EED-B419-4FEC6B4859B1}"/>
    <cellStyle name="Normal 4 2 2 3 3 2 7 3" xfId="30035" xr:uid="{0BB74740-92C2-4258-8F73-43155BFD82C1}"/>
    <cellStyle name="Normal 4 2 2 3 3 2 7 4" xfId="13163" xr:uid="{C7447F69-91DF-4BBE-AC9C-73BD273918CF}"/>
    <cellStyle name="Normal 4 2 2 3 3 2 8" xfId="17383" xr:uid="{0F03204B-0F60-423D-B29B-C16784341069}"/>
    <cellStyle name="Normal 4 2 2 3 3 2 9" xfId="25818" xr:uid="{06F5E09C-C2C0-445E-8892-5E7BEBF35788}"/>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24158" xr:uid="{9EF634B8-B9ED-49C2-9AF1-95FF4E26F67A}"/>
    <cellStyle name="Normal 4 2 2 3 3 3 2 2 3" xfId="32592" xr:uid="{379C8DE6-0C7E-48B4-8788-25E31FE57FE1}"/>
    <cellStyle name="Normal 4 2 2 3 3 3 2 2 4" xfId="15720" xr:uid="{586222DB-7AA6-4548-AF2D-592796340303}"/>
    <cellStyle name="Normal 4 2 2 3 3 3 2 3" xfId="19940" xr:uid="{102C1024-E17E-4114-A0DF-5FBF255538F0}"/>
    <cellStyle name="Normal 4 2 2 3 3 3 2 4" xfId="28375" xr:uid="{EBD923FA-BB62-401B-8227-CA199C23AB7B}"/>
    <cellStyle name="Normal 4 2 2 3 3 3 2 5" xfId="11502" xr:uid="{16388531-A8A1-4F35-8DF1-6CED8627B6E3}"/>
    <cellStyle name="Normal 4 2 2 3 3 3 3" xfId="5136" xr:uid="{00000000-0005-0000-0000-00005C120000}"/>
    <cellStyle name="Normal 4 2 2 3 3 3 3 2" xfId="22013" xr:uid="{82D82C1D-B4F2-4451-B338-E4FC0CAC76B8}"/>
    <cellStyle name="Normal 4 2 2 3 3 3 3 3" xfId="30447" xr:uid="{7D38E552-78D1-46DD-8B5B-A6EB2988AEFE}"/>
    <cellStyle name="Normal 4 2 2 3 3 3 3 4" xfId="13575" xr:uid="{9A05BE6C-BAC0-44FB-9439-922A56F679B0}"/>
    <cellStyle name="Normal 4 2 2 3 3 3 4" xfId="17795" xr:uid="{F470FA06-9EB7-48FA-89A8-FE3ACC1E9B6D}"/>
    <cellStyle name="Normal 4 2 2 3 3 3 5" xfId="26230" xr:uid="{838C637C-7691-4FA5-BD69-B31581EE2194}"/>
    <cellStyle name="Normal 4 2 2 3 3 3 6" xfId="9357" xr:uid="{FB19A7DA-0B05-400A-B6C4-02002DEA949D}"/>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24571" xr:uid="{467EEE25-ADB5-41F4-B2ED-C6AA2DCEE57C}"/>
    <cellStyle name="Normal 4 2 2 3 3 4 2 2 3" xfId="33005" xr:uid="{9467ADB2-3061-446F-829D-98472790BD62}"/>
    <cellStyle name="Normal 4 2 2 3 3 4 2 2 4" xfId="16133" xr:uid="{58E6D991-B703-4C93-B0DD-3846FD8F1CBB}"/>
    <cellStyle name="Normal 4 2 2 3 3 4 2 3" xfId="20353" xr:uid="{95F27777-5C8F-4F21-8B26-C6A97E95180F}"/>
    <cellStyle name="Normal 4 2 2 3 3 4 2 4" xfId="28788" xr:uid="{B560917A-062C-411D-BD3C-C362A0019917}"/>
    <cellStyle name="Normal 4 2 2 3 3 4 2 5" xfId="11915" xr:uid="{AFDE3E44-47C4-4CAE-85C0-2AAF2CBB874F}"/>
    <cellStyle name="Normal 4 2 2 3 3 4 3" xfId="5549" xr:uid="{00000000-0005-0000-0000-000060120000}"/>
    <cellStyle name="Normal 4 2 2 3 3 4 3 2" xfId="22426" xr:uid="{EBCC9C33-CBDD-4CB5-8926-584F48B0658B}"/>
    <cellStyle name="Normal 4 2 2 3 3 4 3 3" xfId="30860" xr:uid="{CF9BD631-B129-45D2-A8D9-CFAF5BAFA6EF}"/>
    <cellStyle name="Normal 4 2 2 3 3 4 3 4" xfId="13988" xr:uid="{1A4D98D0-8D84-4F0B-BD98-6E409AD5E8EE}"/>
    <cellStyle name="Normal 4 2 2 3 3 4 4" xfId="18208" xr:uid="{4F1F64B2-1841-4CD0-86DF-C77738E0471C}"/>
    <cellStyle name="Normal 4 2 2 3 3 4 5" xfId="26643" xr:uid="{F024A4AE-06A0-4060-A955-7728B076AFAD}"/>
    <cellStyle name="Normal 4 2 2 3 3 4 6" xfId="9770" xr:uid="{D03E037B-B4FF-41A7-BF8E-42471A34BA09}"/>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24984" xr:uid="{56CB8A12-F448-484F-AC8F-118694EB7A31}"/>
    <cellStyle name="Normal 4 2 2 3 3 5 2 2 3" xfId="33418" xr:uid="{5902ED18-D3CD-4AE3-8341-0D2C692F230A}"/>
    <cellStyle name="Normal 4 2 2 3 3 5 2 2 4" xfId="16546" xr:uid="{9FDFEC6C-2956-4A1A-BBAB-D93E327CD303}"/>
    <cellStyle name="Normal 4 2 2 3 3 5 2 3" xfId="20766" xr:uid="{E9A94EFD-9B7C-4282-82CC-7F559518DBE4}"/>
    <cellStyle name="Normal 4 2 2 3 3 5 2 4" xfId="29201" xr:uid="{127191F7-3563-46E1-BB4B-2702A2A46FFE}"/>
    <cellStyle name="Normal 4 2 2 3 3 5 2 5" xfId="12328" xr:uid="{A394B36D-5458-4ED1-B51B-948D6D337436}"/>
    <cellStyle name="Normal 4 2 2 3 3 5 3" xfId="5962" xr:uid="{00000000-0005-0000-0000-000064120000}"/>
    <cellStyle name="Normal 4 2 2 3 3 5 3 2" xfId="22839" xr:uid="{400B82A8-A10A-4602-9E7B-C168C504CF29}"/>
    <cellStyle name="Normal 4 2 2 3 3 5 3 3" xfId="31273" xr:uid="{B9161F05-AE26-4FDF-877B-63C863B8A3C5}"/>
    <cellStyle name="Normal 4 2 2 3 3 5 3 4" xfId="14401" xr:uid="{85E2C38D-D49B-41FE-8FA3-FE77851A04B8}"/>
    <cellStyle name="Normal 4 2 2 3 3 5 4" xfId="18621" xr:uid="{6CC059F7-A94D-4AB4-A28B-3CBF11CD88F6}"/>
    <cellStyle name="Normal 4 2 2 3 3 5 5" xfId="27056" xr:uid="{720FB4C5-B68B-4D9A-94F3-451ACCC1E857}"/>
    <cellStyle name="Normal 4 2 2 3 3 5 6" xfId="10183" xr:uid="{4038789C-894F-4BED-BB1B-CF687B15F2C1}"/>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25397" xr:uid="{837F24FF-D9BD-4290-9734-477FD3C21FF1}"/>
    <cellStyle name="Normal 4 2 2 3 3 6 2 2 3" xfId="33831" xr:uid="{F1B520EA-A98C-4F5C-98E0-0C9F538A9443}"/>
    <cellStyle name="Normal 4 2 2 3 3 6 2 2 4" xfId="16959" xr:uid="{39B9C615-B7FD-4763-A00F-F85F2922B144}"/>
    <cellStyle name="Normal 4 2 2 3 3 6 2 3" xfId="21179" xr:uid="{42D6484D-AA78-4A62-8D83-FFCE12FEEAB8}"/>
    <cellStyle name="Normal 4 2 2 3 3 6 2 4" xfId="29614" xr:uid="{3F855A85-8E29-4D7E-B657-B51E075CBC7C}"/>
    <cellStyle name="Normal 4 2 2 3 3 6 2 5" xfId="12741" xr:uid="{5FBEE8A5-24C6-4DDE-A0BA-3BC1546D6C59}"/>
    <cellStyle name="Normal 4 2 2 3 3 6 3" xfId="6375" xr:uid="{00000000-0005-0000-0000-000068120000}"/>
    <cellStyle name="Normal 4 2 2 3 3 6 3 2" xfId="23252" xr:uid="{A5CA045D-7FBC-456D-9A59-A928909B9F56}"/>
    <cellStyle name="Normal 4 2 2 3 3 6 3 3" xfId="31686" xr:uid="{83E86ABD-4DA0-4A4E-AE93-D45C9C93AB61}"/>
    <cellStyle name="Normal 4 2 2 3 3 6 3 4" xfId="14814" xr:uid="{1566E1F2-FB04-4390-8B28-CAB6195B63A6}"/>
    <cellStyle name="Normal 4 2 2 3 3 6 4" xfId="19034" xr:uid="{53836C91-09CD-444E-ADEA-3E4EC01835A7}"/>
    <cellStyle name="Normal 4 2 2 3 3 6 5" xfId="27469" xr:uid="{3E24EF1C-D2AF-47DF-B96E-611B533DEE61}"/>
    <cellStyle name="Normal 4 2 2 3 3 6 6" xfId="10596" xr:uid="{4FFBB611-D914-4238-82CA-117FE58F24DE}"/>
    <cellStyle name="Normal 4 2 2 3 3 7" xfId="2504" xr:uid="{00000000-0005-0000-0000-000069120000}"/>
    <cellStyle name="Normal 4 2 2 3 3 7 2" xfId="6788" xr:uid="{00000000-0005-0000-0000-00006A120000}"/>
    <cellStyle name="Normal 4 2 2 3 3 7 2 2" xfId="23665" xr:uid="{8F071D64-E538-4E84-817D-8449A50F639C}"/>
    <cellStyle name="Normal 4 2 2 3 3 7 2 3" xfId="32099" xr:uid="{96A6181E-D356-4432-8BDA-97C2B54E117C}"/>
    <cellStyle name="Normal 4 2 2 3 3 7 2 4" xfId="15227" xr:uid="{9577BCDF-1206-4B55-9A89-034FF1F0AF94}"/>
    <cellStyle name="Normal 4 2 2 3 3 7 3" xfId="19447" xr:uid="{FF53AB65-0F5D-4D34-93C7-3383E47F9049}"/>
    <cellStyle name="Normal 4 2 2 3 3 7 4" xfId="27882" xr:uid="{60975812-A879-4433-9E1F-AA82897F0894}"/>
    <cellStyle name="Normal 4 2 2 3 3 7 5" xfId="11009" xr:uid="{DE02151D-CDE5-4C62-96DD-A7AEB3E7F5BD}"/>
    <cellStyle name="Normal 4 2 2 3 3 8" xfId="4723" xr:uid="{00000000-0005-0000-0000-00006B120000}"/>
    <cellStyle name="Normal 4 2 2 3 3 8 2" xfId="21600" xr:uid="{8D17CC25-D40B-4C8D-B4B5-F0A6950891D6}"/>
    <cellStyle name="Normal 4 2 2 3 3 8 3" xfId="30034" xr:uid="{60D1A861-03D5-4A3D-BBBE-33CDBA30C523}"/>
    <cellStyle name="Normal 4 2 2 3 3 8 4" xfId="13162" xr:uid="{C9A2CC33-A8A2-4373-961E-B797C73D3FFF}"/>
    <cellStyle name="Normal 4 2 2 3 3 9" xfId="17382" xr:uid="{20B572C9-54F4-4A08-A0D3-963FDF118E12}"/>
    <cellStyle name="Normal 4 2 2 3 4" xfId="346" xr:uid="{00000000-0005-0000-0000-00006C120000}"/>
    <cellStyle name="Normal 4 2 2 3 4 10" xfId="8946" xr:uid="{30506276-073F-42CA-9F6C-ACE915309986}"/>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24160" xr:uid="{25F761C7-1704-4A84-8FC2-ACB8F0C7DA3C}"/>
    <cellStyle name="Normal 4 2 2 3 4 2 2 2 3" xfId="32594" xr:uid="{95739C32-72A4-4F58-A6F8-77A6759057D1}"/>
    <cellStyle name="Normal 4 2 2 3 4 2 2 2 4" xfId="15722" xr:uid="{AAF7E03C-9BED-47F0-9D0E-853E01C57D08}"/>
    <cellStyle name="Normal 4 2 2 3 4 2 2 3" xfId="19942" xr:uid="{7C26A619-96F7-44BA-8F34-A81FAAC30B14}"/>
    <cellStyle name="Normal 4 2 2 3 4 2 2 4" xfId="28377" xr:uid="{A34687B5-3589-4557-B652-1276D7F44D13}"/>
    <cellStyle name="Normal 4 2 2 3 4 2 2 5" xfId="11504" xr:uid="{F2C87A0D-1C0C-426B-983C-D399C0FA3BE2}"/>
    <cellStyle name="Normal 4 2 2 3 4 2 3" xfId="5138" xr:uid="{00000000-0005-0000-0000-000070120000}"/>
    <cellStyle name="Normal 4 2 2 3 4 2 3 2" xfId="22015" xr:uid="{4FF444F9-79C0-4329-981A-5BBBAA9C8B2F}"/>
    <cellStyle name="Normal 4 2 2 3 4 2 3 3" xfId="30449" xr:uid="{3BB4FF12-DD07-4EE1-9305-0BFB35CAB213}"/>
    <cellStyle name="Normal 4 2 2 3 4 2 3 4" xfId="13577" xr:uid="{022ACDFB-5C84-4C70-AC7A-DAF83A09B670}"/>
    <cellStyle name="Normal 4 2 2 3 4 2 4" xfId="17797" xr:uid="{EAF492FB-8172-44F6-9DA7-A00679CA8C01}"/>
    <cellStyle name="Normal 4 2 2 3 4 2 5" xfId="26232" xr:uid="{168C61B8-B587-4EF8-AB38-CBB291A36782}"/>
    <cellStyle name="Normal 4 2 2 3 4 2 6" xfId="9359" xr:uid="{491265C3-81E8-4C27-8FB6-06790673309D}"/>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24573" xr:uid="{D7ABAAEA-9A63-4847-9F69-19089EEE9F77}"/>
    <cellStyle name="Normal 4 2 2 3 4 3 2 2 3" xfId="33007" xr:uid="{0CEEDEC5-E8A6-479B-85E4-E07EC13EEE7F}"/>
    <cellStyle name="Normal 4 2 2 3 4 3 2 2 4" xfId="16135" xr:uid="{1EB868FE-9613-4A81-B33F-44A6C00DB331}"/>
    <cellStyle name="Normal 4 2 2 3 4 3 2 3" xfId="20355" xr:uid="{BEB1FB79-1C42-40B1-8245-5E7AFE6EF4A9}"/>
    <cellStyle name="Normal 4 2 2 3 4 3 2 4" xfId="28790" xr:uid="{78293DDB-F2B7-4592-ADB4-B009720C6320}"/>
    <cellStyle name="Normal 4 2 2 3 4 3 2 5" xfId="11917" xr:uid="{9A9E0A08-3C10-4200-BFD6-10082E67C7AB}"/>
    <cellStyle name="Normal 4 2 2 3 4 3 3" xfId="5551" xr:uid="{00000000-0005-0000-0000-000074120000}"/>
    <cellStyle name="Normal 4 2 2 3 4 3 3 2" xfId="22428" xr:uid="{29F9A6B4-1AA2-44EA-9B7F-4634F2CD88D7}"/>
    <cellStyle name="Normal 4 2 2 3 4 3 3 3" xfId="30862" xr:uid="{9E4DC01E-BB36-4882-993C-430D4F089FFE}"/>
    <cellStyle name="Normal 4 2 2 3 4 3 3 4" xfId="13990" xr:uid="{F191FF93-874D-45B5-8354-9C5547460349}"/>
    <cellStyle name="Normal 4 2 2 3 4 3 4" xfId="18210" xr:uid="{113FE011-7E4E-4E7A-876F-085DDF0B4A91}"/>
    <cellStyle name="Normal 4 2 2 3 4 3 5" xfId="26645" xr:uid="{85F076AF-09C1-4554-8398-07FE899B0043}"/>
    <cellStyle name="Normal 4 2 2 3 4 3 6" xfId="9772" xr:uid="{86385CA7-276B-4A7F-B814-9D34CEAD1F4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24986" xr:uid="{0E18F42E-A3C5-4F5A-8ADD-443ED9EF37E2}"/>
    <cellStyle name="Normal 4 2 2 3 4 4 2 2 3" xfId="33420" xr:uid="{DB70A7F8-816D-4668-8ABA-548BDDE5CF02}"/>
    <cellStyle name="Normal 4 2 2 3 4 4 2 2 4" xfId="16548" xr:uid="{8BD28CAB-CF7C-408D-9F62-E77719E64DA4}"/>
    <cellStyle name="Normal 4 2 2 3 4 4 2 3" xfId="20768" xr:uid="{4CF082A7-B0F9-4E89-AF4F-267725F0CF71}"/>
    <cellStyle name="Normal 4 2 2 3 4 4 2 4" xfId="29203" xr:uid="{BE7BC332-1085-4E1A-AA36-FFE755D6EABC}"/>
    <cellStyle name="Normal 4 2 2 3 4 4 2 5" xfId="12330" xr:uid="{72EAFF62-6D3B-442D-BCE1-531F3258DDE8}"/>
    <cellStyle name="Normal 4 2 2 3 4 4 3" xfId="5964" xr:uid="{00000000-0005-0000-0000-000078120000}"/>
    <cellStyle name="Normal 4 2 2 3 4 4 3 2" xfId="22841" xr:uid="{9BCABF84-62AF-43C0-BCC7-7F4A965AC5ED}"/>
    <cellStyle name="Normal 4 2 2 3 4 4 3 3" xfId="31275" xr:uid="{B9C67BC2-A785-47CD-BFBC-246B20B4D01B}"/>
    <cellStyle name="Normal 4 2 2 3 4 4 3 4" xfId="14403" xr:uid="{04B4D1CF-7994-4F1C-B2BC-4DF88262D5C3}"/>
    <cellStyle name="Normal 4 2 2 3 4 4 4" xfId="18623" xr:uid="{502608C9-38AD-4944-8C6B-3319EF2DFE6F}"/>
    <cellStyle name="Normal 4 2 2 3 4 4 5" xfId="27058" xr:uid="{B77ABF37-4734-42AE-9FD6-F09B75799541}"/>
    <cellStyle name="Normal 4 2 2 3 4 4 6" xfId="10185" xr:uid="{C05F9AC2-7EF8-4311-9EAB-4A38A680F263}"/>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25399" xr:uid="{E5E44775-AD3E-4811-88F0-A233E4CA2E0A}"/>
    <cellStyle name="Normal 4 2 2 3 4 5 2 2 3" xfId="33833" xr:uid="{A13BCCC5-EFEE-488E-95D8-A7EB86282D63}"/>
    <cellStyle name="Normal 4 2 2 3 4 5 2 2 4" xfId="16961" xr:uid="{670D7F91-8E65-4FE5-A851-7919AD7B996D}"/>
    <cellStyle name="Normal 4 2 2 3 4 5 2 3" xfId="21181" xr:uid="{3D6E3577-7B0A-4B9F-B796-C14F6C8D1937}"/>
    <cellStyle name="Normal 4 2 2 3 4 5 2 4" xfId="29616" xr:uid="{6BC7F1EF-96AA-44C8-AFC1-8D9FF7B61A06}"/>
    <cellStyle name="Normal 4 2 2 3 4 5 2 5" xfId="12743" xr:uid="{EE1192DE-5F55-42BE-B7F9-1BDCA5661D1B}"/>
    <cellStyle name="Normal 4 2 2 3 4 5 3" xfId="6377" xr:uid="{00000000-0005-0000-0000-00007C120000}"/>
    <cellStyle name="Normal 4 2 2 3 4 5 3 2" xfId="23254" xr:uid="{8658A232-D26B-46F6-9699-B2C7BBE2D9BE}"/>
    <cellStyle name="Normal 4 2 2 3 4 5 3 3" xfId="31688" xr:uid="{D15D8F3B-3F54-44E7-A9C8-B04F4F76EAEA}"/>
    <cellStyle name="Normal 4 2 2 3 4 5 3 4" xfId="14816" xr:uid="{EE2B3F7B-4571-45C5-9500-4363F551E190}"/>
    <cellStyle name="Normal 4 2 2 3 4 5 4" xfId="19036" xr:uid="{75267B30-8809-46DC-A14D-4E82B6DF6617}"/>
    <cellStyle name="Normal 4 2 2 3 4 5 5" xfId="27471" xr:uid="{C81A9F4E-B7CB-4DF2-884B-567BDBE52B51}"/>
    <cellStyle name="Normal 4 2 2 3 4 5 6" xfId="10598" xr:uid="{8EDBF04C-385A-4944-969D-C94C990B7AFC}"/>
    <cellStyle name="Normal 4 2 2 3 4 6" xfId="2506" xr:uid="{00000000-0005-0000-0000-00007D120000}"/>
    <cellStyle name="Normal 4 2 2 3 4 6 2" xfId="6790" xr:uid="{00000000-0005-0000-0000-00007E120000}"/>
    <cellStyle name="Normal 4 2 2 3 4 6 2 2" xfId="23667" xr:uid="{14F11805-82D6-463F-905F-F2F49CA75917}"/>
    <cellStyle name="Normal 4 2 2 3 4 6 2 3" xfId="32101" xr:uid="{5AB8398E-1129-4071-A7A6-890B44452025}"/>
    <cellStyle name="Normal 4 2 2 3 4 6 2 4" xfId="15229" xr:uid="{825429D3-C8F1-4440-8974-0D519CE9C8FC}"/>
    <cellStyle name="Normal 4 2 2 3 4 6 3" xfId="19449" xr:uid="{1D170570-C5FF-41CA-96EC-F0356678F87E}"/>
    <cellStyle name="Normal 4 2 2 3 4 6 4" xfId="27884" xr:uid="{4B74B231-329C-43A1-BE86-37FD289EEE52}"/>
    <cellStyle name="Normal 4 2 2 3 4 6 5" xfId="11011" xr:uid="{300ADF77-B1F7-44EA-8F57-7DF9329BF3B3}"/>
    <cellStyle name="Normal 4 2 2 3 4 7" xfId="4725" xr:uid="{00000000-0005-0000-0000-00007F120000}"/>
    <cellStyle name="Normal 4 2 2 3 4 7 2" xfId="21602" xr:uid="{562A155C-5054-4A0A-983F-989FD8B82858}"/>
    <cellStyle name="Normal 4 2 2 3 4 7 3" xfId="30036" xr:uid="{C49619B6-3DA0-4E0C-8DE4-A8A4F5377C36}"/>
    <cellStyle name="Normal 4 2 2 3 4 7 4" xfId="13164" xr:uid="{1EA3DC0D-09E8-4F55-A9BF-EF739511E333}"/>
    <cellStyle name="Normal 4 2 2 3 4 8" xfId="17384" xr:uid="{D84D38AF-2ED9-48DD-8DE8-20F7E1447F92}"/>
    <cellStyle name="Normal 4 2 2 3 4 9" xfId="25819" xr:uid="{7F23EB2F-A9AF-484F-9BC4-E438D63DC41E}"/>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24153" xr:uid="{E7532A6C-AEC5-4858-B1B2-3D093B776F16}"/>
    <cellStyle name="Normal 4 2 2 3 5 2 2 3" xfId="32587" xr:uid="{31CE6B21-E1F3-4534-B25E-8AC0E406C2E7}"/>
    <cellStyle name="Normal 4 2 2 3 5 2 2 4" xfId="15715" xr:uid="{A87D0DFB-08D0-49F7-80DF-7B92ABBA68DC}"/>
    <cellStyle name="Normal 4 2 2 3 5 2 3" xfId="19935" xr:uid="{3DFFA91D-0F7B-4C23-BD4A-16B2C0DF145D}"/>
    <cellStyle name="Normal 4 2 2 3 5 2 4" xfId="28370" xr:uid="{C46B7FD9-E4DD-428C-BBFE-43F94CD4CE8B}"/>
    <cellStyle name="Normal 4 2 2 3 5 2 5" xfId="11497" xr:uid="{03CA1F3E-F6D4-44E9-8BD8-46753BABF1DC}"/>
    <cellStyle name="Normal 4 2 2 3 5 3" xfId="5131" xr:uid="{00000000-0005-0000-0000-000083120000}"/>
    <cellStyle name="Normal 4 2 2 3 5 3 2" xfId="22008" xr:uid="{4851DD6F-6BF4-4DD6-A77F-A2D7773873C3}"/>
    <cellStyle name="Normal 4 2 2 3 5 3 3" xfId="30442" xr:uid="{43501A35-FB22-4346-87CB-6112D3D16442}"/>
    <cellStyle name="Normal 4 2 2 3 5 3 4" xfId="13570" xr:uid="{42ABD627-615C-4A13-9331-48EE2254D240}"/>
    <cellStyle name="Normal 4 2 2 3 5 4" xfId="17790" xr:uid="{557BCE75-200B-4F1B-9589-24994B4D61B5}"/>
    <cellStyle name="Normal 4 2 2 3 5 5" xfId="26225" xr:uid="{B9D9F21C-236A-4E9D-86D9-A347FFF0851B}"/>
    <cellStyle name="Normal 4 2 2 3 5 6" xfId="9352" xr:uid="{8D44697B-394F-4018-87E4-EB67966B9321}"/>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24566" xr:uid="{F286444C-043E-4AC4-A423-0877375D1F39}"/>
    <cellStyle name="Normal 4 2 2 3 6 2 2 3" xfId="33000" xr:uid="{4CF7F35B-5992-4D67-829A-E73324AB2183}"/>
    <cellStyle name="Normal 4 2 2 3 6 2 2 4" xfId="16128" xr:uid="{06E47C20-2652-4C88-B10D-DC59F3C8BF64}"/>
    <cellStyle name="Normal 4 2 2 3 6 2 3" xfId="20348" xr:uid="{F409FA4C-7E16-408D-B3AF-D67A796C6F96}"/>
    <cellStyle name="Normal 4 2 2 3 6 2 4" xfId="28783" xr:uid="{35B8563E-F35D-451A-BD86-CC6E3100EE89}"/>
    <cellStyle name="Normal 4 2 2 3 6 2 5" xfId="11910" xr:uid="{2FC3FB02-D31C-414B-935E-09B5C0478F2A}"/>
    <cellStyle name="Normal 4 2 2 3 6 3" xfId="5544" xr:uid="{00000000-0005-0000-0000-000087120000}"/>
    <cellStyle name="Normal 4 2 2 3 6 3 2" xfId="22421" xr:uid="{1484896F-6035-47C9-85F9-B70FAD49F241}"/>
    <cellStyle name="Normal 4 2 2 3 6 3 3" xfId="30855" xr:uid="{9BF768C5-0F45-46EF-8B71-283BE99128DE}"/>
    <cellStyle name="Normal 4 2 2 3 6 3 4" xfId="13983" xr:uid="{361905FE-860B-425C-9F5B-9248F35B7D85}"/>
    <cellStyle name="Normal 4 2 2 3 6 4" xfId="18203" xr:uid="{3085FCA5-1335-4C9A-98DE-D01F50C88346}"/>
    <cellStyle name="Normal 4 2 2 3 6 5" xfId="26638" xr:uid="{21B436F4-2E40-4D06-8F31-9921BB327CCD}"/>
    <cellStyle name="Normal 4 2 2 3 6 6" xfId="9765" xr:uid="{329F305A-0F21-4F1C-BC68-1F69042968F2}"/>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24979" xr:uid="{481296DB-BC17-4509-B9C5-746E50626C55}"/>
    <cellStyle name="Normal 4 2 2 3 7 2 2 3" xfId="33413" xr:uid="{4B078FB0-F0F3-41F4-A646-ED61FA13DBFD}"/>
    <cellStyle name="Normal 4 2 2 3 7 2 2 4" xfId="16541" xr:uid="{69035ACE-75B7-446C-A7AB-5B146353912D}"/>
    <cellStyle name="Normal 4 2 2 3 7 2 3" xfId="20761" xr:uid="{66F6A375-2232-4E69-B80F-501A71B7EEC3}"/>
    <cellStyle name="Normal 4 2 2 3 7 2 4" xfId="29196" xr:uid="{779A4D62-3064-4EDC-ABBD-D7ABDC99C1FA}"/>
    <cellStyle name="Normal 4 2 2 3 7 2 5" xfId="12323" xr:uid="{8838031D-C3E5-4E37-92E2-ACECD26F3B9B}"/>
    <cellStyle name="Normal 4 2 2 3 7 3" xfId="5957" xr:uid="{00000000-0005-0000-0000-00008B120000}"/>
    <cellStyle name="Normal 4 2 2 3 7 3 2" xfId="22834" xr:uid="{747A2B0C-337A-4AAB-B626-DC59B09B9B4D}"/>
    <cellStyle name="Normal 4 2 2 3 7 3 3" xfId="31268" xr:uid="{A76FBB57-B7F5-4AE6-89D1-68E7749ED78E}"/>
    <cellStyle name="Normal 4 2 2 3 7 3 4" xfId="14396" xr:uid="{C096399E-DA12-49A7-8329-764205D16AA4}"/>
    <cellStyle name="Normal 4 2 2 3 7 4" xfId="18616" xr:uid="{0B51B6D9-EEA3-4FB8-A92A-2903D87CB459}"/>
    <cellStyle name="Normal 4 2 2 3 7 5" xfId="27051" xr:uid="{9E702096-8616-469C-B92E-36BF73AAC109}"/>
    <cellStyle name="Normal 4 2 2 3 7 6" xfId="10178" xr:uid="{AE2A009F-024E-4846-8AB4-7760B9410F97}"/>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25392" xr:uid="{C56A5C46-C150-4369-808C-936E099654E1}"/>
    <cellStyle name="Normal 4 2 2 3 8 2 2 3" xfId="33826" xr:uid="{62287253-224B-40DB-B8DC-0A69197B59D9}"/>
    <cellStyle name="Normal 4 2 2 3 8 2 2 4" xfId="16954" xr:uid="{53A20C72-91A3-4AE6-9773-767257E2DA71}"/>
    <cellStyle name="Normal 4 2 2 3 8 2 3" xfId="21174" xr:uid="{7B2E7317-2A46-4F68-87E6-942756D92DA4}"/>
    <cellStyle name="Normal 4 2 2 3 8 2 4" xfId="29609" xr:uid="{E179E1B0-8FB4-48B9-BDFB-0334357BD729}"/>
    <cellStyle name="Normal 4 2 2 3 8 2 5" xfId="12736" xr:uid="{64E961AE-7BF2-4D48-BB68-37E420C6AC88}"/>
    <cellStyle name="Normal 4 2 2 3 8 3" xfId="6370" xr:uid="{00000000-0005-0000-0000-00008F120000}"/>
    <cellStyle name="Normal 4 2 2 3 8 3 2" xfId="23247" xr:uid="{BBBF9FBC-3BB1-4718-9591-20C20155DCC6}"/>
    <cellStyle name="Normal 4 2 2 3 8 3 3" xfId="31681" xr:uid="{4F5CACD4-EC72-4496-BDE3-503A4328426E}"/>
    <cellStyle name="Normal 4 2 2 3 8 3 4" xfId="14809" xr:uid="{1CAA9026-E9A8-4092-A543-13F9F711021D}"/>
    <cellStyle name="Normal 4 2 2 3 8 4" xfId="19029" xr:uid="{8B577762-0556-4F9D-85F5-79B938942812}"/>
    <cellStyle name="Normal 4 2 2 3 8 5" xfId="27464" xr:uid="{980B46D1-C61B-4AA4-AB71-DCB8F5233D37}"/>
    <cellStyle name="Normal 4 2 2 3 8 6" xfId="10591" xr:uid="{CA2F586C-C9B3-4580-A525-6AE72AF06B71}"/>
    <cellStyle name="Normal 4 2 2 3 9" xfId="2499" xr:uid="{00000000-0005-0000-0000-000090120000}"/>
    <cellStyle name="Normal 4 2 2 3 9 2" xfId="6783" xr:uid="{00000000-0005-0000-0000-000091120000}"/>
    <cellStyle name="Normal 4 2 2 3 9 2 2" xfId="23660" xr:uid="{D4E3E94D-DF20-4517-93DF-ED21FD0F660B}"/>
    <cellStyle name="Normal 4 2 2 3 9 2 3" xfId="32094" xr:uid="{DF4303D6-CC9C-4E09-B30C-0363AF40A9E8}"/>
    <cellStyle name="Normal 4 2 2 3 9 2 4" xfId="15222" xr:uid="{AF6B5521-B2A2-4EAF-BFBC-AA14E58B7AA3}"/>
    <cellStyle name="Normal 4 2 2 3 9 3" xfId="19442" xr:uid="{8A8BD6B3-D605-41E0-924D-088FDBAC4142}"/>
    <cellStyle name="Normal 4 2 2 3 9 4" xfId="27877" xr:uid="{24FE0DAD-6881-4225-B469-16D9CCEED9C0}"/>
    <cellStyle name="Normal 4 2 2 3 9 5" xfId="11004" xr:uid="{C76B8E57-5FE5-473E-91D7-A0882C467A9D}"/>
    <cellStyle name="Normal 4 2 2 4" xfId="347" xr:uid="{00000000-0005-0000-0000-000092120000}"/>
    <cellStyle name="Normal 4 2 2 4 10" xfId="17385" xr:uid="{BA02623A-13EB-4C33-A64F-F32D25646820}"/>
    <cellStyle name="Normal 4 2 2 4 11" xfId="25820" xr:uid="{B31A791A-83FF-4AE1-831C-A4A00C530ADF}"/>
    <cellStyle name="Normal 4 2 2 4 12" xfId="8947" xr:uid="{86D339C3-421E-4027-8D05-4B8689273BE0}"/>
    <cellStyle name="Normal 4 2 2 4 2" xfId="348" xr:uid="{00000000-0005-0000-0000-000093120000}"/>
    <cellStyle name="Normal 4 2 2 4 2 10" xfId="25821" xr:uid="{402D2D29-B3B3-49E5-9107-E56B9F17A482}"/>
    <cellStyle name="Normal 4 2 2 4 2 11" xfId="8948" xr:uid="{CD7167FB-8B45-463F-A5E0-2CBA355FFCA3}"/>
    <cellStyle name="Normal 4 2 2 4 2 2" xfId="349" xr:uid="{00000000-0005-0000-0000-000094120000}"/>
    <cellStyle name="Normal 4 2 2 4 2 2 10" xfId="8949" xr:uid="{8FBE69A3-A726-4463-A8A8-A667783F163E}"/>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24163" xr:uid="{600440FE-B6F3-4444-9D10-32209B02D888}"/>
    <cellStyle name="Normal 4 2 2 4 2 2 2 2 2 3" xfId="32597" xr:uid="{7DFF1626-FD5C-4A70-8116-1084203E62C1}"/>
    <cellStyle name="Normal 4 2 2 4 2 2 2 2 2 4" xfId="15725" xr:uid="{DCF0E5F0-0473-41F9-87A8-6BA46863D94F}"/>
    <cellStyle name="Normal 4 2 2 4 2 2 2 2 3" xfId="19945" xr:uid="{958537DD-C51B-4891-ADBC-6E7275003E56}"/>
    <cellStyle name="Normal 4 2 2 4 2 2 2 2 4" xfId="28380" xr:uid="{5227E3B5-E7B4-4AA5-907F-11ABE109AB93}"/>
    <cellStyle name="Normal 4 2 2 4 2 2 2 2 5" xfId="11507" xr:uid="{CA55CF73-14E1-4E35-94F0-B15BCB775BBE}"/>
    <cellStyle name="Normal 4 2 2 4 2 2 2 3" xfId="5141" xr:uid="{00000000-0005-0000-0000-000098120000}"/>
    <cellStyle name="Normal 4 2 2 4 2 2 2 3 2" xfId="22018" xr:uid="{4B91AACE-0700-42B9-9D85-3DB94393DC62}"/>
    <cellStyle name="Normal 4 2 2 4 2 2 2 3 3" xfId="30452" xr:uid="{76E04BAB-CCCD-4722-9A2D-2F3CF357E4D1}"/>
    <cellStyle name="Normal 4 2 2 4 2 2 2 3 4" xfId="13580" xr:uid="{5051C835-2B31-4585-A34D-7C4C2BD31314}"/>
    <cellStyle name="Normal 4 2 2 4 2 2 2 4" xfId="17800" xr:uid="{C51D0542-97B4-4B38-AABE-75168C36A225}"/>
    <cellStyle name="Normal 4 2 2 4 2 2 2 5" xfId="26235" xr:uid="{DC800987-FC19-47CC-9045-4D95A9B111D7}"/>
    <cellStyle name="Normal 4 2 2 4 2 2 2 6" xfId="9362" xr:uid="{DD98A9CD-0CDE-41D6-A481-689C529A5404}"/>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24576" xr:uid="{AB9C3CBF-EEC2-45BF-BBF2-FB63D3123EEE}"/>
    <cellStyle name="Normal 4 2 2 4 2 2 3 2 2 3" xfId="33010" xr:uid="{17DC9FEF-BD18-4ED8-A00B-BEF95BCA2F9F}"/>
    <cellStyle name="Normal 4 2 2 4 2 2 3 2 2 4" xfId="16138" xr:uid="{0EE940B0-B3D5-4F6C-8B0E-FFF00077ED33}"/>
    <cellStyle name="Normal 4 2 2 4 2 2 3 2 3" xfId="20358" xr:uid="{BB31E1C1-0EAD-4142-AB37-62D987E29D0F}"/>
    <cellStyle name="Normal 4 2 2 4 2 2 3 2 4" xfId="28793" xr:uid="{D4D6A7A6-9885-4772-8C60-0FB5EF95F1EE}"/>
    <cellStyle name="Normal 4 2 2 4 2 2 3 2 5" xfId="11920" xr:uid="{4D2623F6-3041-4803-B19B-770912D941F3}"/>
    <cellStyle name="Normal 4 2 2 4 2 2 3 3" xfId="5554" xr:uid="{00000000-0005-0000-0000-00009C120000}"/>
    <cellStyle name="Normal 4 2 2 4 2 2 3 3 2" xfId="22431" xr:uid="{AA345978-61DD-4FB2-9AA5-DD9D51A64F12}"/>
    <cellStyle name="Normal 4 2 2 4 2 2 3 3 3" xfId="30865" xr:uid="{3CFE4178-2B0C-436B-9F52-201D9BA1A723}"/>
    <cellStyle name="Normal 4 2 2 4 2 2 3 3 4" xfId="13993" xr:uid="{8AB40334-6EE0-40D8-8DBB-F5E829896B01}"/>
    <cellStyle name="Normal 4 2 2 4 2 2 3 4" xfId="18213" xr:uid="{D897C03B-0C25-411D-8C35-053A88AAFEF5}"/>
    <cellStyle name="Normal 4 2 2 4 2 2 3 5" xfId="26648" xr:uid="{390A2C01-8305-43D4-8D60-F8C7DBB35812}"/>
    <cellStyle name="Normal 4 2 2 4 2 2 3 6" xfId="9775" xr:uid="{41BC182D-9584-42D4-9B98-2A42AAE7B24B}"/>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24989" xr:uid="{04AF76D7-9807-4996-B3E8-E5E56EA8295D}"/>
    <cellStyle name="Normal 4 2 2 4 2 2 4 2 2 3" xfId="33423" xr:uid="{1370C1FE-73EB-4D09-9B42-208F9FCF4B73}"/>
    <cellStyle name="Normal 4 2 2 4 2 2 4 2 2 4" xfId="16551" xr:uid="{F4E8D977-EBEE-4D77-8C2F-644F4825D24A}"/>
    <cellStyle name="Normal 4 2 2 4 2 2 4 2 3" xfId="20771" xr:uid="{B57E55EE-F417-4F27-B4A7-61D861C2193E}"/>
    <cellStyle name="Normal 4 2 2 4 2 2 4 2 4" xfId="29206" xr:uid="{EFE6D3FB-BBF0-4D60-A4A0-D92539A96519}"/>
    <cellStyle name="Normal 4 2 2 4 2 2 4 2 5" xfId="12333" xr:uid="{60FE6A1B-3FE5-406A-AD2E-E75B19919518}"/>
    <cellStyle name="Normal 4 2 2 4 2 2 4 3" xfId="5967" xr:uid="{00000000-0005-0000-0000-0000A0120000}"/>
    <cellStyle name="Normal 4 2 2 4 2 2 4 3 2" xfId="22844" xr:uid="{00C04CD3-E4D7-4403-BEC9-65994EA52B7C}"/>
    <cellStyle name="Normal 4 2 2 4 2 2 4 3 3" xfId="31278" xr:uid="{582F1BDB-6533-4650-A4D4-3A4531E133D4}"/>
    <cellStyle name="Normal 4 2 2 4 2 2 4 3 4" xfId="14406" xr:uid="{7A2C3FF3-5B32-4289-8CF9-393B732FB3B2}"/>
    <cellStyle name="Normal 4 2 2 4 2 2 4 4" xfId="18626" xr:uid="{E75222EF-614E-4300-861D-15CE665531CA}"/>
    <cellStyle name="Normal 4 2 2 4 2 2 4 5" xfId="27061" xr:uid="{569F7BE4-8E49-44A1-BBF4-B006AF820B5F}"/>
    <cellStyle name="Normal 4 2 2 4 2 2 4 6" xfId="10188" xr:uid="{DF2009CD-215A-4F6F-8182-C086657352E4}"/>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25402" xr:uid="{8D9D6D98-6C55-4DB3-969D-97BB73652DD0}"/>
    <cellStyle name="Normal 4 2 2 4 2 2 5 2 2 3" xfId="33836" xr:uid="{A81D281D-42F0-43DE-8152-E9B7378F337D}"/>
    <cellStyle name="Normal 4 2 2 4 2 2 5 2 2 4" xfId="16964" xr:uid="{87E9F5D8-A74A-41DD-9FD1-8B9B1617976F}"/>
    <cellStyle name="Normal 4 2 2 4 2 2 5 2 3" xfId="21184" xr:uid="{9401B812-E84C-4683-B980-5B185ADFAA6F}"/>
    <cellStyle name="Normal 4 2 2 4 2 2 5 2 4" xfId="29619" xr:uid="{40C6DB01-7C1F-4908-A60B-FAB7BC872B72}"/>
    <cellStyle name="Normal 4 2 2 4 2 2 5 2 5" xfId="12746" xr:uid="{946008E8-8C17-4AD0-AC95-441994BAB7EA}"/>
    <cellStyle name="Normal 4 2 2 4 2 2 5 3" xfId="6380" xr:uid="{00000000-0005-0000-0000-0000A4120000}"/>
    <cellStyle name="Normal 4 2 2 4 2 2 5 3 2" xfId="23257" xr:uid="{DBE85921-CB87-420E-984C-CC7DF202C040}"/>
    <cellStyle name="Normal 4 2 2 4 2 2 5 3 3" xfId="31691" xr:uid="{E926DB48-5E2F-4982-93F6-63808C58DBC2}"/>
    <cellStyle name="Normal 4 2 2 4 2 2 5 3 4" xfId="14819" xr:uid="{1868B6E7-7EC3-4C01-BAC2-1C446299EFC4}"/>
    <cellStyle name="Normal 4 2 2 4 2 2 5 4" xfId="19039" xr:uid="{ED9A1D76-B858-41E8-B612-3F4050A22C33}"/>
    <cellStyle name="Normal 4 2 2 4 2 2 5 5" xfId="27474" xr:uid="{AFFA6DFF-8F31-44F0-8B58-EF78E3073D8B}"/>
    <cellStyle name="Normal 4 2 2 4 2 2 5 6" xfId="10601" xr:uid="{970B8233-D03D-42D8-BE9D-5999C991A921}"/>
    <cellStyle name="Normal 4 2 2 4 2 2 6" xfId="2509" xr:uid="{00000000-0005-0000-0000-0000A5120000}"/>
    <cellStyle name="Normal 4 2 2 4 2 2 6 2" xfId="6793" xr:uid="{00000000-0005-0000-0000-0000A6120000}"/>
    <cellStyle name="Normal 4 2 2 4 2 2 6 2 2" xfId="23670" xr:uid="{B3DC6AF7-C28C-41D8-80B3-9DB6F88347B0}"/>
    <cellStyle name="Normal 4 2 2 4 2 2 6 2 3" xfId="32104" xr:uid="{889809A9-6928-4DAF-BC88-0D2A3538548E}"/>
    <cellStyle name="Normal 4 2 2 4 2 2 6 2 4" xfId="15232" xr:uid="{DFE1CAB2-4382-4543-98DE-0827986B67F1}"/>
    <cellStyle name="Normal 4 2 2 4 2 2 6 3" xfId="19452" xr:uid="{AC595DAC-8ED5-462F-899D-27263644563B}"/>
    <cellStyle name="Normal 4 2 2 4 2 2 6 4" xfId="27887" xr:uid="{A9E6850F-6A4E-479B-922C-CB58A63E3697}"/>
    <cellStyle name="Normal 4 2 2 4 2 2 6 5" xfId="11014" xr:uid="{4ADC3E8B-760E-46F6-B064-ED039E51B3D5}"/>
    <cellStyle name="Normal 4 2 2 4 2 2 7" xfId="4728" xr:uid="{00000000-0005-0000-0000-0000A7120000}"/>
    <cellStyle name="Normal 4 2 2 4 2 2 7 2" xfId="21605" xr:uid="{EF6F04AD-0630-4DEB-88AD-59A90DDE2763}"/>
    <cellStyle name="Normal 4 2 2 4 2 2 7 3" xfId="30039" xr:uid="{B0126A24-7F2C-4A63-BDF9-B592347F6749}"/>
    <cellStyle name="Normal 4 2 2 4 2 2 7 4" xfId="13167" xr:uid="{14840F99-FE78-4826-A527-4E453075559C}"/>
    <cellStyle name="Normal 4 2 2 4 2 2 8" xfId="17387" xr:uid="{68E12A5C-2215-46C7-A762-4C336415D6A8}"/>
    <cellStyle name="Normal 4 2 2 4 2 2 9" xfId="25822" xr:uid="{7329CD50-EB0E-4675-9AE4-015A99AEF7AD}"/>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24162" xr:uid="{A0EF1516-9269-4FA2-AB51-63816C1EAE78}"/>
    <cellStyle name="Normal 4 2 2 4 2 3 2 2 3" xfId="32596" xr:uid="{4929F9DC-C675-4A3D-B89D-B3B9296A14D8}"/>
    <cellStyle name="Normal 4 2 2 4 2 3 2 2 4" xfId="15724" xr:uid="{A94080DD-5CEB-446A-BC84-506AF8EB1011}"/>
    <cellStyle name="Normal 4 2 2 4 2 3 2 3" xfId="19944" xr:uid="{1054537E-B3A4-4793-AB8E-E8F09D1AE9A0}"/>
    <cellStyle name="Normal 4 2 2 4 2 3 2 4" xfId="28379" xr:uid="{3E1B77C0-F454-445F-9031-9830732CE71B}"/>
    <cellStyle name="Normal 4 2 2 4 2 3 2 5" xfId="11506" xr:uid="{1F743E8D-8435-41C9-A83E-B89347CC9013}"/>
    <cellStyle name="Normal 4 2 2 4 2 3 3" xfId="5140" xr:uid="{00000000-0005-0000-0000-0000AB120000}"/>
    <cellStyle name="Normal 4 2 2 4 2 3 3 2" xfId="22017" xr:uid="{9A85DA3F-5793-4069-B87A-E3B21DB3120D}"/>
    <cellStyle name="Normal 4 2 2 4 2 3 3 3" xfId="30451" xr:uid="{E5E9D3D4-FFA5-4792-9E5F-7A2D6320E553}"/>
    <cellStyle name="Normal 4 2 2 4 2 3 3 4" xfId="13579" xr:uid="{BD2507FF-42F0-44F0-8F20-A513091FE47E}"/>
    <cellStyle name="Normal 4 2 2 4 2 3 4" xfId="17799" xr:uid="{FD54459A-2940-4879-99EB-5F38FD4F390B}"/>
    <cellStyle name="Normal 4 2 2 4 2 3 5" xfId="26234" xr:uid="{AFC7D032-B644-4D04-AD8F-B762EF149FDA}"/>
    <cellStyle name="Normal 4 2 2 4 2 3 6" xfId="9361" xr:uid="{53D818AD-E0BD-46F3-9821-08082A3F27F3}"/>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24575" xr:uid="{3ACE9214-B6AD-4064-A370-999D590E447F}"/>
    <cellStyle name="Normal 4 2 2 4 2 4 2 2 3" xfId="33009" xr:uid="{5523A402-BE5B-4D3B-A08D-8D51BD4A0B51}"/>
    <cellStyle name="Normal 4 2 2 4 2 4 2 2 4" xfId="16137" xr:uid="{BF50BE19-E92F-4A63-A9DD-5DAD72325E79}"/>
    <cellStyle name="Normal 4 2 2 4 2 4 2 3" xfId="20357" xr:uid="{C6E34E60-4B74-4264-A02A-8526EB0E85F2}"/>
    <cellStyle name="Normal 4 2 2 4 2 4 2 4" xfId="28792" xr:uid="{2B88B407-0FDC-40A8-8388-90E447C754EF}"/>
    <cellStyle name="Normal 4 2 2 4 2 4 2 5" xfId="11919" xr:uid="{65EC091C-0231-4BF9-8C9C-58DA3D12E379}"/>
    <cellStyle name="Normal 4 2 2 4 2 4 3" xfId="5553" xr:uid="{00000000-0005-0000-0000-0000AF120000}"/>
    <cellStyle name="Normal 4 2 2 4 2 4 3 2" xfId="22430" xr:uid="{33C67421-E419-47B9-AB8F-E35566565F0E}"/>
    <cellStyle name="Normal 4 2 2 4 2 4 3 3" xfId="30864" xr:uid="{E322E3C3-C709-46C0-9F20-318F37274338}"/>
    <cellStyle name="Normal 4 2 2 4 2 4 3 4" xfId="13992" xr:uid="{1DCA7B0C-AB35-4788-84E5-B6E68D090FBE}"/>
    <cellStyle name="Normal 4 2 2 4 2 4 4" xfId="18212" xr:uid="{C86BF34A-2BBA-442C-984E-06C37256D901}"/>
    <cellStyle name="Normal 4 2 2 4 2 4 5" xfId="26647" xr:uid="{8457DF3D-DCBE-4987-83BE-981EFC971894}"/>
    <cellStyle name="Normal 4 2 2 4 2 4 6" xfId="9774" xr:uid="{44E12249-8F4A-485D-B662-6AA3ED698E35}"/>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24988" xr:uid="{1854AB7D-D58E-456D-A1DF-E246DA7F0798}"/>
    <cellStyle name="Normal 4 2 2 4 2 5 2 2 3" xfId="33422" xr:uid="{B992434D-28EF-46F4-AB58-519BEC2A0BE5}"/>
    <cellStyle name="Normal 4 2 2 4 2 5 2 2 4" xfId="16550" xr:uid="{498FEA6F-731E-4284-8908-C3886B37315E}"/>
    <cellStyle name="Normal 4 2 2 4 2 5 2 3" xfId="20770" xr:uid="{4A63FCC1-DFBB-4A64-8A10-7315C27C1121}"/>
    <cellStyle name="Normal 4 2 2 4 2 5 2 4" xfId="29205" xr:uid="{EE241357-DDC0-4BDD-94F9-E1BC281E24A9}"/>
    <cellStyle name="Normal 4 2 2 4 2 5 2 5" xfId="12332" xr:uid="{888EAF6E-16B0-4E24-9EED-6F514047AE02}"/>
    <cellStyle name="Normal 4 2 2 4 2 5 3" xfId="5966" xr:uid="{00000000-0005-0000-0000-0000B3120000}"/>
    <cellStyle name="Normal 4 2 2 4 2 5 3 2" xfId="22843" xr:uid="{88E5073C-53E7-4457-B38F-55E232D46EA1}"/>
    <cellStyle name="Normal 4 2 2 4 2 5 3 3" xfId="31277" xr:uid="{70E64D3C-5DA3-4289-9C81-A88745E9FCD7}"/>
    <cellStyle name="Normal 4 2 2 4 2 5 3 4" xfId="14405" xr:uid="{C8153960-6536-46AE-8F3A-CDA8CBA6FB91}"/>
    <cellStyle name="Normal 4 2 2 4 2 5 4" xfId="18625" xr:uid="{112C4D64-31CD-491B-B2B1-060CB1AC8A2D}"/>
    <cellStyle name="Normal 4 2 2 4 2 5 5" xfId="27060" xr:uid="{F9597789-AAD9-4F87-B8EA-F0EE827DA4CA}"/>
    <cellStyle name="Normal 4 2 2 4 2 5 6" xfId="10187" xr:uid="{6C1AB434-FD93-4E58-B86D-6EBA6E295B19}"/>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25401" xr:uid="{32BBA479-F60B-4F00-9D46-418D068A7547}"/>
    <cellStyle name="Normal 4 2 2 4 2 6 2 2 3" xfId="33835" xr:uid="{8B296A86-4C18-4A69-AAAA-6B4A293A50E3}"/>
    <cellStyle name="Normal 4 2 2 4 2 6 2 2 4" xfId="16963" xr:uid="{268A5291-FA1F-464F-B3FB-73B5359D5150}"/>
    <cellStyle name="Normal 4 2 2 4 2 6 2 3" xfId="21183" xr:uid="{5E2F6A09-C9DB-4406-A281-E431A24AA26C}"/>
    <cellStyle name="Normal 4 2 2 4 2 6 2 4" xfId="29618" xr:uid="{14B1C315-4ADA-431C-9938-0B81F3E576E3}"/>
    <cellStyle name="Normal 4 2 2 4 2 6 2 5" xfId="12745" xr:uid="{EE3072F6-88EB-4CEE-8D0B-D5811E1C4F92}"/>
    <cellStyle name="Normal 4 2 2 4 2 6 3" xfId="6379" xr:uid="{00000000-0005-0000-0000-0000B7120000}"/>
    <cellStyle name="Normal 4 2 2 4 2 6 3 2" xfId="23256" xr:uid="{721F77C4-3C1E-4CBE-BEE5-C655BAA93439}"/>
    <cellStyle name="Normal 4 2 2 4 2 6 3 3" xfId="31690" xr:uid="{F0B303B0-8FB2-49CB-99B9-ABF5B899B2F9}"/>
    <cellStyle name="Normal 4 2 2 4 2 6 3 4" xfId="14818" xr:uid="{875336A6-7CC4-48FF-A5BF-135B6F8397EE}"/>
    <cellStyle name="Normal 4 2 2 4 2 6 4" xfId="19038" xr:uid="{BCEC4EE1-89DE-4790-9C5F-D178588A74DF}"/>
    <cellStyle name="Normal 4 2 2 4 2 6 5" xfId="27473" xr:uid="{68BB0168-3D42-422B-9EB5-FD06CBD4B53E}"/>
    <cellStyle name="Normal 4 2 2 4 2 6 6" xfId="10600" xr:uid="{88BE4463-8BAD-42C6-B99A-7E8B67F1E58C}"/>
    <cellStyle name="Normal 4 2 2 4 2 7" xfId="2508" xr:uid="{00000000-0005-0000-0000-0000B8120000}"/>
    <cellStyle name="Normal 4 2 2 4 2 7 2" xfId="6792" xr:uid="{00000000-0005-0000-0000-0000B9120000}"/>
    <cellStyle name="Normal 4 2 2 4 2 7 2 2" xfId="23669" xr:uid="{5EE6C3C9-7412-4E24-99D2-C86776916C92}"/>
    <cellStyle name="Normal 4 2 2 4 2 7 2 3" xfId="32103" xr:uid="{B49D7B3E-D59A-49F8-BA8D-08D8D4BB3A5D}"/>
    <cellStyle name="Normal 4 2 2 4 2 7 2 4" xfId="15231" xr:uid="{8FA58872-9228-41F5-BBEB-4FEC70B52CD6}"/>
    <cellStyle name="Normal 4 2 2 4 2 7 3" xfId="19451" xr:uid="{29155FC1-D089-418A-B479-B9F5E18D08A0}"/>
    <cellStyle name="Normal 4 2 2 4 2 7 4" xfId="27886" xr:uid="{0630EB01-5B3E-43B8-8D28-84DD26DFED54}"/>
    <cellStyle name="Normal 4 2 2 4 2 7 5" xfId="11013" xr:uid="{14A1A7A2-C504-4F37-9EA5-1E05D418874A}"/>
    <cellStyle name="Normal 4 2 2 4 2 8" xfId="4727" xr:uid="{00000000-0005-0000-0000-0000BA120000}"/>
    <cellStyle name="Normal 4 2 2 4 2 8 2" xfId="21604" xr:uid="{763EB919-8CCD-4292-B692-EF374DED4252}"/>
    <cellStyle name="Normal 4 2 2 4 2 8 3" xfId="30038" xr:uid="{DB5E38CD-09DD-4DCB-B086-3EF99B8A9FFE}"/>
    <cellStyle name="Normal 4 2 2 4 2 8 4" xfId="13166" xr:uid="{346FA7EC-0CCC-485C-868E-787736E62AF0}"/>
    <cellStyle name="Normal 4 2 2 4 2 9" xfId="17386" xr:uid="{5AF6F8A9-122C-478E-B3EB-334173064E49}"/>
    <cellStyle name="Normal 4 2 2 4 3" xfId="350" xr:uid="{00000000-0005-0000-0000-0000BB120000}"/>
    <cellStyle name="Normal 4 2 2 4 3 10" xfId="8950" xr:uid="{273A4F0D-3A2F-4FB1-8156-701E9DC6C017}"/>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24164" xr:uid="{B05C71FB-FF53-41D0-BF90-DD2B14401915}"/>
    <cellStyle name="Normal 4 2 2 4 3 2 2 2 3" xfId="32598" xr:uid="{B1834442-FD25-458C-B012-5ABDF1E6300A}"/>
    <cellStyle name="Normal 4 2 2 4 3 2 2 2 4" xfId="15726" xr:uid="{CA0E616A-B97D-4F5C-803F-3B0F8691B941}"/>
    <cellStyle name="Normal 4 2 2 4 3 2 2 3" xfId="19946" xr:uid="{A9CABF22-AC80-4445-8F11-8E3A4B1292BF}"/>
    <cellStyle name="Normal 4 2 2 4 3 2 2 4" xfId="28381" xr:uid="{F69A2D13-FD1A-4E34-8A81-BA7CFE23D56F}"/>
    <cellStyle name="Normal 4 2 2 4 3 2 2 5" xfId="11508" xr:uid="{A4DEC785-8740-47A8-B0BA-7FE1E4CE7930}"/>
    <cellStyle name="Normal 4 2 2 4 3 2 3" xfId="5142" xr:uid="{00000000-0005-0000-0000-0000BF120000}"/>
    <cellStyle name="Normal 4 2 2 4 3 2 3 2" xfId="22019" xr:uid="{4F0629AF-701F-434F-952D-7F296C7CC56C}"/>
    <cellStyle name="Normal 4 2 2 4 3 2 3 3" xfId="30453" xr:uid="{14D56C01-1E45-47E3-9962-AB5474406836}"/>
    <cellStyle name="Normal 4 2 2 4 3 2 3 4" xfId="13581" xr:uid="{9479BC40-ECB1-4015-AF7B-4CA25C59D7B8}"/>
    <cellStyle name="Normal 4 2 2 4 3 2 4" xfId="17801" xr:uid="{FAA11902-BCE9-4C81-A714-9739E59AD9B3}"/>
    <cellStyle name="Normal 4 2 2 4 3 2 5" xfId="26236" xr:uid="{8222056B-80F6-464A-A813-729575C61B91}"/>
    <cellStyle name="Normal 4 2 2 4 3 2 6" xfId="9363" xr:uid="{A3027084-1A7A-4780-9B13-0B3DCCB84AC2}"/>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24577" xr:uid="{0323A793-242E-4790-BD95-0FAD05076DF3}"/>
    <cellStyle name="Normal 4 2 2 4 3 3 2 2 3" xfId="33011" xr:uid="{BD0B5C2B-3202-435C-85F7-55861E70BAD4}"/>
    <cellStyle name="Normal 4 2 2 4 3 3 2 2 4" xfId="16139" xr:uid="{E5CEA932-AC29-429B-9A2A-F271EDD79D75}"/>
    <cellStyle name="Normal 4 2 2 4 3 3 2 3" xfId="20359" xr:uid="{37F98070-2CEA-4E43-86B6-8D32A0875741}"/>
    <cellStyle name="Normal 4 2 2 4 3 3 2 4" xfId="28794" xr:uid="{08EA867E-12C7-4654-8B6A-86E0F6957B6E}"/>
    <cellStyle name="Normal 4 2 2 4 3 3 2 5" xfId="11921" xr:uid="{9E37E8DF-1E9E-4750-AFE1-D87784235DAA}"/>
    <cellStyle name="Normal 4 2 2 4 3 3 3" xfId="5555" xr:uid="{00000000-0005-0000-0000-0000C3120000}"/>
    <cellStyle name="Normal 4 2 2 4 3 3 3 2" xfId="22432" xr:uid="{C01BB696-4D5D-4984-990C-1C1FC15963C9}"/>
    <cellStyle name="Normal 4 2 2 4 3 3 3 3" xfId="30866" xr:uid="{9B5D481E-A6BC-493F-B703-2E21C2F1D6D8}"/>
    <cellStyle name="Normal 4 2 2 4 3 3 3 4" xfId="13994" xr:uid="{6DE153CD-E410-4092-9396-11BBD85A2AE4}"/>
    <cellStyle name="Normal 4 2 2 4 3 3 4" xfId="18214" xr:uid="{76B22FE0-864D-49C7-9252-A1D3FA0233FE}"/>
    <cellStyle name="Normal 4 2 2 4 3 3 5" xfId="26649" xr:uid="{4764F3A1-1498-4756-A0A4-F831EF2A052B}"/>
    <cellStyle name="Normal 4 2 2 4 3 3 6" xfId="9776" xr:uid="{F1EA15C4-BA91-4053-AF02-7A603FA02AB1}"/>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24990" xr:uid="{CCAE00B2-B579-4248-A1F5-0E63E29D4331}"/>
    <cellStyle name="Normal 4 2 2 4 3 4 2 2 3" xfId="33424" xr:uid="{AAF7BE72-A2DC-40B0-A4B9-A3DDD50CEBD7}"/>
    <cellStyle name="Normal 4 2 2 4 3 4 2 2 4" xfId="16552" xr:uid="{9D88F1D9-55F0-4028-800C-A3CC7E73B82E}"/>
    <cellStyle name="Normal 4 2 2 4 3 4 2 3" xfId="20772" xr:uid="{6D53EE75-B6F9-4477-9248-AF39E16204CD}"/>
    <cellStyle name="Normal 4 2 2 4 3 4 2 4" xfId="29207" xr:uid="{40200C9E-FD5D-4E94-86E9-E3D2710B1D3C}"/>
    <cellStyle name="Normal 4 2 2 4 3 4 2 5" xfId="12334" xr:uid="{1FDE4B3E-0DB9-4867-8686-6F4D3C11B7B3}"/>
    <cellStyle name="Normal 4 2 2 4 3 4 3" xfId="5968" xr:uid="{00000000-0005-0000-0000-0000C7120000}"/>
    <cellStyle name="Normal 4 2 2 4 3 4 3 2" xfId="22845" xr:uid="{AC1E861E-0C9D-4D32-ABCE-C8EEBDA7E213}"/>
    <cellStyle name="Normal 4 2 2 4 3 4 3 3" xfId="31279" xr:uid="{022D83BF-E0A8-4BD2-B05C-30C248DAD1EB}"/>
    <cellStyle name="Normal 4 2 2 4 3 4 3 4" xfId="14407" xr:uid="{98FFC208-8EBB-4C73-82FF-8BAA1886EACA}"/>
    <cellStyle name="Normal 4 2 2 4 3 4 4" xfId="18627" xr:uid="{99D9EADC-ED19-4219-8D00-B5E3AE00CD8D}"/>
    <cellStyle name="Normal 4 2 2 4 3 4 5" xfId="27062" xr:uid="{3F002EAB-F606-439B-A39B-7118397C7361}"/>
    <cellStyle name="Normal 4 2 2 4 3 4 6" xfId="10189" xr:uid="{7819A409-6E52-4D3C-9FF7-AE75B08A456C}"/>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25403" xr:uid="{E054793E-016E-4091-8A1C-0D9ADB9E9ED3}"/>
    <cellStyle name="Normal 4 2 2 4 3 5 2 2 3" xfId="33837" xr:uid="{48EB13D2-BE1F-4EF0-A0F2-BF65EC512B56}"/>
    <cellStyle name="Normal 4 2 2 4 3 5 2 2 4" xfId="16965" xr:uid="{5156F31B-1676-4620-9611-ED02F896469F}"/>
    <cellStyle name="Normal 4 2 2 4 3 5 2 3" xfId="21185" xr:uid="{A7FBC03C-7912-40EE-929D-9A0CBDB32506}"/>
    <cellStyle name="Normal 4 2 2 4 3 5 2 4" xfId="29620" xr:uid="{3B75CA51-D5B7-44D1-AF7B-9D75FC095C95}"/>
    <cellStyle name="Normal 4 2 2 4 3 5 2 5" xfId="12747" xr:uid="{5E75D741-1DA0-44C7-9970-37259B7B5684}"/>
    <cellStyle name="Normal 4 2 2 4 3 5 3" xfId="6381" xr:uid="{00000000-0005-0000-0000-0000CB120000}"/>
    <cellStyle name="Normal 4 2 2 4 3 5 3 2" xfId="23258" xr:uid="{3A410700-2DBA-4286-A227-F63CEB3458A4}"/>
    <cellStyle name="Normal 4 2 2 4 3 5 3 3" xfId="31692" xr:uid="{C7A8CF4C-554E-4915-935C-65202C12728E}"/>
    <cellStyle name="Normal 4 2 2 4 3 5 3 4" xfId="14820" xr:uid="{9D42E4FE-543B-4354-AC21-99B27CF87670}"/>
    <cellStyle name="Normal 4 2 2 4 3 5 4" xfId="19040" xr:uid="{743B6A65-A4CB-485C-8AE4-125217D1FAE2}"/>
    <cellStyle name="Normal 4 2 2 4 3 5 5" xfId="27475" xr:uid="{28F23D92-9273-4547-96CB-4E0150BEB712}"/>
    <cellStyle name="Normal 4 2 2 4 3 5 6" xfId="10602" xr:uid="{127FC079-F4F8-46EF-813D-07D72AA64085}"/>
    <cellStyle name="Normal 4 2 2 4 3 6" xfId="2510" xr:uid="{00000000-0005-0000-0000-0000CC120000}"/>
    <cellStyle name="Normal 4 2 2 4 3 6 2" xfId="6794" xr:uid="{00000000-0005-0000-0000-0000CD120000}"/>
    <cellStyle name="Normal 4 2 2 4 3 6 2 2" xfId="23671" xr:uid="{4B1EA952-B80D-4729-B9EF-08B414621D66}"/>
    <cellStyle name="Normal 4 2 2 4 3 6 2 3" xfId="32105" xr:uid="{DED5A3B8-3E3C-4D13-A177-4E8E4AEBBC66}"/>
    <cellStyle name="Normal 4 2 2 4 3 6 2 4" xfId="15233" xr:uid="{DDF44DA8-C3A4-47A4-95DD-44B3A60F1ACE}"/>
    <cellStyle name="Normal 4 2 2 4 3 6 3" xfId="19453" xr:uid="{A4C29E9E-6B0D-45D2-8A02-4B133F18D83E}"/>
    <cellStyle name="Normal 4 2 2 4 3 6 4" xfId="27888" xr:uid="{45678E6E-CDA5-4DF1-BDA8-E8EA5904316F}"/>
    <cellStyle name="Normal 4 2 2 4 3 6 5" xfId="11015" xr:uid="{FBB559B9-8A7F-43C3-9885-A5457414EF0E}"/>
    <cellStyle name="Normal 4 2 2 4 3 7" xfId="4729" xr:uid="{00000000-0005-0000-0000-0000CE120000}"/>
    <cellStyle name="Normal 4 2 2 4 3 7 2" xfId="21606" xr:uid="{D0A98A63-CA13-4A3C-869A-19DD1A1FCB4A}"/>
    <cellStyle name="Normal 4 2 2 4 3 7 3" xfId="30040" xr:uid="{4D1AA443-B870-42D8-9468-3C95BF405F0A}"/>
    <cellStyle name="Normal 4 2 2 4 3 7 4" xfId="13168" xr:uid="{C9BC5C3C-F223-47CF-8425-69E59B4833B4}"/>
    <cellStyle name="Normal 4 2 2 4 3 8" xfId="17388" xr:uid="{584B77A9-9183-41DE-8F96-D5BD130FC186}"/>
    <cellStyle name="Normal 4 2 2 4 3 9" xfId="25823" xr:uid="{87396AC1-0E7E-4EE1-807E-8B8F66F688CA}"/>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24161" xr:uid="{D0FDEC27-FD46-45DC-8791-6DEBD836A032}"/>
    <cellStyle name="Normal 4 2 2 4 4 2 2 3" xfId="32595" xr:uid="{CFECAFA8-9D53-4EC9-9B73-6BCF46C727E0}"/>
    <cellStyle name="Normal 4 2 2 4 4 2 2 4" xfId="15723" xr:uid="{5E89049C-BA58-4549-B8DE-ECE4F8102753}"/>
    <cellStyle name="Normal 4 2 2 4 4 2 3" xfId="19943" xr:uid="{3E79789C-7AAF-4CE2-BB7E-2B9A201432B5}"/>
    <cellStyle name="Normal 4 2 2 4 4 2 4" xfId="28378" xr:uid="{2E0C626C-743F-484B-828D-B35E52F9932C}"/>
    <cellStyle name="Normal 4 2 2 4 4 2 5" xfId="11505" xr:uid="{8FBA33E1-CF20-4C7C-B133-5E8DC0ECC07B}"/>
    <cellStyle name="Normal 4 2 2 4 4 3" xfId="5139" xr:uid="{00000000-0005-0000-0000-0000D2120000}"/>
    <cellStyle name="Normal 4 2 2 4 4 3 2" xfId="22016" xr:uid="{9F7BB297-89C1-46FC-A2E9-77663A8BF51C}"/>
    <cellStyle name="Normal 4 2 2 4 4 3 3" xfId="30450" xr:uid="{41DAB2BA-244C-4290-8C06-2C5602C43926}"/>
    <cellStyle name="Normal 4 2 2 4 4 3 4" xfId="13578" xr:uid="{BFA10CA6-FADA-4041-A40D-26D708254258}"/>
    <cellStyle name="Normal 4 2 2 4 4 4" xfId="17798" xr:uid="{7581A0BB-B50B-40AD-A2F6-EC43E16133B8}"/>
    <cellStyle name="Normal 4 2 2 4 4 5" xfId="26233" xr:uid="{25E6E017-5D66-4608-BD8E-1C89B3F015BB}"/>
    <cellStyle name="Normal 4 2 2 4 4 6" xfId="9360" xr:uid="{C4119B44-3804-4207-A3A1-964F6165550B}"/>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24574" xr:uid="{58AC7607-FF33-4B35-8AB4-61956E804460}"/>
    <cellStyle name="Normal 4 2 2 4 5 2 2 3" xfId="33008" xr:uid="{4AFBA242-CF23-4B1A-91D4-3DCE51E3BFBA}"/>
    <cellStyle name="Normal 4 2 2 4 5 2 2 4" xfId="16136" xr:uid="{FC241121-866C-4B8A-8983-1D2A18F6F989}"/>
    <cellStyle name="Normal 4 2 2 4 5 2 3" xfId="20356" xr:uid="{E25F45B5-B696-4B50-91C7-AD467F94E37A}"/>
    <cellStyle name="Normal 4 2 2 4 5 2 4" xfId="28791" xr:uid="{C5D9BDA2-379D-4EA6-A995-16509AA6DD6F}"/>
    <cellStyle name="Normal 4 2 2 4 5 2 5" xfId="11918" xr:uid="{7C5FEE41-B2E4-4838-B8BF-9DC4BE0E85E8}"/>
    <cellStyle name="Normal 4 2 2 4 5 3" xfId="5552" xr:uid="{00000000-0005-0000-0000-0000D6120000}"/>
    <cellStyle name="Normal 4 2 2 4 5 3 2" xfId="22429" xr:uid="{CB99E8C8-B3D0-4352-B05E-CF9792A4EF36}"/>
    <cellStyle name="Normal 4 2 2 4 5 3 3" xfId="30863" xr:uid="{F8E9BEAD-05C3-4CCB-A2B4-C772F0F43875}"/>
    <cellStyle name="Normal 4 2 2 4 5 3 4" xfId="13991" xr:uid="{397C57B5-7277-4B82-91EF-24A764FEBA4E}"/>
    <cellStyle name="Normal 4 2 2 4 5 4" xfId="18211" xr:uid="{FF17FA87-E07E-49D8-A2CF-5B26DE77A524}"/>
    <cellStyle name="Normal 4 2 2 4 5 5" xfId="26646" xr:uid="{CFF73077-6000-43D0-A53F-1EA6DE9A09A1}"/>
    <cellStyle name="Normal 4 2 2 4 5 6" xfId="9773" xr:uid="{37527DEC-28CF-4524-8A38-2E99FFBE0A9D}"/>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24987" xr:uid="{FAE8A35A-745B-4F84-A001-F6B416C767D5}"/>
    <cellStyle name="Normal 4 2 2 4 6 2 2 3" xfId="33421" xr:uid="{AB7DE54C-690A-4959-BB42-BD852E9D043A}"/>
    <cellStyle name="Normal 4 2 2 4 6 2 2 4" xfId="16549" xr:uid="{850D2A74-6F7E-4749-8A18-DDB9573F11EF}"/>
    <cellStyle name="Normal 4 2 2 4 6 2 3" xfId="20769" xr:uid="{D503E64F-D9C4-49CB-8346-C28CE13612E3}"/>
    <cellStyle name="Normal 4 2 2 4 6 2 4" xfId="29204" xr:uid="{36867DC0-5548-41E8-A1D0-58555441F74B}"/>
    <cellStyle name="Normal 4 2 2 4 6 2 5" xfId="12331" xr:uid="{637E6813-9C8A-4705-845E-C73EAE0B8CCD}"/>
    <cellStyle name="Normal 4 2 2 4 6 3" xfId="5965" xr:uid="{00000000-0005-0000-0000-0000DA120000}"/>
    <cellStyle name="Normal 4 2 2 4 6 3 2" xfId="22842" xr:uid="{2291F67E-7E46-4F5B-A3C2-44C59901F559}"/>
    <cellStyle name="Normal 4 2 2 4 6 3 3" xfId="31276" xr:uid="{CC37AE74-7EEB-4911-BE5A-B03A94DBDC79}"/>
    <cellStyle name="Normal 4 2 2 4 6 3 4" xfId="14404" xr:uid="{24AE98E2-46A9-459C-8CEF-4C7C8E436843}"/>
    <cellStyle name="Normal 4 2 2 4 6 4" xfId="18624" xr:uid="{9A371A5B-0200-4A8D-BC0E-5AF29696FEB0}"/>
    <cellStyle name="Normal 4 2 2 4 6 5" xfId="27059" xr:uid="{DEBE6382-EC66-4B7A-BD93-338FAAF2C7F1}"/>
    <cellStyle name="Normal 4 2 2 4 6 6" xfId="10186" xr:uid="{1D01CC6C-1C34-447B-91A0-3648B9C51008}"/>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25400" xr:uid="{070DC9DF-5694-4DCC-A83E-0FEC33D38300}"/>
    <cellStyle name="Normal 4 2 2 4 7 2 2 3" xfId="33834" xr:uid="{9E4101D9-FACE-4473-A9C8-71C129C63D6B}"/>
    <cellStyle name="Normal 4 2 2 4 7 2 2 4" xfId="16962" xr:uid="{CDEA5382-B6A5-4043-9BC3-C551FA4F1918}"/>
    <cellStyle name="Normal 4 2 2 4 7 2 3" xfId="21182" xr:uid="{4F9E1F41-B00B-439E-B4A7-2CA3EA28B155}"/>
    <cellStyle name="Normal 4 2 2 4 7 2 4" xfId="29617" xr:uid="{B8BEECA8-A2AB-49A7-8FA5-AE4548C10E93}"/>
    <cellStyle name="Normal 4 2 2 4 7 2 5" xfId="12744" xr:uid="{9D92E338-9989-4B83-AC84-BFF60CB1ADC4}"/>
    <cellStyle name="Normal 4 2 2 4 7 3" xfId="6378" xr:uid="{00000000-0005-0000-0000-0000DE120000}"/>
    <cellStyle name="Normal 4 2 2 4 7 3 2" xfId="23255" xr:uid="{D653B5F2-31CF-4398-BB00-0D64BB72F264}"/>
    <cellStyle name="Normal 4 2 2 4 7 3 3" xfId="31689" xr:uid="{891AAAEC-ED7E-482A-B101-1A09E0EEB033}"/>
    <cellStyle name="Normal 4 2 2 4 7 3 4" xfId="14817" xr:uid="{BEAEF077-4725-4D85-AAAA-CAC2212DF450}"/>
    <cellStyle name="Normal 4 2 2 4 7 4" xfId="19037" xr:uid="{7DC678F7-4F0A-49E5-ABCF-50074A61E2D8}"/>
    <cellStyle name="Normal 4 2 2 4 7 5" xfId="27472" xr:uid="{2FB0EEF0-35FA-4456-81E1-FCE4211368A8}"/>
    <cellStyle name="Normal 4 2 2 4 7 6" xfId="10599" xr:uid="{8BDD73FD-B39E-4A84-847A-ED7151AD4612}"/>
    <cellStyle name="Normal 4 2 2 4 8" xfId="2507" xr:uid="{00000000-0005-0000-0000-0000DF120000}"/>
    <cellStyle name="Normal 4 2 2 4 8 2" xfId="6791" xr:uid="{00000000-0005-0000-0000-0000E0120000}"/>
    <cellStyle name="Normal 4 2 2 4 8 2 2" xfId="23668" xr:uid="{42AD9D8B-66DC-4481-AEE7-2A747DF405E2}"/>
    <cellStyle name="Normal 4 2 2 4 8 2 3" xfId="32102" xr:uid="{AD2C9742-EC83-4EDA-8DF1-17C9F1A68349}"/>
    <cellStyle name="Normal 4 2 2 4 8 2 4" xfId="15230" xr:uid="{B3E54CAC-8357-4D13-A612-440E13B549E6}"/>
    <cellStyle name="Normal 4 2 2 4 8 3" xfId="19450" xr:uid="{6E4DDF98-7510-4F73-8172-54446BBFE1D2}"/>
    <cellStyle name="Normal 4 2 2 4 8 4" xfId="27885" xr:uid="{2FB061D7-809F-4A27-B28D-E1C846F77CC0}"/>
    <cellStyle name="Normal 4 2 2 4 8 5" xfId="11012" xr:uid="{6EBBBB34-A0F9-4D10-B23B-23A48E3FE25C}"/>
    <cellStyle name="Normal 4 2 2 4 9" xfId="4726" xr:uid="{00000000-0005-0000-0000-0000E1120000}"/>
    <cellStyle name="Normal 4 2 2 4 9 2" xfId="21603" xr:uid="{9C416482-1D19-4BFF-B94D-363EFE22842C}"/>
    <cellStyle name="Normal 4 2 2 4 9 3" xfId="30037" xr:uid="{3A6718B6-B57F-47AB-AB79-36B826071DD5}"/>
    <cellStyle name="Normal 4 2 2 4 9 4" xfId="13165" xr:uid="{1ADB4BD0-175D-42B9-9B25-C93B411725C9}"/>
    <cellStyle name="Normal 4 2 2 5" xfId="351" xr:uid="{00000000-0005-0000-0000-0000E2120000}"/>
    <cellStyle name="Normal 4 2 2 5 10" xfId="25824" xr:uid="{CCC27EF3-2C35-457B-A02F-AB3588E699AB}"/>
    <cellStyle name="Normal 4 2 2 5 11" xfId="8951" xr:uid="{B7A5AAAA-BFD9-4953-8BA2-B1FF9074FEAE}"/>
    <cellStyle name="Normal 4 2 2 5 2" xfId="352" xr:uid="{00000000-0005-0000-0000-0000E3120000}"/>
    <cellStyle name="Normal 4 2 2 5 2 10" xfId="8952" xr:uid="{EE4CAE2D-64C9-4969-81A1-E331B7E61382}"/>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24166" xr:uid="{D31B4EA0-AF4D-4619-9F4B-BD7BF6022183}"/>
    <cellStyle name="Normal 4 2 2 5 2 2 2 2 3" xfId="32600" xr:uid="{C69E7A00-E002-46F2-B6EA-4A457440DFD6}"/>
    <cellStyle name="Normal 4 2 2 5 2 2 2 2 4" xfId="15728" xr:uid="{5D44C9DD-54F1-47B6-B9F1-DF0C708345F9}"/>
    <cellStyle name="Normal 4 2 2 5 2 2 2 3" xfId="19948" xr:uid="{FD58D09D-581F-4412-934C-5A00EC2B2528}"/>
    <cellStyle name="Normal 4 2 2 5 2 2 2 4" xfId="28383" xr:uid="{1E3C6AAD-B857-4131-B71B-476411C14DE2}"/>
    <cellStyle name="Normal 4 2 2 5 2 2 2 5" xfId="11510" xr:uid="{7577D36E-6F1F-4E42-BB5F-BB943755CA9C}"/>
    <cellStyle name="Normal 4 2 2 5 2 2 3" xfId="5144" xr:uid="{00000000-0005-0000-0000-0000E7120000}"/>
    <cellStyle name="Normal 4 2 2 5 2 2 3 2" xfId="22021" xr:uid="{EF37FE96-E983-4F50-B7AB-DFC51DF23C0D}"/>
    <cellStyle name="Normal 4 2 2 5 2 2 3 3" xfId="30455" xr:uid="{3311F9ED-AF80-4E90-A103-E5E1C024D43C}"/>
    <cellStyle name="Normal 4 2 2 5 2 2 3 4" xfId="13583" xr:uid="{5C4D8E7E-A352-455F-B638-DDA3C25B3972}"/>
    <cellStyle name="Normal 4 2 2 5 2 2 4" xfId="17803" xr:uid="{0BA9527C-7A45-4634-8554-19AB591584A3}"/>
    <cellStyle name="Normal 4 2 2 5 2 2 5" xfId="26238" xr:uid="{97E67A3F-99B2-4951-8507-75ACE04D1F7C}"/>
    <cellStyle name="Normal 4 2 2 5 2 2 6" xfId="9365" xr:uid="{2DCD426B-F55C-41B1-A814-AE55F500D893}"/>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24579" xr:uid="{D86A4FAF-4931-4010-9887-A442907350BF}"/>
    <cellStyle name="Normal 4 2 2 5 2 3 2 2 3" xfId="33013" xr:uid="{57E0D453-B555-4C69-BDC4-9908B304725A}"/>
    <cellStyle name="Normal 4 2 2 5 2 3 2 2 4" xfId="16141" xr:uid="{FFD6F915-F9B6-407B-B6A3-E2F24CB72BE9}"/>
    <cellStyle name="Normal 4 2 2 5 2 3 2 3" xfId="20361" xr:uid="{A961AC4E-F7DE-47C3-97BD-8A616A975416}"/>
    <cellStyle name="Normal 4 2 2 5 2 3 2 4" xfId="28796" xr:uid="{CBB6AFB0-1291-440F-BE3D-28FB1CE2429F}"/>
    <cellStyle name="Normal 4 2 2 5 2 3 2 5" xfId="11923" xr:uid="{5BEFF9D5-E15B-4B06-829B-6BA0598C223E}"/>
    <cellStyle name="Normal 4 2 2 5 2 3 3" xfId="5557" xr:uid="{00000000-0005-0000-0000-0000EB120000}"/>
    <cellStyle name="Normal 4 2 2 5 2 3 3 2" xfId="22434" xr:uid="{4258CD20-07FB-45FE-A244-A392B0B54199}"/>
    <cellStyle name="Normal 4 2 2 5 2 3 3 3" xfId="30868" xr:uid="{E3E81E1A-718F-4E44-B6BD-3E56979576E3}"/>
    <cellStyle name="Normal 4 2 2 5 2 3 3 4" xfId="13996" xr:uid="{39F8BC04-2E45-4386-8FAC-DBC173744536}"/>
    <cellStyle name="Normal 4 2 2 5 2 3 4" xfId="18216" xr:uid="{9DE0977D-C443-4D20-98A5-03A0033DFC9E}"/>
    <cellStyle name="Normal 4 2 2 5 2 3 5" xfId="26651" xr:uid="{D008ACD4-FB8C-433B-8B8F-8AB3F98C1958}"/>
    <cellStyle name="Normal 4 2 2 5 2 3 6" xfId="9778" xr:uid="{060EFCD3-DE7E-43D3-9F51-F3E54339245D}"/>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24992" xr:uid="{2BB7F89D-2439-40CD-B499-CD624F103240}"/>
    <cellStyle name="Normal 4 2 2 5 2 4 2 2 3" xfId="33426" xr:uid="{4CE142ED-29B9-426D-A437-801501656CDA}"/>
    <cellStyle name="Normal 4 2 2 5 2 4 2 2 4" xfId="16554" xr:uid="{E0367DE0-8DC7-4DC0-8394-53EE6F7A7994}"/>
    <cellStyle name="Normal 4 2 2 5 2 4 2 3" xfId="20774" xr:uid="{6C74049F-E978-4A09-ADC4-B87F6BAA9CBF}"/>
    <cellStyle name="Normal 4 2 2 5 2 4 2 4" xfId="29209" xr:uid="{F3FC4D06-9484-49B1-A1FD-108F285D14B4}"/>
    <cellStyle name="Normal 4 2 2 5 2 4 2 5" xfId="12336" xr:uid="{228BFA15-6C98-4B3F-9BC5-CC8910F37013}"/>
    <cellStyle name="Normal 4 2 2 5 2 4 3" xfId="5970" xr:uid="{00000000-0005-0000-0000-0000EF120000}"/>
    <cellStyle name="Normal 4 2 2 5 2 4 3 2" xfId="22847" xr:uid="{B5F54361-941C-4ACB-B3B6-6EB17DD15D98}"/>
    <cellStyle name="Normal 4 2 2 5 2 4 3 3" xfId="31281" xr:uid="{3D2A06E8-C176-4C11-A853-CBFD719FD3BE}"/>
    <cellStyle name="Normal 4 2 2 5 2 4 3 4" xfId="14409" xr:uid="{A25692BD-3188-439A-A8DF-FADFF719CC88}"/>
    <cellStyle name="Normal 4 2 2 5 2 4 4" xfId="18629" xr:uid="{1C706A5D-F569-427D-80BF-364DAD80818E}"/>
    <cellStyle name="Normal 4 2 2 5 2 4 5" xfId="27064" xr:uid="{7F46DAA4-FC14-4E0D-99EC-20EFBACA28E7}"/>
    <cellStyle name="Normal 4 2 2 5 2 4 6" xfId="10191" xr:uid="{51CBBEAD-47AD-44CF-9A61-F119B8F4FE8C}"/>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25405" xr:uid="{3CC495F3-8235-427F-8CB6-5285A136ED09}"/>
    <cellStyle name="Normal 4 2 2 5 2 5 2 2 3" xfId="33839" xr:uid="{525F2C1F-5C91-4737-A707-83BE180FEFA4}"/>
    <cellStyle name="Normal 4 2 2 5 2 5 2 2 4" xfId="16967" xr:uid="{7D1C69B1-D699-4E54-8119-4EF67F990FA8}"/>
    <cellStyle name="Normal 4 2 2 5 2 5 2 3" xfId="21187" xr:uid="{EEE181B0-8836-4D47-993B-3913D8D2C2B8}"/>
    <cellStyle name="Normal 4 2 2 5 2 5 2 4" xfId="29622" xr:uid="{953211BB-3E4A-474E-8597-7850C4B590EC}"/>
    <cellStyle name="Normal 4 2 2 5 2 5 2 5" xfId="12749" xr:uid="{195AB6B0-09F2-4B66-9F53-902F7A2AD789}"/>
    <cellStyle name="Normal 4 2 2 5 2 5 3" xfId="6383" xr:uid="{00000000-0005-0000-0000-0000F3120000}"/>
    <cellStyle name="Normal 4 2 2 5 2 5 3 2" xfId="23260" xr:uid="{BC278AAF-EC65-4CC3-99D5-74E954AB79DB}"/>
    <cellStyle name="Normal 4 2 2 5 2 5 3 3" xfId="31694" xr:uid="{1BBB8518-ECCB-4C5D-953B-2EB98A9AE8E0}"/>
    <cellStyle name="Normal 4 2 2 5 2 5 3 4" xfId="14822" xr:uid="{D317B51B-9157-4C5B-B132-9864CB4E3B1B}"/>
    <cellStyle name="Normal 4 2 2 5 2 5 4" xfId="19042" xr:uid="{7344E447-FEBE-4ACE-A7D0-CDF7A4CAFCAC}"/>
    <cellStyle name="Normal 4 2 2 5 2 5 5" xfId="27477" xr:uid="{37224964-0EB3-43FD-8B0E-14BA1CEC2A4F}"/>
    <cellStyle name="Normal 4 2 2 5 2 5 6" xfId="10604" xr:uid="{5C9C5E88-8C02-46CB-889F-85AEE7FE4B73}"/>
    <cellStyle name="Normal 4 2 2 5 2 6" xfId="2512" xr:uid="{00000000-0005-0000-0000-0000F4120000}"/>
    <cellStyle name="Normal 4 2 2 5 2 6 2" xfId="6796" xr:uid="{00000000-0005-0000-0000-0000F5120000}"/>
    <cellStyle name="Normal 4 2 2 5 2 6 2 2" xfId="23673" xr:uid="{80E89A0E-9653-44A5-8F02-237CDC27D590}"/>
    <cellStyle name="Normal 4 2 2 5 2 6 2 3" xfId="32107" xr:uid="{ABE83603-A250-43B1-A38B-836CCDB81733}"/>
    <cellStyle name="Normal 4 2 2 5 2 6 2 4" xfId="15235" xr:uid="{F40B863B-38E9-4330-B018-5C9E6431D079}"/>
    <cellStyle name="Normal 4 2 2 5 2 6 3" xfId="19455" xr:uid="{45465446-14B7-45B5-BC0E-E6A5F3F8041F}"/>
    <cellStyle name="Normal 4 2 2 5 2 6 4" xfId="27890" xr:uid="{6EB365EF-9026-42E8-A5F5-2714B1AD9325}"/>
    <cellStyle name="Normal 4 2 2 5 2 6 5" xfId="11017" xr:uid="{205EB936-358B-4195-9CDA-1CC8BFD36B28}"/>
    <cellStyle name="Normal 4 2 2 5 2 7" xfId="4731" xr:uid="{00000000-0005-0000-0000-0000F6120000}"/>
    <cellStyle name="Normal 4 2 2 5 2 7 2" xfId="21608" xr:uid="{2A5AB285-4FF6-48F1-9B42-0FE844A99CC4}"/>
    <cellStyle name="Normal 4 2 2 5 2 7 3" xfId="30042" xr:uid="{D192A058-E642-461C-80D6-531D47F591D4}"/>
    <cellStyle name="Normal 4 2 2 5 2 7 4" xfId="13170" xr:uid="{26882253-8710-40E9-A89A-8FE9BE7A3DFC}"/>
    <cellStyle name="Normal 4 2 2 5 2 8" xfId="17390" xr:uid="{4F09EA09-52F8-49D4-9E2B-204D536BB601}"/>
    <cellStyle name="Normal 4 2 2 5 2 9" xfId="25825" xr:uid="{213F4BE4-D5CC-4D5A-A715-751FC23EF333}"/>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24165" xr:uid="{3861EBF6-6986-480A-8CCB-19C07652BE03}"/>
    <cellStyle name="Normal 4 2 2 5 3 2 2 3" xfId="32599" xr:uid="{7943F0AB-3EE8-4C67-B7B5-A4EFBEAAAFD5}"/>
    <cellStyle name="Normal 4 2 2 5 3 2 2 4" xfId="15727" xr:uid="{826E3148-644A-4305-B5BC-F64A4C724A42}"/>
    <cellStyle name="Normal 4 2 2 5 3 2 3" xfId="19947" xr:uid="{50FE790D-17E8-4BC1-8CC8-6E325FF960DA}"/>
    <cellStyle name="Normal 4 2 2 5 3 2 4" xfId="28382" xr:uid="{8A153905-5B90-47AD-A04F-3349F033000B}"/>
    <cellStyle name="Normal 4 2 2 5 3 2 5" xfId="11509" xr:uid="{9B765AE6-372E-4532-94D6-F0B15A348374}"/>
    <cellStyle name="Normal 4 2 2 5 3 3" xfId="5143" xr:uid="{00000000-0005-0000-0000-0000FA120000}"/>
    <cellStyle name="Normal 4 2 2 5 3 3 2" xfId="22020" xr:uid="{0D68E136-8A42-4B10-9076-BC967FD9A9BB}"/>
    <cellStyle name="Normal 4 2 2 5 3 3 3" xfId="30454" xr:uid="{966E2D17-B92D-43A4-8E11-826AF2AF2F50}"/>
    <cellStyle name="Normal 4 2 2 5 3 3 4" xfId="13582" xr:uid="{B489BAED-298C-48CA-9DDC-109FCF6A0C2E}"/>
    <cellStyle name="Normal 4 2 2 5 3 4" xfId="17802" xr:uid="{A682A8A4-64EE-47F2-ACC7-5CB28DF95DE2}"/>
    <cellStyle name="Normal 4 2 2 5 3 5" xfId="26237" xr:uid="{671673E7-5802-4414-91F8-C25E2B7D79FE}"/>
    <cellStyle name="Normal 4 2 2 5 3 6" xfId="9364" xr:uid="{D53AE2D4-FB82-477A-87F5-96D16DB8E0AB}"/>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24578" xr:uid="{DD6BEB30-56EC-4CD4-AE9A-831824F9E89B}"/>
    <cellStyle name="Normal 4 2 2 5 4 2 2 3" xfId="33012" xr:uid="{E8F747E8-4BFF-4749-9B3A-95DFEC29F818}"/>
    <cellStyle name="Normal 4 2 2 5 4 2 2 4" xfId="16140" xr:uid="{D68CAC05-A982-466C-83AE-85B8EBC276BE}"/>
    <cellStyle name="Normal 4 2 2 5 4 2 3" xfId="20360" xr:uid="{96994E71-34FE-4291-95AB-D820366B1403}"/>
    <cellStyle name="Normal 4 2 2 5 4 2 4" xfId="28795" xr:uid="{403A8CCD-3FA4-4A46-AF30-C41ED077EAF0}"/>
    <cellStyle name="Normal 4 2 2 5 4 2 5" xfId="11922" xr:uid="{E1C7D8BB-65C8-47DC-A0AF-30948263CA8F}"/>
    <cellStyle name="Normal 4 2 2 5 4 3" xfId="5556" xr:uid="{00000000-0005-0000-0000-0000FE120000}"/>
    <cellStyle name="Normal 4 2 2 5 4 3 2" xfId="22433" xr:uid="{15AA1E09-C7F9-4EDE-8122-FBC232C24355}"/>
    <cellStyle name="Normal 4 2 2 5 4 3 3" xfId="30867" xr:uid="{483CAE2A-2581-4DF3-A786-0C33CE8E60A1}"/>
    <cellStyle name="Normal 4 2 2 5 4 3 4" xfId="13995" xr:uid="{29F01D75-B8C0-4E90-8D08-ADA6AD37D86E}"/>
    <cellStyle name="Normal 4 2 2 5 4 4" xfId="18215" xr:uid="{E7EF045E-E9EF-4F29-ACF6-821358EF2CA2}"/>
    <cellStyle name="Normal 4 2 2 5 4 5" xfId="26650" xr:uid="{82A2B0BA-3D37-4AD7-9788-6094F48927B9}"/>
    <cellStyle name="Normal 4 2 2 5 4 6" xfId="9777" xr:uid="{9EEA248A-6EBE-447D-B414-2A23E57B2297}"/>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24991" xr:uid="{D0A0ED92-1E98-4CDC-8D95-5087F4AF204B}"/>
    <cellStyle name="Normal 4 2 2 5 5 2 2 3" xfId="33425" xr:uid="{183C3CD1-90BF-4207-84BF-49192A6E6EF3}"/>
    <cellStyle name="Normal 4 2 2 5 5 2 2 4" xfId="16553" xr:uid="{1E690B3E-7657-4F18-99B2-7B11E1648262}"/>
    <cellStyle name="Normal 4 2 2 5 5 2 3" xfId="20773" xr:uid="{6A26E4BC-BF89-41CC-AF0B-197116C56DA4}"/>
    <cellStyle name="Normal 4 2 2 5 5 2 4" xfId="29208" xr:uid="{FB9A0AB6-A0A0-4AAF-9602-1C3AEAE5E69C}"/>
    <cellStyle name="Normal 4 2 2 5 5 2 5" xfId="12335" xr:uid="{634BCE50-C26D-4876-8134-7BB796CE67EB}"/>
    <cellStyle name="Normal 4 2 2 5 5 3" xfId="5969" xr:uid="{00000000-0005-0000-0000-000002130000}"/>
    <cellStyle name="Normal 4 2 2 5 5 3 2" xfId="22846" xr:uid="{392956DC-1E9B-437A-BF40-58C6A2422017}"/>
    <cellStyle name="Normal 4 2 2 5 5 3 3" xfId="31280" xr:uid="{E0DB3F66-31B5-44BD-AE20-16CB084B9BBE}"/>
    <cellStyle name="Normal 4 2 2 5 5 3 4" xfId="14408" xr:uid="{B538BA8E-6032-4BAB-95BA-BA9E73FF54A8}"/>
    <cellStyle name="Normal 4 2 2 5 5 4" xfId="18628" xr:uid="{952B7AC3-BDCC-4992-A29C-56E23836E117}"/>
    <cellStyle name="Normal 4 2 2 5 5 5" xfId="27063" xr:uid="{F00B1F3A-AF01-4D33-A67B-3989D2A0658C}"/>
    <cellStyle name="Normal 4 2 2 5 5 6" xfId="10190" xr:uid="{6E0F6BE7-5FA8-4017-962E-B89381CA230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25404" xr:uid="{7202CA76-26B0-4713-9701-547C089F4A0C}"/>
    <cellStyle name="Normal 4 2 2 5 6 2 2 3" xfId="33838" xr:uid="{F6F35441-B096-4FCE-AB75-B745130A2A6A}"/>
    <cellStyle name="Normal 4 2 2 5 6 2 2 4" xfId="16966" xr:uid="{E9B683A3-0C19-41CF-860E-AC2E37479FA0}"/>
    <cellStyle name="Normal 4 2 2 5 6 2 3" xfId="21186" xr:uid="{B89702A4-914B-41D3-A47B-5F545378864D}"/>
    <cellStyle name="Normal 4 2 2 5 6 2 4" xfId="29621" xr:uid="{3502E291-5C86-4652-95A7-BDCB40978A4C}"/>
    <cellStyle name="Normal 4 2 2 5 6 2 5" xfId="12748" xr:uid="{936BA44D-34CA-490A-AC8C-AFE32DB4BE0A}"/>
    <cellStyle name="Normal 4 2 2 5 6 3" xfId="6382" xr:uid="{00000000-0005-0000-0000-000006130000}"/>
    <cellStyle name="Normal 4 2 2 5 6 3 2" xfId="23259" xr:uid="{5DFAD073-D917-452F-AA23-60DE4F8FFFC9}"/>
    <cellStyle name="Normal 4 2 2 5 6 3 3" xfId="31693" xr:uid="{BF76D7A2-00B0-4627-B6B6-8FFB789C2C16}"/>
    <cellStyle name="Normal 4 2 2 5 6 3 4" xfId="14821" xr:uid="{F0E6E7AA-1F7E-48AF-BE21-BAFE8E71381E}"/>
    <cellStyle name="Normal 4 2 2 5 6 4" xfId="19041" xr:uid="{44307787-3AF5-4D19-B134-839769A03DF9}"/>
    <cellStyle name="Normal 4 2 2 5 6 5" xfId="27476" xr:uid="{8D33CF7E-152B-4918-A195-2F8CE04C4A27}"/>
    <cellStyle name="Normal 4 2 2 5 6 6" xfId="10603" xr:uid="{3250EC90-4DFF-41E6-B52E-0A60E1C379E5}"/>
    <cellStyle name="Normal 4 2 2 5 7" xfId="2511" xr:uid="{00000000-0005-0000-0000-000007130000}"/>
    <cellStyle name="Normal 4 2 2 5 7 2" xfId="6795" xr:uid="{00000000-0005-0000-0000-000008130000}"/>
    <cellStyle name="Normal 4 2 2 5 7 2 2" xfId="23672" xr:uid="{31AD541B-319F-461C-AAA2-E8AA4AA458F1}"/>
    <cellStyle name="Normal 4 2 2 5 7 2 3" xfId="32106" xr:uid="{D44914CB-3D3B-4031-A41E-0D3E2CA77233}"/>
    <cellStyle name="Normal 4 2 2 5 7 2 4" xfId="15234" xr:uid="{267B40F3-7B1C-439E-9930-824BF7F343E2}"/>
    <cellStyle name="Normal 4 2 2 5 7 3" xfId="19454" xr:uid="{5D70CF7F-1318-4042-BC94-42622C717014}"/>
    <cellStyle name="Normal 4 2 2 5 7 4" xfId="27889" xr:uid="{90F97B77-EB9C-4DCD-B436-C5BF929EDE89}"/>
    <cellStyle name="Normal 4 2 2 5 7 5" xfId="11016" xr:uid="{56A5CED0-13C2-4F34-BF79-21D0C3F7E9BF}"/>
    <cellStyle name="Normal 4 2 2 5 8" xfId="4730" xr:uid="{00000000-0005-0000-0000-000009130000}"/>
    <cellStyle name="Normal 4 2 2 5 8 2" xfId="21607" xr:uid="{315BA5D7-D2BA-441D-8882-F33EFF97AD7B}"/>
    <cellStyle name="Normal 4 2 2 5 8 3" xfId="30041" xr:uid="{6D175684-5B42-42A5-BAFD-AE0557DAFF05}"/>
    <cellStyle name="Normal 4 2 2 5 8 4" xfId="13169" xr:uid="{6015386D-26BA-4958-8B14-DD8DDB73EC0C}"/>
    <cellStyle name="Normal 4 2 2 5 9" xfId="17389" xr:uid="{0C5A59C2-6D3C-4039-8B91-3B19F46AA7E0}"/>
    <cellStyle name="Normal 4 2 2 6" xfId="353" xr:uid="{00000000-0005-0000-0000-00000A130000}"/>
    <cellStyle name="Normal 4 2 2 6 10" xfId="8953" xr:uid="{E5B5BEB8-06DE-4E1D-9904-CA2E8274C369}"/>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24167" xr:uid="{35F623D3-040E-4B2E-8622-1D9C3D9198F7}"/>
    <cellStyle name="Normal 4 2 2 6 2 2 2 3" xfId="32601" xr:uid="{52B199A7-1E80-439E-B07D-F7BD1DC6AB16}"/>
    <cellStyle name="Normal 4 2 2 6 2 2 2 4" xfId="15729" xr:uid="{782DE03D-963E-4F02-9800-349628D974EA}"/>
    <cellStyle name="Normal 4 2 2 6 2 2 3" xfId="19949" xr:uid="{AB5DF517-975A-4311-81A8-B393966DF5C8}"/>
    <cellStyle name="Normal 4 2 2 6 2 2 4" xfId="28384" xr:uid="{4E8A7E69-6260-435A-854C-13D6F6F696E9}"/>
    <cellStyle name="Normal 4 2 2 6 2 2 5" xfId="11511" xr:uid="{BF6F8E61-3928-420D-B1BB-1F2145AB6615}"/>
    <cellStyle name="Normal 4 2 2 6 2 3" xfId="5145" xr:uid="{00000000-0005-0000-0000-00000E130000}"/>
    <cellStyle name="Normal 4 2 2 6 2 3 2" xfId="22022" xr:uid="{AC54260A-4571-44E2-95C6-BA74F07ED58A}"/>
    <cellStyle name="Normal 4 2 2 6 2 3 3" xfId="30456" xr:uid="{89418141-A3F1-4519-AC48-382C763DDE65}"/>
    <cellStyle name="Normal 4 2 2 6 2 3 4" xfId="13584" xr:uid="{FB8BB8FA-171F-45E5-93A6-46F9E83088C6}"/>
    <cellStyle name="Normal 4 2 2 6 2 4" xfId="17804" xr:uid="{2C885E9B-5B5C-4A5D-BB92-EBCE9AF8D270}"/>
    <cellStyle name="Normal 4 2 2 6 2 5" xfId="26239" xr:uid="{3FB94B6B-3066-4FE5-BFD9-EDF117AC7F3A}"/>
    <cellStyle name="Normal 4 2 2 6 2 6" xfId="9366" xr:uid="{236B7543-EFF4-4DC5-8935-6A16B948C20C}"/>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24580" xr:uid="{2AA6B277-56DF-46DF-B1EA-EDAD20A04EA5}"/>
    <cellStyle name="Normal 4 2 2 6 3 2 2 3" xfId="33014" xr:uid="{BEAC4181-C044-445A-8911-2034D359308C}"/>
    <cellStyle name="Normal 4 2 2 6 3 2 2 4" xfId="16142" xr:uid="{C7335099-E552-4932-9DF8-70238123A0FC}"/>
    <cellStyle name="Normal 4 2 2 6 3 2 3" xfId="20362" xr:uid="{C86CA4DA-1EC7-4194-8C19-E1C1D8335F29}"/>
    <cellStyle name="Normal 4 2 2 6 3 2 4" xfId="28797" xr:uid="{82C0C184-DA1C-4B08-AB91-547ECEDDCE91}"/>
    <cellStyle name="Normal 4 2 2 6 3 2 5" xfId="11924" xr:uid="{D595A86D-AF76-48A4-8CB5-D9572DF2786A}"/>
    <cellStyle name="Normal 4 2 2 6 3 3" xfId="5558" xr:uid="{00000000-0005-0000-0000-000012130000}"/>
    <cellStyle name="Normal 4 2 2 6 3 3 2" xfId="22435" xr:uid="{E22C7D2E-94A3-4277-A5DE-5DF35E8FD50F}"/>
    <cellStyle name="Normal 4 2 2 6 3 3 3" xfId="30869" xr:uid="{E0CE43B0-C0D1-4857-9AC5-02CD4C7B1A00}"/>
    <cellStyle name="Normal 4 2 2 6 3 3 4" xfId="13997" xr:uid="{E849A9F2-ECBC-445B-9E10-C3F861180119}"/>
    <cellStyle name="Normal 4 2 2 6 3 4" xfId="18217" xr:uid="{8D1A00D3-C680-4CA4-BE5D-91503FDBEEA1}"/>
    <cellStyle name="Normal 4 2 2 6 3 5" xfId="26652" xr:uid="{D0A4C2D6-201E-4A51-967F-67C364855971}"/>
    <cellStyle name="Normal 4 2 2 6 3 6" xfId="9779" xr:uid="{EA4D87CF-C59F-411D-B91E-E163C7121F14}"/>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24993" xr:uid="{1B517437-F39D-4AE3-8E72-F9D416781460}"/>
    <cellStyle name="Normal 4 2 2 6 4 2 2 3" xfId="33427" xr:uid="{CD352FDB-9F98-4428-AF0F-30FCF4DAB293}"/>
    <cellStyle name="Normal 4 2 2 6 4 2 2 4" xfId="16555" xr:uid="{CF12563B-90D1-479E-933A-73C6F112593E}"/>
    <cellStyle name="Normal 4 2 2 6 4 2 3" xfId="20775" xr:uid="{E41536E4-B0D5-495A-A9E4-06A6377B9654}"/>
    <cellStyle name="Normal 4 2 2 6 4 2 4" xfId="29210" xr:uid="{ED5DD6EE-7198-42A0-BB84-E60E3F2641E3}"/>
    <cellStyle name="Normal 4 2 2 6 4 2 5" xfId="12337" xr:uid="{38D4F0B3-2BA1-4DC7-B0DB-79107D24F9AE}"/>
    <cellStyle name="Normal 4 2 2 6 4 3" xfId="5971" xr:uid="{00000000-0005-0000-0000-000016130000}"/>
    <cellStyle name="Normal 4 2 2 6 4 3 2" xfId="22848" xr:uid="{F39218D9-2B0C-4B49-9D2A-F2B993B2902A}"/>
    <cellStyle name="Normal 4 2 2 6 4 3 3" xfId="31282" xr:uid="{8052CD6B-E225-4AE0-BB00-6F7F511BABD8}"/>
    <cellStyle name="Normal 4 2 2 6 4 3 4" xfId="14410" xr:uid="{DFFC5AEF-57C1-4C25-9C02-DF7C524D7091}"/>
    <cellStyle name="Normal 4 2 2 6 4 4" xfId="18630" xr:uid="{11FF2A68-0E45-422C-81F0-060DDC7551F2}"/>
    <cellStyle name="Normal 4 2 2 6 4 5" xfId="27065" xr:uid="{72368D1B-FC84-46BE-A200-AA61C60C4288}"/>
    <cellStyle name="Normal 4 2 2 6 4 6" xfId="10192" xr:uid="{E6D9C64B-B131-467C-8911-CBC332D81F0D}"/>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25406" xr:uid="{8EDCF67A-58CF-4FD6-AF83-CADEAE981FC4}"/>
    <cellStyle name="Normal 4 2 2 6 5 2 2 3" xfId="33840" xr:uid="{ACEB172A-A20E-4298-8149-1EBD9444F9BE}"/>
    <cellStyle name="Normal 4 2 2 6 5 2 2 4" xfId="16968" xr:uid="{C2FB086F-FF99-4879-938F-82FC1556474A}"/>
    <cellStyle name="Normal 4 2 2 6 5 2 3" xfId="21188" xr:uid="{2E63A657-612D-4910-AB0A-6097DE067B0D}"/>
    <cellStyle name="Normal 4 2 2 6 5 2 4" xfId="29623" xr:uid="{4E79B53F-F516-4908-BE1E-1C2E5124AEC7}"/>
    <cellStyle name="Normal 4 2 2 6 5 2 5" xfId="12750" xr:uid="{0CF11B45-453C-4185-A5AC-B9BF1AFB9891}"/>
    <cellStyle name="Normal 4 2 2 6 5 3" xfId="6384" xr:uid="{00000000-0005-0000-0000-00001A130000}"/>
    <cellStyle name="Normal 4 2 2 6 5 3 2" xfId="23261" xr:uid="{20629691-707A-4CBC-B948-9E42F022C25A}"/>
    <cellStyle name="Normal 4 2 2 6 5 3 3" xfId="31695" xr:uid="{131DB957-E24D-49EA-8ED0-446982D5A906}"/>
    <cellStyle name="Normal 4 2 2 6 5 3 4" xfId="14823" xr:uid="{5BC7D4EF-4213-43EC-BE52-0325E87BA69B}"/>
    <cellStyle name="Normal 4 2 2 6 5 4" xfId="19043" xr:uid="{1DCF50DE-A3C3-442E-8CB4-4A4EBFF43450}"/>
    <cellStyle name="Normal 4 2 2 6 5 5" xfId="27478" xr:uid="{8D51C9A5-1EE8-4AC5-970B-89BC8FDDB8E9}"/>
    <cellStyle name="Normal 4 2 2 6 5 6" xfId="10605" xr:uid="{F8E7C11B-1BBF-4D71-93F9-84025DA4CDBD}"/>
    <cellStyle name="Normal 4 2 2 6 6" xfId="2513" xr:uid="{00000000-0005-0000-0000-00001B130000}"/>
    <cellStyle name="Normal 4 2 2 6 6 2" xfId="6797" xr:uid="{00000000-0005-0000-0000-00001C130000}"/>
    <cellStyle name="Normal 4 2 2 6 6 2 2" xfId="23674" xr:uid="{7AA41160-8FA3-4EF3-AF1B-30C127E87B86}"/>
    <cellStyle name="Normal 4 2 2 6 6 2 3" xfId="32108" xr:uid="{39697F78-0FDA-4C39-9B09-CE167BBEDAB4}"/>
    <cellStyle name="Normal 4 2 2 6 6 2 4" xfId="15236" xr:uid="{26965693-74BC-4180-A2A0-AE992E8B361D}"/>
    <cellStyle name="Normal 4 2 2 6 6 3" xfId="19456" xr:uid="{8BA54D30-1C51-4E23-B7C2-5E7B4BA15EE8}"/>
    <cellStyle name="Normal 4 2 2 6 6 4" xfId="27891" xr:uid="{80008DD6-8BDB-4FCD-816E-EC46892DE85B}"/>
    <cellStyle name="Normal 4 2 2 6 6 5" xfId="11018" xr:uid="{50F54CB3-3F05-4512-BE41-12BC636D5CD0}"/>
    <cellStyle name="Normal 4 2 2 6 7" xfId="4732" xr:uid="{00000000-0005-0000-0000-00001D130000}"/>
    <cellStyle name="Normal 4 2 2 6 7 2" xfId="21609" xr:uid="{D3A13836-D691-421D-8863-B7BC550E7E0E}"/>
    <cellStyle name="Normal 4 2 2 6 7 3" xfId="30043" xr:uid="{C4914348-7A68-4ABD-9CCF-D21A63071E50}"/>
    <cellStyle name="Normal 4 2 2 6 7 4" xfId="13171" xr:uid="{81FA8C1E-9F25-4D62-889E-5CD889DF7D45}"/>
    <cellStyle name="Normal 4 2 2 6 8" xfId="17391" xr:uid="{4DCA7438-25DD-4427-80F0-94419A5DBC18}"/>
    <cellStyle name="Normal 4 2 2 6 9" xfId="25826" xr:uid="{656D3F7A-C2FB-4563-8A7B-EE324A11A2CC}"/>
    <cellStyle name="Normal 4 2 2 7" xfId="815" xr:uid="{00000000-0005-0000-0000-00001E130000}"/>
    <cellStyle name="Normal 4 2 2 7 2" xfId="3052" xr:uid="{00000000-0005-0000-0000-00001F130000}"/>
    <cellStyle name="Normal 4 2 2 7 2 2" xfId="7275" xr:uid="{00000000-0005-0000-0000-000020130000}"/>
    <cellStyle name="Normal 4 2 2 7 2 2 2" xfId="24152" xr:uid="{A232E96B-3296-439C-86FE-8B9397A9EE79}"/>
    <cellStyle name="Normal 4 2 2 7 2 2 3" xfId="32586" xr:uid="{70AA031B-A1CF-4B95-9DE5-4874FF556470}"/>
    <cellStyle name="Normal 4 2 2 7 2 2 4" xfId="15714" xr:uid="{DEAA7487-2359-49CE-A0AA-D1C2FF7EA1CE}"/>
    <cellStyle name="Normal 4 2 2 7 2 3" xfId="19934" xr:uid="{43FC72D0-17B9-4AC8-8774-4E3503B75C86}"/>
    <cellStyle name="Normal 4 2 2 7 2 4" xfId="28369" xr:uid="{12F34F42-5BF4-44A0-BF80-F6561DD6A58C}"/>
    <cellStyle name="Normal 4 2 2 7 2 5" xfId="11496" xr:uid="{C8FBD2F2-EF72-47F0-82C1-395F71B34E47}"/>
    <cellStyle name="Normal 4 2 2 7 3" xfId="5130" xr:uid="{00000000-0005-0000-0000-000021130000}"/>
    <cellStyle name="Normal 4 2 2 7 3 2" xfId="22007" xr:uid="{4257CCC6-6FAB-48B0-B2BA-DD6629F20B2A}"/>
    <cellStyle name="Normal 4 2 2 7 3 3" xfId="30441" xr:uid="{67297C1C-40FA-4F8F-88AC-0D9FFB18E836}"/>
    <cellStyle name="Normal 4 2 2 7 3 4" xfId="13569" xr:uid="{47A2184E-5BA1-493F-8E49-74B565C26990}"/>
    <cellStyle name="Normal 4 2 2 7 4" xfId="17789" xr:uid="{8DED46CB-27AA-4662-80D1-5C860D6966A4}"/>
    <cellStyle name="Normal 4 2 2 7 5" xfId="26224" xr:uid="{1A8685D9-CD0D-4E1E-8820-7116E9CE68A9}"/>
    <cellStyle name="Normal 4 2 2 7 6" xfId="9351" xr:uid="{C7088104-8A00-4222-B3A4-D5BFBD7DFFCA}"/>
    <cellStyle name="Normal 4 2 2 8" xfId="1235" xr:uid="{00000000-0005-0000-0000-000022130000}"/>
    <cellStyle name="Normal 4 2 2 8 2" xfId="3465" xr:uid="{00000000-0005-0000-0000-000023130000}"/>
    <cellStyle name="Normal 4 2 2 8 2 2" xfId="7688" xr:uid="{00000000-0005-0000-0000-000024130000}"/>
    <cellStyle name="Normal 4 2 2 8 2 2 2" xfId="24565" xr:uid="{46F9F2CE-20F7-4D5A-8402-FFC87C89BA63}"/>
    <cellStyle name="Normal 4 2 2 8 2 2 3" xfId="32999" xr:uid="{9B5AB93E-A526-4005-A3C1-A3540DB64842}"/>
    <cellStyle name="Normal 4 2 2 8 2 2 4" xfId="16127" xr:uid="{109A164E-E8B0-4E00-8452-06A48A22086E}"/>
    <cellStyle name="Normal 4 2 2 8 2 3" xfId="20347" xr:uid="{EA48F489-6A5D-40B3-8A68-640A71DA25A2}"/>
    <cellStyle name="Normal 4 2 2 8 2 4" xfId="28782" xr:uid="{53B716AE-A717-436F-9221-A027FAA2A808}"/>
    <cellStyle name="Normal 4 2 2 8 2 5" xfId="11909" xr:uid="{D4D9F207-BC5A-41AA-AEAF-B6616304F692}"/>
    <cellStyle name="Normal 4 2 2 8 3" xfId="5543" xr:uid="{00000000-0005-0000-0000-000025130000}"/>
    <cellStyle name="Normal 4 2 2 8 3 2" xfId="22420" xr:uid="{7199E73B-A01F-499E-A7F5-463E5B5D3E23}"/>
    <cellStyle name="Normal 4 2 2 8 3 3" xfId="30854" xr:uid="{608CDCE1-8C9D-409F-A426-2FFAACE70B18}"/>
    <cellStyle name="Normal 4 2 2 8 3 4" xfId="13982" xr:uid="{7034179E-B67E-4E07-B507-A659FE3C9ADE}"/>
    <cellStyle name="Normal 4 2 2 8 4" xfId="18202" xr:uid="{75FFDDE1-2884-4799-A5D7-AA3AC2F229D6}"/>
    <cellStyle name="Normal 4 2 2 8 5" xfId="26637" xr:uid="{24F0E980-B13F-4EC4-87E8-9059584F2824}"/>
    <cellStyle name="Normal 4 2 2 8 6" xfId="9764" xr:uid="{D6C70614-CA1D-41C5-8CB6-8E46CF50C830}"/>
    <cellStyle name="Normal 4 2 2 9" xfId="1648" xr:uid="{00000000-0005-0000-0000-000026130000}"/>
    <cellStyle name="Normal 4 2 2 9 2" xfId="3878" xr:uid="{00000000-0005-0000-0000-000027130000}"/>
    <cellStyle name="Normal 4 2 2 9 2 2" xfId="8101" xr:uid="{00000000-0005-0000-0000-000028130000}"/>
    <cellStyle name="Normal 4 2 2 9 2 2 2" xfId="24978" xr:uid="{A4A3A12D-BB3A-444E-B8CD-5F95AE377915}"/>
    <cellStyle name="Normal 4 2 2 9 2 2 3" xfId="33412" xr:uid="{8F5CEE6C-5B4A-44E3-9F52-D36664DFFB19}"/>
    <cellStyle name="Normal 4 2 2 9 2 2 4" xfId="16540" xr:uid="{6A4E7B08-4F6C-47FD-A983-7B46AC7555F5}"/>
    <cellStyle name="Normal 4 2 2 9 2 3" xfId="20760" xr:uid="{97BF265A-40E6-47BB-8417-8B6878E7B52D}"/>
    <cellStyle name="Normal 4 2 2 9 2 4" xfId="29195" xr:uid="{4A1C6D70-00F7-4009-86DD-5BA85BAE9DF3}"/>
    <cellStyle name="Normal 4 2 2 9 2 5" xfId="12322" xr:uid="{0614B148-928F-408A-98AB-114701850EF2}"/>
    <cellStyle name="Normal 4 2 2 9 3" xfId="5956" xr:uid="{00000000-0005-0000-0000-000029130000}"/>
    <cellStyle name="Normal 4 2 2 9 3 2" xfId="22833" xr:uid="{06ED2DE9-2DD7-4F0F-811B-C68B06F8849D}"/>
    <cellStyle name="Normal 4 2 2 9 3 3" xfId="31267" xr:uid="{49A5EC7D-8E6C-4026-A5E1-E131AAF6DC0A}"/>
    <cellStyle name="Normal 4 2 2 9 3 4" xfId="14395" xr:uid="{25C09756-B894-4DC6-A9A4-8BC5DA7812CA}"/>
    <cellStyle name="Normal 4 2 2 9 4" xfId="18615" xr:uid="{79907B4F-B16F-4C21-940B-85738DB97D9E}"/>
    <cellStyle name="Normal 4 2 2 9 5" xfId="27050" xr:uid="{7E5482F1-5A1B-41E1-B45A-FCD045449AB6}"/>
    <cellStyle name="Normal 4 2 2 9 6" xfId="10177" xr:uid="{E7264CC0-5E1F-4885-A1CF-27EFBFD740AE}"/>
    <cellStyle name="Normal 4 2 3" xfId="354" xr:uid="{00000000-0005-0000-0000-00002A130000}"/>
    <cellStyle name="Normal 4 2 4" xfId="355" xr:uid="{00000000-0005-0000-0000-00002B130000}"/>
    <cellStyle name="Normal 4 2 4 10" xfId="4733" xr:uid="{00000000-0005-0000-0000-00002C130000}"/>
    <cellStyle name="Normal 4 2 4 10 2" xfId="21610" xr:uid="{72A3E208-94CA-4E36-BB0D-A5F223C4114F}"/>
    <cellStyle name="Normal 4 2 4 10 3" xfId="30044" xr:uid="{864A4A6C-B7E9-49E2-836D-58B21E429833}"/>
    <cellStyle name="Normal 4 2 4 10 4" xfId="13172" xr:uid="{026D64B2-E0A8-43C5-AFED-B683C18B187B}"/>
    <cellStyle name="Normal 4 2 4 11" xfId="17392" xr:uid="{A88A2366-F5AD-4BD7-8257-B75532FF3775}"/>
    <cellStyle name="Normal 4 2 4 12" xfId="25827" xr:uid="{82E34476-44E1-4806-B6F2-F7115144014D}"/>
    <cellStyle name="Normal 4 2 4 13" xfId="8954" xr:uid="{2734095B-4876-47E8-A192-5AEE367F5BDC}"/>
    <cellStyle name="Normal 4 2 4 2" xfId="356" xr:uid="{00000000-0005-0000-0000-00002D130000}"/>
    <cellStyle name="Normal 4 2 4 2 10" xfId="17393" xr:uid="{BCCC81D4-1B71-408C-B427-5F9DB2FF0446}"/>
    <cellStyle name="Normal 4 2 4 2 11" xfId="25828" xr:uid="{006DE0E3-81CD-45AF-987F-BBA0DCF210E8}"/>
    <cellStyle name="Normal 4 2 4 2 12" xfId="8955" xr:uid="{028588B5-680F-4FE2-B552-E87A1EF15529}"/>
    <cellStyle name="Normal 4 2 4 2 2" xfId="357" xr:uid="{00000000-0005-0000-0000-00002E130000}"/>
    <cellStyle name="Normal 4 2 4 2 2 10" xfId="25829" xr:uid="{4E4B061E-1E17-4142-BC35-F793DB919E7E}"/>
    <cellStyle name="Normal 4 2 4 2 2 11" xfId="8956" xr:uid="{A3C7C004-F82C-4CD4-AA7D-A50E00B7C63E}"/>
    <cellStyle name="Normal 4 2 4 2 2 2" xfId="358" xr:uid="{00000000-0005-0000-0000-00002F130000}"/>
    <cellStyle name="Normal 4 2 4 2 2 2 10" xfId="8957" xr:uid="{177683BD-FFBC-4A1A-A623-7E4F09C5666C}"/>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24171" xr:uid="{5085AC2D-8FCB-45B6-8AFB-BCA049F4F66C}"/>
    <cellStyle name="Normal 4 2 4 2 2 2 2 2 2 3" xfId="32605" xr:uid="{ADA6132C-071A-4A81-99A0-884B52FE3399}"/>
    <cellStyle name="Normal 4 2 4 2 2 2 2 2 2 4" xfId="15733" xr:uid="{AD7E79E8-9F83-4598-A42B-7FB3AA84002B}"/>
    <cellStyle name="Normal 4 2 4 2 2 2 2 2 3" xfId="19953" xr:uid="{753996F5-9849-4C39-9D7C-C93F59811BF6}"/>
    <cellStyle name="Normal 4 2 4 2 2 2 2 2 4" xfId="28388" xr:uid="{E0A9A0E8-243A-494E-A608-B9ED4CCB773B}"/>
    <cellStyle name="Normal 4 2 4 2 2 2 2 2 5" xfId="11515" xr:uid="{04915F03-52C1-49CA-A161-B574FFC0D110}"/>
    <cellStyle name="Normal 4 2 4 2 2 2 2 3" xfId="5149" xr:uid="{00000000-0005-0000-0000-000033130000}"/>
    <cellStyle name="Normal 4 2 4 2 2 2 2 3 2" xfId="22026" xr:uid="{5E422EE0-32F5-4D46-B84A-B56F835A0D08}"/>
    <cellStyle name="Normal 4 2 4 2 2 2 2 3 3" xfId="30460" xr:uid="{50D5CB3E-C6A3-438F-B603-7A3D5C2DCBDA}"/>
    <cellStyle name="Normal 4 2 4 2 2 2 2 3 4" xfId="13588" xr:uid="{1EECBC93-F6C1-4CE9-91DF-B0F2C6A5B112}"/>
    <cellStyle name="Normal 4 2 4 2 2 2 2 4" xfId="17808" xr:uid="{ED3CC56A-6842-4D20-89D3-D794D1904D17}"/>
    <cellStyle name="Normal 4 2 4 2 2 2 2 5" xfId="26243" xr:uid="{C2493142-F48F-4932-8408-A950D91BBFED}"/>
    <cellStyle name="Normal 4 2 4 2 2 2 2 6" xfId="9370" xr:uid="{BAD1035A-C2E2-42B3-8109-CC21C518AD8E}"/>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24584" xr:uid="{8ED4C64E-15E7-4730-A0BA-3F8A6464EAAA}"/>
    <cellStyle name="Normal 4 2 4 2 2 2 3 2 2 3" xfId="33018" xr:uid="{62D02FFC-AF52-40F8-86EE-4D885154BF03}"/>
    <cellStyle name="Normal 4 2 4 2 2 2 3 2 2 4" xfId="16146" xr:uid="{CCDA2CAC-D60A-4439-B021-8FA2CF45D55E}"/>
    <cellStyle name="Normal 4 2 4 2 2 2 3 2 3" xfId="20366" xr:uid="{4C8F3EF0-3AC5-4A67-AD65-233B598A432D}"/>
    <cellStyle name="Normal 4 2 4 2 2 2 3 2 4" xfId="28801" xr:uid="{A46F9FC9-78A1-4B62-BB17-B828BB9E029D}"/>
    <cellStyle name="Normal 4 2 4 2 2 2 3 2 5" xfId="11928" xr:uid="{C93016C9-C743-4C8F-A9AD-A3175BF87116}"/>
    <cellStyle name="Normal 4 2 4 2 2 2 3 3" xfId="5562" xr:uid="{00000000-0005-0000-0000-000037130000}"/>
    <cellStyle name="Normal 4 2 4 2 2 2 3 3 2" xfId="22439" xr:uid="{2E5F0049-A659-4085-9746-60B8250C5236}"/>
    <cellStyle name="Normal 4 2 4 2 2 2 3 3 3" xfId="30873" xr:uid="{AF79F46C-D7FB-4211-9B62-09A9672BB5D6}"/>
    <cellStyle name="Normal 4 2 4 2 2 2 3 3 4" xfId="14001" xr:uid="{A1FB9D6E-7F98-4185-B9CB-473E3B8C3871}"/>
    <cellStyle name="Normal 4 2 4 2 2 2 3 4" xfId="18221" xr:uid="{C82AA38E-50EB-4D80-8A25-A1A2E4E16A63}"/>
    <cellStyle name="Normal 4 2 4 2 2 2 3 5" xfId="26656" xr:uid="{D63DD6C7-A9B2-433C-946D-193AF2F2719B}"/>
    <cellStyle name="Normal 4 2 4 2 2 2 3 6" xfId="9783" xr:uid="{A48290FC-CB27-48E1-9B57-2D0DA0022742}"/>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24997" xr:uid="{78ABED4A-1F7E-4CC3-831D-9CECDC6B52FA}"/>
    <cellStyle name="Normal 4 2 4 2 2 2 4 2 2 3" xfId="33431" xr:uid="{D4751E32-EC76-4F9B-B19D-B33C59225AD4}"/>
    <cellStyle name="Normal 4 2 4 2 2 2 4 2 2 4" xfId="16559" xr:uid="{F6F2F4BF-24E6-4D54-8346-5961B417F73A}"/>
    <cellStyle name="Normal 4 2 4 2 2 2 4 2 3" xfId="20779" xr:uid="{277D2B0D-6562-44A8-A1F7-F894119AF57E}"/>
    <cellStyle name="Normal 4 2 4 2 2 2 4 2 4" xfId="29214" xr:uid="{B6D6C5CF-F03E-4E2E-8D84-B65C757A4C69}"/>
    <cellStyle name="Normal 4 2 4 2 2 2 4 2 5" xfId="12341" xr:uid="{A8F391B5-FAD0-4173-9E14-F8DF32BC6E4C}"/>
    <cellStyle name="Normal 4 2 4 2 2 2 4 3" xfId="5975" xr:uid="{00000000-0005-0000-0000-00003B130000}"/>
    <cellStyle name="Normal 4 2 4 2 2 2 4 3 2" xfId="22852" xr:uid="{E3E6D976-A3FF-47CC-9794-1700DC1AF235}"/>
    <cellStyle name="Normal 4 2 4 2 2 2 4 3 3" xfId="31286" xr:uid="{110490A7-626E-4174-91E4-029F32205805}"/>
    <cellStyle name="Normal 4 2 4 2 2 2 4 3 4" xfId="14414" xr:uid="{4340EE23-72A0-4991-8B66-43A679E6E510}"/>
    <cellStyle name="Normal 4 2 4 2 2 2 4 4" xfId="18634" xr:uid="{EE1427F8-57CA-4AA1-A68C-414825A00221}"/>
    <cellStyle name="Normal 4 2 4 2 2 2 4 5" xfId="27069" xr:uid="{A4C44FE9-565D-468C-A8A2-5D7495F0248C}"/>
    <cellStyle name="Normal 4 2 4 2 2 2 4 6" xfId="10196" xr:uid="{7B4C641F-2763-42A7-8A8B-1A1FDA2E09A4}"/>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25410" xr:uid="{18E79CA8-F47F-47C9-9B69-04AB1989FDF5}"/>
    <cellStyle name="Normal 4 2 4 2 2 2 5 2 2 3" xfId="33844" xr:uid="{60D07DC8-804E-4D23-98C7-BBB4C3D14AC1}"/>
    <cellStyle name="Normal 4 2 4 2 2 2 5 2 2 4" xfId="16972" xr:uid="{D41629E9-88E4-49FF-AD77-3CAD99403455}"/>
    <cellStyle name="Normal 4 2 4 2 2 2 5 2 3" xfId="21192" xr:uid="{CB53C45E-F9A2-409C-AAEA-13616EFE6C26}"/>
    <cellStyle name="Normal 4 2 4 2 2 2 5 2 4" xfId="29627" xr:uid="{A8C109E9-2BD0-4D38-936F-DA11E62BAA42}"/>
    <cellStyle name="Normal 4 2 4 2 2 2 5 2 5" xfId="12754" xr:uid="{53B33785-21DE-4F47-A64E-C1E45A4246D0}"/>
    <cellStyle name="Normal 4 2 4 2 2 2 5 3" xfId="6388" xr:uid="{00000000-0005-0000-0000-00003F130000}"/>
    <cellStyle name="Normal 4 2 4 2 2 2 5 3 2" xfId="23265" xr:uid="{71D9DC6A-1466-4372-B2F1-ECF4AD9DBAF3}"/>
    <cellStyle name="Normal 4 2 4 2 2 2 5 3 3" xfId="31699" xr:uid="{A1668889-F13C-4B67-AD57-74D40FEF0718}"/>
    <cellStyle name="Normal 4 2 4 2 2 2 5 3 4" xfId="14827" xr:uid="{3A04C94C-CD90-4DE8-A2C3-1EFFDBEA8508}"/>
    <cellStyle name="Normal 4 2 4 2 2 2 5 4" xfId="19047" xr:uid="{212E9D9C-9BEB-4F56-8F18-21B5789DBA0E}"/>
    <cellStyle name="Normal 4 2 4 2 2 2 5 5" xfId="27482" xr:uid="{91213AE3-C0A3-4EB8-BB3C-EA4F145D45F9}"/>
    <cellStyle name="Normal 4 2 4 2 2 2 5 6" xfId="10609" xr:uid="{25D15D15-B420-41F6-ACF7-53E68FA2CA48}"/>
    <cellStyle name="Normal 4 2 4 2 2 2 6" xfId="2517" xr:uid="{00000000-0005-0000-0000-000040130000}"/>
    <cellStyle name="Normal 4 2 4 2 2 2 6 2" xfId="6801" xr:uid="{00000000-0005-0000-0000-000041130000}"/>
    <cellStyle name="Normal 4 2 4 2 2 2 6 2 2" xfId="23678" xr:uid="{CEF61B37-CDFB-46BA-97BC-DD07850420E4}"/>
    <cellStyle name="Normal 4 2 4 2 2 2 6 2 3" xfId="32112" xr:uid="{16993F82-D8CA-49C6-9B5F-0EDA4A6A3047}"/>
    <cellStyle name="Normal 4 2 4 2 2 2 6 2 4" xfId="15240" xr:uid="{42C14F12-ABD6-4690-878C-EBFD19E81DC9}"/>
    <cellStyle name="Normal 4 2 4 2 2 2 6 3" xfId="19460" xr:uid="{2E2BEFD0-5C43-4F5D-81BE-7823DE865D33}"/>
    <cellStyle name="Normal 4 2 4 2 2 2 6 4" xfId="27895" xr:uid="{F82DA2DD-6BCD-4CBE-BD8F-D4041115F5CF}"/>
    <cellStyle name="Normal 4 2 4 2 2 2 6 5" xfId="11022" xr:uid="{E6285E66-96FC-41B6-A897-910BF7F73CCC}"/>
    <cellStyle name="Normal 4 2 4 2 2 2 7" xfId="4736" xr:uid="{00000000-0005-0000-0000-000042130000}"/>
    <cellStyle name="Normal 4 2 4 2 2 2 7 2" xfId="21613" xr:uid="{7311B655-E6D0-4E6D-85F0-A5532359445B}"/>
    <cellStyle name="Normal 4 2 4 2 2 2 7 3" xfId="30047" xr:uid="{B263F50E-1988-4DFA-8483-A121F0F257AC}"/>
    <cellStyle name="Normal 4 2 4 2 2 2 7 4" xfId="13175" xr:uid="{17B2A6B0-9622-4000-8E54-37D3E1496CCB}"/>
    <cellStyle name="Normal 4 2 4 2 2 2 8" xfId="17395" xr:uid="{EC6171CF-F812-4467-B19A-EB2DDD21DBE5}"/>
    <cellStyle name="Normal 4 2 4 2 2 2 9" xfId="25830" xr:uid="{8FED065A-BD03-4004-A1A0-5E9F5A16E44D}"/>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24170" xr:uid="{3DEAE0EC-8A29-4425-B1AC-D2709FBF7522}"/>
    <cellStyle name="Normal 4 2 4 2 2 3 2 2 3" xfId="32604" xr:uid="{815D491F-F809-40EB-9B5D-338BD0BF06DB}"/>
    <cellStyle name="Normal 4 2 4 2 2 3 2 2 4" xfId="15732" xr:uid="{82900A51-93B0-48D8-A82C-73EBE6212E6C}"/>
    <cellStyle name="Normal 4 2 4 2 2 3 2 3" xfId="19952" xr:uid="{B523BE78-E565-4980-A200-5132E6A3467D}"/>
    <cellStyle name="Normal 4 2 4 2 2 3 2 4" xfId="28387" xr:uid="{FE9E9509-6984-46DD-ACBB-1B539FB17F6F}"/>
    <cellStyle name="Normal 4 2 4 2 2 3 2 5" xfId="11514" xr:uid="{AF2E2940-FB15-41B2-8629-1EC1164BD35C}"/>
    <cellStyle name="Normal 4 2 4 2 2 3 3" xfId="5148" xr:uid="{00000000-0005-0000-0000-000046130000}"/>
    <cellStyle name="Normal 4 2 4 2 2 3 3 2" xfId="22025" xr:uid="{AF47611D-165E-42EB-A450-13555262BEDD}"/>
    <cellStyle name="Normal 4 2 4 2 2 3 3 3" xfId="30459" xr:uid="{D779E8FF-665D-4A00-B5DD-5FBF458E4A2C}"/>
    <cellStyle name="Normal 4 2 4 2 2 3 3 4" xfId="13587" xr:uid="{9AFFC0C9-3D4C-42D9-8FB6-BB7C0AE293EE}"/>
    <cellStyle name="Normal 4 2 4 2 2 3 4" xfId="17807" xr:uid="{A112938B-E3A9-4D5D-B25F-9BD55924086F}"/>
    <cellStyle name="Normal 4 2 4 2 2 3 5" xfId="26242" xr:uid="{FC745C8E-0021-44DE-882A-27305E609439}"/>
    <cellStyle name="Normal 4 2 4 2 2 3 6" xfId="9369" xr:uid="{E68B4579-320B-4CA0-A1E2-01D1056B2CF7}"/>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24583" xr:uid="{1957231A-3E7A-4905-9906-8AFCE47A4BD2}"/>
    <cellStyle name="Normal 4 2 4 2 2 4 2 2 3" xfId="33017" xr:uid="{637D9D52-E0D2-4AA8-B669-5F73FFD15C90}"/>
    <cellStyle name="Normal 4 2 4 2 2 4 2 2 4" xfId="16145" xr:uid="{87BEDEDE-B008-485D-9C29-335DD0AA15A6}"/>
    <cellStyle name="Normal 4 2 4 2 2 4 2 3" xfId="20365" xr:uid="{FD6A5944-C0D5-4B86-8831-4BC8A2608E87}"/>
    <cellStyle name="Normal 4 2 4 2 2 4 2 4" xfId="28800" xr:uid="{6C5D31ED-99F8-4B13-85D3-6B6C7DF3A7E5}"/>
    <cellStyle name="Normal 4 2 4 2 2 4 2 5" xfId="11927" xr:uid="{1893D52F-99A5-4366-BEB8-466BA1F1829D}"/>
    <cellStyle name="Normal 4 2 4 2 2 4 3" xfId="5561" xr:uid="{00000000-0005-0000-0000-00004A130000}"/>
    <cellStyle name="Normal 4 2 4 2 2 4 3 2" xfId="22438" xr:uid="{F802D3A1-03DF-4F49-98AE-C2EB34B1DBFA}"/>
    <cellStyle name="Normal 4 2 4 2 2 4 3 3" xfId="30872" xr:uid="{BA197A74-9766-4ED6-AC20-3F4B6D2C2A93}"/>
    <cellStyle name="Normal 4 2 4 2 2 4 3 4" xfId="14000" xr:uid="{A09F541B-8DF4-4415-9D0B-17B7F96D76B7}"/>
    <cellStyle name="Normal 4 2 4 2 2 4 4" xfId="18220" xr:uid="{35953208-811C-4296-B344-8A3BDA5F2664}"/>
    <cellStyle name="Normal 4 2 4 2 2 4 5" xfId="26655" xr:uid="{4EF4EB6F-0515-44B7-8F0E-A9C4A8677BA0}"/>
    <cellStyle name="Normal 4 2 4 2 2 4 6" xfId="9782" xr:uid="{467ABCDA-06C3-494E-A95F-F9B9BDCD6B22}"/>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24996" xr:uid="{2DA99517-3271-4773-A75D-C05C7837014B}"/>
    <cellStyle name="Normal 4 2 4 2 2 5 2 2 3" xfId="33430" xr:uid="{F224366F-27CE-4137-90B3-DECE4594688F}"/>
    <cellStyle name="Normal 4 2 4 2 2 5 2 2 4" xfId="16558" xr:uid="{80DEE735-4CA9-466D-94E5-3EEBCA4E9848}"/>
    <cellStyle name="Normal 4 2 4 2 2 5 2 3" xfId="20778" xr:uid="{91D9240C-3C09-42C2-BD0D-674C6CA051A0}"/>
    <cellStyle name="Normal 4 2 4 2 2 5 2 4" xfId="29213" xr:uid="{EDF6BCA6-AF99-43CF-91C5-01DDD101FD4F}"/>
    <cellStyle name="Normal 4 2 4 2 2 5 2 5" xfId="12340" xr:uid="{937F56DD-CD27-4464-A3B5-04982948C355}"/>
    <cellStyle name="Normal 4 2 4 2 2 5 3" xfId="5974" xr:uid="{00000000-0005-0000-0000-00004E130000}"/>
    <cellStyle name="Normal 4 2 4 2 2 5 3 2" xfId="22851" xr:uid="{F6C5EACB-B4CE-4E7A-B897-FF8013DD1F46}"/>
    <cellStyle name="Normal 4 2 4 2 2 5 3 3" xfId="31285" xr:uid="{1270FB29-4DB0-47C2-A393-90CCE5DF99A7}"/>
    <cellStyle name="Normal 4 2 4 2 2 5 3 4" xfId="14413" xr:uid="{49CF5396-A5C7-4CBD-91A7-ECC74234AA9F}"/>
    <cellStyle name="Normal 4 2 4 2 2 5 4" xfId="18633" xr:uid="{4098B377-5103-47BD-B6B5-C2BAF0E37EC5}"/>
    <cellStyle name="Normal 4 2 4 2 2 5 5" xfId="27068" xr:uid="{168A39CF-E5E3-4AD8-A80F-2C5C54290E37}"/>
    <cellStyle name="Normal 4 2 4 2 2 5 6" xfId="10195" xr:uid="{85AB3B04-6EF1-4499-AF28-7B081A8DC78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25409" xr:uid="{C3F4CC13-5544-470C-8263-E9CD970D254A}"/>
    <cellStyle name="Normal 4 2 4 2 2 6 2 2 3" xfId="33843" xr:uid="{F7A2DA73-040B-49C3-8121-59C8F9D0880D}"/>
    <cellStyle name="Normal 4 2 4 2 2 6 2 2 4" xfId="16971" xr:uid="{1A3BA004-114F-46A0-9143-46FFCB16BECE}"/>
    <cellStyle name="Normal 4 2 4 2 2 6 2 3" xfId="21191" xr:uid="{B9D47104-C533-4BD5-9A25-9323794C6204}"/>
    <cellStyle name="Normal 4 2 4 2 2 6 2 4" xfId="29626" xr:uid="{8FE15225-D9B9-48F9-ACBC-8C0CC6DC4F92}"/>
    <cellStyle name="Normal 4 2 4 2 2 6 2 5" xfId="12753" xr:uid="{9FA1F58A-200A-4273-8C09-26FC0D064440}"/>
    <cellStyle name="Normal 4 2 4 2 2 6 3" xfId="6387" xr:uid="{00000000-0005-0000-0000-000052130000}"/>
    <cellStyle name="Normal 4 2 4 2 2 6 3 2" xfId="23264" xr:uid="{25FB8143-5428-44E5-9290-56FFD63CFC54}"/>
    <cellStyle name="Normal 4 2 4 2 2 6 3 3" xfId="31698" xr:uid="{461CDD68-5A5C-418F-AE60-F33D4301E701}"/>
    <cellStyle name="Normal 4 2 4 2 2 6 3 4" xfId="14826" xr:uid="{328FF296-C6EC-4FBB-A6B0-8F6468CD5C3D}"/>
    <cellStyle name="Normal 4 2 4 2 2 6 4" xfId="19046" xr:uid="{89770A20-D5AB-4E6C-9836-F54EFEF04FEF}"/>
    <cellStyle name="Normal 4 2 4 2 2 6 5" xfId="27481" xr:uid="{A8A4273C-16AB-4270-85EF-C989AFD33C90}"/>
    <cellStyle name="Normal 4 2 4 2 2 6 6" xfId="10608" xr:uid="{91FCA8D7-5CDB-4A65-B833-70ABDF5B134C}"/>
    <cellStyle name="Normal 4 2 4 2 2 7" xfId="2516" xr:uid="{00000000-0005-0000-0000-000053130000}"/>
    <cellStyle name="Normal 4 2 4 2 2 7 2" xfId="6800" xr:uid="{00000000-0005-0000-0000-000054130000}"/>
    <cellStyle name="Normal 4 2 4 2 2 7 2 2" xfId="23677" xr:uid="{8AA6F44E-2639-4223-8B7D-737FC48AE183}"/>
    <cellStyle name="Normal 4 2 4 2 2 7 2 3" xfId="32111" xr:uid="{9965E4A0-A6D9-4D26-9B43-437E927C2990}"/>
    <cellStyle name="Normal 4 2 4 2 2 7 2 4" xfId="15239" xr:uid="{5A934103-7CA3-4F2F-ADE2-3428B6B54306}"/>
    <cellStyle name="Normal 4 2 4 2 2 7 3" xfId="19459" xr:uid="{083B309A-966B-4F02-8744-6688541BA34E}"/>
    <cellStyle name="Normal 4 2 4 2 2 7 4" xfId="27894" xr:uid="{5BF75AE0-6F08-4266-B20F-60C689CD00B2}"/>
    <cellStyle name="Normal 4 2 4 2 2 7 5" xfId="11021" xr:uid="{AAA62E59-30CE-47B6-BC36-3C24590798F9}"/>
    <cellStyle name="Normal 4 2 4 2 2 8" xfId="4735" xr:uid="{00000000-0005-0000-0000-000055130000}"/>
    <cellStyle name="Normal 4 2 4 2 2 8 2" xfId="21612" xr:uid="{3DC5050B-0BB7-49C0-BC04-CB371B72BA8C}"/>
    <cellStyle name="Normal 4 2 4 2 2 8 3" xfId="30046" xr:uid="{F0078B77-3CD3-40D5-8102-5DD2C15DD47F}"/>
    <cellStyle name="Normal 4 2 4 2 2 8 4" xfId="13174" xr:uid="{DC4C5FE3-A42A-4753-9EB6-D40295C25CB0}"/>
    <cellStyle name="Normal 4 2 4 2 2 9" xfId="17394" xr:uid="{571C6CB9-7D9A-4CF9-9469-BBBE7F187791}"/>
    <cellStyle name="Normal 4 2 4 2 3" xfId="359" xr:uid="{00000000-0005-0000-0000-000056130000}"/>
    <cellStyle name="Normal 4 2 4 2 3 10" xfId="8958" xr:uid="{F5B2CEB8-B3E1-4D81-A1A1-4FC30883AE2B}"/>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24172" xr:uid="{093ED3B9-C25C-4DDD-85C2-1E48A028045C}"/>
    <cellStyle name="Normal 4 2 4 2 3 2 2 2 3" xfId="32606" xr:uid="{DA53C7E0-7761-4219-8CC0-176F676D193F}"/>
    <cellStyle name="Normal 4 2 4 2 3 2 2 2 4" xfId="15734" xr:uid="{9D1BD47B-D70B-4567-9998-1A40119D0B3E}"/>
    <cellStyle name="Normal 4 2 4 2 3 2 2 3" xfId="19954" xr:uid="{477B1D41-E95B-4554-838B-E3E158772E02}"/>
    <cellStyle name="Normal 4 2 4 2 3 2 2 4" xfId="28389" xr:uid="{0EE98A32-3B65-4348-BE47-795FCDB0A9BC}"/>
    <cellStyle name="Normal 4 2 4 2 3 2 2 5" xfId="11516" xr:uid="{B9DAB886-6FE5-4CD2-9568-5E0FF34C1484}"/>
    <cellStyle name="Normal 4 2 4 2 3 2 3" xfId="5150" xr:uid="{00000000-0005-0000-0000-00005A130000}"/>
    <cellStyle name="Normal 4 2 4 2 3 2 3 2" xfId="22027" xr:uid="{3AFA2F90-25FE-4D26-9336-A54CB8661F27}"/>
    <cellStyle name="Normal 4 2 4 2 3 2 3 3" xfId="30461" xr:uid="{2BD4805D-C314-4F34-B6D4-5B74C84ED91A}"/>
    <cellStyle name="Normal 4 2 4 2 3 2 3 4" xfId="13589" xr:uid="{5D7FE364-FFDC-4C6E-8E2E-71DC07FDF59A}"/>
    <cellStyle name="Normal 4 2 4 2 3 2 4" xfId="17809" xr:uid="{77687780-4A8C-4BE2-B564-579538FEC84E}"/>
    <cellStyle name="Normal 4 2 4 2 3 2 5" xfId="26244" xr:uid="{7D98D12D-774B-4D61-AB3D-6D0F8BC412C5}"/>
    <cellStyle name="Normal 4 2 4 2 3 2 6" xfId="9371" xr:uid="{C6E4183E-7B81-4885-9579-F30EED0A7E74}"/>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24585" xr:uid="{5F8E4A3A-4158-4A29-AC8D-C33D960C854B}"/>
    <cellStyle name="Normal 4 2 4 2 3 3 2 2 3" xfId="33019" xr:uid="{A2412B9C-D50D-4E7E-9DA1-E89D0E90F678}"/>
    <cellStyle name="Normal 4 2 4 2 3 3 2 2 4" xfId="16147" xr:uid="{557E81A9-B8D0-445A-A14C-C03E8EFB3CF1}"/>
    <cellStyle name="Normal 4 2 4 2 3 3 2 3" xfId="20367" xr:uid="{E9D9A666-415A-43B6-A327-FD762CF299D7}"/>
    <cellStyle name="Normal 4 2 4 2 3 3 2 4" xfId="28802" xr:uid="{E94A1DF3-2A6E-4247-8F96-81D47AB8B86A}"/>
    <cellStyle name="Normal 4 2 4 2 3 3 2 5" xfId="11929" xr:uid="{6599FDE8-121E-4782-96F8-AE23D4373F81}"/>
    <cellStyle name="Normal 4 2 4 2 3 3 3" xfId="5563" xr:uid="{00000000-0005-0000-0000-00005E130000}"/>
    <cellStyle name="Normal 4 2 4 2 3 3 3 2" xfId="22440" xr:uid="{33E71ECD-B993-45EA-A2EF-5DEAA6F3F850}"/>
    <cellStyle name="Normal 4 2 4 2 3 3 3 3" xfId="30874" xr:uid="{34512BBD-CA90-441A-98B6-594888352D2D}"/>
    <cellStyle name="Normal 4 2 4 2 3 3 3 4" xfId="14002" xr:uid="{2CBB11EB-0E6A-433F-9776-55D8EA6A6C99}"/>
    <cellStyle name="Normal 4 2 4 2 3 3 4" xfId="18222" xr:uid="{BCE74837-3AB4-47F6-B0C5-546C4A80C1AA}"/>
    <cellStyle name="Normal 4 2 4 2 3 3 5" xfId="26657" xr:uid="{6014E8B7-7435-497A-B854-C52E9006B395}"/>
    <cellStyle name="Normal 4 2 4 2 3 3 6" xfId="9784" xr:uid="{B35D76FF-3FA7-45A7-A346-1AEC173B2D67}"/>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24998" xr:uid="{E8946FD0-F452-4596-9915-D35261C95702}"/>
    <cellStyle name="Normal 4 2 4 2 3 4 2 2 3" xfId="33432" xr:uid="{D378B51A-5E34-454C-AC2B-BE9033D7BE28}"/>
    <cellStyle name="Normal 4 2 4 2 3 4 2 2 4" xfId="16560" xr:uid="{45E6E49F-3F29-466E-BC8A-F67F1BFABE46}"/>
    <cellStyle name="Normal 4 2 4 2 3 4 2 3" xfId="20780" xr:uid="{EC87C5DF-B4E7-46ED-AE7B-B2612A636CE2}"/>
    <cellStyle name="Normal 4 2 4 2 3 4 2 4" xfId="29215" xr:uid="{B7FBAD16-D273-4C56-B4B0-736C4298CB05}"/>
    <cellStyle name="Normal 4 2 4 2 3 4 2 5" xfId="12342" xr:uid="{C5D81785-216D-4DF6-A935-13718CF6D940}"/>
    <cellStyle name="Normal 4 2 4 2 3 4 3" xfId="5976" xr:uid="{00000000-0005-0000-0000-000062130000}"/>
    <cellStyle name="Normal 4 2 4 2 3 4 3 2" xfId="22853" xr:uid="{888E6A88-D446-4F83-8786-C4E94B2EC08A}"/>
    <cellStyle name="Normal 4 2 4 2 3 4 3 3" xfId="31287" xr:uid="{6CAB4415-589A-4E56-B508-0D5DEA987136}"/>
    <cellStyle name="Normal 4 2 4 2 3 4 3 4" xfId="14415" xr:uid="{868372C6-9B6D-455E-AA30-AFB037D24EC7}"/>
    <cellStyle name="Normal 4 2 4 2 3 4 4" xfId="18635" xr:uid="{E78815E4-368C-4D61-8CE5-0C8967832B14}"/>
    <cellStyle name="Normal 4 2 4 2 3 4 5" xfId="27070" xr:uid="{3675AFE8-C885-4569-9FFF-48A95466EBF6}"/>
    <cellStyle name="Normal 4 2 4 2 3 4 6" xfId="10197" xr:uid="{1B76905E-80CB-4FB1-A4F7-FF872F629338}"/>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25411" xr:uid="{255CFCBB-D04B-49B2-9DE5-8DA1B775E762}"/>
    <cellStyle name="Normal 4 2 4 2 3 5 2 2 3" xfId="33845" xr:uid="{C0370E1D-3406-4792-9FCF-50F0E50FE71B}"/>
    <cellStyle name="Normal 4 2 4 2 3 5 2 2 4" xfId="16973" xr:uid="{15442E63-8CE0-4A7F-8B65-A99C13073588}"/>
    <cellStyle name="Normal 4 2 4 2 3 5 2 3" xfId="21193" xr:uid="{4A4D61E3-9888-47A7-AE64-FF8481E79BD0}"/>
    <cellStyle name="Normal 4 2 4 2 3 5 2 4" xfId="29628" xr:uid="{836D4135-C503-4CFE-AEA0-BA3D77D68E37}"/>
    <cellStyle name="Normal 4 2 4 2 3 5 2 5" xfId="12755" xr:uid="{63E87FE5-8BE7-466A-8306-F1AC9474EE7B}"/>
    <cellStyle name="Normal 4 2 4 2 3 5 3" xfId="6389" xr:uid="{00000000-0005-0000-0000-000066130000}"/>
    <cellStyle name="Normal 4 2 4 2 3 5 3 2" xfId="23266" xr:uid="{1BDB65A6-9CF0-4EE2-9A50-F79A721DBA0B}"/>
    <cellStyle name="Normal 4 2 4 2 3 5 3 3" xfId="31700" xr:uid="{9D823269-C191-46F9-A31B-52094D7240E6}"/>
    <cellStyle name="Normal 4 2 4 2 3 5 3 4" xfId="14828" xr:uid="{BBD2CC99-EF61-42DB-8DEA-BD86A6E99A66}"/>
    <cellStyle name="Normal 4 2 4 2 3 5 4" xfId="19048" xr:uid="{FC483262-CFA3-4C3A-963E-F4429ACE8BD5}"/>
    <cellStyle name="Normal 4 2 4 2 3 5 5" xfId="27483" xr:uid="{990AA3EC-E779-4BE7-B03E-0CEFF88190E0}"/>
    <cellStyle name="Normal 4 2 4 2 3 5 6" xfId="10610" xr:uid="{36E7BBBC-33EC-4541-BCD9-44CC9282935B}"/>
    <cellStyle name="Normal 4 2 4 2 3 6" xfId="2518" xr:uid="{00000000-0005-0000-0000-000067130000}"/>
    <cellStyle name="Normal 4 2 4 2 3 6 2" xfId="6802" xr:uid="{00000000-0005-0000-0000-000068130000}"/>
    <cellStyle name="Normal 4 2 4 2 3 6 2 2" xfId="23679" xr:uid="{23F5F389-68BA-4088-BA65-E44D7136DB5D}"/>
    <cellStyle name="Normal 4 2 4 2 3 6 2 3" xfId="32113" xr:uid="{AB534900-8FEB-48CC-A3BE-A6F407788CF1}"/>
    <cellStyle name="Normal 4 2 4 2 3 6 2 4" xfId="15241" xr:uid="{1880AB3E-C53E-478C-B094-8485B886450B}"/>
    <cellStyle name="Normal 4 2 4 2 3 6 3" xfId="19461" xr:uid="{D5B48FCD-1743-4BA0-94B0-4C71341CBA46}"/>
    <cellStyle name="Normal 4 2 4 2 3 6 4" xfId="27896" xr:uid="{E562DDF8-917A-4F08-BDB1-8DA8DC4201E4}"/>
    <cellStyle name="Normal 4 2 4 2 3 6 5" xfId="11023" xr:uid="{7513A490-43E9-4BF4-A8B9-254A3B6641CE}"/>
    <cellStyle name="Normal 4 2 4 2 3 7" xfId="4737" xr:uid="{00000000-0005-0000-0000-000069130000}"/>
    <cellStyle name="Normal 4 2 4 2 3 7 2" xfId="21614" xr:uid="{D170E483-2AD9-45F5-81AA-F21EBD28B2C6}"/>
    <cellStyle name="Normal 4 2 4 2 3 7 3" xfId="30048" xr:uid="{0A9BE922-CF7E-470B-8FDC-64FE2E6BD227}"/>
    <cellStyle name="Normal 4 2 4 2 3 7 4" xfId="13176" xr:uid="{805860BD-B278-450A-90B4-B058BE1FE8E3}"/>
    <cellStyle name="Normal 4 2 4 2 3 8" xfId="17396" xr:uid="{35BF7CDC-A678-4B49-BB4C-D587C4207B7D}"/>
    <cellStyle name="Normal 4 2 4 2 3 9" xfId="25831" xr:uid="{EDA7554D-0192-4AFD-A960-992CA9F9461F}"/>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24169" xr:uid="{B743B579-2B96-49EC-A590-74AEA9AA0DD1}"/>
    <cellStyle name="Normal 4 2 4 2 4 2 2 3" xfId="32603" xr:uid="{9D883497-18DC-47D6-8CEA-DC84E8098743}"/>
    <cellStyle name="Normal 4 2 4 2 4 2 2 4" xfId="15731" xr:uid="{068C0C14-196D-4984-8774-573B11E2EA11}"/>
    <cellStyle name="Normal 4 2 4 2 4 2 3" xfId="19951" xr:uid="{839644B6-AE28-4523-B416-07C0414CD2E6}"/>
    <cellStyle name="Normal 4 2 4 2 4 2 4" xfId="28386" xr:uid="{B11F9C14-99B8-445E-B69A-ADAEC80086CB}"/>
    <cellStyle name="Normal 4 2 4 2 4 2 5" xfId="11513" xr:uid="{96987101-3864-45EE-B624-4638972AD1D3}"/>
    <cellStyle name="Normal 4 2 4 2 4 3" xfId="5147" xr:uid="{00000000-0005-0000-0000-00006D130000}"/>
    <cellStyle name="Normal 4 2 4 2 4 3 2" xfId="22024" xr:uid="{D2356DE9-AEEE-4A69-A036-3C4401842E06}"/>
    <cellStyle name="Normal 4 2 4 2 4 3 3" xfId="30458" xr:uid="{AE797CC6-755A-40E2-9E2B-F3D9FFBE45C2}"/>
    <cellStyle name="Normal 4 2 4 2 4 3 4" xfId="13586" xr:uid="{F7607A77-9349-46CA-92E3-4AEA37DB17A8}"/>
    <cellStyle name="Normal 4 2 4 2 4 4" xfId="17806" xr:uid="{DB92F937-A147-4564-ACA3-2BD8F47BD55A}"/>
    <cellStyle name="Normal 4 2 4 2 4 5" xfId="26241" xr:uid="{9C9CC407-C8A1-48E7-B39F-BAC021EBAC75}"/>
    <cellStyle name="Normal 4 2 4 2 4 6" xfId="9368" xr:uid="{F05DA379-6B77-4399-8D26-24122EE04ED8}"/>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24582" xr:uid="{70511C69-673E-477A-8E31-5F63342A1CAF}"/>
    <cellStyle name="Normal 4 2 4 2 5 2 2 3" xfId="33016" xr:uid="{3B7389FF-D394-48BE-B7A5-6A287967E68E}"/>
    <cellStyle name="Normal 4 2 4 2 5 2 2 4" xfId="16144" xr:uid="{AE38F481-648B-4DFF-91CB-BCD4FED1E1B1}"/>
    <cellStyle name="Normal 4 2 4 2 5 2 3" xfId="20364" xr:uid="{61D38418-6A3E-4DEA-9C95-A699BC32FB65}"/>
    <cellStyle name="Normal 4 2 4 2 5 2 4" xfId="28799" xr:uid="{2210DB2F-CD26-4468-9AC0-C3EC274CA1CC}"/>
    <cellStyle name="Normal 4 2 4 2 5 2 5" xfId="11926" xr:uid="{C419500D-E7AA-4E07-8EEC-442A4D507BC9}"/>
    <cellStyle name="Normal 4 2 4 2 5 3" xfId="5560" xr:uid="{00000000-0005-0000-0000-000071130000}"/>
    <cellStyle name="Normal 4 2 4 2 5 3 2" xfId="22437" xr:uid="{8C3AC4F0-142A-49E8-B3C6-098C3D47C5B0}"/>
    <cellStyle name="Normal 4 2 4 2 5 3 3" xfId="30871" xr:uid="{A678A095-BFE7-4903-AD61-0BD1623C9D1C}"/>
    <cellStyle name="Normal 4 2 4 2 5 3 4" xfId="13999" xr:uid="{5FB54684-9941-4600-BF8E-B8279A307466}"/>
    <cellStyle name="Normal 4 2 4 2 5 4" xfId="18219" xr:uid="{91F255CC-AF55-46B1-BE50-B29E3B30F4FA}"/>
    <cellStyle name="Normal 4 2 4 2 5 5" xfId="26654" xr:uid="{E587497E-6F62-4112-AA7F-5997F887B9CF}"/>
    <cellStyle name="Normal 4 2 4 2 5 6" xfId="9781" xr:uid="{69017612-9F3B-4A2F-A071-E19FD2D854BA}"/>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24995" xr:uid="{90576837-E258-4926-AA6A-DE12AF359255}"/>
    <cellStyle name="Normal 4 2 4 2 6 2 2 3" xfId="33429" xr:uid="{07DA3238-C7DA-4368-8001-8D658BE6B7CB}"/>
    <cellStyle name="Normal 4 2 4 2 6 2 2 4" xfId="16557" xr:uid="{D40AD97E-C7A1-449A-AC86-4B81E964E2C8}"/>
    <cellStyle name="Normal 4 2 4 2 6 2 3" xfId="20777" xr:uid="{9E1ECA32-5650-421C-8E6E-932808FA6916}"/>
    <cellStyle name="Normal 4 2 4 2 6 2 4" xfId="29212" xr:uid="{1FBBED9D-0429-451E-8887-249EF03CF947}"/>
    <cellStyle name="Normal 4 2 4 2 6 2 5" xfId="12339" xr:uid="{DD2776C3-3F7A-42C8-BA8C-2F6EAAC5753E}"/>
    <cellStyle name="Normal 4 2 4 2 6 3" xfId="5973" xr:uid="{00000000-0005-0000-0000-000075130000}"/>
    <cellStyle name="Normal 4 2 4 2 6 3 2" xfId="22850" xr:uid="{79C617C4-DA24-425B-97B4-7D402BDE62D5}"/>
    <cellStyle name="Normal 4 2 4 2 6 3 3" xfId="31284" xr:uid="{9ECD08AF-48F7-4D85-9502-ACFF680FDA59}"/>
    <cellStyle name="Normal 4 2 4 2 6 3 4" xfId="14412" xr:uid="{AFD30DF4-BC3D-446B-AB16-C86A3F46692A}"/>
    <cellStyle name="Normal 4 2 4 2 6 4" xfId="18632" xr:uid="{AE53AA8E-76FB-49DF-B9AF-C7A97D9C4E18}"/>
    <cellStyle name="Normal 4 2 4 2 6 5" xfId="27067" xr:uid="{65F7782E-8524-4447-B8C6-077CF33975A6}"/>
    <cellStyle name="Normal 4 2 4 2 6 6" xfId="10194" xr:uid="{57E1F818-BBE7-4FE0-9419-9255E0D27F6C}"/>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25408" xr:uid="{1BA3FB86-C647-4F7F-A7B4-A5058252680A}"/>
    <cellStyle name="Normal 4 2 4 2 7 2 2 3" xfId="33842" xr:uid="{DC02F9B5-4F4C-43AC-9D83-E88AA4E37E2A}"/>
    <cellStyle name="Normal 4 2 4 2 7 2 2 4" xfId="16970" xr:uid="{FD249CEC-A89D-4C72-AE51-46FE692D0C8F}"/>
    <cellStyle name="Normal 4 2 4 2 7 2 3" xfId="21190" xr:uid="{7682085D-818A-4A10-AB6E-5895C3CE044A}"/>
    <cellStyle name="Normal 4 2 4 2 7 2 4" xfId="29625" xr:uid="{8EA76275-B10F-46E4-B38B-7C6D122D578B}"/>
    <cellStyle name="Normal 4 2 4 2 7 2 5" xfId="12752" xr:uid="{0F8A042B-0544-418B-9FE6-DF9238701195}"/>
    <cellStyle name="Normal 4 2 4 2 7 3" xfId="6386" xr:uid="{00000000-0005-0000-0000-000079130000}"/>
    <cellStyle name="Normal 4 2 4 2 7 3 2" xfId="23263" xr:uid="{3FE46DDA-D016-41D5-B91A-0EC8DE1E6DC0}"/>
    <cellStyle name="Normal 4 2 4 2 7 3 3" xfId="31697" xr:uid="{7D980EB0-7A90-4D4C-B09F-8F2BBBC2DCD8}"/>
    <cellStyle name="Normal 4 2 4 2 7 3 4" xfId="14825" xr:uid="{A258674B-9137-4DDB-86F8-13875E1297F8}"/>
    <cellStyle name="Normal 4 2 4 2 7 4" xfId="19045" xr:uid="{A09B51F6-74C0-452D-992B-F76AE5D5D838}"/>
    <cellStyle name="Normal 4 2 4 2 7 5" xfId="27480" xr:uid="{4A0A2181-AD0B-410D-B450-5CAC5E0004ED}"/>
    <cellStyle name="Normal 4 2 4 2 7 6" xfId="10607" xr:uid="{375E96CE-7D3A-436A-B182-AF20EDFAC82A}"/>
    <cellStyle name="Normal 4 2 4 2 8" xfId="2515" xr:uid="{00000000-0005-0000-0000-00007A130000}"/>
    <cellStyle name="Normal 4 2 4 2 8 2" xfId="6799" xr:uid="{00000000-0005-0000-0000-00007B130000}"/>
    <cellStyle name="Normal 4 2 4 2 8 2 2" xfId="23676" xr:uid="{ABB0ED64-2669-4446-861B-AD3292B3D461}"/>
    <cellStyle name="Normal 4 2 4 2 8 2 3" xfId="32110" xr:uid="{12D2A1DB-BD3D-4DAD-8886-12C640192D09}"/>
    <cellStyle name="Normal 4 2 4 2 8 2 4" xfId="15238" xr:uid="{C30190A5-0B51-46C9-BB2D-8BEF478CC171}"/>
    <cellStyle name="Normal 4 2 4 2 8 3" xfId="19458" xr:uid="{946675A6-499D-4047-B075-F379B769AB27}"/>
    <cellStyle name="Normal 4 2 4 2 8 4" xfId="27893" xr:uid="{1C24FCA6-399A-4BF5-B0B9-E3D607F797A4}"/>
    <cellStyle name="Normal 4 2 4 2 8 5" xfId="11020" xr:uid="{25CBE4B1-58F1-4035-8B59-1E392E7C44E3}"/>
    <cellStyle name="Normal 4 2 4 2 9" xfId="4734" xr:uid="{00000000-0005-0000-0000-00007C130000}"/>
    <cellStyle name="Normal 4 2 4 2 9 2" xfId="21611" xr:uid="{6CB86630-BA07-4CEE-B081-12123E8797BA}"/>
    <cellStyle name="Normal 4 2 4 2 9 3" xfId="30045" xr:uid="{41CC5F15-5A8E-4977-AFDD-DF908BA7D7FF}"/>
    <cellStyle name="Normal 4 2 4 2 9 4" xfId="13173" xr:uid="{74625B87-26A9-4C9F-BAE5-1A796EDC1057}"/>
    <cellStyle name="Normal 4 2 4 3" xfId="360" xr:uid="{00000000-0005-0000-0000-00007D130000}"/>
    <cellStyle name="Normal 4 2 4 3 10" xfId="25832" xr:uid="{EC28CE33-496F-4C99-9D58-A297DD7E4687}"/>
    <cellStyle name="Normal 4 2 4 3 11" xfId="8959" xr:uid="{6592446D-E9B4-405D-87AF-E83E26514471}"/>
    <cellStyle name="Normal 4 2 4 3 2" xfId="361" xr:uid="{00000000-0005-0000-0000-00007E130000}"/>
    <cellStyle name="Normal 4 2 4 3 2 10" xfId="8960" xr:uid="{B21492F7-CB67-4DF8-A302-6CF15375B5C1}"/>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24174" xr:uid="{A48A7092-5721-4028-8D70-7F319F27B00F}"/>
    <cellStyle name="Normal 4 2 4 3 2 2 2 2 3" xfId="32608" xr:uid="{6E89A0BB-6BA4-42C9-9EFF-A39B412043DA}"/>
    <cellStyle name="Normal 4 2 4 3 2 2 2 2 4" xfId="15736" xr:uid="{8615556F-047A-4C43-A186-1FE51A8E3A98}"/>
    <cellStyle name="Normal 4 2 4 3 2 2 2 3" xfId="19956" xr:uid="{C9EF26F5-6045-40A8-95BA-42F263F9BEB2}"/>
    <cellStyle name="Normal 4 2 4 3 2 2 2 4" xfId="28391" xr:uid="{49315D17-724E-45F1-93B9-4CFD64FF496B}"/>
    <cellStyle name="Normal 4 2 4 3 2 2 2 5" xfId="11518" xr:uid="{6681F4F4-5A73-4C37-8017-B12DF2F9A358}"/>
    <cellStyle name="Normal 4 2 4 3 2 2 3" xfId="5152" xr:uid="{00000000-0005-0000-0000-000082130000}"/>
    <cellStyle name="Normal 4 2 4 3 2 2 3 2" xfId="22029" xr:uid="{2AF29915-6DEC-4CB8-A3CE-C8471C777A23}"/>
    <cellStyle name="Normal 4 2 4 3 2 2 3 3" xfId="30463" xr:uid="{E13CB64E-B3A2-4370-9E96-E70DC62C45C2}"/>
    <cellStyle name="Normal 4 2 4 3 2 2 3 4" xfId="13591" xr:uid="{4AF2B839-F268-49C0-8A55-3EBD628BA4BF}"/>
    <cellStyle name="Normal 4 2 4 3 2 2 4" xfId="17811" xr:uid="{18A64E4E-6394-4760-8C03-E29574A6CFD8}"/>
    <cellStyle name="Normal 4 2 4 3 2 2 5" xfId="26246" xr:uid="{51790E63-11EA-4979-A51F-B405BAE58E78}"/>
    <cellStyle name="Normal 4 2 4 3 2 2 6" xfId="9373" xr:uid="{2450CBD9-98CF-4F28-AF9C-2BF253994BF5}"/>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24587" xr:uid="{259858C8-C3E4-4B25-8461-2E76C72F9027}"/>
    <cellStyle name="Normal 4 2 4 3 2 3 2 2 3" xfId="33021" xr:uid="{E56AC00A-FC9B-45A2-AE3F-5D008934962D}"/>
    <cellStyle name="Normal 4 2 4 3 2 3 2 2 4" xfId="16149" xr:uid="{11446A63-FA5A-4823-BDA8-64C7C5A6099C}"/>
    <cellStyle name="Normal 4 2 4 3 2 3 2 3" xfId="20369" xr:uid="{1642727E-C6F2-4893-A9F6-FEC85CC441EC}"/>
    <cellStyle name="Normal 4 2 4 3 2 3 2 4" xfId="28804" xr:uid="{1255E7C3-571D-439F-98B3-660BAE02226B}"/>
    <cellStyle name="Normal 4 2 4 3 2 3 2 5" xfId="11931" xr:uid="{5938C249-2064-4A0E-B9B5-4B30CDDA1DD8}"/>
    <cellStyle name="Normal 4 2 4 3 2 3 3" xfId="5565" xr:uid="{00000000-0005-0000-0000-000086130000}"/>
    <cellStyle name="Normal 4 2 4 3 2 3 3 2" xfId="22442" xr:uid="{112FCD8A-0D41-4FBF-BE4F-460287B6BD0F}"/>
    <cellStyle name="Normal 4 2 4 3 2 3 3 3" xfId="30876" xr:uid="{79DE1DB6-00F4-46D2-A574-F0481DECD395}"/>
    <cellStyle name="Normal 4 2 4 3 2 3 3 4" xfId="14004" xr:uid="{07B424B0-C2F1-4B9E-9557-3760A2B9D72C}"/>
    <cellStyle name="Normal 4 2 4 3 2 3 4" xfId="18224" xr:uid="{7DF8A9DB-10DF-4C75-A018-8C1973E0B6D4}"/>
    <cellStyle name="Normal 4 2 4 3 2 3 5" xfId="26659" xr:uid="{A38969CC-AB46-4B20-B8A0-334646B1F566}"/>
    <cellStyle name="Normal 4 2 4 3 2 3 6" xfId="9786" xr:uid="{01B5DD3C-4946-429A-BFA7-6B6B6EEFB4F8}"/>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25000" xr:uid="{D69A1628-6F4D-4AAC-A5D3-D5DAC90B49C8}"/>
    <cellStyle name="Normal 4 2 4 3 2 4 2 2 3" xfId="33434" xr:uid="{E4F7A9AC-442A-4B2B-BCD1-8E85F74149F7}"/>
    <cellStyle name="Normal 4 2 4 3 2 4 2 2 4" xfId="16562" xr:uid="{FAE07B2C-061B-4CFB-9B24-9CA1E0EAD906}"/>
    <cellStyle name="Normal 4 2 4 3 2 4 2 3" xfId="20782" xr:uid="{B6F99255-B6B1-494B-B0C5-A5EE325E686E}"/>
    <cellStyle name="Normal 4 2 4 3 2 4 2 4" xfId="29217" xr:uid="{B0FB8FC6-5E22-44E3-812C-93F6943982D7}"/>
    <cellStyle name="Normal 4 2 4 3 2 4 2 5" xfId="12344" xr:uid="{B8ACEEF7-A5DE-4541-AF35-3CFC623D3CA9}"/>
    <cellStyle name="Normal 4 2 4 3 2 4 3" xfId="5978" xr:uid="{00000000-0005-0000-0000-00008A130000}"/>
    <cellStyle name="Normal 4 2 4 3 2 4 3 2" xfId="22855" xr:uid="{2A857279-BD1F-437A-9F37-CCCCBE72EE78}"/>
    <cellStyle name="Normal 4 2 4 3 2 4 3 3" xfId="31289" xr:uid="{EBF631DD-8BD8-47B0-8859-F2161C235D62}"/>
    <cellStyle name="Normal 4 2 4 3 2 4 3 4" xfId="14417" xr:uid="{2BBEAC0E-85E3-4F18-814F-5F682C08ABAF}"/>
    <cellStyle name="Normal 4 2 4 3 2 4 4" xfId="18637" xr:uid="{29C4CCF0-0743-4773-A411-79A0B6622D85}"/>
    <cellStyle name="Normal 4 2 4 3 2 4 5" xfId="27072" xr:uid="{7EE8E65F-8388-49B2-B4B7-A15F22C44F47}"/>
    <cellStyle name="Normal 4 2 4 3 2 4 6" xfId="10199" xr:uid="{738191D6-F245-490C-9530-FDA39026149C}"/>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25413" xr:uid="{C26E64BF-B6B5-4BB3-853F-6E10057BB942}"/>
    <cellStyle name="Normal 4 2 4 3 2 5 2 2 3" xfId="33847" xr:uid="{A745CE36-4651-4695-ABFD-BC1BA238DB7B}"/>
    <cellStyle name="Normal 4 2 4 3 2 5 2 2 4" xfId="16975" xr:uid="{FD2741DE-89BC-4908-A363-080DB6E25D45}"/>
    <cellStyle name="Normal 4 2 4 3 2 5 2 3" xfId="21195" xr:uid="{911CD2DD-0D25-449D-9484-32CB151CD2FB}"/>
    <cellStyle name="Normal 4 2 4 3 2 5 2 4" xfId="29630" xr:uid="{EDE0D12D-C86B-4D39-AA3E-00A5105765FB}"/>
    <cellStyle name="Normal 4 2 4 3 2 5 2 5" xfId="12757" xr:uid="{B70542E3-1E7C-424F-9146-592051D607B1}"/>
    <cellStyle name="Normal 4 2 4 3 2 5 3" xfId="6391" xr:uid="{00000000-0005-0000-0000-00008E130000}"/>
    <cellStyle name="Normal 4 2 4 3 2 5 3 2" xfId="23268" xr:uid="{BCEB2298-2950-44F6-BF22-CF8890252DC5}"/>
    <cellStyle name="Normal 4 2 4 3 2 5 3 3" xfId="31702" xr:uid="{CE246D0F-1EF9-487F-951B-F178871A14BA}"/>
    <cellStyle name="Normal 4 2 4 3 2 5 3 4" xfId="14830" xr:uid="{773D6D6C-13F6-4455-81EA-99E3C19D4FB6}"/>
    <cellStyle name="Normal 4 2 4 3 2 5 4" xfId="19050" xr:uid="{D3F9337C-FB66-42AA-9044-3EC06DCAD092}"/>
    <cellStyle name="Normal 4 2 4 3 2 5 5" xfId="27485" xr:uid="{064CF595-29CF-474E-A20F-3CB47CA5D4D5}"/>
    <cellStyle name="Normal 4 2 4 3 2 5 6" xfId="10612" xr:uid="{47ED1DED-CFAA-4941-A45E-EB2F22B712DB}"/>
    <cellStyle name="Normal 4 2 4 3 2 6" xfId="2520" xr:uid="{00000000-0005-0000-0000-00008F130000}"/>
    <cellStyle name="Normal 4 2 4 3 2 6 2" xfId="6804" xr:uid="{00000000-0005-0000-0000-000090130000}"/>
    <cellStyle name="Normal 4 2 4 3 2 6 2 2" xfId="23681" xr:uid="{96965C37-CC2F-4411-B025-9694B5B748D8}"/>
    <cellStyle name="Normal 4 2 4 3 2 6 2 3" xfId="32115" xr:uid="{143E6993-36FC-45CE-A15D-CF6D938C317E}"/>
    <cellStyle name="Normal 4 2 4 3 2 6 2 4" xfId="15243" xr:uid="{E83C03DC-370D-4FFD-A0D6-F67FE6E4A733}"/>
    <cellStyle name="Normal 4 2 4 3 2 6 3" xfId="19463" xr:uid="{3D873151-A507-44AC-B152-AA649F7F9A80}"/>
    <cellStyle name="Normal 4 2 4 3 2 6 4" xfId="27898" xr:uid="{8C9BBC64-D6DD-4A06-9C72-A2DBEF95D688}"/>
    <cellStyle name="Normal 4 2 4 3 2 6 5" xfId="11025" xr:uid="{5C0F5D82-43A8-45E8-9CFD-1297E6FC421A}"/>
    <cellStyle name="Normal 4 2 4 3 2 7" xfId="4739" xr:uid="{00000000-0005-0000-0000-000091130000}"/>
    <cellStyle name="Normal 4 2 4 3 2 7 2" xfId="21616" xr:uid="{17C2AF92-C2CA-4D67-A0F0-7B54502F31FF}"/>
    <cellStyle name="Normal 4 2 4 3 2 7 3" xfId="30050" xr:uid="{B10BE7E8-7CA9-4E11-9863-5EC2BDCA7BA3}"/>
    <cellStyle name="Normal 4 2 4 3 2 7 4" xfId="13178" xr:uid="{4FC7070F-0E84-4E17-8A78-1A66B4AB9072}"/>
    <cellStyle name="Normal 4 2 4 3 2 8" xfId="17398" xr:uid="{14A20AD6-08B6-44A3-82DF-E79A0DE75755}"/>
    <cellStyle name="Normal 4 2 4 3 2 9" xfId="25833" xr:uid="{9FFB7A0A-1B67-4BB9-8C97-57EDEC44AA5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24173" xr:uid="{B0AED3A7-AC7C-468B-ADF9-E5C47FDEDA5F}"/>
    <cellStyle name="Normal 4 2 4 3 3 2 2 3" xfId="32607" xr:uid="{10838135-A5EB-4D4E-8CFB-A4F31D15D0E4}"/>
    <cellStyle name="Normal 4 2 4 3 3 2 2 4" xfId="15735" xr:uid="{E5ADA4BE-2B78-45DA-928B-1CDB7DBC6822}"/>
    <cellStyle name="Normal 4 2 4 3 3 2 3" xfId="19955" xr:uid="{21A9FA40-6A5F-401C-A2CD-C88C691B7DA3}"/>
    <cellStyle name="Normal 4 2 4 3 3 2 4" xfId="28390" xr:uid="{47D4C266-6CBE-45E0-AA64-38428D2395D7}"/>
    <cellStyle name="Normal 4 2 4 3 3 2 5" xfId="11517" xr:uid="{CB262E9F-3EF4-441E-9566-7060706856F8}"/>
    <cellStyle name="Normal 4 2 4 3 3 3" xfId="5151" xr:uid="{00000000-0005-0000-0000-000095130000}"/>
    <cellStyle name="Normal 4 2 4 3 3 3 2" xfId="22028" xr:uid="{A6C10733-E949-43BE-9ECE-841FBA5693C8}"/>
    <cellStyle name="Normal 4 2 4 3 3 3 3" xfId="30462" xr:uid="{99C29C83-65E3-46E9-B636-4D91B2BDE1FA}"/>
    <cellStyle name="Normal 4 2 4 3 3 3 4" xfId="13590" xr:uid="{91EA8A8D-CD76-46B4-90D1-B7471A8B13E4}"/>
    <cellStyle name="Normal 4 2 4 3 3 4" xfId="17810" xr:uid="{995F4B0D-0AC8-4B30-8EDC-CDE49A97CA5E}"/>
    <cellStyle name="Normal 4 2 4 3 3 5" xfId="26245" xr:uid="{C06B0A55-1DA6-4EC7-BED2-2D2992B82F58}"/>
    <cellStyle name="Normal 4 2 4 3 3 6" xfId="9372" xr:uid="{570FCEF5-DCED-4504-9C41-C27487756260}"/>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24586" xr:uid="{8D85AB65-B27D-4EAA-9961-A41BF11CB765}"/>
    <cellStyle name="Normal 4 2 4 3 4 2 2 3" xfId="33020" xr:uid="{989640A4-1C76-43AF-8089-3CFB7DBAFF60}"/>
    <cellStyle name="Normal 4 2 4 3 4 2 2 4" xfId="16148" xr:uid="{4407F314-47B4-4FE8-B9F4-C7D6250DB9C2}"/>
    <cellStyle name="Normal 4 2 4 3 4 2 3" xfId="20368" xr:uid="{6B0BAEF2-1D15-4FC3-9949-5C0A96E9E7C2}"/>
    <cellStyle name="Normal 4 2 4 3 4 2 4" xfId="28803" xr:uid="{3AADC6F6-1CF9-4399-AB19-EC43584D510D}"/>
    <cellStyle name="Normal 4 2 4 3 4 2 5" xfId="11930" xr:uid="{94AC5944-4002-48C6-8EDC-3CB6912FDA22}"/>
    <cellStyle name="Normal 4 2 4 3 4 3" xfId="5564" xr:uid="{00000000-0005-0000-0000-000099130000}"/>
    <cellStyle name="Normal 4 2 4 3 4 3 2" xfId="22441" xr:uid="{A442B93B-EC39-4A32-B3BD-B7FE7D0A23F6}"/>
    <cellStyle name="Normal 4 2 4 3 4 3 3" xfId="30875" xr:uid="{5CB5F00D-11BA-4622-9FED-C6365D835B6C}"/>
    <cellStyle name="Normal 4 2 4 3 4 3 4" xfId="14003" xr:uid="{221E9F1E-6264-4A45-8151-9D7B0338D701}"/>
    <cellStyle name="Normal 4 2 4 3 4 4" xfId="18223" xr:uid="{E5C266C6-8E65-4BA6-83D4-725EC6A320AD}"/>
    <cellStyle name="Normal 4 2 4 3 4 5" xfId="26658" xr:uid="{E81A8FB7-3A5A-4447-A3A1-8D3CEB91B063}"/>
    <cellStyle name="Normal 4 2 4 3 4 6" xfId="9785" xr:uid="{9D9333DA-102B-4B34-B323-A098020E19D5}"/>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24999" xr:uid="{02FC437E-9EBF-4D6C-AF05-6911EE16FA80}"/>
    <cellStyle name="Normal 4 2 4 3 5 2 2 3" xfId="33433" xr:uid="{0F12ABC2-4ADD-40F2-A0FA-4E6A5C7DCE58}"/>
    <cellStyle name="Normal 4 2 4 3 5 2 2 4" xfId="16561" xr:uid="{DF336EF0-67E3-4D0B-9274-23E11BBEFDB9}"/>
    <cellStyle name="Normal 4 2 4 3 5 2 3" xfId="20781" xr:uid="{EEBA53D2-E32C-4CCB-A5C7-CA229AE9C6F0}"/>
    <cellStyle name="Normal 4 2 4 3 5 2 4" xfId="29216" xr:uid="{7F0F1F59-C2C2-4ECD-9433-6C95FAE317CB}"/>
    <cellStyle name="Normal 4 2 4 3 5 2 5" xfId="12343" xr:uid="{A7D41167-DD40-4A10-ACA8-9904BD4A2897}"/>
    <cellStyle name="Normal 4 2 4 3 5 3" xfId="5977" xr:uid="{00000000-0005-0000-0000-00009D130000}"/>
    <cellStyle name="Normal 4 2 4 3 5 3 2" xfId="22854" xr:uid="{61A9A73D-9C97-42ED-8F89-BBCF5092C61E}"/>
    <cellStyle name="Normal 4 2 4 3 5 3 3" xfId="31288" xr:uid="{6A071B40-80CE-460E-9112-ADC17718F05A}"/>
    <cellStyle name="Normal 4 2 4 3 5 3 4" xfId="14416" xr:uid="{9F5134E2-EFEF-4BC9-94AB-09BED577A39E}"/>
    <cellStyle name="Normal 4 2 4 3 5 4" xfId="18636" xr:uid="{206B4331-1D25-4AA7-97AC-66DAB3C85360}"/>
    <cellStyle name="Normal 4 2 4 3 5 5" xfId="27071" xr:uid="{3564B8C0-B186-4617-8A5C-498C4EB55AD7}"/>
    <cellStyle name="Normal 4 2 4 3 5 6" xfId="10198" xr:uid="{85D24CAA-C637-431A-9F3D-1E1CB9A60426}"/>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25412" xr:uid="{CD16B55C-A76C-497B-B72F-82DC951CDBCE}"/>
    <cellStyle name="Normal 4 2 4 3 6 2 2 3" xfId="33846" xr:uid="{01C02BB2-796F-4C90-9459-C8EB541B843E}"/>
    <cellStyle name="Normal 4 2 4 3 6 2 2 4" xfId="16974" xr:uid="{E76C6DE5-890E-4C28-83BD-145E68910323}"/>
    <cellStyle name="Normal 4 2 4 3 6 2 3" xfId="21194" xr:uid="{26D5F80A-9B86-40D3-BD1E-C2A33275076F}"/>
    <cellStyle name="Normal 4 2 4 3 6 2 4" xfId="29629" xr:uid="{C5760282-18B5-48C4-B378-EF5DD52D57F9}"/>
    <cellStyle name="Normal 4 2 4 3 6 2 5" xfId="12756" xr:uid="{F8754AF6-2A95-467A-B13F-0C0379D1EB94}"/>
    <cellStyle name="Normal 4 2 4 3 6 3" xfId="6390" xr:uid="{00000000-0005-0000-0000-0000A1130000}"/>
    <cellStyle name="Normal 4 2 4 3 6 3 2" xfId="23267" xr:uid="{8D0C2888-BAA5-4662-8E9D-A9CE7057C302}"/>
    <cellStyle name="Normal 4 2 4 3 6 3 3" xfId="31701" xr:uid="{536F9116-EE15-4DD5-A8D8-1596B8E62984}"/>
    <cellStyle name="Normal 4 2 4 3 6 3 4" xfId="14829" xr:uid="{9BEF5E97-2636-46DC-BF14-8C72CFECA4A0}"/>
    <cellStyle name="Normal 4 2 4 3 6 4" xfId="19049" xr:uid="{B44BA5CF-7B2B-4D12-9FA3-9124E4E4C776}"/>
    <cellStyle name="Normal 4 2 4 3 6 5" xfId="27484" xr:uid="{E7641C7C-AEC0-462E-BEB7-DF3D1A7105B4}"/>
    <cellStyle name="Normal 4 2 4 3 6 6" xfId="10611" xr:uid="{7D2B78A1-CB0B-4D27-B114-2943AD251BEB}"/>
    <cellStyle name="Normal 4 2 4 3 7" xfId="2519" xr:uid="{00000000-0005-0000-0000-0000A2130000}"/>
    <cellStyle name="Normal 4 2 4 3 7 2" xfId="6803" xr:uid="{00000000-0005-0000-0000-0000A3130000}"/>
    <cellStyle name="Normal 4 2 4 3 7 2 2" xfId="23680" xr:uid="{AF8D8795-0989-4B5B-85D6-CBE01A2CAA09}"/>
    <cellStyle name="Normal 4 2 4 3 7 2 3" xfId="32114" xr:uid="{E6CD93DF-6AF5-4531-9488-26CE2D1F7672}"/>
    <cellStyle name="Normal 4 2 4 3 7 2 4" xfId="15242" xr:uid="{66D2AB38-3CDE-48D4-A9A4-42727CF4F100}"/>
    <cellStyle name="Normal 4 2 4 3 7 3" xfId="19462" xr:uid="{B8DCC338-769E-4B84-AF99-EF79891ED2D4}"/>
    <cellStyle name="Normal 4 2 4 3 7 4" xfId="27897" xr:uid="{3F88CF2C-908C-4983-BA74-6497CD2AAF20}"/>
    <cellStyle name="Normal 4 2 4 3 7 5" xfId="11024" xr:uid="{08E077EF-17EA-4F91-ABEC-17DAB414EBC2}"/>
    <cellStyle name="Normal 4 2 4 3 8" xfId="4738" xr:uid="{00000000-0005-0000-0000-0000A4130000}"/>
    <cellStyle name="Normal 4 2 4 3 8 2" xfId="21615" xr:uid="{21D6EDD0-BA61-4B30-8E9E-A1B269E3CF7C}"/>
    <cellStyle name="Normal 4 2 4 3 8 3" xfId="30049" xr:uid="{3D9C6CF0-70EB-4E80-B47C-27391F6617B1}"/>
    <cellStyle name="Normal 4 2 4 3 8 4" xfId="13177" xr:uid="{C82B55C4-7BC7-4935-A746-594007B33F1B}"/>
    <cellStyle name="Normal 4 2 4 3 9" xfId="17397" xr:uid="{4085F655-4673-4655-ABDC-22831AE0A244}"/>
    <cellStyle name="Normal 4 2 4 4" xfId="362" xr:uid="{00000000-0005-0000-0000-0000A5130000}"/>
    <cellStyle name="Normal 4 2 4 4 10" xfId="8961" xr:uid="{5806EB4D-7450-4719-9F46-7768BFF79D54}"/>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24175" xr:uid="{39EBFFDB-7D0B-430F-87B3-4BCAFA14F059}"/>
    <cellStyle name="Normal 4 2 4 4 2 2 2 3" xfId="32609" xr:uid="{1DB98F45-2385-4810-8514-182AFCE73225}"/>
    <cellStyle name="Normal 4 2 4 4 2 2 2 4" xfId="15737" xr:uid="{B9058B0E-59D5-4FE8-A2E3-358679B14398}"/>
    <cellStyle name="Normal 4 2 4 4 2 2 3" xfId="19957" xr:uid="{A7278E81-E842-46A9-AE32-2832C791B6EF}"/>
    <cellStyle name="Normal 4 2 4 4 2 2 4" xfId="28392" xr:uid="{8C98ED72-777C-416B-A07C-043F7E31594A}"/>
    <cellStyle name="Normal 4 2 4 4 2 2 5" xfId="11519" xr:uid="{838C7D77-0F36-4B8E-8D06-D4142CC24D4A}"/>
    <cellStyle name="Normal 4 2 4 4 2 3" xfId="5153" xr:uid="{00000000-0005-0000-0000-0000A9130000}"/>
    <cellStyle name="Normal 4 2 4 4 2 3 2" xfId="22030" xr:uid="{1E0C8437-3110-4D0C-9844-2FC20A88C55C}"/>
    <cellStyle name="Normal 4 2 4 4 2 3 3" xfId="30464" xr:uid="{DC29E0F4-44EE-4638-9CE1-D9F9C608755F}"/>
    <cellStyle name="Normal 4 2 4 4 2 3 4" xfId="13592" xr:uid="{1A148D3C-FF27-454B-A9F8-76E14CDAC159}"/>
    <cellStyle name="Normal 4 2 4 4 2 4" xfId="17812" xr:uid="{86D6CB4E-7A52-4BE0-B1AB-84642156BABB}"/>
    <cellStyle name="Normal 4 2 4 4 2 5" xfId="26247" xr:uid="{5DA174E9-46BD-4CFA-AE3A-27AD323F1F53}"/>
    <cellStyle name="Normal 4 2 4 4 2 6" xfId="9374" xr:uid="{BC92E92E-164C-4DDB-B6AF-52E80D8CEF8E}"/>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24588" xr:uid="{6A3B8D96-2C5E-4714-B531-3E3851901FA8}"/>
    <cellStyle name="Normal 4 2 4 4 3 2 2 3" xfId="33022" xr:uid="{C9138472-C521-45A1-BF8C-C9BCFD5FF111}"/>
    <cellStyle name="Normal 4 2 4 4 3 2 2 4" xfId="16150" xr:uid="{DEF01B42-C480-4D9F-911A-BA37F6F51654}"/>
    <cellStyle name="Normal 4 2 4 4 3 2 3" xfId="20370" xr:uid="{FE7EE1B2-7423-4F4A-96F1-C53E5CE48DE6}"/>
    <cellStyle name="Normal 4 2 4 4 3 2 4" xfId="28805" xr:uid="{968D6325-2DA9-4AD8-9E46-325FBBB61AD8}"/>
    <cellStyle name="Normal 4 2 4 4 3 2 5" xfId="11932" xr:uid="{075A6211-E837-4A3A-8B35-7C9DFA577D44}"/>
    <cellStyle name="Normal 4 2 4 4 3 3" xfId="5566" xr:uid="{00000000-0005-0000-0000-0000AD130000}"/>
    <cellStyle name="Normal 4 2 4 4 3 3 2" xfId="22443" xr:uid="{18C56DC4-B00D-4502-91F0-30C6742E1CA7}"/>
    <cellStyle name="Normal 4 2 4 4 3 3 3" xfId="30877" xr:uid="{23272008-2DC1-4C76-8B74-DF286AE028D9}"/>
    <cellStyle name="Normal 4 2 4 4 3 3 4" xfId="14005" xr:uid="{000951D3-E60B-4A6F-A624-F3B9AC82BCC4}"/>
    <cellStyle name="Normal 4 2 4 4 3 4" xfId="18225" xr:uid="{E07D3A67-924D-4282-8738-F35887139187}"/>
    <cellStyle name="Normal 4 2 4 4 3 5" xfId="26660" xr:uid="{A5996000-0779-40A4-A25F-6C0CD0E8112C}"/>
    <cellStyle name="Normal 4 2 4 4 3 6" xfId="9787" xr:uid="{177B1A00-C960-4AC5-AE80-1A2280A0E8D6}"/>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25001" xr:uid="{1B8F6C34-FD0A-450C-B8D9-C6968EFA5D5B}"/>
    <cellStyle name="Normal 4 2 4 4 4 2 2 3" xfId="33435" xr:uid="{0651731A-DAEC-45F9-897A-63BD7E74396C}"/>
    <cellStyle name="Normal 4 2 4 4 4 2 2 4" xfId="16563" xr:uid="{029F9B2E-3EC0-45CA-AEEA-F84032A61B46}"/>
    <cellStyle name="Normal 4 2 4 4 4 2 3" xfId="20783" xr:uid="{3BA0C81A-6902-4DC8-A7B9-A27024E9EC5A}"/>
    <cellStyle name="Normal 4 2 4 4 4 2 4" xfId="29218" xr:uid="{F29101BD-E8EF-4AAC-B9BE-E546C36C6F59}"/>
    <cellStyle name="Normal 4 2 4 4 4 2 5" xfId="12345" xr:uid="{CC0C6C17-696A-428A-9D2E-A38B6AC7E565}"/>
    <cellStyle name="Normal 4 2 4 4 4 3" xfId="5979" xr:uid="{00000000-0005-0000-0000-0000B1130000}"/>
    <cellStyle name="Normal 4 2 4 4 4 3 2" xfId="22856" xr:uid="{63B97AA4-AB29-4258-AE1F-B463627A9B40}"/>
    <cellStyle name="Normal 4 2 4 4 4 3 3" xfId="31290" xr:uid="{33FE74B9-403B-47E1-B4FF-9CD8374EA3CD}"/>
    <cellStyle name="Normal 4 2 4 4 4 3 4" xfId="14418" xr:uid="{97760940-529B-48D7-BD88-CF184BDCD653}"/>
    <cellStyle name="Normal 4 2 4 4 4 4" xfId="18638" xr:uid="{189714FF-1CA6-4732-B061-D1C26BF8E5E0}"/>
    <cellStyle name="Normal 4 2 4 4 4 5" xfId="27073" xr:uid="{EBA6CB02-948B-45D0-9C26-A4789C6ACE7A}"/>
    <cellStyle name="Normal 4 2 4 4 4 6" xfId="10200" xr:uid="{00EA7B0D-F1AA-493C-B5A2-C031E26042B7}"/>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25414" xr:uid="{547091AE-E23F-4D0E-9A18-C6CE44C3D0FA}"/>
    <cellStyle name="Normal 4 2 4 4 5 2 2 3" xfId="33848" xr:uid="{630057DD-BD28-4EC8-8CE6-6326D85A2F5F}"/>
    <cellStyle name="Normal 4 2 4 4 5 2 2 4" xfId="16976" xr:uid="{D30ABEDF-D9CB-4BCC-9BEE-0CC5D1FD14E3}"/>
    <cellStyle name="Normal 4 2 4 4 5 2 3" xfId="21196" xr:uid="{3EA1B7A9-5D3D-4812-9A83-20DDE3DBCF2F}"/>
    <cellStyle name="Normal 4 2 4 4 5 2 4" xfId="29631" xr:uid="{3FD2C4E0-6419-44E8-919A-00DC1DA66045}"/>
    <cellStyle name="Normal 4 2 4 4 5 2 5" xfId="12758" xr:uid="{FC3F7398-32E5-4C00-94C2-DB6A2FDCD936}"/>
    <cellStyle name="Normal 4 2 4 4 5 3" xfId="6392" xr:uid="{00000000-0005-0000-0000-0000B5130000}"/>
    <cellStyle name="Normal 4 2 4 4 5 3 2" xfId="23269" xr:uid="{D90B806F-9F69-4B7A-926F-025BC3AC563B}"/>
    <cellStyle name="Normal 4 2 4 4 5 3 3" xfId="31703" xr:uid="{873E8765-2732-4231-9AF2-FAB223C9C4CE}"/>
    <cellStyle name="Normal 4 2 4 4 5 3 4" xfId="14831" xr:uid="{414F9776-40D1-4B34-B7EE-6CC1CE107FFA}"/>
    <cellStyle name="Normal 4 2 4 4 5 4" xfId="19051" xr:uid="{9DE264D8-8D7D-45C5-AB8D-4DA85E295EDC}"/>
    <cellStyle name="Normal 4 2 4 4 5 5" xfId="27486" xr:uid="{CD02283D-A301-444A-8A35-1A503E71CDA1}"/>
    <cellStyle name="Normal 4 2 4 4 5 6" xfId="10613" xr:uid="{4C9A31F7-36EF-4B0F-B444-4975B2270C84}"/>
    <cellStyle name="Normal 4 2 4 4 6" xfId="2521" xr:uid="{00000000-0005-0000-0000-0000B6130000}"/>
    <cellStyle name="Normal 4 2 4 4 6 2" xfId="6805" xr:uid="{00000000-0005-0000-0000-0000B7130000}"/>
    <cellStyle name="Normal 4 2 4 4 6 2 2" xfId="23682" xr:uid="{D56C2BFA-6105-4945-9047-3E40922FD07B}"/>
    <cellStyle name="Normal 4 2 4 4 6 2 3" xfId="32116" xr:uid="{A152A72C-9B41-4595-A77D-2E91BAEE5E4A}"/>
    <cellStyle name="Normal 4 2 4 4 6 2 4" xfId="15244" xr:uid="{39CF0DF4-68D4-4441-A6EE-5797A55806CE}"/>
    <cellStyle name="Normal 4 2 4 4 6 3" xfId="19464" xr:uid="{F48B1260-B010-43B9-946C-5BF69F6750D9}"/>
    <cellStyle name="Normal 4 2 4 4 6 4" xfId="27899" xr:uid="{A959885C-6CB7-453C-9505-6433095E12DE}"/>
    <cellStyle name="Normal 4 2 4 4 6 5" xfId="11026" xr:uid="{368C612A-840D-4D98-9A11-00B9AFEB7931}"/>
    <cellStyle name="Normal 4 2 4 4 7" xfId="4740" xr:uid="{00000000-0005-0000-0000-0000B8130000}"/>
    <cellStyle name="Normal 4 2 4 4 7 2" xfId="21617" xr:uid="{5361F9FA-F397-4F69-BEBB-72665FD8E574}"/>
    <cellStyle name="Normal 4 2 4 4 7 3" xfId="30051" xr:uid="{3A1933D0-563B-40C5-ABEC-6D3359B916FE}"/>
    <cellStyle name="Normal 4 2 4 4 7 4" xfId="13179" xr:uid="{117D7C44-5B0F-411E-B8BA-6AC7400D62EE}"/>
    <cellStyle name="Normal 4 2 4 4 8" xfId="17399" xr:uid="{45644396-BD0E-4939-A37F-6D420E5C167D}"/>
    <cellStyle name="Normal 4 2 4 4 9" xfId="25834" xr:uid="{A959310A-E583-443A-B3D5-849479F7698D}"/>
    <cellStyle name="Normal 4 2 4 5" xfId="831" xr:uid="{00000000-0005-0000-0000-0000B9130000}"/>
    <cellStyle name="Normal 4 2 4 5 2" xfId="3068" xr:uid="{00000000-0005-0000-0000-0000BA130000}"/>
    <cellStyle name="Normal 4 2 4 5 2 2" xfId="7291" xr:uid="{00000000-0005-0000-0000-0000BB130000}"/>
    <cellStyle name="Normal 4 2 4 5 2 2 2" xfId="24168" xr:uid="{DF2CF2E2-F8EB-4227-AB0C-9E98BFD11E6D}"/>
    <cellStyle name="Normal 4 2 4 5 2 2 3" xfId="32602" xr:uid="{E8E42097-168E-41D9-BDA8-CBE88C91E571}"/>
    <cellStyle name="Normal 4 2 4 5 2 2 4" xfId="15730" xr:uid="{A940202C-E2EA-4501-867E-2A0CCDF22DE1}"/>
    <cellStyle name="Normal 4 2 4 5 2 3" xfId="19950" xr:uid="{2F6E7C53-7154-46D0-A452-1F65BF4E623A}"/>
    <cellStyle name="Normal 4 2 4 5 2 4" xfId="28385" xr:uid="{44A3DC19-4660-4F02-AEF1-51628F762712}"/>
    <cellStyle name="Normal 4 2 4 5 2 5" xfId="11512" xr:uid="{EBC84E0A-1768-4230-8B89-04A493E40D66}"/>
    <cellStyle name="Normal 4 2 4 5 3" xfId="5146" xr:uid="{00000000-0005-0000-0000-0000BC130000}"/>
    <cellStyle name="Normal 4 2 4 5 3 2" xfId="22023" xr:uid="{D02A7470-2DA8-4E96-86D8-DBA5018BF7BC}"/>
    <cellStyle name="Normal 4 2 4 5 3 3" xfId="30457" xr:uid="{2B24E4EA-4707-4F34-AE8C-A039644E1112}"/>
    <cellStyle name="Normal 4 2 4 5 3 4" xfId="13585" xr:uid="{EE05543C-628A-42D8-9D12-6A647D8C3687}"/>
    <cellStyle name="Normal 4 2 4 5 4" xfId="17805" xr:uid="{5E8CF090-5DC6-42AF-8C0C-E2385361AE99}"/>
    <cellStyle name="Normal 4 2 4 5 5" xfId="26240" xr:uid="{C765674E-9D31-4844-82F1-0555DEC99F12}"/>
    <cellStyle name="Normal 4 2 4 5 6" xfId="9367" xr:uid="{0DBDC1C0-4658-499A-966C-5DA9A153511F}"/>
    <cellStyle name="Normal 4 2 4 6" xfId="1251" xr:uid="{00000000-0005-0000-0000-0000BD130000}"/>
    <cellStyle name="Normal 4 2 4 6 2" xfId="3481" xr:uid="{00000000-0005-0000-0000-0000BE130000}"/>
    <cellStyle name="Normal 4 2 4 6 2 2" xfId="7704" xr:uid="{00000000-0005-0000-0000-0000BF130000}"/>
    <cellStyle name="Normal 4 2 4 6 2 2 2" xfId="24581" xr:uid="{DCD2CD57-DE50-4E11-9D41-B53A2DB2CF6E}"/>
    <cellStyle name="Normal 4 2 4 6 2 2 3" xfId="33015" xr:uid="{F0CE3212-5FB7-4E1C-B340-9F8642EB6B09}"/>
    <cellStyle name="Normal 4 2 4 6 2 2 4" xfId="16143" xr:uid="{6A9F181A-6D05-4CAD-841A-DF2A20E043FD}"/>
    <cellStyle name="Normal 4 2 4 6 2 3" xfId="20363" xr:uid="{FE1F2838-DDB4-4F81-896B-011A141910FE}"/>
    <cellStyle name="Normal 4 2 4 6 2 4" xfId="28798" xr:uid="{F3AA4E04-B14C-4244-8E7C-06CDFA81405F}"/>
    <cellStyle name="Normal 4 2 4 6 2 5" xfId="11925" xr:uid="{3B2F6149-AEFB-4E85-84EC-BE7A103BDA23}"/>
    <cellStyle name="Normal 4 2 4 6 3" xfId="5559" xr:uid="{00000000-0005-0000-0000-0000C0130000}"/>
    <cellStyle name="Normal 4 2 4 6 3 2" xfId="22436" xr:uid="{4D9E6AA4-2F7B-4373-97F4-90937D7EBB59}"/>
    <cellStyle name="Normal 4 2 4 6 3 3" xfId="30870" xr:uid="{497B2C2F-6D1A-43E2-AA3C-3D45DB813D11}"/>
    <cellStyle name="Normal 4 2 4 6 3 4" xfId="13998" xr:uid="{0B4A4373-49A7-4AB6-A542-9BC81A7FFF59}"/>
    <cellStyle name="Normal 4 2 4 6 4" xfId="18218" xr:uid="{72024997-2AB0-4B83-B5C9-51543B97D896}"/>
    <cellStyle name="Normal 4 2 4 6 5" xfId="26653" xr:uid="{5526B9EC-394B-41D2-A72B-CBBFC4D04ABD}"/>
    <cellStyle name="Normal 4 2 4 6 6" xfId="9780" xr:uid="{C7ADB095-739B-4857-84D8-D7536C3D30DA}"/>
    <cellStyle name="Normal 4 2 4 7" xfId="1664" xr:uid="{00000000-0005-0000-0000-0000C1130000}"/>
    <cellStyle name="Normal 4 2 4 7 2" xfId="3894" xr:uid="{00000000-0005-0000-0000-0000C2130000}"/>
    <cellStyle name="Normal 4 2 4 7 2 2" xfId="8117" xr:uid="{00000000-0005-0000-0000-0000C3130000}"/>
    <cellStyle name="Normal 4 2 4 7 2 2 2" xfId="24994" xr:uid="{7F5E4BD6-F4B5-4616-944C-F24D0C9B3411}"/>
    <cellStyle name="Normal 4 2 4 7 2 2 3" xfId="33428" xr:uid="{196F1BD6-D73F-41D8-8D73-EA554C750C52}"/>
    <cellStyle name="Normal 4 2 4 7 2 2 4" xfId="16556" xr:uid="{B4990411-D9CB-4989-A5D7-E0A2F3342FF3}"/>
    <cellStyle name="Normal 4 2 4 7 2 3" xfId="20776" xr:uid="{ECAC71AE-877F-48D9-9A22-3FF79D65D7B0}"/>
    <cellStyle name="Normal 4 2 4 7 2 4" xfId="29211" xr:uid="{269199E9-80E0-4913-8ACC-DEB70F0B41EC}"/>
    <cellStyle name="Normal 4 2 4 7 2 5" xfId="12338" xr:uid="{F9B19E4C-99CE-40AC-9A97-A3E3B2AF41BF}"/>
    <cellStyle name="Normal 4 2 4 7 3" xfId="5972" xr:uid="{00000000-0005-0000-0000-0000C4130000}"/>
    <cellStyle name="Normal 4 2 4 7 3 2" xfId="22849" xr:uid="{CC8B80DA-559D-4D95-9F2E-4809CC368D46}"/>
    <cellStyle name="Normal 4 2 4 7 3 3" xfId="31283" xr:uid="{54239DAF-67FB-4EAC-A1E6-B568D2CC54E7}"/>
    <cellStyle name="Normal 4 2 4 7 3 4" xfId="14411" xr:uid="{9A6B5B10-3CD4-49B1-8921-9C46A0E0B995}"/>
    <cellStyle name="Normal 4 2 4 7 4" xfId="18631" xr:uid="{2F10F355-BA6C-40E5-9E85-B03591FFF209}"/>
    <cellStyle name="Normal 4 2 4 7 5" xfId="27066" xr:uid="{550F553F-5EC3-46AD-9373-02043FF66B52}"/>
    <cellStyle name="Normal 4 2 4 7 6" xfId="10193" xr:uid="{7C7BC213-88A8-4FE0-A100-A2263B939B4A}"/>
    <cellStyle name="Normal 4 2 4 8" xfId="2078" xr:uid="{00000000-0005-0000-0000-0000C5130000}"/>
    <cellStyle name="Normal 4 2 4 8 2" xfId="4307" xr:uid="{00000000-0005-0000-0000-0000C6130000}"/>
    <cellStyle name="Normal 4 2 4 8 2 2" xfId="8530" xr:uid="{00000000-0005-0000-0000-0000C7130000}"/>
    <cellStyle name="Normal 4 2 4 8 2 2 2" xfId="25407" xr:uid="{589688E7-4405-414B-BF45-E860D9A11A61}"/>
    <cellStyle name="Normal 4 2 4 8 2 2 3" xfId="33841" xr:uid="{8762E767-FBC8-4188-A5DA-73D7F95499EB}"/>
    <cellStyle name="Normal 4 2 4 8 2 2 4" xfId="16969" xr:uid="{7A46B452-107C-408F-A435-CBD6DFEEAB9C}"/>
    <cellStyle name="Normal 4 2 4 8 2 3" xfId="21189" xr:uid="{9A77BF47-97DE-488E-A31E-7F3BC37D4CCA}"/>
    <cellStyle name="Normal 4 2 4 8 2 4" xfId="29624" xr:uid="{C14D3044-03B7-4F55-BB93-02F8589A2E3E}"/>
    <cellStyle name="Normal 4 2 4 8 2 5" xfId="12751" xr:uid="{C1BC0193-A62E-46CD-A9B8-862B6AB4FDC8}"/>
    <cellStyle name="Normal 4 2 4 8 3" xfId="6385" xr:uid="{00000000-0005-0000-0000-0000C8130000}"/>
    <cellStyle name="Normal 4 2 4 8 3 2" xfId="23262" xr:uid="{0BB686D4-C8A7-4506-A010-3838B07D6B32}"/>
    <cellStyle name="Normal 4 2 4 8 3 3" xfId="31696" xr:uid="{76F2A13D-AC02-46B3-939A-B76BF862046C}"/>
    <cellStyle name="Normal 4 2 4 8 3 4" xfId="14824" xr:uid="{443738B2-4996-4E31-B241-91B083BAF9E0}"/>
    <cellStyle name="Normal 4 2 4 8 4" xfId="19044" xr:uid="{38859013-5BF4-4FC9-8614-D2AF90309D5C}"/>
    <cellStyle name="Normal 4 2 4 8 5" xfId="27479" xr:uid="{0D2BC8FC-2BB8-4A60-A86B-9DB367DFEFF1}"/>
    <cellStyle name="Normal 4 2 4 8 6" xfId="10606" xr:uid="{BDF9A32A-4EA4-4DA8-9106-5B96B043E6FC}"/>
    <cellStyle name="Normal 4 2 4 9" xfId="2514" xr:uid="{00000000-0005-0000-0000-0000C9130000}"/>
    <cellStyle name="Normal 4 2 4 9 2" xfId="6798" xr:uid="{00000000-0005-0000-0000-0000CA130000}"/>
    <cellStyle name="Normal 4 2 4 9 2 2" xfId="23675" xr:uid="{F4197854-BB7E-4F56-88FE-1B9ED4B60F57}"/>
    <cellStyle name="Normal 4 2 4 9 2 3" xfId="32109" xr:uid="{7D161DC2-9EC5-459B-852B-0609FB010A6F}"/>
    <cellStyle name="Normal 4 2 4 9 2 4" xfId="15237" xr:uid="{03737E57-4F86-48D7-89CE-025AED19119D}"/>
    <cellStyle name="Normal 4 2 4 9 3" xfId="19457" xr:uid="{72CADA86-ADC0-4E15-ACC5-5C0243A64E56}"/>
    <cellStyle name="Normal 4 2 4 9 4" xfId="27892" xr:uid="{3F4B4FD1-C696-4569-8F26-AA01D7C16659}"/>
    <cellStyle name="Normal 4 2 4 9 5" xfId="11019" xr:uid="{3E37BE93-1BF1-4FC9-AB72-3FF54E4776EB}"/>
    <cellStyle name="Normal 4 2 5" xfId="363" xr:uid="{00000000-0005-0000-0000-0000CB130000}"/>
    <cellStyle name="Normal 4 2 5 10" xfId="25835" xr:uid="{523B28AA-6B19-4B17-812C-87754AAFE54F}"/>
    <cellStyle name="Normal 4 2 5 11" xfId="8962" xr:uid="{C707F909-5FD4-4FA0-853B-D7A7FD831727}"/>
    <cellStyle name="Normal 4 2 5 2" xfId="364" xr:uid="{00000000-0005-0000-0000-0000CC130000}"/>
    <cellStyle name="Normal 4 2 5 2 10" xfId="8963" xr:uid="{53E6F1C7-C5D1-4CCC-83D8-E6239C4040FB}"/>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24177" xr:uid="{8D41CCAA-0200-4718-81D1-C55191534F8B}"/>
    <cellStyle name="Normal 4 2 5 2 2 2 2 3" xfId="32611" xr:uid="{276E4BA9-A3F1-4CB4-8FDF-4F2845DD178E}"/>
    <cellStyle name="Normal 4 2 5 2 2 2 2 4" xfId="15739" xr:uid="{A445EC13-3BEA-4113-BBD9-A4E4BEDD706B}"/>
    <cellStyle name="Normal 4 2 5 2 2 2 3" xfId="19959" xr:uid="{CC43D17D-BFFC-408B-B0F5-A71E02A35337}"/>
    <cellStyle name="Normal 4 2 5 2 2 2 4" xfId="28394" xr:uid="{89B1804F-63B9-489F-8B2B-D1CEAF6D268F}"/>
    <cellStyle name="Normal 4 2 5 2 2 2 5" xfId="11521" xr:uid="{A800CE96-D23C-48E3-86FE-1E8019992212}"/>
    <cellStyle name="Normal 4 2 5 2 2 3" xfId="5155" xr:uid="{00000000-0005-0000-0000-0000D0130000}"/>
    <cellStyle name="Normal 4 2 5 2 2 3 2" xfId="22032" xr:uid="{B2936F1F-F00F-4401-BB5D-45E1428CF03F}"/>
    <cellStyle name="Normal 4 2 5 2 2 3 3" xfId="30466" xr:uid="{54D1C0AC-2A3E-4DB2-A1BC-6E0110423E31}"/>
    <cellStyle name="Normal 4 2 5 2 2 3 4" xfId="13594" xr:uid="{9BBEAF61-288F-4DE1-B088-DD0807FB78E5}"/>
    <cellStyle name="Normal 4 2 5 2 2 4" xfId="17814" xr:uid="{D1BC7F43-FBF7-4C08-BC23-B6A243675B12}"/>
    <cellStyle name="Normal 4 2 5 2 2 5" xfId="26249" xr:uid="{42F102FE-0FEA-4311-ADA6-5380BD4AE46D}"/>
    <cellStyle name="Normal 4 2 5 2 2 6" xfId="9376" xr:uid="{531BF952-8CAD-44E2-B634-510C83ACDD25}"/>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24590" xr:uid="{B571F265-FCFB-466B-B661-4010FEB8E8A9}"/>
    <cellStyle name="Normal 4 2 5 2 3 2 2 3" xfId="33024" xr:uid="{6447CEF5-497C-47F8-89E3-64B422F28140}"/>
    <cellStyle name="Normal 4 2 5 2 3 2 2 4" xfId="16152" xr:uid="{A064775B-8898-439B-BE52-624FD7F70644}"/>
    <cellStyle name="Normal 4 2 5 2 3 2 3" xfId="20372" xr:uid="{55E7EA43-F209-4DF3-B672-9E6BE1F02E86}"/>
    <cellStyle name="Normal 4 2 5 2 3 2 4" xfId="28807" xr:uid="{5EAAED4A-3AED-469A-AF12-241831783C87}"/>
    <cellStyle name="Normal 4 2 5 2 3 2 5" xfId="11934" xr:uid="{4FBDE392-FEE5-4F9A-B0FF-321A88A65A6F}"/>
    <cellStyle name="Normal 4 2 5 2 3 3" xfId="5568" xr:uid="{00000000-0005-0000-0000-0000D4130000}"/>
    <cellStyle name="Normal 4 2 5 2 3 3 2" xfId="22445" xr:uid="{C8063694-3297-4340-9B1E-76A688F286BC}"/>
    <cellStyle name="Normal 4 2 5 2 3 3 3" xfId="30879" xr:uid="{75F16401-D1E4-4167-A3C9-AFB3D0A9794E}"/>
    <cellStyle name="Normal 4 2 5 2 3 3 4" xfId="14007" xr:uid="{8B422FC5-E778-4E76-8809-24C3C385DB7B}"/>
    <cellStyle name="Normal 4 2 5 2 3 4" xfId="18227" xr:uid="{82E7D1D8-7E0A-4F08-9586-FB0A850C60C1}"/>
    <cellStyle name="Normal 4 2 5 2 3 5" xfId="26662" xr:uid="{B34CA34E-FBA8-4DDA-9709-4E9AED2E6556}"/>
    <cellStyle name="Normal 4 2 5 2 3 6" xfId="9789" xr:uid="{DDFC1DA5-22C2-420A-BEED-067C82D925E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25003" xr:uid="{0111C0E6-F15E-425D-81F8-96E6A510254C}"/>
    <cellStyle name="Normal 4 2 5 2 4 2 2 3" xfId="33437" xr:uid="{32AA49F6-E3CC-4B2A-B9FE-C45A9E3C8DD8}"/>
    <cellStyle name="Normal 4 2 5 2 4 2 2 4" xfId="16565" xr:uid="{8B7B7649-D4EE-4B76-AF5F-D6E9FA5D7E4F}"/>
    <cellStyle name="Normal 4 2 5 2 4 2 3" xfId="20785" xr:uid="{621EB5AB-4318-49EE-891D-F096FBD740F7}"/>
    <cellStyle name="Normal 4 2 5 2 4 2 4" xfId="29220" xr:uid="{F5CA7DB1-6B76-439B-8791-197A9788A5E5}"/>
    <cellStyle name="Normal 4 2 5 2 4 2 5" xfId="12347" xr:uid="{2F65D28E-0B60-4B1F-BAB6-ABDDDF92DE5C}"/>
    <cellStyle name="Normal 4 2 5 2 4 3" xfId="5981" xr:uid="{00000000-0005-0000-0000-0000D8130000}"/>
    <cellStyle name="Normal 4 2 5 2 4 3 2" xfId="22858" xr:uid="{99B4E7C3-5C13-4D1C-92DD-F31ECE5CF13A}"/>
    <cellStyle name="Normal 4 2 5 2 4 3 3" xfId="31292" xr:uid="{DB7F6D2C-425E-45DA-9C45-F5F633135281}"/>
    <cellStyle name="Normal 4 2 5 2 4 3 4" xfId="14420" xr:uid="{29133C9C-9ACA-4055-A828-5872E242DD82}"/>
    <cellStyle name="Normal 4 2 5 2 4 4" xfId="18640" xr:uid="{CA677C40-032C-4DDE-8F9E-C073FF768310}"/>
    <cellStyle name="Normal 4 2 5 2 4 5" xfId="27075" xr:uid="{9BAB8235-5075-47BF-9824-9CB19B9E02C5}"/>
    <cellStyle name="Normal 4 2 5 2 4 6" xfId="10202" xr:uid="{92BE0302-F240-4DCB-A2FE-81438C828900}"/>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25416" xr:uid="{D507CAA6-568F-48D8-99A9-7A7983EC690D}"/>
    <cellStyle name="Normal 4 2 5 2 5 2 2 3" xfId="33850" xr:uid="{FA58C922-CA5D-40FE-A1BE-A96A919E5EB1}"/>
    <cellStyle name="Normal 4 2 5 2 5 2 2 4" xfId="16978" xr:uid="{170A48C5-E014-4A44-8BE1-790D30A1E4EF}"/>
    <cellStyle name="Normal 4 2 5 2 5 2 3" xfId="21198" xr:uid="{55E548E4-495B-465E-9883-0BDC52082011}"/>
    <cellStyle name="Normal 4 2 5 2 5 2 4" xfId="29633" xr:uid="{E133F1E5-5D87-4063-A89D-444ED26FDC35}"/>
    <cellStyle name="Normal 4 2 5 2 5 2 5" xfId="12760" xr:uid="{ACD45AB3-467B-4FF4-B91F-8FB6428B3B3C}"/>
    <cellStyle name="Normal 4 2 5 2 5 3" xfId="6394" xr:uid="{00000000-0005-0000-0000-0000DC130000}"/>
    <cellStyle name="Normal 4 2 5 2 5 3 2" xfId="23271" xr:uid="{53AB09C7-132C-492B-B73D-B9C0C5B6AEB1}"/>
    <cellStyle name="Normal 4 2 5 2 5 3 3" xfId="31705" xr:uid="{DFD90AA3-59F6-4B6C-8457-65DAEFF674A4}"/>
    <cellStyle name="Normal 4 2 5 2 5 3 4" xfId="14833" xr:uid="{A28B7C26-7A07-442D-8763-FC1E3ED8B88B}"/>
    <cellStyle name="Normal 4 2 5 2 5 4" xfId="19053" xr:uid="{D5817718-CC84-464D-B035-E029A0BDEF17}"/>
    <cellStyle name="Normal 4 2 5 2 5 5" xfId="27488" xr:uid="{7060108B-08A3-40FD-8F67-9E42A559A8A1}"/>
    <cellStyle name="Normal 4 2 5 2 5 6" xfId="10615" xr:uid="{8230298A-622E-4F4D-BEB5-589A608E371D}"/>
    <cellStyle name="Normal 4 2 5 2 6" xfId="2523" xr:uid="{00000000-0005-0000-0000-0000DD130000}"/>
    <cellStyle name="Normal 4 2 5 2 6 2" xfId="6807" xr:uid="{00000000-0005-0000-0000-0000DE130000}"/>
    <cellStyle name="Normal 4 2 5 2 6 2 2" xfId="23684" xr:uid="{F143F08E-65C1-462F-BB4C-CE2D955D890A}"/>
    <cellStyle name="Normal 4 2 5 2 6 2 3" xfId="32118" xr:uid="{E03F33CF-EC1D-4C23-8EBB-90136114262E}"/>
    <cellStyle name="Normal 4 2 5 2 6 2 4" xfId="15246" xr:uid="{658C7E50-93FC-4FFC-A52D-F9DA1491C743}"/>
    <cellStyle name="Normal 4 2 5 2 6 3" xfId="19466" xr:uid="{5440972A-3634-439C-8B84-732A218EB95E}"/>
    <cellStyle name="Normal 4 2 5 2 6 4" xfId="27901" xr:uid="{9AA878B1-4CC3-403D-A588-0E6BD513599E}"/>
    <cellStyle name="Normal 4 2 5 2 6 5" xfId="11028" xr:uid="{F7D1FF20-A9A6-4DCC-8E66-F9A8589674EE}"/>
    <cellStyle name="Normal 4 2 5 2 7" xfId="4742" xr:uid="{00000000-0005-0000-0000-0000DF130000}"/>
    <cellStyle name="Normal 4 2 5 2 7 2" xfId="21619" xr:uid="{53DFE9C5-9A33-4BAE-9134-70EFFF72E09F}"/>
    <cellStyle name="Normal 4 2 5 2 7 3" xfId="30053" xr:uid="{32860691-6F36-4DBE-92B2-B7C037C9A042}"/>
    <cellStyle name="Normal 4 2 5 2 7 4" xfId="13181" xr:uid="{A8D7B7A1-DB9A-48FF-9756-552DD8365848}"/>
    <cellStyle name="Normal 4 2 5 2 8" xfId="17401" xr:uid="{B603444A-BAD8-447B-AA9B-C8C321557152}"/>
    <cellStyle name="Normal 4 2 5 2 9" xfId="25836" xr:uid="{422044AF-8B68-4FEF-A8A5-CAD3AA6B5FC2}"/>
    <cellStyle name="Normal 4 2 5 3" xfId="839" xr:uid="{00000000-0005-0000-0000-0000E0130000}"/>
    <cellStyle name="Normal 4 2 5 3 2" xfId="3076" xr:uid="{00000000-0005-0000-0000-0000E1130000}"/>
    <cellStyle name="Normal 4 2 5 3 2 2" xfId="7299" xr:uid="{00000000-0005-0000-0000-0000E2130000}"/>
    <cellStyle name="Normal 4 2 5 3 2 2 2" xfId="24176" xr:uid="{84613FB0-2406-4BB0-90D8-7B4B0762D908}"/>
    <cellStyle name="Normal 4 2 5 3 2 2 3" xfId="32610" xr:uid="{E6CB1946-FE10-4078-B7B1-ECCC2E6D1789}"/>
    <cellStyle name="Normal 4 2 5 3 2 2 4" xfId="15738" xr:uid="{020D6395-EE0D-472E-9A13-6D3C82B51D91}"/>
    <cellStyle name="Normal 4 2 5 3 2 3" xfId="19958" xr:uid="{22F04B96-F007-45B7-9ED2-CD475A4F50D5}"/>
    <cellStyle name="Normal 4 2 5 3 2 4" xfId="28393" xr:uid="{BA71D13E-28C9-4E3C-9F42-7F4FA9F426A9}"/>
    <cellStyle name="Normal 4 2 5 3 2 5" xfId="11520" xr:uid="{186D2CF5-47D7-499C-AE04-9FEFB0B8D43B}"/>
    <cellStyle name="Normal 4 2 5 3 3" xfId="5154" xr:uid="{00000000-0005-0000-0000-0000E3130000}"/>
    <cellStyle name="Normal 4 2 5 3 3 2" xfId="22031" xr:uid="{FDDD8A47-ACA1-4767-A50B-4121E21DC48C}"/>
    <cellStyle name="Normal 4 2 5 3 3 3" xfId="30465" xr:uid="{37FC4514-7574-4A63-B686-F36767DDF9EE}"/>
    <cellStyle name="Normal 4 2 5 3 3 4" xfId="13593" xr:uid="{B08C6D81-2A12-4D6A-95BC-7BC44DE34B45}"/>
    <cellStyle name="Normal 4 2 5 3 4" xfId="17813" xr:uid="{6F3FA8DF-6F9C-4ED5-80EA-D846FDB69E23}"/>
    <cellStyle name="Normal 4 2 5 3 5" xfId="26248" xr:uid="{3847DF67-219E-4B08-95C5-37FE99EE0D91}"/>
    <cellStyle name="Normal 4 2 5 3 6" xfId="9375" xr:uid="{F9553AC5-20BD-4C4A-B515-2DF6233F256F}"/>
    <cellStyle name="Normal 4 2 5 4" xfId="1259" xr:uid="{00000000-0005-0000-0000-0000E4130000}"/>
    <cellStyle name="Normal 4 2 5 4 2" xfId="3489" xr:uid="{00000000-0005-0000-0000-0000E5130000}"/>
    <cellStyle name="Normal 4 2 5 4 2 2" xfId="7712" xr:uid="{00000000-0005-0000-0000-0000E6130000}"/>
    <cellStyle name="Normal 4 2 5 4 2 2 2" xfId="24589" xr:uid="{3A5AB780-5A9C-4136-A2A5-24722CD4CDA9}"/>
    <cellStyle name="Normal 4 2 5 4 2 2 3" xfId="33023" xr:uid="{9318DA47-23AC-4D5A-9683-49171BDDE102}"/>
    <cellStyle name="Normal 4 2 5 4 2 2 4" xfId="16151" xr:uid="{216DD63F-3150-44A6-99C7-97CFE727BF63}"/>
    <cellStyle name="Normal 4 2 5 4 2 3" xfId="20371" xr:uid="{177860B1-684A-4BB7-B209-664DC96337D3}"/>
    <cellStyle name="Normal 4 2 5 4 2 4" xfId="28806" xr:uid="{E5CDB679-1808-4FCC-A79A-581C64D2FF3E}"/>
    <cellStyle name="Normal 4 2 5 4 2 5" xfId="11933" xr:uid="{C5113262-5D5A-401E-BFF7-C0EBE86AEEC9}"/>
    <cellStyle name="Normal 4 2 5 4 3" xfId="5567" xr:uid="{00000000-0005-0000-0000-0000E7130000}"/>
    <cellStyle name="Normal 4 2 5 4 3 2" xfId="22444" xr:uid="{DAB0649D-C293-4724-9D87-6B64E83B3EBC}"/>
    <cellStyle name="Normal 4 2 5 4 3 3" xfId="30878" xr:uid="{792D18E8-D1AE-4437-9ABC-E0DB8EF2F2B6}"/>
    <cellStyle name="Normal 4 2 5 4 3 4" xfId="14006" xr:uid="{1F871E0B-F7E0-41BE-9E13-0E2CFD5B03E4}"/>
    <cellStyle name="Normal 4 2 5 4 4" xfId="18226" xr:uid="{CC7EE77F-5823-473C-A5D1-F549C7D65A8B}"/>
    <cellStyle name="Normal 4 2 5 4 5" xfId="26661" xr:uid="{83BF78A6-B38E-4F6D-8B37-01DA462BE1AB}"/>
    <cellStyle name="Normal 4 2 5 4 6" xfId="9788" xr:uid="{84FA236D-6579-455D-B646-3F7C9743E0C9}"/>
    <cellStyle name="Normal 4 2 5 5" xfId="1672" xr:uid="{00000000-0005-0000-0000-0000E8130000}"/>
    <cellStyle name="Normal 4 2 5 5 2" xfId="3902" xr:uid="{00000000-0005-0000-0000-0000E9130000}"/>
    <cellStyle name="Normal 4 2 5 5 2 2" xfId="8125" xr:uid="{00000000-0005-0000-0000-0000EA130000}"/>
    <cellStyle name="Normal 4 2 5 5 2 2 2" xfId="25002" xr:uid="{D832945B-AA71-43DF-9C9F-4F8296959FBC}"/>
    <cellStyle name="Normal 4 2 5 5 2 2 3" xfId="33436" xr:uid="{7D6AE0DD-8B87-483D-B841-19039855B170}"/>
    <cellStyle name="Normal 4 2 5 5 2 2 4" xfId="16564" xr:uid="{0519DCD3-4C0D-4815-909E-DCA17CDE8BF0}"/>
    <cellStyle name="Normal 4 2 5 5 2 3" xfId="20784" xr:uid="{94118325-7ACF-4919-8817-3DFD8532E4B7}"/>
    <cellStyle name="Normal 4 2 5 5 2 4" xfId="29219" xr:uid="{9FEDFA62-B96C-4FAE-B45F-D631EA284A98}"/>
    <cellStyle name="Normal 4 2 5 5 2 5" xfId="12346" xr:uid="{D0295857-C2D6-485E-8C29-B5BDF6121C78}"/>
    <cellStyle name="Normal 4 2 5 5 3" xfId="5980" xr:uid="{00000000-0005-0000-0000-0000EB130000}"/>
    <cellStyle name="Normal 4 2 5 5 3 2" xfId="22857" xr:uid="{5071584D-D7F1-4A1B-AC39-BC43868F963C}"/>
    <cellStyle name="Normal 4 2 5 5 3 3" xfId="31291" xr:uid="{D7EAE0C5-5280-46C0-81BE-8212ED41FFD8}"/>
    <cellStyle name="Normal 4 2 5 5 3 4" xfId="14419" xr:uid="{99F989E7-48B3-4F55-9083-0B42F84312BF}"/>
    <cellStyle name="Normal 4 2 5 5 4" xfId="18639" xr:uid="{7F0CA772-E8C8-4C4C-9E72-FA22DCC1C087}"/>
    <cellStyle name="Normal 4 2 5 5 5" xfId="27074" xr:uid="{81E1105A-FF1F-4E56-8B47-E1FC0A098F74}"/>
    <cellStyle name="Normal 4 2 5 5 6" xfId="10201" xr:uid="{57D1C0D1-EC47-422C-BC4A-EB8245E286C0}"/>
    <cellStyle name="Normal 4 2 5 6" xfId="2086" xr:uid="{00000000-0005-0000-0000-0000EC130000}"/>
    <cellStyle name="Normal 4 2 5 6 2" xfId="4315" xr:uid="{00000000-0005-0000-0000-0000ED130000}"/>
    <cellStyle name="Normal 4 2 5 6 2 2" xfId="8538" xr:uid="{00000000-0005-0000-0000-0000EE130000}"/>
    <cellStyle name="Normal 4 2 5 6 2 2 2" xfId="25415" xr:uid="{64341C92-FB26-4853-915D-C85D8B566456}"/>
    <cellStyle name="Normal 4 2 5 6 2 2 3" xfId="33849" xr:uid="{087341B4-BF2F-425A-8375-432616F0AD50}"/>
    <cellStyle name="Normal 4 2 5 6 2 2 4" xfId="16977" xr:uid="{C3FFB4C5-2E59-45C4-8388-7F5FB49BC5D8}"/>
    <cellStyle name="Normal 4 2 5 6 2 3" xfId="21197" xr:uid="{EE92B92D-3258-4D8C-B504-B5577325AC25}"/>
    <cellStyle name="Normal 4 2 5 6 2 4" xfId="29632" xr:uid="{05F0A384-F430-494D-829C-6C2D41383BDB}"/>
    <cellStyle name="Normal 4 2 5 6 2 5" xfId="12759" xr:uid="{4975FCEE-0AD2-4234-B2EC-76E36838B8A2}"/>
    <cellStyle name="Normal 4 2 5 6 3" xfId="6393" xr:uid="{00000000-0005-0000-0000-0000EF130000}"/>
    <cellStyle name="Normal 4 2 5 6 3 2" xfId="23270" xr:uid="{6CB2D759-8CE9-40A4-8FD8-58832CED717D}"/>
    <cellStyle name="Normal 4 2 5 6 3 3" xfId="31704" xr:uid="{77F96D16-DDFA-46A7-ACA6-EA41A7C86890}"/>
    <cellStyle name="Normal 4 2 5 6 3 4" xfId="14832" xr:uid="{91296769-F7FA-4B21-88F7-16DA0F5729AB}"/>
    <cellStyle name="Normal 4 2 5 6 4" xfId="19052" xr:uid="{038F2E47-A34B-4ED8-8875-15AEE89595BA}"/>
    <cellStyle name="Normal 4 2 5 6 5" xfId="27487" xr:uid="{8C82E271-7083-4503-A4B6-80F798D59EE5}"/>
    <cellStyle name="Normal 4 2 5 6 6" xfId="10614" xr:uid="{13555520-94AA-4E29-91CC-5452F8508A66}"/>
    <cellStyle name="Normal 4 2 5 7" xfId="2522" xr:uid="{00000000-0005-0000-0000-0000F0130000}"/>
    <cellStyle name="Normal 4 2 5 7 2" xfId="6806" xr:uid="{00000000-0005-0000-0000-0000F1130000}"/>
    <cellStyle name="Normal 4 2 5 7 2 2" xfId="23683" xr:uid="{B62832B2-94A8-4955-BDEB-ABB8D01B2F4B}"/>
    <cellStyle name="Normal 4 2 5 7 2 3" xfId="32117" xr:uid="{93B54AE2-5E2F-404C-B62E-138F61B5C81C}"/>
    <cellStyle name="Normal 4 2 5 7 2 4" xfId="15245" xr:uid="{B086CE54-74B6-45DB-9252-7F32DF41B1C3}"/>
    <cellStyle name="Normal 4 2 5 7 3" xfId="19465" xr:uid="{B4FEB234-637A-467A-8ACD-5FBF93CFBFCE}"/>
    <cellStyle name="Normal 4 2 5 7 4" xfId="27900" xr:uid="{162D37D0-C059-4770-9D25-E0E8FFFB69E3}"/>
    <cellStyle name="Normal 4 2 5 7 5" xfId="11027" xr:uid="{759B462E-6B1E-4774-A9D1-762BA81FDBB4}"/>
    <cellStyle name="Normal 4 2 5 8" xfId="4741" xr:uid="{00000000-0005-0000-0000-0000F2130000}"/>
    <cellStyle name="Normal 4 2 5 8 2" xfId="21618" xr:uid="{D8CA5B10-7251-468D-9B71-4CF0BD934030}"/>
    <cellStyle name="Normal 4 2 5 8 3" xfId="30052" xr:uid="{F5EA118D-8848-4C9F-9DEA-B0B35754C2A2}"/>
    <cellStyle name="Normal 4 2 5 8 4" xfId="13180" xr:uid="{73D97EE7-94C3-4504-BB37-1E3481E7F6D0}"/>
    <cellStyle name="Normal 4 2 5 9" xfId="17400" xr:uid="{2D01C75C-F14B-4830-B480-05C8278EB527}"/>
    <cellStyle name="Normal 4 2 6" xfId="365" xr:uid="{00000000-0005-0000-0000-0000F3130000}"/>
    <cellStyle name="Normal 4 2 6 10" xfId="8964" xr:uid="{940522A7-B499-4319-B3ED-9117213E52A9}"/>
    <cellStyle name="Normal 4 2 6 2" xfId="841" xr:uid="{00000000-0005-0000-0000-0000F4130000}"/>
    <cellStyle name="Normal 4 2 6 2 2" xfId="3078" xr:uid="{00000000-0005-0000-0000-0000F5130000}"/>
    <cellStyle name="Normal 4 2 6 2 2 2" xfId="7301" xr:uid="{00000000-0005-0000-0000-0000F6130000}"/>
    <cellStyle name="Normal 4 2 6 2 2 2 2" xfId="24178" xr:uid="{A7920AB6-94D1-4DE3-A478-0362DBB62287}"/>
    <cellStyle name="Normal 4 2 6 2 2 2 3" xfId="32612" xr:uid="{28A927FB-0B5D-4547-87C6-8676272DD831}"/>
    <cellStyle name="Normal 4 2 6 2 2 2 4" xfId="15740" xr:uid="{C4FD3B35-08D3-4562-8AE8-567D41ED9143}"/>
    <cellStyle name="Normal 4 2 6 2 2 3" xfId="19960" xr:uid="{837AFD5B-F5AA-46C6-8700-B7C9E72810E8}"/>
    <cellStyle name="Normal 4 2 6 2 2 4" xfId="28395" xr:uid="{A475A707-958C-42A6-966B-B33827ECF557}"/>
    <cellStyle name="Normal 4 2 6 2 2 5" xfId="11522" xr:uid="{7F273EF8-B931-4F49-93B5-EE894FB05DB6}"/>
    <cellStyle name="Normal 4 2 6 2 3" xfId="5156" xr:uid="{00000000-0005-0000-0000-0000F7130000}"/>
    <cellStyle name="Normal 4 2 6 2 3 2" xfId="22033" xr:uid="{AF10AA2F-C73D-4572-B32B-E49A71B07729}"/>
    <cellStyle name="Normal 4 2 6 2 3 3" xfId="30467" xr:uid="{7CAB2AE8-DE24-4B69-99FE-D271D9F55FB0}"/>
    <cellStyle name="Normal 4 2 6 2 3 4" xfId="13595" xr:uid="{B382B7DB-0FE6-490D-9CD5-BFA817F70035}"/>
    <cellStyle name="Normal 4 2 6 2 4" xfId="17815" xr:uid="{971EB1A6-8A6A-4DFE-813B-C52707B55694}"/>
    <cellStyle name="Normal 4 2 6 2 5" xfId="26250" xr:uid="{CB36B0AC-146B-45C5-B5D6-F1F0E66266A9}"/>
    <cellStyle name="Normal 4 2 6 2 6" xfId="9377" xr:uid="{65E2906E-DAAA-4F03-9731-8ECE2166D9B9}"/>
    <cellStyle name="Normal 4 2 6 3" xfId="1261" xr:uid="{00000000-0005-0000-0000-0000F8130000}"/>
    <cellStyle name="Normal 4 2 6 3 2" xfId="3491" xr:uid="{00000000-0005-0000-0000-0000F9130000}"/>
    <cellStyle name="Normal 4 2 6 3 2 2" xfId="7714" xr:uid="{00000000-0005-0000-0000-0000FA130000}"/>
    <cellStyle name="Normal 4 2 6 3 2 2 2" xfId="24591" xr:uid="{B28B534B-3E26-4832-890C-03901825D4EB}"/>
    <cellStyle name="Normal 4 2 6 3 2 2 3" xfId="33025" xr:uid="{41C5AE6B-E2CC-430B-9F4F-E513DDB0798B}"/>
    <cellStyle name="Normal 4 2 6 3 2 2 4" xfId="16153" xr:uid="{BC594CEA-27DE-424B-8CF4-55CE2C9CAD9E}"/>
    <cellStyle name="Normal 4 2 6 3 2 3" xfId="20373" xr:uid="{D10BFB92-0B07-4D7F-8F70-EC59DBBC1595}"/>
    <cellStyle name="Normal 4 2 6 3 2 4" xfId="28808" xr:uid="{7923A431-468B-4C8B-83CF-8DEA09EDB92F}"/>
    <cellStyle name="Normal 4 2 6 3 2 5" xfId="11935" xr:uid="{8CE2513C-36AB-4BE2-BAB1-1E74569B826F}"/>
    <cellStyle name="Normal 4 2 6 3 3" xfId="5569" xr:uid="{00000000-0005-0000-0000-0000FB130000}"/>
    <cellStyle name="Normal 4 2 6 3 3 2" xfId="22446" xr:uid="{8374FA65-4587-4313-AC2D-050DAB1C5933}"/>
    <cellStyle name="Normal 4 2 6 3 3 3" xfId="30880" xr:uid="{73C7D96E-1436-49C5-8D3F-EDF4303B47BB}"/>
    <cellStyle name="Normal 4 2 6 3 3 4" xfId="14008" xr:uid="{07BBC210-5E3B-4D03-BF88-9F307898E516}"/>
    <cellStyle name="Normal 4 2 6 3 4" xfId="18228" xr:uid="{D6C08D5D-2174-4BA7-843D-917BAF1BBA25}"/>
    <cellStyle name="Normal 4 2 6 3 5" xfId="26663" xr:uid="{45B65C8C-CACD-4383-A2EB-19B7488D1FE9}"/>
    <cellStyle name="Normal 4 2 6 3 6" xfId="9790" xr:uid="{DC2FA27D-0CE8-4803-A82D-BAF69F7A96E7}"/>
    <cellStyle name="Normal 4 2 6 4" xfId="1674" xr:uid="{00000000-0005-0000-0000-0000FC130000}"/>
    <cellStyle name="Normal 4 2 6 4 2" xfId="3904" xr:uid="{00000000-0005-0000-0000-0000FD130000}"/>
    <cellStyle name="Normal 4 2 6 4 2 2" xfId="8127" xr:uid="{00000000-0005-0000-0000-0000FE130000}"/>
    <cellStyle name="Normal 4 2 6 4 2 2 2" xfId="25004" xr:uid="{FE54E9F9-D682-41A2-AC5D-84D1F8689D8A}"/>
    <cellStyle name="Normal 4 2 6 4 2 2 3" xfId="33438" xr:uid="{E4CE15E6-903E-4501-9BC6-8060FA8E2148}"/>
    <cellStyle name="Normal 4 2 6 4 2 2 4" xfId="16566" xr:uid="{79C6580A-9DC2-4FA5-BF75-AFA2D43D8255}"/>
    <cellStyle name="Normal 4 2 6 4 2 3" xfId="20786" xr:uid="{73D3BEF8-D758-40CB-B442-407BA1FFC356}"/>
    <cellStyle name="Normal 4 2 6 4 2 4" xfId="29221" xr:uid="{01DFB6C1-3E85-48B6-BF4E-4AC5B6068480}"/>
    <cellStyle name="Normal 4 2 6 4 2 5" xfId="12348" xr:uid="{EA1F311B-4733-4BBA-9754-36A2D5352295}"/>
    <cellStyle name="Normal 4 2 6 4 3" xfId="5982" xr:uid="{00000000-0005-0000-0000-0000FF130000}"/>
    <cellStyle name="Normal 4 2 6 4 3 2" xfId="22859" xr:uid="{E7BA4696-537D-4F4E-98DF-4439F2C45A6C}"/>
    <cellStyle name="Normal 4 2 6 4 3 3" xfId="31293" xr:uid="{C7E2B87A-FDBF-4867-B8F3-B001F5335580}"/>
    <cellStyle name="Normal 4 2 6 4 3 4" xfId="14421" xr:uid="{F9689206-B222-4F52-871D-506C8E4A6E2D}"/>
    <cellStyle name="Normal 4 2 6 4 4" xfId="18641" xr:uid="{F7D4E479-9C3C-455A-9044-3AFFD6678CBB}"/>
    <cellStyle name="Normal 4 2 6 4 5" xfId="27076" xr:uid="{2FEAE31F-4B7B-4817-BB68-7B8B63905BBC}"/>
    <cellStyle name="Normal 4 2 6 4 6" xfId="10203" xr:uid="{58FC9BC1-B668-4493-9EDE-0556E7A99512}"/>
    <cellStyle name="Normal 4 2 6 5" xfId="2088" xr:uid="{00000000-0005-0000-0000-000000140000}"/>
    <cellStyle name="Normal 4 2 6 5 2" xfId="4317" xr:uid="{00000000-0005-0000-0000-000001140000}"/>
    <cellStyle name="Normal 4 2 6 5 2 2" xfId="8540" xr:uid="{00000000-0005-0000-0000-000002140000}"/>
    <cellStyle name="Normal 4 2 6 5 2 2 2" xfId="25417" xr:uid="{FE2859A4-7197-428F-9218-94F6DD9FF4FF}"/>
    <cellStyle name="Normal 4 2 6 5 2 2 3" xfId="33851" xr:uid="{5FA8FF79-6626-4E24-81FB-F0219ECBFA80}"/>
    <cellStyle name="Normal 4 2 6 5 2 2 4" xfId="16979" xr:uid="{494F087E-D7D9-4127-BC85-E544B3B67209}"/>
    <cellStyle name="Normal 4 2 6 5 2 3" xfId="21199" xr:uid="{DBFB8F58-2553-4750-B83D-A2B84373BE3D}"/>
    <cellStyle name="Normal 4 2 6 5 2 4" xfId="29634" xr:uid="{76A3509C-349F-47A9-ACF9-581FB5CE021E}"/>
    <cellStyle name="Normal 4 2 6 5 2 5" xfId="12761" xr:uid="{C12B0C13-597B-46BE-87CA-9FABADB1E87A}"/>
    <cellStyle name="Normal 4 2 6 5 3" xfId="6395" xr:uid="{00000000-0005-0000-0000-000003140000}"/>
    <cellStyle name="Normal 4 2 6 5 3 2" xfId="23272" xr:uid="{15FC93B1-F41E-40C9-8734-307813D51DA3}"/>
    <cellStyle name="Normal 4 2 6 5 3 3" xfId="31706" xr:uid="{52274A3A-3918-4CBC-BD8D-D666C161D30B}"/>
    <cellStyle name="Normal 4 2 6 5 3 4" xfId="14834" xr:uid="{E6234BF6-D92A-445D-8F6A-22C7B5099694}"/>
    <cellStyle name="Normal 4 2 6 5 4" xfId="19054" xr:uid="{FE1FEB7B-264E-4885-B831-DD664CFB4EA1}"/>
    <cellStyle name="Normal 4 2 6 5 5" xfId="27489" xr:uid="{69BD631D-5FF9-4785-B8EA-22C94B2AE983}"/>
    <cellStyle name="Normal 4 2 6 5 6" xfId="10616" xr:uid="{6C707047-D545-4479-B57C-B4C1AF7ED443}"/>
    <cellStyle name="Normal 4 2 6 6" xfId="2524" xr:uid="{00000000-0005-0000-0000-000004140000}"/>
    <cellStyle name="Normal 4 2 6 6 2" xfId="6808" xr:uid="{00000000-0005-0000-0000-000005140000}"/>
    <cellStyle name="Normal 4 2 6 6 2 2" xfId="23685" xr:uid="{55AC5A58-E736-459B-8CAB-C50AE5551678}"/>
    <cellStyle name="Normal 4 2 6 6 2 3" xfId="32119" xr:uid="{562A73C4-7879-448B-BDBB-E1D99B9ECB5E}"/>
    <cellStyle name="Normal 4 2 6 6 2 4" xfId="15247" xr:uid="{25AA1D6A-80A0-4AE7-BB37-148FA9CDC9C5}"/>
    <cellStyle name="Normal 4 2 6 6 3" xfId="19467" xr:uid="{4D8F0BE4-C565-4E24-82AB-3BF698BF4153}"/>
    <cellStyle name="Normal 4 2 6 6 4" xfId="27902" xr:uid="{00090C28-1095-4B3E-A8D6-E36B2536E459}"/>
    <cellStyle name="Normal 4 2 6 6 5" xfId="11029" xr:uid="{86148054-EC46-4B32-BC04-57072423EAFA}"/>
    <cellStyle name="Normal 4 2 6 7" xfId="4743" xr:uid="{00000000-0005-0000-0000-000006140000}"/>
    <cellStyle name="Normal 4 2 6 7 2" xfId="21620" xr:uid="{682CFB46-E1EE-4F90-8A7C-34F9A2B25F81}"/>
    <cellStyle name="Normal 4 2 6 7 3" xfId="30054" xr:uid="{01C57931-815A-4048-8822-F36162B2F40E}"/>
    <cellStyle name="Normal 4 2 6 7 4" xfId="13182" xr:uid="{87B258B0-48BE-4D28-BF4C-94791FEA2B46}"/>
    <cellStyle name="Normal 4 2 6 8" xfId="17402" xr:uid="{25C1F4C2-1209-4CA4-9B60-E67AD22141B5}"/>
    <cellStyle name="Normal 4 2 6 9" xfId="25837" xr:uid="{F2A93212-177C-4F84-959B-E05103227059}"/>
    <cellStyle name="Normal 4 3" xfId="366" xr:uid="{00000000-0005-0000-0000-000007140000}"/>
    <cellStyle name="Normal 4 3 10" xfId="17403" xr:uid="{BD8688D8-A045-479D-AEA3-02C874E584E9}"/>
    <cellStyle name="Normal 4 3 11" xfId="25838" xr:uid="{51B6D146-AEAD-400E-A4D1-63C47EF8AE49}"/>
    <cellStyle name="Normal 4 3 12" xfId="8965" xr:uid="{BB07B168-10E2-4DE9-A675-DD3A279DC64B}"/>
    <cellStyle name="Normal 4 3 2" xfId="367" xr:uid="{00000000-0005-0000-0000-000008140000}"/>
    <cellStyle name="Normal 4 3 2 2" xfId="368" xr:uid="{00000000-0005-0000-0000-000009140000}"/>
    <cellStyle name="Normal 4 3 2 2 2" xfId="369" xr:uid="{00000000-0005-0000-0000-00000A140000}"/>
    <cellStyle name="Normal 4 3 2 2 2 10" xfId="17404" xr:uid="{43123F68-4E02-4BA8-87DA-5A06D4F7BB41}"/>
    <cellStyle name="Normal 4 3 2 2 2 11" xfId="25839" xr:uid="{21E13F93-ADA5-4903-BD28-D4DA74CA6035}"/>
    <cellStyle name="Normal 4 3 2 2 2 12" xfId="8966" xr:uid="{894CB96D-DAFF-437E-97B4-D55728DA55B5}"/>
    <cellStyle name="Normal 4 3 2 2 2 2" xfId="370" xr:uid="{00000000-0005-0000-0000-00000B140000}"/>
    <cellStyle name="Normal 4 3 2 2 2 2 10" xfId="25840" xr:uid="{B13DDD43-8886-415C-B10D-09FF570992B9}"/>
    <cellStyle name="Normal 4 3 2 2 2 2 11" xfId="8967" xr:uid="{FE976B7D-669C-48CC-8E69-584CE5CD7160}"/>
    <cellStyle name="Normal 4 3 2 2 2 2 2" xfId="371" xr:uid="{00000000-0005-0000-0000-00000C140000}"/>
    <cellStyle name="Normal 4 3 2 2 2 2 2 10" xfId="8968" xr:uid="{400B41E7-C6F9-41D7-AA7E-2AFC4EB8CD14}"/>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24182" xr:uid="{A3E943BE-1FF3-46F7-BE32-D7B03BDBAA04}"/>
    <cellStyle name="Normal 4 3 2 2 2 2 2 2 2 2 3" xfId="32616" xr:uid="{FE1D4C54-650D-4B91-B1A5-AF15ECDBC837}"/>
    <cellStyle name="Normal 4 3 2 2 2 2 2 2 2 2 4" xfId="15744" xr:uid="{34462B98-837C-4210-BC01-3EC2CAA5DF1E}"/>
    <cellStyle name="Normal 4 3 2 2 2 2 2 2 2 3" xfId="19964" xr:uid="{36D2AFFC-B240-4A05-B6E9-3E9A09CC23E7}"/>
    <cellStyle name="Normal 4 3 2 2 2 2 2 2 2 4" xfId="28399" xr:uid="{1FE8299E-C94A-4728-B340-7EC43C0E6A66}"/>
    <cellStyle name="Normal 4 3 2 2 2 2 2 2 2 5" xfId="11526" xr:uid="{E584FFFE-A118-44D0-8936-6C26737E5DBD}"/>
    <cellStyle name="Normal 4 3 2 2 2 2 2 2 3" xfId="5160" xr:uid="{00000000-0005-0000-0000-000010140000}"/>
    <cellStyle name="Normal 4 3 2 2 2 2 2 2 3 2" xfId="22037" xr:uid="{DEB2AAE6-94C5-4FDC-82DB-50E94106A7DA}"/>
    <cellStyle name="Normal 4 3 2 2 2 2 2 2 3 3" xfId="30471" xr:uid="{5F565979-D8BE-4BB8-9E3F-D2D6014866E0}"/>
    <cellStyle name="Normal 4 3 2 2 2 2 2 2 3 4" xfId="13599" xr:uid="{00874FAA-9430-498A-8275-7F6BFE47E69F}"/>
    <cellStyle name="Normal 4 3 2 2 2 2 2 2 4" xfId="17819" xr:uid="{0ACF0541-586B-42D2-8394-8F8C63015087}"/>
    <cellStyle name="Normal 4 3 2 2 2 2 2 2 5" xfId="26254" xr:uid="{E91E0D4A-1DD9-422C-A706-082FE06FB637}"/>
    <cellStyle name="Normal 4 3 2 2 2 2 2 2 6" xfId="9381" xr:uid="{3E41BBB7-7B2F-4A4D-B9E6-659BC01E3663}"/>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24595" xr:uid="{A2A8063D-59D3-4B73-93A8-6DE38F67DA67}"/>
    <cellStyle name="Normal 4 3 2 2 2 2 2 3 2 2 3" xfId="33029" xr:uid="{2ABD07E9-92D2-434C-AED6-E514E38EB10D}"/>
    <cellStyle name="Normal 4 3 2 2 2 2 2 3 2 2 4" xfId="16157" xr:uid="{2DA10D43-57CD-44EE-84CE-EF9782704CD0}"/>
    <cellStyle name="Normal 4 3 2 2 2 2 2 3 2 3" xfId="20377" xr:uid="{524DCCD5-DF0A-4E5D-87F8-6A7FA4BE41BE}"/>
    <cellStyle name="Normal 4 3 2 2 2 2 2 3 2 4" xfId="28812" xr:uid="{C54C9BF9-7586-44FC-92AF-76476171A2DD}"/>
    <cellStyle name="Normal 4 3 2 2 2 2 2 3 2 5" xfId="11939" xr:uid="{4C919A2E-A124-459E-BE46-D79107A3D47D}"/>
    <cellStyle name="Normal 4 3 2 2 2 2 2 3 3" xfId="5573" xr:uid="{00000000-0005-0000-0000-000014140000}"/>
    <cellStyle name="Normal 4 3 2 2 2 2 2 3 3 2" xfId="22450" xr:uid="{736C79D6-8760-4C23-9F16-D9D264D001A9}"/>
    <cellStyle name="Normal 4 3 2 2 2 2 2 3 3 3" xfId="30884" xr:uid="{A9D1095E-2B2A-4401-9394-F7E77EE22FB4}"/>
    <cellStyle name="Normal 4 3 2 2 2 2 2 3 3 4" xfId="14012" xr:uid="{7DA0EFDB-3CB7-405C-BB3B-764F4146E8AF}"/>
    <cellStyle name="Normal 4 3 2 2 2 2 2 3 4" xfId="18232" xr:uid="{581A60ED-EF7D-444F-AAA8-320BF871B4C6}"/>
    <cellStyle name="Normal 4 3 2 2 2 2 2 3 5" xfId="26667" xr:uid="{7248034B-1F72-429F-93E4-BA9A6D65A166}"/>
    <cellStyle name="Normal 4 3 2 2 2 2 2 3 6" xfId="9794" xr:uid="{4B2234C5-4213-4925-BAF5-ADEB543BDC64}"/>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25008" xr:uid="{F9D47858-66CA-4333-B8D4-ABA0BE200F04}"/>
    <cellStyle name="Normal 4 3 2 2 2 2 2 4 2 2 3" xfId="33442" xr:uid="{80DEFEB8-C5A9-4EF4-9693-5286AD9976A3}"/>
    <cellStyle name="Normal 4 3 2 2 2 2 2 4 2 2 4" xfId="16570" xr:uid="{DC48BBA4-0C77-40AA-9FA5-13A553FCA9A2}"/>
    <cellStyle name="Normal 4 3 2 2 2 2 2 4 2 3" xfId="20790" xr:uid="{33B256F4-C1D2-4E51-85F0-21EA677FFE15}"/>
    <cellStyle name="Normal 4 3 2 2 2 2 2 4 2 4" xfId="29225" xr:uid="{04A89E85-6BF9-4490-994B-45737EFB8F26}"/>
    <cellStyle name="Normal 4 3 2 2 2 2 2 4 2 5" xfId="12352" xr:uid="{61645ADB-1947-478F-B55C-D18BBCA8C499}"/>
    <cellStyle name="Normal 4 3 2 2 2 2 2 4 3" xfId="5986" xr:uid="{00000000-0005-0000-0000-000018140000}"/>
    <cellStyle name="Normal 4 3 2 2 2 2 2 4 3 2" xfId="22863" xr:uid="{CC67D970-C560-456E-8D5A-D7DBDF3DEF2C}"/>
    <cellStyle name="Normal 4 3 2 2 2 2 2 4 3 3" xfId="31297" xr:uid="{A5318939-97FC-4CA5-9C3A-A3BF313EE701}"/>
    <cellStyle name="Normal 4 3 2 2 2 2 2 4 3 4" xfId="14425" xr:uid="{82966CBA-DAF8-48F7-9EEF-2CBD60A0429E}"/>
    <cellStyle name="Normal 4 3 2 2 2 2 2 4 4" xfId="18645" xr:uid="{8D4F5F6E-7C60-45BE-A083-B12E559553DA}"/>
    <cellStyle name="Normal 4 3 2 2 2 2 2 4 5" xfId="27080" xr:uid="{C504207F-C51B-444D-91F6-2AEBC540F9D3}"/>
    <cellStyle name="Normal 4 3 2 2 2 2 2 4 6" xfId="10207" xr:uid="{E203F44B-3B56-484A-B11E-C2A48BB9B774}"/>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25421" xr:uid="{8AC5F3FD-2D22-4E1D-BFE7-4430965BA4E4}"/>
    <cellStyle name="Normal 4 3 2 2 2 2 2 5 2 2 3" xfId="33855" xr:uid="{CC4C8FD2-0E75-4485-B83B-A74E68161D7F}"/>
    <cellStyle name="Normal 4 3 2 2 2 2 2 5 2 2 4" xfId="16983" xr:uid="{FFA06AE5-A584-43D2-BE5C-D4D4AA928724}"/>
    <cellStyle name="Normal 4 3 2 2 2 2 2 5 2 3" xfId="21203" xr:uid="{FD98F8E7-CFAF-43FD-95D2-33615D322E52}"/>
    <cellStyle name="Normal 4 3 2 2 2 2 2 5 2 4" xfId="29638" xr:uid="{14EC92CB-10C9-4FD6-9C2E-437CADD8617A}"/>
    <cellStyle name="Normal 4 3 2 2 2 2 2 5 2 5" xfId="12765" xr:uid="{413A9C3C-729E-4EF2-95E3-C3318A83B9E2}"/>
    <cellStyle name="Normal 4 3 2 2 2 2 2 5 3" xfId="6399" xr:uid="{00000000-0005-0000-0000-00001C140000}"/>
    <cellStyle name="Normal 4 3 2 2 2 2 2 5 3 2" xfId="23276" xr:uid="{58199EE7-C87E-4BB5-9DC8-3C8943357DBF}"/>
    <cellStyle name="Normal 4 3 2 2 2 2 2 5 3 3" xfId="31710" xr:uid="{FF7E1F8F-58F9-47FA-A02B-CC145227F3F6}"/>
    <cellStyle name="Normal 4 3 2 2 2 2 2 5 3 4" xfId="14838" xr:uid="{31DCA081-D22B-4C38-9C68-E243BA14F562}"/>
    <cellStyle name="Normal 4 3 2 2 2 2 2 5 4" xfId="19058" xr:uid="{C302F1D6-D22C-4C52-BAAB-5DEF57E72BBC}"/>
    <cellStyle name="Normal 4 3 2 2 2 2 2 5 5" xfId="27493" xr:uid="{1CE3E670-F998-44F1-8E13-73A946713E76}"/>
    <cellStyle name="Normal 4 3 2 2 2 2 2 5 6" xfId="10620" xr:uid="{0B8CD525-B237-46CF-85E7-797B41949375}"/>
    <cellStyle name="Normal 4 3 2 2 2 2 2 6" xfId="2528" xr:uid="{00000000-0005-0000-0000-00001D140000}"/>
    <cellStyle name="Normal 4 3 2 2 2 2 2 6 2" xfId="6812" xr:uid="{00000000-0005-0000-0000-00001E140000}"/>
    <cellStyle name="Normal 4 3 2 2 2 2 2 6 2 2" xfId="23689" xr:uid="{C5162CB2-E684-4D5A-B917-D5E1324D8342}"/>
    <cellStyle name="Normal 4 3 2 2 2 2 2 6 2 3" xfId="32123" xr:uid="{12F5AFD0-3A2C-4C34-A894-F6CCB3111779}"/>
    <cellStyle name="Normal 4 3 2 2 2 2 2 6 2 4" xfId="15251" xr:uid="{F990FF24-6245-4797-9469-52FD6DF1CE13}"/>
    <cellStyle name="Normal 4 3 2 2 2 2 2 6 3" xfId="19471" xr:uid="{B59AD963-166B-4FD1-A418-65A5515991CE}"/>
    <cellStyle name="Normal 4 3 2 2 2 2 2 6 4" xfId="27906" xr:uid="{6F089008-D021-4919-91DD-715600ECB930}"/>
    <cellStyle name="Normal 4 3 2 2 2 2 2 6 5" xfId="11033" xr:uid="{F1278D71-387E-49A8-BC1F-6EFCFDCD6B1B}"/>
    <cellStyle name="Normal 4 3 2 2 2 2 2 7" xfId="4747" xr:uid="{00000000-0005-0000-0000-00001F140000}"/>
    <cellStyle name="Normal 4 3 2 2 2 2 2 7 2" xfId="21624" xr:uid="{4AC2529B-9D5D-4890-BDC0-31390D1BEF24}"/>
    <cellStyle name="Normal 4 3 2 2 2 2 2 7 3" xfId="30058" xr:uid="{06A61A70-E1B0-4D2E-8B6E-BE11400F01C5}"/>
    <cellStyle name="Normal 4 3 2 2 2 2 2 7 4" xfId="13186" xr:uid="{343A45A4-BBF4-4E25-8778-FD2667DF7116}"/>
    <cellStyle name="Normal 4 3 2 2 2 2 2 8" xfId="17406" xr:uid="{E993D92E-B5E3-4B0B-B934-FF3AFDF0FB94}"/>
    <cellStyle name="Normal 4 3 2 2 2 2 2 9" xfId="25841" xr:uid="{5B141400-CD30-475D-BE8F-668F3BEB108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24181" xr:uid="{0EE04AEE-8B88-4509-A865-2273BFD89009}"/>
    <cellStyle name="Normal 4 3 2 2 2 2 3 2 2 3" xfId="32615" xr:uid="{29252590-A705-406B-BB7D-D92ABD10DB35}"/>
    <cellStyle name="Normal 4 3 2 2 2 2 3 2 2 4" xfId="15743" xr:uid="{EBB43355-D9C1-4415-B7C2-0067BE1474BA}"/>
    <cellStyle name="Normal 4 3 2 2 2 2 3 2 3" xfId="19963" xr:uid="{4A8E04F4-47F7-4B14-9E66-0DE36226E42F}"/>
    <cellStyle name="Normal 4 3 2 2 2 2 3 2 4" xfId="28398" xr:uid="{A6479AF6-7658-4482-9399-E067B5AADD46}"/>
    <cellStyle name="Normal 4 3 2 2 2 2 3 2 5" xfId="11525" xr:uid="{430C613E-A7D3-4275-AA1D-F7313427D914}"/>
    <cellStyle name="Normal 4 3 2 2 2 2 3 3" xfId="5159" xr:uid="{00000000-0005-0000-0000-000023140000}"/>
    <cellStyle name="Normal 4 3 2 2 2 2 3 3 2" xfId="22036" xr:uid="{76C2F198-3C3A-4501-A877-E0DEF8B391A0}"/>
    <cellStyle name="Normal 4 3 2 2 2 2 3 3 3" xfId="30470" xr:uid="{22F7C387-EE55-4DCC-8A94-95F3DE7CC063}"/>
    <cellStyle name="Normal 4 3 2 2 2 2 3 3 4" xfId="13598" xr:uid="{58CDA26C-AFB0-4995-BEF2-9E2548F4CAEC}"/>
    <cellStyle name="Normal 4 3 2 2 2 2 3 4" xfId="17818" xr:uid="{535FB4C0-405A-4FA7-9537-040F92C17AF9}"/>
    <cellStyle name="Normal 4 3 2 2 2 2 3 5" xfId="26253" xr:uid="{3344F4AE-9E1B-4BAE-AF2D-9B88D79DDA59}"/>
    <cellStyle name="Normal 4 3 2 2 2 2 3 6" xfId="9380" xr:uid="{7FB41534-4F6C-4071-AEF0-211A7BC4E61B}"/>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24594" xr:uid="{AC933D29-818F-4A29-8512-ADB0CDB9D50C}"/>
    <cellStyle name="Normal 4 3 2 2 2 2 4 2 2 3" xfId="33028" xr:uid="{DE917DFE-D93D-4883-BF82-F5C5FF40CCDB}"/>
    <cellStyle name="Normal 4 3 2 2 2 2 4 2 2 4" xfId="16156" xr:uid="{9F27EEE2-01B2-4A79-95E5-3BF62733D417}"/>
    <cellStyle name="Normal 4 3 2 2 2 2 4 2 3" xfId="20376" xr:uid="{C40CBC68-9F04-4FBA-838E-393982EF2201}"/>
    <cellStyle name="Normal 4 3 2 2 2 2 4 2 4" xfId="28811" xr:uid="{3D2FE147-5F26-4E2F-B57E-AA56FF2CB00C}"/>
    <cellStyle name="Normal 4 3 2 2 2 2 4 2 5" xfId="11938" xr:uid="{B4BC177D-6D63-43C8-87DE-29BC411CCC36}"/>
    <cellStyle name="Normal 4 3 2 2 2 2 4 3" xfId="5572" xr:uid="{00000000-0005-0000-0000-000027140000}"/>
    <cellStyle name="Normal 4 3 2 2 2 2 4 3 2" xfId="22449" xr:uid="{B0ADE1C0-900E-4223-9C3E-E73D65879E4F}"/>
    <cellStyle name="Normal 4 3 2 2 2 2 4 3 3" xfId="30883" xr:uid="{FBF732A0-A970-4858-90B5-E2A11DB972D6}"/>
    <cellStyle name="Normal 4 3 2 2 2 2 4 3 4" xfId="14011" xr:uid="{7D0BD673-1950-494F-BD73-C039D34C7238}"/>
    <cellStyle name="Normal 4 3 2 2 2 2 4 4" xfId="18231" xr:uid="{91EFCCB5-E646-4AF5-AF51-B21F60D19825}"/>
    <cellStyle name="Normal 4 3 2 2 2 2 4 5" xfId="26666" xr:uid="{B29F3241-1B96-45FA-A5FE-C2CE3333EE16}"/>
    <cellStyle name="Normal 4 3 2 2 2 2 4 6" xfId="9793" xr:uid="{02A817EB-5E85-435D-9732-B44D258A67ED}"/>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25007" xr:uid="{00ABA897-FE69-4BFC-9BBF-95EC1240011B}"/>
    <cellStyle name="Normal 4 3 2 2 2 2 5 2 2 3" xfId="33441" xr:uid="{C8151B56-EA96-4962-A201-55B848D83550}"/>
    <cellStyle name="Normal 4 3 2 2 2 2 5 2 2 4" xfId="16569" xr:uid="{F14FFAB3-AAF3-4456-94EC-7BD3C9A1516E}"/>
    <cellStyle name="Normal 4 3 2 2 2 2 5 2 3" xfId="20789" xr:uid="{8938E651-8EBE-443A-B418-5B81F849B571}"/>
    <cellStyle name="Normal 4 3 2 2 2 2 5 2 4" xfId="29224" xr:uid="{28DD95EC-149B-48BA-99C0-203B827AF1B3}"/>
    <cellStyle name="Normal 4 3 2 2 2 2 5 2 5" xfId="12351" xr:uid="{E4E494E9-0689-41C3-A089-6667D3C5B353}"/>
    <cellStyle name="Normal 4 3 2 2 2 2 5 3" xfId="5985" xr:uid="{00000000-0005-0000-0000-00002B140000}"/>
    <cellStyle name="Normal 4 3 2 2 2 2 5 3 2" xfId="22862" xr:uid="{CA73810A-B595-4E59-912E-65BF80740495}"/>
    <cellStyle name="Normal 4 3 2 2 2 2 5 3 3" xfId="31296" xr:uid="{EC27FA07-0C45-476B-997B-EC41EF1F05BF}"/>
    <cellStyle name="Normal 4 3 2 2 2 2 5 3 4" xfId="14424" xr:uid="{0077560A-12E9-4A35-B394-37C2B0C5F909}"/>
    <cellStyle name="Normal 4 3 2 2 2 2 5 4" xfId="18644" xr:uid="{3220B93E-43DB-4717-BABF-16FED8040507}"/>
    <cellStyle name="Normal 4 3 2 2 2 2 5 5" xfId="27079" xr:uid="{195BA3FF-77F9-4E48-A4F3-ACE4AA585FE2}"/>
    <cellStyle name="Normal 4 3 2 2 2 2 5 6" xfId="10206" xr:uid="{BFBBC138-C5FE-4817-BC9B-899674AB2863}"/>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25420" xr:uid="{F19FBE71-4D4F-44C7-B72C-7DBB6AB7B3DC}"/>
    <cellStyle name="Normal 4 3 2 2 2 2 6 2 2 3" xfId="33854" xr:uid="{88A41544-DD4B-485D-A6DD-FE1136887D83}"/>
    <cellStyle name="Normal 4 3 2 2 2 2 6 2 2 4" xfId="16982" xr:uid="{5A727C27-90C8-4BCA-9CDF-159E13F7941B}"/>
    <cellStyle name="Normal 4 3 2 2 2 2 6 2 3" xfId="21202" xr:uid="{90301A78-B86F-46B2-8B3D-46BF1946A8C7}"/>
    <cellStyle name="Normal 4 3 2 2 2 2 6 2 4" xfId="29637" xr:uid="{490B14BC-429D-4529-92A5-587ABB978597}"/>
    <cellStyle name="Normal 4 3 2 2 2 2 6 2 5" xfId="12764" xr:uid="{D1F76AE4-5CDE-4FB9-B804-554D4BB8401C}"/>
    <cellStyle name="Normal 4 3 2 2 2 2 6 3" xfId="6398" xr:uid="{00000000-0005-0000-0000-00002F140000}"/>
    <cellStyle name="Normal 4 3 2 2 2 2 6 3 2" xfId="23275" xr:uid="{E1948C6B-8FFB-4569-8281-2937B630603A}"/>
    <cellStyle name="Normal 4 3 2 2 2 2 6 3 3" xfId="31709" xr:uid="{580805CE-783F-4F32-ACBC-204BC7ABCEF5}"/>
    <cellStyle name="Normal 4 3 2 2 2 2 6 3 4" xfId="14837" xr:uid="{FDF9EE99-48F6-4734-A295-DBFFA54C6135}"/>
    <cellStyle name="Normal 4 3 2 2 2 2 6 4" xfId="19057" xr:uid="{AAEDBA30-4A74-4F87-9AC7-6EDF68FB2972}"/>
    <cellStyle name="Normal 4 3 2 2 2 2 6 5" xfId="27492" xr:uid="{F66AEAD1-4F5C-4B8E-BE6B-CB86E52AFA11}"/>
    <cellStyle name="Normal 4 3 2 2 2 2 6 6" xfId="10619" xr:uid="{1F37D584-889C-4960-AE6C-D0A6CCF9C4DA}"/>
    <cellStyle name="Normal 4 3 2 2 2 2 7" xfId="2527" xr:uid="{00000000-0005-0000-0000-000030140000}"/>
    <cellStyle name="Normal 4 3 2 2 2 2 7 2" xfId="6811" xr:uid="{00000000-0005-0000-0000-000031140000}"/>
    <cellStyle name="Normal 4 3 2 2 2 2 7 2 2" xfId="23688" xr:uid="{976EE9BB-7257-4503-AB32-3CF1AAC6F64B}"/>
    <cellStyle name="Normal 4 3 2 2 2 2 7 2 3" xfId="32122" xr:uid="{50AB59F6-5AA4-47C8-9908-A922C233FAAD}"/>
    <cellStyle name="Normal 4 3 2 2 2 2 7 2 4" xfId="15250" xr:uid="{BAD2D28D-D4DB-4CC2-94D6-7D068673BEED}"/>
    <cellStyle name="Normal 4 3 2 2 2 2 7 3" xfId="19470" xr:uid="{3563FBE2-2C62-4EF5-A5AC-C7E1D3E063DA}"/>
    <cellStyle name="Normal 4 3 2 2 2 2 7 4" xfId="27905" xr:uid="{FE016B92-3A9C-46DA-8128-E3A8154AA242}"/>
    <cellStyle name="Normal 4 3 2 2 2 2 7 5" xfId="11032" xr:uid="{389D1D96-46F1-46C1-8AF2-9C4F0DEC703B}"/>
    <cellStyle name="Normal 4 3 2 2 2 2 8" xfId="4746" xr:uid="{00000000-0005-0000-0000-000032140000}"/>
    <cellStyle name="Normal 4 3 2 2 2 2 8 2" xfId="21623" xr:uid="{31E8ED06-4CC2-4C86-ACBE-841E3EF03CCC}"/>
    <cellStyle name="Normal 4 3 2 2 2 2 8 3" xfId="30057" xr:uid="{CBDD5ECA-B215-4608-AF8C-6C842DC6BF8E}"/>
    <cellStyle name="Normal 4 3 2 2 2 2 8 4" xfId="13185" xr:uid="{5AD04225-2911-49CF-BCFA-3DFAC4471B27}"/>
    <cellStyle name="Normal 4 3 2 2 2 2 9" xfId="17405" xr:uid="{AA72EF17-5C4A-4E95-9721-E7F90110A663}"/>
    <cellStyle name="Normal 4 3 2 2 2 3" xfId="372" xr:uid="{00000000-0005-0000-0000-000033140000}"/>
    <cellStyle name="Normal 4 3 2 2 2 3 10" xfId="8969" xr:uid="{D38DBB7B-9D8C-41D6-8ECF-019030B7C2C9}"/>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24183" xr:uid="{D306D8E2-582F-4269-A491-08CEE8B245DE}"/>
    <cellStyle name="Normal 4 3 2 2 2 3 2 2 2 3" xfId="32617" xr:uid="{2E263FC0-FF46-4E16-BC54-AD1041024647}"/>
    <cellStyle name="Normal 4 3 2 2 2 3 2 2 2 4" xfId="15745" xr:uid="{AFFF194B-BD9F-4239-BA1A-E4FB0FBE1C06}"/>
    <cellStyle name="Normal 4 3 2 2 2 3 2 2 3" xfId="19965" xr:uid="{A5A90F3E-64BE-4E18-A9D8-FE36856E3535}"/>
    <cellStyle name="Normal 4 3 2 2 2 3 2 2 4" xfId="28400" xr:uid="{000E822A-0AF2-4442-8C3A-321A41ED011C}"/>
    <cellStyle name="Normal 4 3 2 2 2 3 2 2 5" xfId="11527" xr:uid="{7A2BCDE6-A480-432F-9021-1B97A5A4FB34}"/>
    <cellStyle name="Normal 4 3 2 2 2 3 2 3" xfId="5161" xr:uid="{00000000-0005-0000-0000-000037140000}"/>
    <cellStyle name="Normal 4 3 2 2 2 3 2 3 2" xfId="22038" xr:uid="{0F975CC1-4F6B-4AE1-B293-41C787D42AE7}"/>
    <cellStyle name="Normal 4 3 2 2 2 3 2 3 3" xfId="30472" xr:uid="{407FC354-96E8-4FD6-8F4C-1E861A5693A2}"/>
    <cellStyle name="Normal 4 3 2 2 2 3 2 3 4" xfId="13600" xr:uid="{30A0093E-CFE9-49B1-AA48-27A35B6DF4B0}"/>
    <cellStyle name="Normal 4 3 2 2 2 3 2 4" xfId="17820" xr:uid="{8A22F101-3945-4E92-B5C2-A668DCD54BCD}"/>
    <cellStyle name="Normal 4 3 2 2 2 3 2 5" xfId="26255" xr:uid="{334BB1E1-FE97-4A75-8846-0F02D79118CD}"/>
    <cellStyle name="Normal 4 3 2 2 2 3 2 6" xfId="9382" xr:uid="{436E1ABC-FF25-42C4-ABF6-8FED09DEE62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24596" xr:uid="{B3A60755-D0B5-43DD-8783-B27677B7593C}"/>
    <cellStyle name="Normal 4 3 2 2 2 3 3 2 2 3" xfId="33030" xr:uid="{D2574754-211B-4FD7-8633-D3B9BA98CD2B}"/>
    <cellStyle name="Normal 4 3 2 2 2 3 3 2 2 4" xfId="16158" xr:uid="{0782161D-26CF-4648-9DE6-57543B31BB7E}"/>
    <cellStyle name="Normal 4 3 2 2 2 3 3 2 3" xfId="20378" xr:uid="{88C4F805-B712-4199-870A-AE38E854B740}"/>
    <cellStyle name="Normal 4 3 2 2 2 3 3 2 4" xfId="28813" xr:uid="{647FF12F-9371-4A73-A98E-FC44D0F6601D}"/>
    <cellStyle name="Normal 4 3 2 2 2 3 3 2 5" xfId="11940" xr:uid="{6F0086F8-DFF9-444C-8900-9F029F2D67B1}"/>
    <cellStyle name="Normal 4 3 2 2 2 3 3 3" xfId="5574" xr:uid="{00000000-0005-0000-0000-00003B140000}"/>
    <cellStyle name="Normal 4 3 2 2 2 3 3 3 2" xfId="22451" xr:uid="{54C6A43E-A9A6-4B3B-BE3A-E3D75DB11DC3}"/>
    <cellStyle name="Normal 4 3 2 2 2 3 3 3 3" xfId="30885" xr:uid="{343DD851-BFEB-4980-A19A-29F32DFD622B}"/>
    <cellStyle name="Normal 4 3 2 2 2 3 3 3 4" xfId="14013" xr:uid="{4AAF4B0B-92C3-4B31-AA84-DB8ABB57DD96}"/>
    <cellStyle name="Normal 4 3 2 2 2 3 3 4" xfId="18233" xr:uid="{93C03EF8-08DE-4014-970D-69EB74E55D1D}"/>
    <cellStyle name="Normal 4 3 2 2 2 3 3 5" xfId="26668" xr:uid="{33653132-E551-4244-B94C-0A8A888C69CE}"/>
    <cellStyle name="Normal 4 3 2 2 2 3 3 6" xfId="9795" xr:uid="{D05FCCC6-C692-4987-83BE-063EACF84C43}"/>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25009" xr:uid="{C61A45CF-9A4B-4100-8323-D0C30FB20BEA}"/>
    <cellStyle name="Normal 4 3 2 2 2 3 4 2 2 3" xfId="33443" xr:uid="{19C17D62-905C-43BF-A526-B914ED8F8725}"/>
    <cellStyle name="Normal 4 3 2 2 2 3 4 2 2 4" xfId="16571" xr:uid="{E846584A-1E15-425F-99AB-19D7CF177C4D}"/>
    <cellStyle name="Normal 4 3 2 2 2 3 4 2 3" xfId="20791" xr:uid="{2EAB704D-C79C-494D-AD84-008D40BB5D07}"/>
    <cellStyle name="Normal 4 3 2 2 2 3 4 2 4" xfId="29226" xr:uid="{7EB5995E-5313-42FB-8784-B0AEDA53A2DD}"/>
    <cellStyle name="Normal 4 3 2 2 2 3 4 2 5" xfId="12353" xr:uid="{7C356571-E95C-46EB-8B21-8067612D0968}"/>
    <cellStyle name="Normal 4 3 2 2 2 3 4 3" xfId="5987" xr:uid="{00000000-0005-0000-0000-00003F140000}"/>
    <cellStyle name="Normal 4 3 2 2 2 3 4 3 2" xfId="22864" xr:uid="{D0A472B3-33BF-486D-8341-8E0799FE0B72}"/>
    <cellStyle name="Normal 4 3 2 2 2 3 4 3 3" xfId="31298" xr:uid="{E2CEDCD9-889F-40C3-A4BF-E2B6A51913D1}"/>
    <cellStyle name="Normal 4 3 2 2 2 3 4 3 4" xfId="14426" xr:uid="{2AB50B0E-D646-4E67-BC3D-E5D121678D43}"/>
    <cellStyle name="Normal 4 3 2 2 2 3 4 4" xfId="18646" xr:uid="{02D32154-8524-4734-8EF8-02FD30E2CBB2}"/>
    <cellStyle name="Normal 4 3 2 2 2 3 4 5" xfId="27081" xr:uid="{09B468FD-EDAA-45C0-B4DF-436AF888FA1A}"/>
    <cellStyle name="Normal 4 3 2 2 2 3 4 6" xfId="10208" xr:uid="{94E00FDB-3386-43DF-8EB4-02EE5A1C6D68}"/>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25422" xr:uid="{D2ADB53C-8491-4EFD-B303-D67B8AAC9A4A}"/>
    <cellStyle name="Normal 4 3 2 2 2 3 5 2 2 3" xfId="33856" xr:uid="{AEE19A81-617D-4ACD-B019-893E45053F24}"/>
    <cellStyle name="Normal 4 3 2 2 2 3 5 2 2 4" xfId="16984" xr:uid="{45BF40A6-565F-4291-9DAF-F275E071F806}"/>
    <cellStyle name="Normal 4 3 2 2 2 3 5 2 3" xfId="21204" xr:uid="{22D4E9FF-ED0F-43CB-BCAF-B528E23A4110}"/>
    <cellStyle name="Normal 4 3 2 2 2 3 5 2 4" xfId="29639" xr:uid="{6C85DE8A-E2D9-4152-9EE7-60A64BFF72E4}"/>
    <cellStyle name="Normal 4 3 2 2 2 3 5 2 5" xfId="12766" xr:uid="{33839361-49BA-4CC7-82D5-EE6AAA589C1A}"/>
    <cellStyle name="Normal 4 3 2 2 2 3 5 3" xfId="6400" xr:uid="{00000000-0005-0000-0000-000043140000}"/>
    <cellStyle name="Normal 4 3 2 2 2 3 5 3 2" xfId="23277" xr:uid="{031999E5-43F7-421A-A076-3B92D64678B6}"/>
    <cellStyle name="Normal 4 3 2 2 2 3 5 3 3" xfId="31711" xr:uid="{05F3C3AB-9C2B-4A79-850F-14AEAAEF9A0A}"/>
    <cellStyle name="Normal 4 3 2 2 2 3 5 3 4" xfId="14839" xr:uid="{D2C31DD6-C767-49D0-8B2D-809FAF731E76}"/>
    <cellStyle name="Normal 4 3 2 2 2 3 5 4" xfId="19059" xr:uid="{7F68B093-27F2-48DF-B5C6-A78796364EE6}"/>
    <cellStyle name="Normal 4 3 2 2 2 3 5 5" xfId="27494" xr:uid="{EDDAF598-CD2E-49E9-82D7-5015CB6C7BA3}"/>
    <cellStyle name="Normal 4 3 2 2 2 3 5 6" xfId="10621" xr:uid="{93333DFF-98DC-47AF-9256-B76712AE82D8}"/>
    <cellStyle name="Normal 4 3 2 2 2 3 6" xfId="2529" xr:uid="{00000000-0005-0000-0000-000044140000}"/>
    <cellStyle name="Normal 4 3 2 2 2 3 6 2" xfId="6813" xr:uid="{00000000-0005-0000-0000-000045140000}"/>
    <cellStyle name="Normal 4 3 2 2 2 3 6 2 2" xfId="23690" xr:uid="{DE110883-D53E-4D9E-B022-C6DA89EF9655}"/>
    <cellStyle name="Normal 4 3 2 2 2 3 6 2 3" xfId="32124" xr:uid="{E048EF4C-03A8-4403-9643-C77B94997DA1}"/>
    <cellStyle name="Normal 4 3 2 2 2 3 6 2 4" xfId="15252" xr:uid="{6A5F7D33-41E4-4853-B802-72B84C6E3B57}"/>
    <cellStyle name="Normal 4 3 2 2 2 3 6 3" xfId="19472" xr:uid="{E3B75333-8496-4DFA-A8CE-1430BFC09C5C}"/>
    <cellStyle name="Normal 4 3 2 2 2 3 6 4" xfId="27907" xr:uid="{0F08A203-8BF7-4D75-A434-A4920331A86B}"/>
    <cellStyle name="Normal 4 3 2 2 2 3 6 5" xfId="11034" xr:uid="{4AF37458-9CE7-4A9C-95CC-FD92FD416E94}"/>
    <cellStyle name="Normal 4 3 2 2 2 3 7" xfId="4748" xr:uid="{00000000-0005-0000-0000-000046140000}"/>
    <cellStyle name="Normal 4 3 2 2 2 3 7 2" xfId="21625" xr:uid="{55D0B60B-B095-4A67-BD1D-514542ED7048}"/>
    <cellStyle name="Normal 4 3 2 2 2 3 7 3" xfId="30059" xr:uid="{55FD1D17-3D23-4F81-B1CD-1993CA2821D2}"/>
    <cellStyle name="Normal 4 3 2 2 2 3 7 4" xfId="13187" xr:uid="{D81DA61B-011F-4817-A01D-98DA93240FDA}"/>
    <cellStyle name="Normal 4 3 2 2 2 3 8" xfId="17407" xr:uid="{CCA0E35F-D329-4C18-A0A8-A2DE92F7DA00}"/>
    <cellStyle name="Normal 4 3 2 2 2 3 9" xfId="25842" xr:uid="{B308A40C-623A-4B57-A924-45CA7195C398}"/>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24180" xr:uid="{26C76C4F-1D2D-472C-8A54-8E174B35D08B}"/>
    <cellStyle name="Normal 4 3 2 2 2 4 2 2 3" xfId="32614" xr:uid="{4A79B23B-FA97-48E0-8AC3-EDDBC8A0EDC3}"/>
    <cellStyle name="Normal 4 3 2 2 2 4 2 2 4" xfId="15742" xr:uid="{95809895-5C94-473A-BE42-1D7A4DF2B362}"/>
    <cellStyle name="Normal 4 3 2 2 2 4 2 3" xfId="19962" xr:uid="{2D735470-BA71-4ADC-A5B3-C10290E19DF6}"/>
    <cellStyle name="Normal 4 3 2 2 2 4 2 4" xfId="28397" xr:uid="{D3849DBD-A0F0-476F-B1CC-CBE5EAD2D065}"/>
    <cellStyle name="Normal 4 3 2 2 2 4 2 5" xfId="11524" xr:uid="{3B124273-4160-4650-8887-AF1C7EA3C7B0}"/>
    <cellStyle name="Normal 4 3 2 2 2 4 3" xfId="5158" xr:uid="{00000000-0005-0000-0000-00004A140000}"/>
    <cellStyle name="Normal 4 3 2 2 2 4 3 2" xfId="22035" xr:uid="{260C8F89-40DB-4104-8504-94CFA798DFDE}"/>
    <cellStyle name="Normal 4 3 2 2 2 4 3 3" xfId="30469" xr:uid="{8FD8B5EF-E0A1-4366-AB96-8F9D4DC9A824}"/>
    <cellStyle name="Normal 4 3 2 2 2 4 3 4" xfId="13597" xr:uid="{FBFEC41D-B159-4C6D-A38F-CB011623C4E1}"/>
    <cellStyle name="Normal 4 3 2 2 2 4 4" xfId="17817" xr:uid="{1DFBE9DD-EEDB-499B-8DEB-73B630FE1949}"/>
    <cellStyle name="Normal 4 3 2 2 2 4 5" xfId="26252" xr:uid="{E0C1FCB6-A905-4D81-8084-D3B528937941}"/>
    <cellStyle name="Normal 4 3 2 2 2 4 6" xfId="9379" xr:uid="{8DAFA565-CECD-4596-89DE-439EFB1D1ABD}"/>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24593" xr:uid="{BD0EA8D8-1FB3-44DE-A50B-C28B33F35B3C}"/>
    <cellStyle name="Normal 4 3 2 2 2 5 2 2 3" xfId="33027" xr:uid="{51A1902E-91DB-4CE6-AD5B-8A38A5B708D3}"/>
    <cellStyle name="Normal 4 3 2 2 2 5 2 2 4" xfId="16155" xr:uid="{EB20CD88-424B-4C37-AFD5-6487EAA3281D}"/>
    <cellStyle name="Normal 4 3 2 2 2 5 2 3" xfId="20375" xr:uid="{775CFD7A-371F-41CC-9536-DD8F640ABB92}"/>
    <cellStyle name="Normal 4 3 2 2 2 5 2 4" xfId="28810" xr:uid="{D4EEE885-2931-4658-8C0A-7B77DAB57032}"/>
    <cellStyle name="Normal 4 3 2 2 2 5 2 5" xfId="11937" xr:uid="{9F836A82-0A9D-4963-885D-45AFD2F27E95}"/>
    <cellStyle name="Normal 4 3 2 2 2 5 3" xfId="5571" xr:uid="{00000000-0005-0000-0000-00004E140000}"/>
    <cellStyle name="Normal 4 3 2 2 2 5 3 2" xfId="22448" xr:uid="{5699BCB6-41AB-41D9-8D95-A1E9F2954DBC}"/>
    <cellStyle name="Normal 4 3 2 2 2 5 3 3" xfId="30882" xr:uid="{CD7FA750-C693-4448-B918-675F9A4DC348}"/>
    <cellStyle name="Normal 4 3 2 2 2 5 3 4" xfId="14010" xr:uid="{4C810FDF-9F8F-4BAA-B13B-395E125D479B}"/>
    <cellStyle name="Normal 4 3 2 2 2 5 4" xfId="18230" xr:uid="{1A171766-1B93-4FF0-9417-AC75ED102C7C}"/>
    <cellStyle name="Normal 4 3 2 2 2 5 5" xfId="26665" xr:uid="{84C71B3B-7BAD-4DC0-A6EC-9DB9BCB64997}"/>
    <cellStyle name="Normal 4 3 2 2 2 5 6" xfId="9792" xr:uid="{01871D36-171D-4A5E-B718-CA7434E6F4E7}"/>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25006" xr:uid="{E425560A-743B-42E1-A74E-26FE7ECA2D7B}"/>
    <cellStyle name="Normal 4 3 2 2 2 6 2 2 3" xfId="33440" xr:uid="{9440F2DF-9258-4C2B-ADB8-7AA0252ACD26}"/>
    <cellStyle name="Normal 4 3 2 2 2 6 2 2 4" xfId="16568" xr:uid="{E612E8C6-F878-4BFC-A950-8D7234DB36DD}"/>
    <cellStyle name="Normal 4 3 2 2 2 6 2 3" xfId="20788" xr:uid="{A8800A37-985F-4815-957A-2428C5F7840F}"/>
    <cellStyle name="Normal 4 3 2 2 2 6 2 4" xfId="29223" xr:uid="{9DBC456E-CD2A-4717-B7D5-CBB679F9007E}"/>
    <cellStyle name="Normal 4 3 2 2 2 6 2 5" xfId="12350" xr:uid="{254D6019-6639-4FF3-9C21-1CA44EF26A00}"/>
    <cellStyle name="Normal 4 3 2 2 2 6 3" xfId="5984" xr:uid="{00000000-0005-0000-0000-000052140000}"/>
    <cellStyle name="Normal 4 3 2 2 2 6 3 2" xfId="22861" xr:uid="{C34667EF-1034-40D1-8956-88637890B7A9}"/>
    <cellStyle name="Normal 4 3 2 2 2 6 3 3" xfId="31295" xr:uid="{69C55EA0-D28E-49D3-B4CA-FC41171D26FE}"/>
    <cellStyle name="Normal 4 3 2 2 2 6 3 4" xfId="14423" xr:uid="{BE31607B-BBD8-4163-BD39-D194DDEDA5A3}"/>
    <cellStyle name="Normal 4 3 2 2 2 6 4" xfId="18643" xr:uid="{2862B0AF-F139-4CC4-947E-F0A847E7BBDB}"/>
    <cellStyle name="Normal 4 3 2 2 2 6 5" xfId="27078" xr:uid="{614E4317-F942-470C-9ED9-9074FB1074EB}"/>
    <cellStyle name="Normal 4 3 2 2 2 6 6" xfId="10205" xr:uid="{4CE7CD63-16D7-4A8A-AF75-8D6608B4DF26}"/>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25419" xr:uid="{03881205-979E-486C-93F9-0096C13722AF}"/>
    <cellStyle name="Normal 4 3 2 2 2 7 2 2 3" xfId="33853" xr:uid="{10C61E01-84D2-4BA8-961C-1FEBCF4BCD64}"/>
    <cellStyle name="Normal 4 3 2 2 2 7 2 2 4" xfId="16981" xr:uid="{293DA896-0514-4501-B4A9-0BC1FD0449A6}"/>
    <cellStyle name="Normal 4 3 2 2 2 7 2 3" xfId="21201" xr:uid="{C8DF5AD8-D335-4AD1-875C-949A5B5AD5AA}"/>
    <cellStyle name="Normal 4 3 2 2 2 7 2 4" xfId="29636" xr:uid="{2008CF0C-72BF-4DC1-897B-5508274AFC51}"/>
    <cellStyle name="Normal 4 3 2 2 2 7 2 5" xfId="12763" xr:uid="{527E6A76-17BA-48B9-A9D5-9BACDFF98A54}"/>
    <cellStyle name="Normal 4 3 2 2 2 7 3" xfId="6397" xr:uid="{00000000-0005-0000-0000-000056140000}"/>
    <cellStyle name="Normal 4 3 2 2 2 7 3 2" xfId="23274" xr:uid="{24A57889-DFB5-47B2-9641-BB70DBD6585F}"/>
    <cellStyle name="Normal 4 3 2 2 2 7 3 3" xfId="31708" xr:uid="{95A12B04-5B48-44F2-B2CB-090BC562B67D}"/>
    <cellStyle name="Normal 4 3 2 2 2 7 3 4" xfId="14836" xr:uid="{DA82E362-3647-44FD-B027-ECB9A84353DA}"/>
    <cellStyle name="Normal 4 3 2 2 2 7 4" xfId="19056" xr:uid="{CB5F2908-DE0B-4895-BF0C-0B3E26F3F0BE}"/>
    <cellStyle name="Normal 4 3 2 2 2 7 5" xfId="27491" xr:uid="{B4B78646-70AD-4910-9293-852DD6D4C639}"/>
    <cellStyle name="Normal 4 3 2 2 2 7 6" xfId="10618" xr:uid="{DA8DED25-9996-4A59-8B0C-03A878EAB275}"/>
    <cellStyle name="Normal 4 3 2 2 2 8" xfId="2526" xr:uid="{00000000-0005-0000-0000-000057140000}"/>
    <cellStyle name="Normal 4 3 2 2 2 8 2" xfId="6810" xr:uid="{00000000-0005-0000-0000-000058140000}"/>
    <cellStyle name="Normal 4 3 2 2 2 8 2 2" xfId="23687" xr:uid="{AC4F07EF-5228-4C58-A33B-668A31B2CC18}"/>
    <cellStyle name="Normal 4 3 2 2 2 8 2 3" xfId="32121" xr:uid="{9FD33B80-A9D5-4BD2-8271-61A6B55A5095}"/>
    <cellStyle name="Normal 4 3 2 2 2 8 2 4" xfId="15249" xr:uid="{A59F290A-0824-4D31-8272-F0B3FCC8480E}"/>
    <cellStyle name="Normal 4 3 2 2 2 8 3" xfId="19469" xr:uid="{8B1A928F-6214-4500-8C10-449A93DA157F}"/>
    <cellStyle name="Normal 4 3 2 2 2 8 4" xfId="27904" xr:uid="{11E84F35-FA8F-4F5C-BB6D-BB74352418D8}"/>
    <cellStyle name="Normal 4 3 2 2 2 8 5" xfId="11031" xr:uid="{EFC46664-0634-444C-AB97-446AE710B66B}"/>
    <cellStyle name="Normal 4 3 2 2 2 9" xfId="4745" xr:uid="{00000000-0005-0000-0000-000059140000}"/>
    <cellStyle name="Normal 4 3 2 2 2 9 2" xfId="21622" xr:uid="{E7D9B5E7-FC49-4571-9E6D-7BC03E2C00EE}"/>
    <cellStyle name="Normal 4 3 2 2 2 9 3" xfId="30056" xr:uid="{A48EDDF8-6868-48CB-846F-D5029DF5D86D}"/>
    <cellStyle name="Normal 4 3 2 2 2 9 4" xfId="13184" xr:uid="{76FDF68B-6409-4045-8BC2-B59C4E64F01D}"/>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08" xr:uid="{D7C4E59D-7F9D-45FD-AA7B-D3EB95C73DD8}"/>
    <cellStyle name="Normal 4 3 3 11" xfId="25843" xr:uid="{106DAC39-2595-4C5A-AA08-1A4E23ACE09F}"/>
    <cellStyle name="Normal 4 3 3 12" xfId="8970" xr:uid="{0E85EAC8-F5CD-48A0-AEB4-147AF5ECF150}"/>
    <cellStyle name="Normal 4 3 3 2" xfId="375" xr:uid="{00000000-0005-0000-0000-00005E140000}"/>
    <cellStyle name="Normal 4 3 3 2 10" xfId="25844" xr:uid="{780D698B-7959-4022-85DB-35E956E9D2BE}"/>
    <cellStyle name="Normal 4 3 3 2 11" xfId="8971" xr:uid="{96493EEE-4853-41E5-8BE9-BB9CF9B10161}"/>
    <cellStyle name="Normal 4 3 3 2 2" xfId="376" xr:uid="{00000000-0005-0000-0000-00005F140000}"/>
    <cellStyle name="Normal 4 3 3 2 2 10" xfId="8972" xr:uid="{617AFB96-3E5C-4FA5-ABD2-343066D6CB63}"/>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24186" xr:uid="{573A13E6-E7D9-4323-B8EB-99AB4374EB97}"/>
    <cellStyle name="Normal 4 3 3 2 2 2 2 2 3" xfId="32620" xr:uid="{1C1E3ECE-5676-4C77-8C75-83094E2518F9}"/>
    <cellStyle name="Normal 4 3 3 2 2 2 2 2 4" xfId="15748" xr:uid="{4275A96E-ED85-465D-93BA-3B8BAFB487BE}"/>
    <cellStyle name="Normal 4 3 3 2 2 2 2 3" xfId="19968" xr:uid="{F0417074-3AF0-4A2F-A929-6E4486B83D8F}"/>
    <cellStyle name="Normal 4 3 3 2 2 2 2 4" xfId="28403" xr:uid="{FDEE639E-1D72-4235-9E6E-93F3DD7CCF92}"/>
    <cellStyle name="Normal 4 3 3 2 2 2 2 5" xfId="11530" xr:uid="{1B7BFA2E-797C-4A02-8589-8FF762554810}"/>
    <cellStyle name="Normal 4 3 3 2 2 2 3" xfId="5164" xr:uid="{00000000-0005-0000-0000-000063140000}"/>
    <cellStyle name="Normal 4 3 3 2 2 2 3 2" xfId="22041" xr:uid="{AE02048C-ABF8-4FD2-805C-DA154EADDDDD}"/>
    <cellStyle name="Normal 4 3 3 2 2 2 3 3" xfId="30475" xr:uid="{2361B517-0106-4F90-A3A1-EAD80BC75AF9}"/>
    <cellStyle name="Normal 4 3 3 2 2 2 3 4" xfId="13603" xr:uid="{A44721F1-6714-477B-B4D2-AD336D38D560}"/>
    <cellStyle name="Normal 4 3 3 2 2 2 4" xfId="17823" xr:uid="{7CD7B0E6-20F1-47EB-9FB7-FDDD4B781FEB}"/>
    <cellStyle name="Normal 4 3 3 2 2 2 5" xfId="26258" xr:uid="{14AD31A2-30C8-40DD-AF4F-511A4F5D62B9}"/>
    <cellStyle name="Normal 4 3 3 2 2 2 6" xfId="9385" xr:uid="{2D898D30-D180-4520-B334-62616AAA73D9}"/>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24599" xr:uid="{93BA52AA-070F-4025-8374-BA6B72CD91A2}"/>
    <cellStyle name="Normal 4 3 3 2 2 3 2 2 3" xfId="33033" xr:uid="{FD7FD178-BEDF-4EF0-B55B-9AD49A3ADECE}"/>
    <cellStyle name="Normal 4 3 3 2 2 3 2 2 4" xfId="16161" xr:uid="{43FC1ADF-1291-47DD-B595-4B94558D33C7}"/>
    <cellStyle name="Normal 4 3 3 2 2 3 2 3" xfId="20381" xr:uid="{0956D972-E643-45D5-9F38-59DF44D5C8EA}"/>
    <cellStyle name="Normal 4 3 3 2 2 3 2 4" xfId="28816" xr:uid="{B42B4BD5-5BF4-4EF3-B1DB-5E368BBECF6D}"/>
    <cellStyle name="Normal 4 3 3 2 2 3 2 5" xfId="11943" xr:uid="{53510214-4FD1-4C56-8CDC-7E62973F222C}"/>
    <cellStyle name="Normal 4 3 3 2 2 3 3" xfId="5577" xr:uid="{00000000-0005-0000-0000-000067140000}"/>
    <cellStyle name="Normal 4 3 3 2 2 3 3 2" xfId="22454" xr:uid="{F997DB6A-7705-461D-A9A9-BDC84E46A6A0}"/>
    <cellStyle name="Normal 4 3 3 2 2 3 3 3" xfId="30888" xr:uid="{A825864A-FA2D-40A2-B6C9-3C0D07062F8E}"/>
    <cellStyle name="Normal 4 3 3 2 2 3 3 4" xfId="14016" xr:uid="{34E1A821-8C4D-4314-8FB5-D4DC87081616}"/>
    <cellStyle name="Normal 4 3 3 2 2 3 4" xfId="18236" xr:uid="{CADE4572-A8AC-4A64-B273-16AC4541544D}"/>
    <cellStyle name="Normal 4 3 3 2 2 3 5" xfId="26671" xr:uid="{CEE3A68A-B224-4F77-9C0C-C5AB19D53BD3}"/>
    <cellStyle name="Normal 4 3 3 2 2 3 6" xfId="9798" xr:uid="{FB14094A-944A-46A8-AB52-2F81F33D704E}"/>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25012" xr:uid="{24D6FD56-8DE9-4DFE-8CEB-1D5F911445A5}"/>
    <cellStyle name="Normal 4 3 3 2 2 4 2 2 3" xfId="33446" xr:uid="{65855E75-92C5-4DC7-A7C2-98CAFB6AC565}"/>
    <cellStyle name="Normal 4 3 3 2 2 4 2 2 4" xfId="16574" xr:uid="{0C90565D-BB27-4868-BD85-3703D1F7EA80}"/>
    <cellStyle name="Normal 4 3 3 2 2 4 2 3" xfId="20794" xr:uid="{B9083BBC-6913-4E4B-9C28-AACD5ED5A81A}"/>
    <cellStyle name="Normal 4 3 3 2 2 4 2 4" xfId="29229" xr:uid="{490BC829-6882-43EC-9EF5-88152AC8E318}"/>
    <cellStyle name="Normal 4 3 3 2 2 4 2 5" xfId="12356" xr:uid="{92CFC5A3-2FEA-4BE9-9DE0-4C62B0D15181}"/>
    <cellStyle name="Normal 4 3 3 2 2 4 3" xfId="5990" xr:uid="{00000000-0005-0000-0000-00006B140000}"/>
    <cellStyle name="Normal 4 3 3 2 2 4 3 2" xfId="22867" xr:uid="{9F95F9BE-9C63-43BD-8D8C-6F6B55D75D66}"/>
    <cellStyle name="Normal 4 3 3 2 2 4 3 3" xfId="31301" xr:uid="{640D3AFD-28D3-4120-968D-5D0F2EBBDBE6}"/>
    <cellStyle name="Normal 4 3 3 2 2 4 3 4" xfId="14429" xr:uid="{F8D05520-9238-47F3-A7B9-25BA8098ABEB}"/>
    <cellStyle name="Normal 4 3 3 2 2 4 4" xfId="18649" xr:uid="{7ED37049-D1BA-4A3B-97D0-21C58EC0CE8A}"/>
    <cellStyle name="Normal 4 3 3 2 2 4 5" xfId="27084" xr:uid="{0F9E5191-EE27-41BC-8C8C-323C23A77DCF}"/>
    <cellStyle name="Normal 4 3 3 2 2 4 6" xfId="10211" xr:uid="{1DB92D77-7966-46AA-90DD-934D484C96E1}"/>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25425" xr:uid="{5E39351B-4A54-4AA2-96CA-BEADD4B5B6CB}"/>
    <cellStyle name="Normal 4 3 3 2 2 5 2 2 3" xfId="33859" xr:uid="{A0D1ABE5-64D6-4070-9C86-86235A5B6A51}"/>
    <cellStyle name="Normal 4 3 3 2 2 5 2 2 4" xfId="16987" xr:uid="{898C3345-536A-4447-8FB5-3F9728C17022}"/>
    <cellStyle name="Normal 4 3 3 2 2 5 2 3" xfId="21207" xr:uid="{897F4675-2C1E-4827-8D15-60E05B71A54C}"/>
    <cellStyle name="Normal 4 3 3 2 2 5 2 4" xfId="29642" xr:uid="{553F7FC3-E6BE-41E4-9533-909BD2AEFC1A}"/>
    <cellStyle name="Normal 4 3 3 2 2 5 2 5" xfId="12769" xr:uid="{8C443EC2-1A6F-40AC-8C2C-0EE9B1B82351}"/>
    <cellStyle name="Normal 4 3 3 2 2 5 3" xfId="6403" xr:uid="{00000000-0005-0000-0000-00006F140000}"/>
    <cellStyle name="Normal 4 3 3 2 2 5 3 2" xfId="23280" xr:uid="{7F9A6647-7CB9-43EA-814E-5183E82B4573}"/>
    <cellStyle name="Normal 4 3 3 2 2 5 3 3" xfId="31714" xr:uid="{334FDD79-3806-4A8B-A2B0-5891708C64F1}"/>
    <cellStyle name="Normal 4 3 3 2 2 5 3 4" xfId="14842" xr:uid="{05B4FCDB-F079-4BB5-A241-0E88CE3F9D3D}"/>
    <cellStyle name="Normal 4 3 3 2 2 5 4" xfId="19062" xr:uid="{8D5BCF97-90D4-409C-9E3C-53FD85944278}"/>
    <cellStyle name="Normal 4 3 3 2 2 5 5" xfId="27497" xr:uid="{7677515D-DF9E-4521-BC39-595EBDB829B6}"/>
    <cellStyle name="Normal 4 3 3 2 2 5 6" xfId="10624" xr:uid="{422BBF1E-C0FB-41A8-9BB2-ADA77D7BE4FE}"/>
    <cellStyle name="Normal 4 3 3 2 2 6" xfId="2532" xr:uid="{00000000-0005-0000-0000-000070140000}"/>
    <cellStyle name="Normal 4 3 3 2 2 6 2" xfId="6816" xr:uid="{00000000-0005-0000-0000-000071140000}"/>
    <cellStyle name="Normal 4 3 3 2 2 6 2 2" xfId="23693" xr:uid="{166E4FFA-B628-42B7-B074-D9BB75F9A4EA}"/>
    <cellStyle name="Normal 4 3 3 2 2 6 2 3" xfId="32127" xr:uid="{FF8D82CE-E91B-4061-805A-3A1292F64E73}"/>
    <cellStyle name="Normal 4 3 3 2 2 6 2 4" xfId="15255" xr:uid="{7B11DAA8-BD49-4124-BB66-009E1EE83B06}"/>
    <cellStyle name="Normal 4 3 3 2 2 6 3" xfId="19475" xr:uid="{1C408F73-3E4D-465E-8023-0387ACACFC6A}"/>
    <cellStyle name="Normal 4 3 3 2 2 6 4" xfId="27910" xr:uid="{89A02984-BF99-4AF3-8B0D-F74133B6E05C}"/>
    <cellStyle name="Normal 4 3 3 2 2 6 5" xfId="11037" xr:uid="{C5B11C4D-DC44-43AA-81CA-96D59CB50A7A}"/>
    <cellStyle name="Normal 4 3 3 2 2 7" xfId="4751" xr:uid="{00000000-0005-0000-0000-000072140000}"/>
    <cellStyle name="Normal 4 3 3 2 2 7 2" xfId="21628" xr:uid="{BD5B363C-43E2-4628-96B8-F33A3CB1872E}"/>
    <cellStyle name="Normal 4 3 3 2 2 7 3" xfId="30062" xr:uid="{7A229CF4-4EDF-42AE-B218-31A69AE7B274}"/>
    <cellStyle name="Normal 4 3 3 2 2 7 4" xfId="13190" xr:uid="{A40CB03A-05C3-46F7-843A-C984F8566C72}"/>
    <cellStyle name="Normal 4 3 3 2 2 8" xfId="17410" xr:uid="{DD4F4115-46A2-45BF-9C5C-AB3339626C70}"/>
    <cellStyle name="Normal 4 3 3 2 2 9" xfId="25845" xr:uid="{40EFEDBC-5F0C-4FA5-B63B-149C17E32A8B}"/>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24185" xr:uid="{0D0D7C1A-AFC3-4549-8B50-7B9462D5D53C}"/>
    <cellStyle name="Normal 4 3 3 2 3 2 2 3" xfId="32619" xr:uid="{FE9C325E-98E9-427D-8A55-627D1DD394E5}"/>
    <cellStyle name="Normal 4 3 3 2 3 2 2 4" xfId="15747" xr:uid="{1A468F5A-6EA7-4F0D-AAC0-0A27B4C6FDA4}"/>
    <cellStyle name="Normal 4 3 3 2 3 2 3" xfId="19967" xr:uid="{2BEFDFA0-8267-4A8C-9942-D58E416BD673}"/>
    <cellStyle name="Normal 4 3 3 2 3 2 4" xfId="28402" xr:uid="{5FC2B498-27AC-4154-8E6F-5958C18ED32F}"/>
    <cellStyle name="Normal 4 3 3 2 3 2 5" xfId="11529" xr:uid="{0D93A108-E4A4-4139-BDE3-2ED91D9FEF5A}"/>
    <cellStyle name="Normal 4 3 3 2 3 3" xfId="5163" xr:uid="{00000000-0005-0000-0000-000076140000}"/>
    <cellStyle name="Normal 4 3 3 2 3 3 2" xfId="22040" xr:uid="{CC762986-7295-4F0E-80EA-B096EEA6DC51}"/>
    <cellStyle name="Normal 4 3 3 2 3 3 3" xfId="30474" xr:uid="{C41ABEE1-2A62-4E85-9C40-DC6E5B441E32}"/>
    <cellStyle name="Normal 4 3 3 2 3 3 4" xfId="13602" xr:uid="{15F3F293-3520-43C9-B423-9C364080684D}"/>
    <cellStyle name="Normal 4 3 3 2 3 4" xfId="17822" xr:uid="{5FA191A4-12BE-4EE6-B5EE-F03E24F0DE2A}"/>
    <cellStyle name="Normal 4 3 3 2 3 5" xfId="26257" xr:uid="{F0EA221E-FD35-491B-86C2-E662FCF49F88}"/>
    <cellStyle name="Normal 4 3 3 2 3 6" xfId="9384" xr:uid="{D7A4356D-1BFB-4678-B7C8-9E7B8F5B2585}"/>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24598" xr:uid="{8983D9DF-A5A2-4DEB-BEE6-34DF87A10CF3}"/>
    <cellStyle name="Normal 4 3 3 2 4 2 2 3" xfId="33032" xr:uid="{5E784A1B-EC58-4728-8D64-54A1864A3297}"/>
    <cellStyle name="Normal 4 3 3 2 4 2 2 4" xfId="16160" xr:uid="{9F9AA079-7FA8-4F1D-A2D3-D7D6309613A7}"/>
    <cellStyle name="Normal 4 3 3 2 4 2 3" xfId="20380" xr:uid="{7ADD97E0-3D6E-4B79-BDC6-80CDA5D39F74}"/>
    <cellStyle name="Normal 4 3 3 2 4 2 4" xfId="28815" xr:uid="{F30A5103-656F-4F6D-B88E-9FA0253FB600}"/>
    <cellStyle name="Normal 4 3 3 2 4 2 5" xfId="11942" xr:uid="{6713FE1F-F800-4139-B345-8534B8A4E995}"/>
    <cellStyle name="Normal 4 3 3 2 4 3" xfId="5576" xr:uid="{00000000-0005-0000-0000-00007A140000}"/>
    <cellStyle name="Normal 4 3 3 2 4 3 2" xfId="22453" xr:uid="{11829781-A28C-472F-B759-A7FAF49BF70A}"/>
    <cellStyle name="Normal 4 3 3 2 4 3 3" xfId="30887" xr:uid="{34E4989D-126D-4CD7-AA5C-0CEE664DB1CF}"/>
    <cellStyle name="Normal 4 3 3 2 4 3 4" xfId="14015" xr:uid="{A1A90BE6-EC48-42CD-9C4D-8670930FCB40}"/>
    <cellStyle name="Normal 4 3 3 2 4 4" xfId="18235" xr:uid="{D3105B00-AD6A-4E37-A4BC-4CFF7D030DE3}"/>
    <cellStyle name="Normal 4 3 3 2 4 5" xfId="26670" xr:uid="{42AF319A-4FB4-4EFE-9780-85D4AAA6981F}"/>
    <cellStyle name="Normal 4 3 3 2 4 6" xfId="9797" xr:uid="{6E8C65EF-C9CF-40D7-8E89-05A1D647D157}"/>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25011" xr:uid="{2D2E51AE-8E72-44E4-8116-C4296C5C709A}"/>
    <cellStyle name="Normal 4 3 3 2 5 2 2 3" xfId="33445" xr:uid="{1640691E-B910-4002-A531-67DB99D8F28E}"/>
    <cellStyle name="Normal 4 3 3 2 5 2 2 4" xfId="16573" xr:uid="{5F798EE2-E542-4A9A-9163-446B6BF20D5B}"/>
    <cellStyle name="Normal 4 3 3 2 5 2 3" xfId="20793" xr:uid="{D1F11684-26CA-48D4-AEEB-B3B47929ACDA}"/>
    <cellStyle name="Normal 4 3 3 2 5 2 4" xfId="29228" xr:uid="{C104878B-6C85-402B-9AE2-1CF86E513399}"/>
    <cellStyle name="Normal 4 3 3 2 5 2 5" xfId="12355" xr:uid="{DB553620-4665-4C46-BEF9-F08F8C092FD5}"/>
    <cellStyle name="Normal 4 3 3 2 5 3" xfId="5989" xr:uid="{00000000-0005-0000-0000-00007E140000}"/>
    <cellStyle name="Normal 4 3 3 2 5 3 2" xfId="22866" xr:uid="{8204EEA0-85E5-4445-A6C2-784FFAA82CAB}"/>
    <cellStyle name="Normal 4 3 3 2 5 3 3" xfId="31300" xr:uid="{C4808372-B19A-409C-8687-FEB10013FF82}"/>
    <cellStyle name="Normal 4 3 3 2 5 3 4" xfId="14428" xr:uid="{B9D57255-1242-4A76-A373-CE25914372E8}"/>
    <cellStyle name="Normal 4 3 3 2 5 4" xfId="18648" xr:uid="{83FB6DF6-C1D9-45E3-8A22-8E0ECFF2AF7D}"/>
    <cellStyle name="Normal 4 3 3 2 5 5" xfId="27083" xr:uid="{B7C38637-159A-460A-B023-90A85B6F7D0F}"/>
    <cellStyle name="Normal 4 3 3 2 5 6" xfId="10210" xr:uid="{7F0253AF-3860-46B4-9361-8505FF8EC901}"/>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25424" xr:uid="{06BEB607-BAB0-4BB1-B984-F8E0FED3BADB}"/>
    <cellStyle name="Normal 4 3 3 2 6 2 2 3" xfId="33858" xr:uid="{08C0D286-0B63-4FE8-AD08-7B9A1733321E}"/>
    <cellStyle name="Normal 4 3 3 2 6 2 2 4" xfId="16986" xr:uid="{010D69CA-D9E0-491E-A6D4-2EC076102E9A}"/>
    <cellStyle name="Normal 4 3 3 2 6 2 3" xfId="21206" xr:uid="{02FB8A06-D3F6-4E7F-81A9-F77E7EF4618E}"/>
    <cellStyle name="Normal 4 3 3 2 6 2 4" xfId="29641" xr:uid="{5068FA19-35C1-4860-AAED-E52CAE42F463}"/>
    <cellStyle name="Normal 4 3 3 2 6 2 5" xfId="12768" xr:uid="{78F19944-3F67-433D-B38D-AFBD4A9105A6}"/>
    <cellStyle name="Normal 4 3 3 2 6 3" xfId="6402" xr:uid="{00000000-0005-0000-0000-000082140000}"/>
    <cellStyle name="Normal 4 3 3 2 6 3 2" xfId="23279" xr:uid="{A966F4F6-CF4B-47D0-8DF0-2E6B88F77CD0}"/>
    <cellStyle name="Normal 4 3 3 2 6 3 3" xfId="31713" xr:uid="{1E39AEB3-70D2-4782-8A07-35C137F51D87}"/>
    <cellStyle name="Normal 4 3 3 2 6 3 4" xfId="14841" xr:uid="{ED0D455A-378F-4424-8F57-A4DB5EE4D641}"/>
    <cellStyle name="Normal 4 3 3 2 6 4" xfId="19061" xr:uid="{5AC5EFC1-61B9-4E67-AF15-0F2D8DC805E6}"/>
    <cellStyle name="Normal 4 3 3 2 6 5" xfId="27496" xr:uid="{11FBEB20-3FC4-4D25-8D68-D5F046F7AD32}"/>
    <cellStyle name="Normal 4 3 3 2 6 6" xfId="10623" xr:uid="{8517BA69-9E83-4302-9C04-F47895ABE4D3}"/>
    <cellStyle name="Normal 4 3 3 2 7" xfId="2531" xr:uid="{00000000-0005-0000-0000-000083140000}"/>
    <cellStyle name="Normal 4 3 3 2 7 2" xfId="6815" xr:uid="{00000000-0005-0000-0000-000084140000}"/>
    <cellStyle name="Normal 4 3 3 2 7 2 2" xfId="23692" xr:uid="{4EFC6B7E-862E-4CBF-B96A-FE59E7B7697C}"/>
    <cellStyle name="Normal 4 3 3 2 7 2 3" xfId="32126" xr:uid="{F73A17DA-933A-468D-B104-7532E59B737E}"/>
    <cellStyle name="Normal 4 3 3 2 7 2 4" xfId="15254" xr:uid="{D1A143DE-BE58-4F5D-B131-B8931D666398}"/>
    <cellStyle name="Normal 4 3 3 2 7 3" xfId="19474" xr:uid="{2FD983A6-6A74-4777-AB36-F33E5E0CEC71}"/>
    <cellStyle name="Normal 4 3 3 2 7 4" xfId="27909" xr:uid="{FBD44258-B3A0-42DF-B950-49A6CB066258}"/>
    <cellStyle name="Normal 4 3 3 2 7 5" xfId="11036" xr:uid="{2AFDE0F8-DDB8-4D66-A174-590E3C21DB7E}"/>
    <cellStyle name="Normal 4 3 3 2 8" xfId="4750" xr:uid="{00000000-0005-0000-0000-000085140000}"/>
    <cellStyle name="Normal 4 3 3 2 8 2" xfId="21627" xr:uid="{E13257C3-77DB-41EF-89D0-686F2372FDBA}"/>
    <cellStyle name="Normal 4 3 3 2 8 3" xfId="30061" xr:uid="{96ABB58D-0E82-4BEA-A32E-17A9C008CCE3}"/>
    <cellStyle name="Normal 4 3 3 2 8 4" xfId="13189" xr:uid="{DD61B715-D9B7-40D5-A558-6AB35A4DB350}"/>
    <cellStyle name="Normal 4 3 3 2 9" xfId="17409" xr:uid="{80F6B593-9396-462D-9BEE-0B4F879C3081}"/>
    <cellStyle name="Normal 4 3 3 3" xfId="377" xr:uid="{00000000-0005-0000-0000-000086140000}"/>
    <cellStyle name="Normal 4 3 3 3 10" xfId="8973" xr:uid="{0366F13B-2D4F-4D06-AA13-3D7198737655}"/>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24187" xr:uid="{7980DDB0-E277-486B-8547-843A1DA54947}"/>
    <cellStyle name="Normal 4 3 3 3 2 2 2 3" xfId="32621" xr:uid="{BB4B619E-3C5C-4DD2-A7E6-29D57D47A125}"/>
    <cellStyle name="Normal 4 3 3 3 2 2 2 4" xfId="15749" xr:uid="{596D88B9-8ABF-4CAC-8FF5-423C72A59201}"/>
    <cellStyle name="Normal 4 3 3 3 2 2 3" xfId="19969" xr:uid="{B652891E-6FE4-4AC0-98A4-0258BC6FE305}"/>
    <cellStyle name="Normal 4 3 3 3 2 2 4" xfId="28404" xr:uid="{95B8DC85-BB3A-47F0-ADD0-7CD6F89A490B}"/>
    <cellStyle name="Normal 4 3 3 3 2 2 5" xfId="11531" xr:uid="{89810D3F-E335-46B4-939E-0B281328BC9C}"/>
    <cellStyle name="Normal 4 3 3 3 2 3" xfId="5165" xr:uid="{00000000-0005-0000-0000-00008A140000}"/>
    <cellStyle name="Normal 4 3 3 3 2 3 2" xfId="22042" xr:uid="{E7C9560D-8C8B-43F3-8D03-391361413C22}"/>
    <cellStyle name="Normal 4 3 3 3 2 3 3" xfId="30476" xr:uid="{39609B41-B89A-49D3-9543-11BDEB37C0F5}"/>
    <cellStyle name="Normal 4 3 3 3 2 3 4" xfId="13604" xr:uid="{59009578-BE52-44EE-80B2-4A914B2A7A07}"/>
    <cellStyle name="Normal 4 3 3 3 2 4" xfId="17824" xr:uid="{0DEF7D04-491F-45E4-9405-3CE938802766}"/>
    <cellStyle name="Normal 4 3 3 3 2 5" xfId="26259" xr:uid="{12F7B00D-82BB-4BCC-856E-6874FF08C847}"/>
    <cellStyle name="Normal 4 3 3 3 2 6" xfId="9386" xr:uid="{0A691C81-7B37-4075-9FF5-A3EDC0471945}"/>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24600" xr:uid="{1E1F6B60-2D2C-4394-90A9-F5946B3EB9AA}"/>
    <cellStyle name="Normal 4 3 3 3 3 2 2 3" xfId="33034" xr:uid="{B78A86F0-10F9-4446-93B3-A3F7D284326C}"/>
    <cellStyle name="Normal 4 3 3 3 3 2 2 4" xfId="16162" xr:uid="{E20580EB-5433-4113-8A54-B217ABC04FE8}"/>
    <cellStyle name="Normal 4 3 3 3 3 2 3" xfId="20382" xr:uid="{5F71850D-694D-4C68-A634-4B2714F662F8}"/>
    <cellStyle name="Normal 4 3 3 3 3 2 4" xfId="28817" xr:uid="{E2918540-0C09-4647-86C1-B2E8522FBF85}"/>
    <cellStyle name="Normal 4 3 3 3 3 2 5" xfId="11944" xr:uid="{DEC7294D-7FB4-4917-877E-60F6D071EFCF}"/>
    <cellStyle name="Normal 4 3 3 3 3 3" xfId="5578" xr:uid="{00000000-0005-0000-0000-00008E140000}"/>
    <cellStyle name="Normal 4 3 3 3 3 3 2" xfId="22455" xr:uid="{A26F44C9-7BFD-487B-BD41-224842243FBD}"/>
    <cellStyle name="Normal 4 3 3 3 3 3 3" xfId="30889" xr:uid="{E9EAF16C-E464-4C55-A6E9-37DB73E056A7}"/>
    <cellStyle name="Normal 4 3 3 3 3 3 4" xfId="14017" xr:uid="{1D3BCB59-B75E-48F0-8EBD-17AD393A5765}"/>
    <cellStyle name="Normal 4 3 3 3 3 4" xfId="18237" xr:uid="{49700992-F610-4088-9CDA-BE898F2EB8C9}"/>
    <cellStyle name="Normal 4 3 3 3 3 5" xfId="26672" xr:uid="{3FAD49F0-4157-44A1-AE83-EBB7072B6EA8}"/>
    <cellStyle name="Normal 4 3 3 3 3 6" xfId="9799" xr:uid="{21E43916-3100-49DA-B88A-48EEE3575097}"/>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25013" xr:uid="{7E0085D0-8C2E-40F3-85BC-02CB8A44AB5C}"/>
    <cellStyle name="Normal 4 3 3 3 4 2 2 3" xfId="33447" xr:uid="{B65B9301-BD5A-4FB5-8825-121E3DE6340D}"/>
    <cellStyle name="Normal 4 3 3 3 4 2 2 4" xfId="16575" xr:uid="{C635E8B6-F775-44A0-A074-2391BD65FECB}"/>
    <cellStyle name="Normal 4 3 3 3 4 2 3" xfId="20795" xr:uid="{C6CA0B99-5F6D-4018-ADEE-B80F6BDC0764}"/>
    <cellStyle name="Normal 4 3 3 3 4 2 4" xfId="29230" xr:uid="{7245679B-F199-474A-B80E-4FD2345156D2}"/>
    <cellStyle name="Normal 4 3 3 3 4 2 5" xfId="12357" xr:uid="{120F8ADC-8DD4-4CD8-88AE-6BE9D5297BBC}"/>
    <cellStyle name="Normal 4 3 3 3 4 3" xfId="5991" xr:uid="{00000000-0005-0000-0000-000092140000}"/>
    <cellStyle name="Normal 4 3 3 3 4 3 2" xfId="22868" xr:uid="{EE325F69-A502-4CB5-9DE8-B03378F95D1B}"/>
    <cellStyle name="Normal 4 3 3 3 4 3 3" xfId="31302" xr:uid="{53AC7184-4BE3-4986-BD89-E747AD6893B1}"/>
    <cellStyle name="Normal 4 3 3 3 4 3 4" xfId="14430" xr:uid="{3B32ABE8-BC10-4E66-8E90-CDEEE2907BF6}"/>
    <cellStyle name="Normal 4 3 3 3 4 4" xfId="18650" xr:uid="{37429083-C02D-4CA3-B042-BDE65006B2AF}"/>
    <cellStyle name="Normal 4 3 3 3 4 5" xfId="27085" xr:uid="{1593A7C3-561A-4928-841D-099EF5CBE8A7}"/>
    <cellStyle name="Normal 4 3 3 3 4 6" xfId="10212" xr:uid="{7A544D93-4C69-4D75-B9BC-C19F8AF1CE00}"/>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25426" xr:uid="{04450A12-509C-43D8-91AB-E80805A1FF26}"/>
    <cellStyle name="Normal 4 3 3 3 5 2 2 3" xfId="33860" xr:uid="{297D7BD1-C659-4A48-B62A-A04098B81466}"/>
    <cellStyle name="Normal 4 3 3 3 5 2 2 4" xfId="16988" xr:uid="{613894EA-8600-47AF-97FE-47A9B8D4E2BE}"/>
    <cellStyle name="Normal 4 3 3 3 5 2 3" xfId="21208" xr:uid="{65F447B3-759D-4E67-99E9-FCCA02E4EE3D}"/>
    <cellStyle name="Normal 4 3 3 3 5 2 4" xfId="29643" xr:uid="{DE55268B-FFA6-4A30-B1BF-BB05275ACC81}"/>
    <cellStyle name="Normal 4 3 3 3 5 2 5" xfId="12770" xr:uid="{5990F80E-417E-4CD5-A610-C1A9B3580564}"/>
    <cellStyle name="Normal 4 3 3 3 5 3" xfId="6404" xr:uid="{00000000-0005-0000-0000-000096140000}"/>
    <cellStyle name="Normal 4 3 3 3 5 3 2" xfId="23281" xr:uid="{6ED85763-C3B5-4493-9EDA-205AE3C64305}"/>
    <cellStyle name="Normal 4 3 3 3 5 3 3" xfId="31715" xr:uid="{68CF086C-09AD-4FCA-B0A9-EC40432F1ABF}"/>
    <cellStyle name="Normal 4 3 3 3 5 3 4" xfId="14843" xr:uid="{99B85E04-BBBF-40A7-8FD4-5150B120EDAA}"/>
    <cellStyle name="Normal 4 3 3 3 5 4" xfId="19063" xr:uid="{E71D6AB7-5778-45E7-86D1-DDAB350E0F52}"/>
    <cellStyle name="Normal 4 3 3 3 5 5" xfId="27498" xr:uid="{0FC5C9CF-AF85-4348-8F82-FDA32BCCB861}"/>
    <cellStyle name="Normal 4 3 3 3 5 6" xfId="10625" xr:uid="{96FE513D-114E-474A-8B01-C068A17A27B5}"/>
    <cellStyle name="Normal 4 3 3 3 6" xfId="2533" xr:uid="{00000000-0005-0000-0000-000097140000}"/>
    <cellStyle name="Normal 4 3 3 3 6 2" xfId="6817" xr:uid="{00000000-0005-0000-0000-000098140000}"/>
    <cellStyle name="Normal 4 3 3 3 6 2 2" xfId="23694" xr:uid="{1B8FBBD0-7A87-4570-91B9-A4FC4C94B0CB}"/>
    <cellStyle name="Normal 4 3 3 3 6 2 3" xfId="32128" xr:uid="{933C7E7F-8700-45FB-AD7E-2D432598C1B5}"/>
    <cellStyle name="Normal 4 3 3 3 6 2 4" xfId="15256" xr:uid="{508A9394-02F0-4036-8A5E-8C4ADD3C9607}"/>
    <cellStyle name="Normal 4 3 3 3 6 3" xfId="19476" xr:uid="{A67214BC-B672-48F6-A839-4111938A4971}"/>
    <cellStyle name="Normal 4 3 3 3 6 4" xfId="27911" xr:uid="{4A41F48E-6F64-4062-8B1B-BE3EF0E31B0F}"/>
    <cellStyle name="Normal 4 3 3 3 6 5" xfId="11038" xr:uid="{F80E2CC7-8ADA-4C50-ABD9-F67E952CDA5A}"/>
    <cellStyle name="Normal 4 3 3 3 7" xfId="4752" xr:uid="{00000000-0005-0000-0000-000099140000}"/>
    <cellStyle name="Normal 4 3 3 3 7 2" xfId="21629" xr:uid="{D5F30916-6C7F-4804-8EBC-9A1DCB91905F}"/>
    <cellStyle name="Normal 4 3 3 3 7 3" xfId="30063" xr:uid="{62F30BA3-5936-4940-8CC1-1EF14CE7C59D}"/>
    <cellStyle name="Normal 4 3 3 3 7 4" xfId="13191" xr:uid="{829205AB-51C1-4C45-94BB-B17F45F51B61}"/>
    <cellStyle name="Normal 4 3 3 3 8" xfId="17411" xr:uid="{F3C6B5DF-8FDA-4FE9-9850-A274E3C65A8C}"/>
    <cellStyle name="Normal 4 3 3 3 9" xfId="25846" xr:uid="{CE07A953-3774-478F-BDF2-CB33F1C42250}"/>
    <cellStyle name="Normal 4 3 3 4" xfId="849" xr:uid="{00000000-0005-0000-0000-00009A140000}"/>
    <cellStyle name="Normal 4 3 3 4 2" xfId="3084" xr:uid="{00000000-0005-0000-0000-00009B140000}"/>
    <cellStyle name="Normal 4 3 3 4 2 2" xfId="7307" xr:uid="{00000000-0005-0000-0000-00009C140000}"/>
    <cellStyle name="Normal 4 3 3 4 2 2 2" xfId="24184" xr:uid="{C3CADF36-6750-4B41-A6D5-E1D15B010135}"/>
    <cellStyle name="Normal 4 3 3 4 2 2 3" xfId="32618" xr:uid="{B99F9B3D-24AA-4493-9A50-E97D0ABEAE51}"/>
    <cellStyle name="Normal 4 3 3 4 2 2 4" xfId="15746" xr:uid="{28007CE2-7387-4100-8E01-66119A55D9A5}"/>
    <cellStyle name="Normal 4 3 3 4 2 3" xfId="19966" xr:uid="{BB30E659-8C9C-467B-8EF6-7984836B2BF0}"/>
    <cellStyle name="Normal 4 3 3 4 2 4" xfId="28401" xr:uid="{F8131104-F806-4C09-AE8F-11FAC47B8DE9}"/>
    <cellStyle name="Normal 4 3 3 4 2 5" xfId="11528" xr:uid="{4E4AE822-FDC2-44C9-9E5A-6B1DAD6C04A7}"/>
    <cellStyle name="Normal 4 3 3 4 3" xfId="5162" xr:uid="{00000000-0005-0000-0000-00009D140000}"/>
    <cellStyle name="Normal 4 3 3 4 3 2" xfId="22039" xr:uid="{4528F974-6254-44AA-81F2-2551B6503C8E}"/>
    <cellStyle name="Normal 4 3 3 4 3 3" xfId="30473" xr:uid="{21ADE4A1-E589-4305-B331-B0AC9F042505}"/>
    <cellStyle name="Normal 4 3 3 4 3 4" xfId="13601" xr:uid="{E071294C-898B-4F8E-881E-D5690BC2FFD8}"/>
    <cellStyle name="Normal 4 3 3 4 4" xfId="17821" xr:uid="{4D00E29A-B7DE-4DD1-B75C-BCCB048989D2}"/>
    <cellStyle name="Normal 4 3 3 4 5" xfId="26256" xr:uid="{094D4C26-E445-4CC6-97F3-E7A2DB154F92}"/>
    <cellStyle name="Normal 4 3 3 4 6" xfId="9383" xr:uid="{8B5076DE-805F-452E-B7FA-065F865CBD27}"/>
    <cellStyle name="Normal 4 3 3 5" xfId="1267" xr:uid="{00000000-0005-0000-0000-00009E140000}"/>
    <cellStyle name="Normal 4 3 3 5 2" xfId="3497" xr:uid="{00000000-0005-0000-0000-00009F140000}"/>
    <cellStyle name="Normal 4 3 3 5 2 2" xfId="7720" xr:uid="{00000000-0005-0000-0000-0000A0140000}"/>
    <cellStyle name="Normal 4 3 3 5 2 2 2" xfId="24597" xr:uid="{A1B2DD29-9EA3-4162-B0E7-0CB023B93DC1}"/>
    <cellStyle name="Normal 4 3 3 5 2 2 3" xfId="33031" xr:uid="{039B4B24-11D2-465F-A249-1673133A2AA4}"/>
    <cellStyle name="Normal 4 3 3 5 2 2 4" xfId="16159" xr:uid="{3E826D1D-264C-4CE0-84E1-C7D632D31B51}"/>
    <cellStyle name="Normal 4 3 3 5 2 3" xfId="20379" xr:uid="{593C2B98-DF48-4864-A21C-7E88B716FE7A}"/>
    <cellStyle name="Normal 4 3 3 5 2 4" xfId="28814" xr:uid="{15FCF3A2-4FFF-4C7B-91D1-7099C0F1132F}"/>
    <cellStyle name="Normal 4 3 3 5 2 5" xfId="11941" xr:uid="{654C8E9A-C188-4C78-AB6C-A8E2CBD42142}"/>
    <cellStyle name="Normal 4 3 3 5 3" xfId="5575" xr:uid="{00000000-0005-0000-0000-0000A1140000}"/>
    <cellStyle name="Normal 4 3 3 5 3 2" xfId="22452" xr:uid="{1507F62C-5F40-4944-94C1-A4D82BA63B1E}"/>
    <cellStyle name="Normal 4 3 3 5 3 3" xfId="30886" xr:uid="{69A3DA6F-B8A6-4650-B0DF-CB041A70B358}"/>
    <cellStyle name="Normal 4 3 3 5 3 4" xfId="14014" xr:uid="{3864F680-14DF-4673-8574-C80E0FB6D992}"/>
    <cellStyle name="Normal 4 3 3 5 4" xfId="18234" xr:uid="{D45C30B4-5D43-4599-9249-8D499395FA57}"/>
    <cellStyle name="Normal 4 3 3 5 5" xfId="26669" xr:uid="{13900FAC-FE2C-4D64-A1D8-19A22BDF1AD3}"/>
    <cellStyle name="Normal 4 3 3 5 6" xfId="9796" xr:uid="{343D8725-21F5-40CC-9395-C1EE6F380A30}"/>
    <cellStyle name="Normal 4 3 3 6" xfId="1680" xr:uid="{00000000-0005-0000-0000-0000A2140000}"/>
    <cellStyle name="Normal 4 3 3 6 2" xfId="3910" xr:uid="{00000000-0005-0000-0000-0000A3140000}"/>
    <cellStyle name="Normal 4 3 3 6 2 2" xfId="8133" xr:uid="{00000000-0005-0000-0000-0000A4140000}"/>
    <cellStyle name="Normal 4 3 3 6 2 2 2" xfId="25010" xr:uid="{F5FC5617-6241-4C7F-BAB4-A19EFE6AD449}"/>
    <cellStyle name="Normal 4 3 3 6 2 2 3" xfId="33444" xr:uid="{E5F6369F-8F63-465A-B5EF-E1FC7215EFE0}"/>
    <cellStyle name="Normal 4 3 3 6 2 2 4" xfId="16572" xr:uid="{E3E64795-57CB-45E1-BDC6-C4ACC557DD10}"/>
    <cellStyle name="Normal 4 3 3 6 2 3" xfId="20792" xr:uid="{A1F77CB7-218D-4603-AFDC-3473EA6145B3}"/>
    <cellStyle name="Normal 4 3 3 6 2 4" xfId="29227" xr:uid="{CD62E66A-12D5-4D8A-BDB3-13DE64065F72}"/>
    <cellStyle name="Normal 4 3 3 6 2 5" xfId="12354" xr:uid="{291FBAC9-1A65-46FC-8FF9-B52D7DEC30DC}"/>
    <cellStyle name="Normal 4 3 3 6 3" xfId="5988" xr:uid="{00000000-0005-0000-0000-0000A5140000}"/>
    <cellStyle name="Normal 4 3 3 6 3 2" xfId="22865" xr:uid="{93318250-B7CB-457A-AB26-C8FCD851269E}"/>
    <cellStyle name="Normal 4 3 3 6 3 3" xfId="31299" xr:uid="{153903FE-5F39-47FB-9A22-5D6779402528}"/>
    <cellStyle name="Normal 4 3 3 6 3 4" xfId="14427" xr:uid="{16A1B076-B512-481A-B4E0-0B322EA0CEF6}"/>
    <cellStyle name="Normal 4 3 3 6 4" xfId="18647" xr:uid="{FC919AF6-732B-4E9B-9157-40D4D948C3CF}"/>
    <cellStyle name="Normal 4 3 3 6 5" xfId="27082" xr:uid="{C6BD0C8C-1E73-4D7D-89A7-461202CE1242}"/>
    <cellStyle name="Normal 4 3 3 6 6" xfId="10209" xr:uid="{54AFB4AF-C955-4350-9321-1D5A48EF220C}"/>
    <cellStyle name="Normal 4 3 3 7" xfId="2094" xr:uid="{00000000-0005-0000-0000-0000A6140000}"/>
    <cellStyle name="Normal 4 3 3 7 2" xfId="4323" xr:uid="{00000000-0005-0000-0000-0000A7140000}"/>
    <cellStyle name="Normal 4 3 3 7 2 2" xfId="8546" xr:uid="{00000000-0005-0000-0000-0000A8140000}"/>
    <cellStyle name="Normal 4 3 3 7 2 2 2" xfId="25423" xr:uid="{22DE0FB7-6626-4F70-91D2-C7D85D3C8E1F}"/>
    <cellStyle name="Normal 4 3 3 7 2 2 3" xfId="33857" xr:uid="{CE074831-6D67-487E-936A-70AF13958751}"/>
    <cellStyle name="Normal 4 3 3 7 2 2 4" xfId="16985" xr:uid="{13B44138-2A47-492E-AD82-E2A6B33689B5}"/>
    <cellStyle name="Normal 4 3 3 7 2 3" xfId="21205" xr:uid="{3596EE36-FA6B-4498-8F60-4B3DE4EB05B9}"/>
    <cellStyle name="Normal 4 3 3 7 2 4" xfId="29640" xr:uid="{C7BF2C20-4644-4773-8079-CCF86EDE22C2}"/>
    <cellStyle name="Normal 4 3 3 7 2 5" xfId="12767" xr:uid="{F734391A-2C03-4A51-AFF9-AE96CA6E3193}"/>
    <cellStyle name="Normal 4 3 3 7 3" xfId="6401" xr:uid="{00000000-0005-0000-0000-0000A9140000}"/>
    <cellStyle name="Normal 4 3 3 7 3 2" xfId="23278" xr:uid="{CA36B5CA-BFA1-42FC-8A6D-17DF01A51301}"/>
    <cellStyle name="Normal 4 3 3 7 3 3" xfId="31712" xr:uid="{54AC346E-99B4-4053-ABC8-C1ECFBD0CB58}"/>
    <cellStyle name="Normal 4 3 3 7 3 4" xfId="14840" xr:uid="{962C5308-D7D3-4EA7-8991-A965804BD4FA}"/>
    <cellStyle name="Normal 4 3 3 7 4" xfId="19060" xr:uid="{ACA5F833-CD39-45BF-96E7-0140EE63EF7C}"/>
    <cellStyle name="Normal 4 3 3 7 5" xfId="27495" xr:uid="{2DBF1EB2-5301-45FB-8C81-971B51ACAD4B}"/>
    <cellStyle name="Normal 4 3 3 7 6" xfId="10622" xr:uid="{AA7E3474-A5BE-4B39-B698-9476F33EC590}"/>
    <cellStyle name="Normal 4 3 3 8" xfId="2530" xr:uid="{00000000-0005-0000-0000-0000AA140000}"/>
    <cellStyle name="Normal 4 3 3 8 2" xfId="6814" xr:uid="{00000000-0005-0000-0000-0000AB140000}"/>
    <cellStyle name="Normal 4 3 3 8 2 2" xfId="23691" xr:uid="{334BC849-363D-49DB-AF58-E542477B97DF}"/>
    <cellStyle name="Normal 4 3 3 8 2 3" xfId="32125" xr:uid="{10655292-E15B-4824-A945-861DB7FC5B4D}"/>
    <cellStyle name="Normal 4 3 3 8 2 4" xfId="15253" xr:uid="{1A71BDBB-4747-43E4-853A-DBFB1544BB38}"/>
    <cellStyle name="Normal 4 3 3 8 3" xfId="19473" xr:uid="{6FA4FB13-05ED-4A38-AA9C-8D1D06E041F5}"/>
    <cellStyle name="Normal 4 3 3 8 4" xfId="27908" xr:uid="{CC2F28CE-264B-44D0-AF21-7CC1DB9AF851}"/>
    <cellStyle name="Normal 4 3 3 8 5" xfId="11035" xr:uid="{7A632216-CC1B-4450-BF2A-D77E0EC1B9D4}"/>
    <cellStyle name="Normal 4 3 3 9" xfId="4749" xr:uid="{00000000-0005-0000-0000-0000AC140000}"/>
    <cellStyle name="Normal 4 3 3 9 2" xfId="21626" xr:uid="{F7EF7A58-90D2-4320-99F3-58F44707A04C}"/>
    <cellStyle name="Normal 4 3 3 9 3" xfId="30060" xr:uid="{D5A062D4-B752-4FE9-9059-9D1D0D0D4516}"/>
    <cellStyle name="Normal 4 3 3 9 4" xfId="13188" xr:uid="{2BAB3768-A80B-4A61-ADB8-D6CA5006849F}"/>
    <cellStyle name="Normal 4 3 4" xfId="842" xr:uid="{00000000-0005-0000-0000-0000AD140000}"/>
    <cellStyle name="Normal 4 3 4 2" xfId="3079" xr:uid="{00000000-0005-0000-0000-0000AE140000}"/>
    <cellStyle name="Normal 4 3 4 2 2" xfId="7302" xr:uid="{00000000-0005-0000-0000-0000AF140000}"/>
    <cellStyle name="Normal 4 3 4 2 2 2" xfId="24179" xr:uid="{C321CB5A-7FE3-4B8E-A66A-0FDC46BD73BF}"/>
    <cellStyle name="Normal 4 3 4 2 2 3" xfId="32613" xr:uid="{B674EA07-BB8B-4EC5-B5C1-7BD7F7D273AF}"/>
    <cellStyle name="Normal 4 3 4 2 2 4" xfId="15741" xr:uid="{C6F0D449-FD29-4EAC-A12E-86245D5EE3C1}"/>
    <cellStyle name="Normal 4 3 4 2 3" xfId="19961" xr:uid="{75FBE37E-9E36-41E3-8BA9-F9335C3E2A93}"/>
    <cellStyle name="Normal 4 3 4 2 4" xfId="28396" xr:uid="{A18AE504-D32D-4478-AFE6-9D99D5C054AD}"/>
    <cellStyle name="Normal 4 3 4 2 5" xfId="11523" xr:uid="{3BD3558F-B758-46B6-8502-A509749CC19B}"/>
    <cellStyle name="Normal 4 3 4 3" xfId="5157" xr:uid="{00000000-0005-0000-0000-0000B0140000}"/>
    <cellStyle name="Normal 4 3 4 3 2" xfId="22034" xr:uid="{C24D2EF5-F3E0-4758-AB7C-6FFA1AB83B8C}"/>
    <cellStyle name="Normal 4 3 4 3 3" xfId="30468" xr:uid="{A9420EF2-AC8E-4D90-957F-628731D8A6C8}"/>
    <cellStyle name="Normal 4 3 4 3 4" xfId="13596" xr:uid="{FD1729E5-436C-4715-859A-5C1DAC6070EB}"/>
    <cellStyle name="Normal 4 3 4 4" xfId="17816" xr:uid="{4132285D-C188-46AF-9CD2-17AA7730343F}"/>
    <cellStyle name="Normal 4 3 4 5" xfId="26251" xr:uid="{0CBAA4E9-32FC-476B-8E6C-88B2EC9D2E01}"/>
    <cellStyle name="Normal 4 3 4 6" xfId="9378" xr:uid="{79D5B75F-4F2B-4F60-B0BF-17740BE2A8F0}"/>
    <cellStyle name="Normal 4 3 5" xfId="1262" xr:uid="{00000000-0005-0000-0000-0000B1140000}"/>
    <cellStyle name="Normal 4 3 5 2" xfId="3492" xr:uid="{00000000-0005-0000-0000-0000B2140000}"/>
    <cellStyle name="Normal 4 3 5 2 2" xfId="7715" xr:uid="{00000000-0005-0000-0000-0000B3140000}"/>
    <cellStyle name="Normal 4 3 5 2 2 2" xfId="24592" xr:uid="{6D0E93B1-995D-4059-B20F-0F01A02D7242}"/>
    <cellStyle name="Normal 4 3 5 2 2 3" xfId="33026" xr:uid="{AB8B41D6-1209-403A-8A31-08A4BB0CE12E}"/>
    <cellStyle name="Normal 4 3 5 2 2 4" xfId="16154" xr:uid="{94DB9C44-91DB-44EB-A076-09ED520473B5}"/>
    <cellStyle name="Normal 4 3 5 2 3" xfId="20374" xr:uid="{09055F1B-C573-4E3B-BB1F-747808CC2AF5}"/>
    <cellStyle name="Normal 4 3 5 2 4" xfId="28809" xr:uid="{358A93F8-9329-490D-A278-0F29724DB633}"/>
    <cellStyle name="Normal 4 3 5 2 5" xfId="11936" xr:uid="{8424A65C-926D-4C2E-9281-ACC821776056}"/>
    <cellStyle name="Normal 4 3 5 3" xfId="5570" xr:uid="{00000000-0005-0000-0000-0000B4140000}"/>
    <cellStyle name="Normal 4 3 5 3 2" xfId="22447" xr:uid="{80689FD6-4917-475B-8871-BB25404CA8A9}"/>
    <cellStyle name="Normal 4 3 5 3 3" xfId="30881" xr:uid="{1B9F950C-6030-43A0-9CC0-7F803C4D995E}"/>
    <cellStyle name="Normal 4 3 5 3 4" xfId="14009" xr:uid="{1C771F33-1E81-4D70-A1D3-7457EE9C3002}"/>
    <cellStyle name="Normal 4 3 5 4" xfId="18229" xr:uid="{087D8690-C788-47D7-83F1-BABE95CF7B22}"/>
    <cellStyle name="Normal 4 3 5 5" xfId="26664" xr:uid="{6885CDA8-3E67-4725-90D3-5590EF9C6ED2}"/>
    <cellStyle name="Normal 4 3 5 6" xfId="9791" xr:uid="{166F6078-B520-4590-AE62-5ADB98DAD3AF}"/>
    <cellStyle name="Normal 4 3 6" xfId="1675" xr:uid="{00000000-0005-0000-0000-0000B5140000}"/>
    <cellStyle name="Normal 4 3 6 2" xfId="3905" xr:uid="{00000000-0005-0000-0000-0000B6140000}"/>
    <cellStyle name="Normal 4 3 6 2 2" xfId="8128" xr:uid="{00000000-0005-0000-0000-0000B7140000}"/>
    <cellStyle name="Normal 4 3 6 2 2 2" xfId="25005" xr:uid="{015245A1-4E35-4E7B-86E4-60B7A397DD47}"/>
    <cellStyle name="Normal 4 3 6 2 2 3" xfId="33439" xr:uid="{A2B55731-6427-4105-8F84-E29C8C8CC36C}"/>
    <cellStyle name="Normal 4 3 6 2 2 4" xfId="16567" xr:uid="{68F84B00-7C45-4B02-A13A-CE08B444FBBA}"/>
    <cellStyle name="Normal 4 3 6 2 3" xfId="20787" xr:uid="{E84D2C42-D3F8-46AC-A325-E2A9A39AB409}"/>
    <cellStyle name="Normal 4 3 6 2 4" xfId="29222" xr:uid="{C17CF57F-1E86-49A8-9675-4216D8884B6F}"/>
    <cellStyle name="Normal 4 3 6 2 5" xfId="12349" xr:uid="{835EB4A4-004B-4980-A202-7352B04478AD}"/>
    <cellStyle name="Normal 4 3 6 3" xfId="5983" xr:uid="{00000000-0005-0000-0000-0000B8140000}"/>
    <cellStyle name="Normal 4 3 6 3 2" xfId="22860" xr:uid="{E10660D7-E7B7-4251-929E-125F45CEFD5B}"/>
    <cellStyle name="Normal 4 3 6 3 3" xfId="31294" xr:uid="{9C3D45CF-5AE7-40C7-86E5-9BF37D4DD8BB}"/>
    <cellStyle name="Normal 4 3 6 3 4" xfId="14422" xr:uid="{D2877629-8BF6-4ECC-8875-670C569CBDB8}"/>
    <cellStyle name="Normal 4 3 6 4" xfId="18642" xr:uid="{3A592521-0E03-4069-A55D-CC16B91305FB}"/>
    <cellStyle name="Normal 4 3 6 5" xfId="27077" xr:uid="{350C5057-4B2E-4533-9461-520BF71E7406}"/>
    <cellStyle name="Normal 4 3 6 6" xfId="10204" xr:uid="{738F00D9-65C0-41FD-BA4C-882A0DE2225F}"/>
    <cellStyle name="Normal 4 3 7" xfId="2089" xr:uid="{00000000-0005-0000-0000-0000B9140000}"/>
    <cellStyle name="Normal 4 3 7 2" xfId="4318" xr:uid="{00000000-0005-0000-0000-0000BA140000}"/>
    <cellStyle name="Normal 4 3 7 2 2" xfId="8541" xr:uid="{00000000-0005-0000-0000-0000BB140000}"/>
    <cellStyle name="Normal 4 3 7 2 2 2" xfId="25418" xr:uid="{FF67BCB7-4BA9-4DE1-A0C4-5EB788A29C9F}"/>
    <cellStyle name="Normal 4 3 7 2 2 3" xfId="33852" xr:uid="{F52F5D73-A258-4234-A66C-BDF8C13BBA80}"/>
    <cellStyle name="Normal 4 3 7 2 2 4" xfId="16980" xr:uid="{7F536A89-DBF8-4E7F-86EB-91E6295EDA21}"/>
    <cellStyle name="Normal 4 3 7 2 3" xfId="21200" xr:uid="{F9F81901-E43F-4AF6-B586-D02447CD0EB9}"/>
    <cellStyle name="Normal 4 3 7 2 4" xfId="29635" xr:uid="{23326F9E-F0FD-4E72-95D3-44FA4DA506D1}"/>
    <cellStyle name="Normal 4 3 7 2 5" xfId="12762" xr:uid="{6505AE98-544F-49A1-BDD7-3CA57C4F2BA7}"/>
    <cellStyle name="Normal 4 3 7 3" xfId="6396" xr:uid="{00000000-0005-0000-0000-0000BC140000}"/>
    <cellStyle name="Normal 4 3 7 3 2" xfId="23273" xr:uid="{BE987676-3FA2-4218-8723-63B12B2570AA}"/>
    <cellStyle name="Normal 4 3 7 3 3" xfId="31707" xr:uid="{BDA9E370-40B3-4FA1-BC94-F75FB1AE18D1}"/>
    <cellStyle name="Normal 4 3 7 3 4" xfId="14835" xr:uid="{35243D4B-D786-4F1D-9AF5-58CF3967ABCE}"/>
    <cellStyle name="Normal 4 3 7 4" xfId="19055" xr:uid="{B4EAB96A-6C96-4487-809B-95CA8DFE2E7C}"/>
    <cellStyle name="Normal 4 3 7 5" xfId="27490" xr:uid="{577A256C-ACB5-4425-8887-FC4F03F62591}"/>
    <cellStyle name="Normal 4 3 7 6" xfId="10617" xr:uid="{C6792DF6-6589-4E90-9B00-911A44FDBB2F}"/>
    <cellStyle name="Normal 4 3 8" xfId="2525" xr:uid="{00000000-0005-0000-0000-0000BD140000}"/>
    <cellStyle name="Normal 4 3 8 2" xfId="6809" xr:uid="{00000000-0005-0000-0000-0000BE140000}"/>
    <cellStyle name="Normal 4 3 8 2 2" xfId="23686" xr:uid="{ABAB9B9B-76DC-44D5-9D71-94515CAD9182}"/>
    <cellStyle name="Normal 4 3 8 2 3" xfId="32120" xr:uid="{BAB4A6EF-D643-4919-8F13-C4D32416E5CF}"/>
    <cellStyle name="Normal 4 3 8 2 4" xfId="15248" xr:uid="{9677FC61-872A-4303-B646-53AE112354FE}"/>
    <cellStyle name="Normal 4 3 8 3" xfId="19468" xr:uid="{18D2C526-F82C-4E8F-B006-DA3625320D34}"/>
    <cellStyle name="Normal 4 3 8 4" xfId="27903" xr:uid="{7C6E24DA-D44B-446A-8235-1C1077FB5B93}"/>
    <cellStyle name="Normal 4 3 8 5" xfId="11030" xr:uid="{F42DA40B-AA38-4AB4-B576-3D9D0AE36CE5}"/>
    <cellStyle name="Normal 4 3 9" xfId="4744" xr:uid="{00000000-0005-0000-0000-0000BF140000}"/>
    <cellStyle name="Normal 4 3 9 2" xfId="21621" xr:uid="{7FED8141-1BB5-4BD7-8E0B-791C35F13500}"/>
    <cellStyle name="Normal 4 3 9 3" xfId="30055" xr:uid="{E5EF49D2-6192-40A7-BDF6-CB0CFF092E9E}"/>
    <cellStyle name="Normal 4 3 9 4" xfId="13183" xr:uid="{0FCE573D-5518-4655-A9EE-6706A96FC4A4}"/>
    <cellStyle name="Normal 4 4" xfId="378" xr:uid="{00000000-0005-0000-0000-0000C0140000}"/>
    <cellStyle name="Normal 4 4 10" xfId="2534" xr:uid="{00000000-0005-0000-0000-0000C1140000}"/>
    <cellStyle name="Normal 4 4 10 2" xfId="6818" xr:uid="{00000000-0005-0000-0000-0000C2140000}"/>
    <cellStyle name="Normal 4 4 10 2 2" xfId="23695" xr:uid="{08ED520B-1094-4E46-9263-A3CD6C47AD36}"/>
    <cellStyle name="Normal 4 4 10 2 3" xfId="32129" xr:uid="{077B2644-32D5-4BAA-9EE1-4851D6A4EF8F}"/>
    <cellStyle name="Normal 4 4 10 2 4" xfId="15257" xr:uid="{CD097C45-F5BC-411D-A439-1B523B5531BC}"/>
    <cellStyle name="Normal 4 4 10 3" xfId="19477" xr:uid="{9185ACC5-9E0C-47E6-BF36-A8083DC2CAEA}"/>
    <cellStyle name="Normal 4 4 10 4" xfId="27912" xr:uid="{F461562D-173B-44BC-8A2B-5588DA80180F}"/>
    <cellStyle name="Normal 4 4 10 5" xfId="11039" xr:uid="{2493C82C-EB4C-4E3F-8843-992182630953}"/>
    <cellStyle name="Normal 4 4 11" xfId="4753" xr:uid="{00000000-0005-0000-0000-0000C3140000}"/>
    <cellStyle name="Normal 4 4 11 2" xfId="21630" xr:uid="{0CD71741-803C-464A-B82F-C560DE2233E7}"/>
    <cellStyle name="Normal 4 4 11 3" xfId="30064" xr:uid="{A678245A-533D-4CAD-8E13-6124DB56C010}"/>
    <cellStyle name="Normal 4 4 11 4" xfId="13192" xr:uid="{A73AAA74-974F-46CD-B12C-532BD4FA1F23}"/>
    <cellStyle name="Normal 4 4 12" xfId="17412" xr:uid="{FFDCB8A3-C8D5-4F9F-9525-A080AE2956B4}"/>
    <cellStyle name="Normal 4 4 13" xfId="25847" xr:uid="{FA012839-579E-4439-9A65-BD526CE5C92D}"/>
    <cellStyle name="Normal 4 4 14" xfId="8974" xr:uid="{3BC4FF63-1A2D-4F26-91CF-04F6EAB9EFF3}"/>
    <cellStyle name="Normal 4 4 2" xfId="379" xr:uid="{00000000-0005-0000-0000-0000C4140000}"/>
    <cellStyle name="Normal 4 4 2 10" xfId="4754" xr:uid="{00000000-0005-0000-0000-0000C5140000}"/>
    <cellStyle name="Normal 4 4 2 10 2" xfId="21631" xr:uid="{FDB177FC-8133-47BE-9DA6-831E9FB5890F}"/>
    <cellStyle name="Normal 4 4 2 10 3" xfId="30065" xr:uid="{1AB7C569-89EE-4574-8197-DDB465829290}"/>
    <cellStyle name="Normal 4 4 2 10 4" xfId="13193" xr:uid="{73E8CEB4-D8CB-463C-B752-3E82248954E7}"/>
    <cellStyle name="Normal 4 4 2 11" xfId="17413" xr:uid="{AC88C8F8-587F-4DDB-9520-EFA6A0E88358}"/>
    <cellStyle name="Normal 4 4 2 12" xfId="25848" xr:uid="{38115393-E986-44D5-B977-7CCB08DDD38E}"/>
    <cellStyle name="Normal 4 4 2 13" xfId="8975" xr:uid="{D3154853-C92D-491F-A0A5-0C5B0C085CD9}"/>
    <cellStyle name="Normal 4 4 2 2" xfId="380" xr:uid="{00000000-0005-0000-0000-0000C6140000}"/>
    <cellStyle name="Normal 4 4 2 2 10" xfId="17414" xr:uid="{631B98C7-A3B9-48F0-BEC3-3CE7F17EC0A0}"/>
    <cellStyle name="Normal 4 4 2 2 11" xfId="25849" xr:uid="{076A871D-6AC5-4ED4-BC50-2926BF8B7024}"/>
    <cellStyle name="Normal 4 4 2 2 12" xfId="8976" xr:uid="{68AF5432-93EC-4786-924E-B3524E2A21B3}"/>
    <cellStyle name="Normal 4 4 2 2 2" xfId="381" xr:uid="{00000000-0005-0000-0000-0000C7140000}"/>
    <cellStyle name="Normal 4 4 2 2 2 10" xfId="25850" xr:uid="{8CF9D9C1-99A9-420B-A7CC-C0B6097F8312}"/>
    <cellStyle name="Normal 4 4 2 2 2 11" xfId="8977" xr:uid="{32AB7346-8196-4B55-B9B7-0748DCD55C68}"/>
    <cellStyle name="Normal 4 4 2 2 2 2" xfId="382" xr:uid="{00000000-0005-0000-0000-0000C8140000}"/>
    <cellStyle name="Normal 4 4 2 2 2 2 10" xfId="8978" xr:uid="{F03E056B-EEAE-4583-A31E-F1BE54BF38A4}"/>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24192" xr:uid="{D30BE5BF-1D5E-4566-A334-93DD06D643C8}"/>
    <cellStyle name="Normal 4 4 2 2 2 2 2 2 2 3" xfId="32626" xr:uid="{64DDFDB8-7B0B-4FA3-B2EB-9C24838DAD22}"/>
    <cellStyle name="Normal 4 4 2 2 2 2 2 2 2 4" xfId="15754" xr:uid="{7150E15A-7669-413E-8BB9-9C2B09939AA4}"/>
    <cellStyle name="Normal 4 4 2 2 2 2 2 2 3" xfId="19974" xr:uid="{6CBCF45F-948B-4356-AD37-9D2A5C8146DD}"/>
    <cellStyle name="Normal 4 4 2 2 2 2 2 2 4" xfId="28409" xr:uid="{F3C85D2A-C419-469E-8FB2-D4BFACD42546}"/>
    <cellStyle name="Normal 4 4 2 2 2 2 2 2 5" xfId="11536" xr:uid="{26BB6688-CD9B-465E-BD00-28B0B5D613FA}"/>
    <cellStyle name="Normal 4 4 2 2 2 2 2 3" xfId="5170" xr:uid="{00000000-0005-0000-0000-0000CC140000}"/>
    <cellStyle name="Normal 4 4 2 2 2 2 2 3 2" xfId="22047" xr:uid="{07996EB8-3E5C-4685-BC39-350E708071B4}"/>
    <cellStyle name="Normal 4 4 2 2 2 2 2 3 3" xfId="30481" xr:uid="{5672581D-6B81-4490-8A3A-A999B96D00FF}"/>
    <cellStyle name="Normal 4 4 2 2 2 2 2 3 4" xfId="13609" xr:uid="{33DEBF72-047F-4480-BF5E-E07424A4DDEC}"/>
    <cellStyle name="Normal 4 4 2 2 2 2 2 4" xfId="17829" xr:uid="{24FECCB9-F8A8-4F8F-B147-964597AB7C76}"/>
    <cellStyle name="Normal 4 4 2 2 2 2 2 5" xfId="26264" xr:uid="{861D7C77-9E8F-4C07-B1D0-5420F18CA6CE}"/>
    <cellStyle name="Normal 4 4 2 2 2 2 2 6" xfId="9391" xr:uid="{6852B93A-940F-451E-A243-944053AEBA8D}"/>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24605" xr:uid="{0D29827D-3F51-4C0D-9346-1D7C5D34D07D}"/>
    <cellStyle name="Normal 4 4 2 2 2 2 3 2 2 3" xfId="33039" xr:uid="{9C6FC4F9-163A-4802-8257-5C5FAAF00378}"/>
    <cellStyle name="Normal 4 4 2 2 2 2 3 2 2 4" xfId="16167" xr:uid="{E2BC8E22-435B-413D-9053-9AA2798EA59F}"/>
    <cellStyle name="Normal 4 4 2 2 2 2 3 2 3" xfId="20387" xr:uid="{E7AADC36-8F33-4283-8539-FDBD68716025}"/>
    <cellStyle name="Normal 4 4 2 2 2 2 3 2 4" xfId="28822" xr:uid="{33D9EBB1-1B92-4923-AC92-0359802016A6}"/>
    <cellStyle name="Normal 4 4 2 2 2 2 3 2 5" xfId="11949" xr:uid="{416A0126-2B2B-44E3-9A63-EA515EC9CFB8}"/>
    <cellStyle name="Normal 4 4 2 2 2 2 3 3" xfId="5583" xr:uid="{00000000-0005-0000-0000-0000D0140000}"/>
    <cellStyle name="Normal 4 4 2 2 2 2 3 3 2" xfId="22460" xr:uid="{766D16C0-FA3F-4F57-9FF2-877DB4948498}"/>
    <cellStyle name="Normal 4 4 2 2 2 2 3 3 3" xfId="30894" xr:uid="{19B3ABCD-5100-46BF-BB36-86C5E36E5A80}"/>
    <cellStyle name="Normal 4 4 2 2 2 2 3 3 4" xfId="14022" xr:uid="{58B3F108-25A4-4526-A708-59D4FC5502F9}"/>
    <cellStyle name="Normal 4 4 2 2 2 2 3 4" xfId="18242" xr:uid="{A30E6609-D394-4A52-827A-CFD93FF0D1BF}"/>
    <cellStyle name="Normal 4 4 2 2 2 2 3 5" xfId="26677" xr:uid="{40F8DAF1-F3F0-48A1-8F15-1E552471ACD6}"/>
    <cellStyle name="Normal 4 4 2 2 2 2 3 6" xfId="9804" xr:uid="{61E772F6-1790-4040-A0EF-BD9FB3AAB60A}"/>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25018" xr:uid="{B3516320-B567-43EF-B861-D5F539EEDC76}"/>
    <cellStyle name="Normal 4 4 2 2 2 2 4 2 2 3" xfId="33452" xr:uid="{34E4ED1C-74FF-48A5-AA0E-79173928E6CC}"/>
    <cellStyle name="Normal 4 4 2 2 2 2 4 2 2 4" xfId="16580" xr:uid="{EFB333D1-7310-4A86-9E32-6156A397A47B}"/>
    <cellStyle name="Normal 4 4 2 2 2 2 4 2 3" xfId="20800" xr:uid="{3B87915A-EDE4-43AB-8FBE-926EBBF8B050}"/>
    <cellStyle name="Normal 4 4 2 2 2 2 4 2 4" xfId="29235" xr:uid="{4CC0B179-CD68-44E8-8B4F-DFA0443595E3}"/>
    <cellStyle name="Normal 4 4 2 2 2 2 4 2 5" xfId="12362" xr:uid="{91DDD553-D9AF-41FD-B644-780DDC8FD053}"/>
    <cellStyle name="Normal 4 4 2 2 2 2 4 3" xfId="5996" xr:uid="{00000000-0005-0000-0000-0000D4140000}"/>
    <cellStyle name="Normal 4 4 2 2 2 2 4 3 2" xfId="22873" xr:uid="{A40877C4-DAF9-49CA-BD1A-0DF843DF74E2}"/>
    <cellStyle name="Normal 4 4 2 2 2 2 4 3 3" xfId="31307" xr:uid="{F2C7AB68-C244-4138-8869-3AB56925EE07}"/>
    <cellStyle name="Normal 4 4 2 2 2 2 4 3 4" xfId="14435" xr:uid="{B58C47CF-084F-491A-B2E5-FA8E6AB3C32A}"/>
    <cellStyle name="Normal 4 4 2 2 2 2 4 4" xfId="18655" xr:uid="{78B172D8-FBDF-4F4C-877C-921FBB504D34}"/>
    <cellStyle name="Normal 4 4 2 2 2 2 4 5" xfId="27090" xr:uid="{51771014-17B6-4F4A-A7F8-591F0A79C284}"/>
    <cellStyle name="Normal 4 4 2 2 2 2 4 6" xfId="10217" xr:uid="{ED59AB4D-D7BD-444B-A083-DE9D12FC74F9}"/>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25431" xr:uid="{15AAE79F-A9F3-4E8E-A7E7-1B16EA4C03FB}"/>
    <cellStyle name="Normal 4 4 2 2 2 2 5 2 2 3" xfId="33865" xr:uid="{B4C932A6-8F1A-42F7-BAB6-7020B0BCB39C}"/>
    <cellStyle name="Normal 4 4 2 2 2 2 5 2 2 4" xfId="16993" xr:uid="{A34A66BB-EEFD-44A3-BB8F-86BCC9B855CD}"/>
    <cellStyle name="Normal 4 4 2 2 2 2 5 2 3" xfId="21213" xr:uid="{7BE0CEDC-91D0-4357-8F4C-D1CCFB7E0704}"/>
    <cellStyle name="Normal 4 4 2 2 2 2 5 2 4" xfId="29648" xr:uid="{E3F98D2C-6D8C-4646-8E7D-FC03429A6268}"/>
    <cellStyle name="Normal 4 4 2 2 2 2 5 2 5" xfId="12775" xr:uid="{F3E41B92-2030-4640-8A8C-C6DF5C1C8A45}"/>
    <cellStyle name="Normal 4 4 2 2 2 2 5 3" xfId="6409" xr:uid="{00000000-0005-0000-0000-0000D8140000}"/>
    <cellStyle name="Normal 4 4 2 2 2 2 5 3 2" xfId="23286" xr:uid="{C4A207D6-95D4-47F5-985E-9EAC82CCB880}"/>
    <cellStyle name="Normal 4 4 2 2 2 2 5 3 3" xfId="31720" xr:uid="{DE2FDA79-DD18-4581-B54A-EFAF2C03B314}"/>
    <cellStyle name="Normal 4 4 2 2 2 2 5 3 4" xfId="14848" xr:uid="{063617F3-4D86-42AD-ADD2-7146E3A605C7}"/>
    <cellStyle name="Normal 4 4 2 2 2 2 5 4" xfId="19068" xr:uid="{90471820-14B2-4874-9ACF-7E53F33D9B50}"/>
    <cellStyle name="Normal 4 4 2 2 2 2 5 5" xfId="27503" xr:uid="{8EAEDAF0-01E7-44AC-979F-6363839739B1}"/>
    <cellStyle name="Normal 4 4 2 2 2 2 5 6" xfId="10630" xr:uid="{65A4E3CE-9916-45CC-8EFC-98E21C288D18}"/>
    <cellStyle name="Normal 4 4 2 2 2 2 6" xfId="2538" xr:uid="{00000000-0005-0000-0000-0000D9140000}"/>
    <cellStyle name="Normal 4 4 2 2 2 2 6 2" xfId="6822" xr:uid="{00000000-0005-0000-0000-0000DA140000}"/>
    <cellStyle name="Normal 4 4 2 2 2 2 6 2 2" xfId="23699" xr:uid="{794D17B4-2F1C-4039-9288-2FA4B256A2BE}"/>
    <cellStyle name="Normal 4 4 2 2 2 2 6 2 3" xfId="32133" xr:uid="{0148FA57-F9B7-4172-8AB7-333795937D0C}"/>
    <cellStyle name="Normal 4 4 2 2 2 2 6 2 4" xfId="15261" xr:uid="{6C80CD94-837B-4DE9-A8D7-66355EBAE560}"/>
    <cellStyle name="Normal 4 4 2 2 2 2 6 3" xfId="19481" xr:uid="{904EFC86-A178-4830-910B-1B947CD7B747}"/>
    <cellStyle name="Normal 4 4 2 2 2 2 6 4" xfId="27916" xr:uid="{21953254-91F0-44FB-BA3F-CD87B1C73B50}"/>
    <cellStyle name="Normal 4 4 2 2 2 2 6 5" xfId="11043" xr:uid="{C9A81AE3-A3A3-4266-9F12-02D67FB1155B}"/>
    <cellStyle name="Normal 4 4 2 2 2 2 7" xfId="4757" xr:uid="{00000000-0005-0000-0000-0000DB140000}"/>
    <cellStyle name="Normal 4 4 2 2 2 2 7 2" xfId="21634" xr:uid="{20C9D247-C55F-4F06-B848-E62FD815A989}"/>
    <cellStyle name="Normal 4 4 2 2 2 2 7 3" xfId="30068" xr:uid="{54D46460-83D8-4B09-8C41-4907E5940FC2}"/>
    <cellStyle name="Normal 4 4 2 2 2 2 7 4" xfId="13196" xr:uid="{CBFD0B63-62CC-429E-8A6B-C373DB181460}"/>
    <cellStyle name="Normal 4 4 2 2 2 2 8" xfId="17416" xr:uid="{600604F4-DC77-46EE-9F02-CC2A3CA5904B}"/>
    <cellStyle name="Normal 4 4 2 2 2 2 9" xfId="25851" xr:uid="{B3C4892E-B3DB-41E9-B414-AE0F31AE3F7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24191" xr:uid="{DC641A83-18C6-4E9A-95D2-C9989F464326}"/>
    <cellStyle name="Normal 4 4 2 2 2 3 2 2 3" xfId="32625" xr:uid="{F8FA2BAC-D676-442B-8D95-005E2E7D7523}"/>
    <cellStyle name="Normal 4 4 2 2 2 3 2 2 4" xfId="15753" xr:uid="{7EF55E18-B790-4504-9E26-1C13C273DC3C}"/>
    <cellStyle name="Normal 4 4 2 2 2 3 2 3" xfId="19973" xr:uid="{FAAD3A5A-A186-45C4-A5C9-269059A6624F}"/>
    <cellStyle name="Normal 4 4 2 2 2 3 2 4" xfId="28408" xr:uid="{3A30F2C8-36F7-4E0B-8C55-0800ACBF36C4}"/>
    <cellStyle name="Normal 4 4 2 2 2 3 2 5" xfId="11535" xr:uid="{B5E49193-A201-426A-9835-AFAB6607A0BB}"/>
    <cellStyle name="Normal 4 4 2 2 2 3 3" xfId="5169" xr:uid="{00000000-0005-0000-0000-0000DF140000}"/>
    <cellStyle name="Normal 4 4 2 2 2 3 3 2" xfId="22046" xr:uid="{91D6D443-106A-46AA-A3C7-755DE4CAA85F}"/>
    <cellStyle name="Normal 4 4 2 2 2 3 3 3" xfId="30480" xr:uid="{BEF3779B-0BAD-4A36-B5AA-E55785B02C35}"/>
    <cellStyle name="Normal 4 4 2 2 2 3 3 4" xfId="13608" xr:uid="{B2DC5C4C-2A7F-43B1-B9EF-A858AE0928E0}"/>
    <cellStyle name="Normal 4 4 2 2 2 3 4" xfId="17828" xr:uid="{0499AE37-8145-494A-97D0-64F63F5525D2}"/>
    <cellStyle name="Normal 4 4 2 2 2 3 5" xfId="26263" xr:uid="{25C38BB1-CC28-4A78-86D0-E042DB79463B}"/>
    <cellStyle name="Normal 4 4 2 2 2 3 6" xfId="9390" xr:uid="{3C74B65F-059E-458C-A5D1-B666EEF329AC}"/>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24604" xr:uid="{D4879932-5110-430A-BA3F-1D0465369563}"/>
    <cellStyle name="Normal 4 4 2 2 2 4 2 2 3" xfId="33038" xr:uid="{BFF97E30-3BCB-4117-B630-AEE5F0288D78}"/>
    <cellStyle name="Normal 4 4 2 2 2 4 2 2 4" xfId="16166" xr:uid="{1774FC8B-2AF0-4EED-ADEC-5E60FA0C0980}"/>
    <cellStyle name="Normal 4 4 2 2 2 4 2 3" xfId="20386" xr:uid="{E54C78E8-E4E9-4129-A73C-C9F80537981B}"/>
    <cellStyle name="Normal 4 4 2 2 2 4 2 4" xfId="28821" xr:uid="{85DAE51F-1BD6-4F76-B608-4168CA6DE8B5}"/>
    <cellStyle name="Normal 4 4 2 2 2 4 2 5" xfId="11948" xr:uid="{1DEF99CB-049D-4670-ACE6-332A8D3927B8}"/>
    <cellStyle name="Normal 4 4 2 2 2 4 3" xfId="5582" xr:uid="{00000000-0005-0000-0000-0000E3140000}"/>
    <cellStyle name="Normal 4 4 2 2 2 4 3 2" xfId="22459" xr:uid="{1EBEF750-9BD5-4E45-8845-6A78C64753FE}"/>
    <cellStyle name="Normal 4 4 2 2 2 4 3 3" xfId="30893" xr:uid="{455FFCC0-C88A-4FBD-880E-93EC2D54C1EB}"/>
    <cellStyle name="Normal 4 4 2 2 2 4 3 4" xfId="14021" xr:uid="{83BB2C8F-C868-428A-9927-3271247F1487}"/>
    <cellStyle name="Normal 4 4 2 2 2 4 4" xfId="18241" xr:uid="{04A0BECE-BF02-4C7E-A0B6-2619AAEDFC7E}"/>
    <cellStyle name="Normal 4 4 2 2 2 4 5" xfId="26676" xr:uid="{E64B06F0-B1E9-4732-97C7-2B6C8E593741}"/>
    <cellStyle name="Normal 4 4 2 2 2 4 6" xfId="9803" xr:uid="{0E90DE27-BD74-453E-8166-3E421A67844C}"/>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25017" xr:uid="{DB8D92F9-F7A3-44F0-B1E6-1D569B77D436}"/>
    <cellStyle name="Normal 4 4 2 2 2 5 2 2 3" xfId="33451" xr:uid="{18483E07-34C9-4FBC-A211-5AC99534618B}"/>
    <cellStyle name="Normal 4 4 2 2 2 5 2 2 4" xfId="16579" xr:uid="{D765698D-A771-4765-A6D1-58B110032B85}"/>
    <cellStyle name="Normal 4 4 2 2 2 5 2 3" xfId="20799" xr:uid="{F8B503A5-1168-407B-8CB0-EEE7F191236B}"/>
    <cellStyle name="Normal 4 4 2 2 2 5 2 4" xfId="29234" xr:uid="{52D498E5-BC96-4DEF-8933-4EAF2F7EFBB6}"/>
    <cellStyle name="Normal 4 4 2 2 2 5 2 5" xfId="12361" xr:uid="{D04924FD-FCA3-4A78-BB4F-A8E49677DDCD}"/>
    <cellStyle name="Normal 4 4 2 2 2 5 3" xfId="5995" xr:uid="{00000000-0005-0000-0000-0000E7140000}"/>
    <cellStyle name="Normal 4 4 2 2 2 5 3 2" xfId="22872" xr:uid="{96A795B5-9A5B-42C4-AE6F-174984ACDD2C}"/>
    <cellStyle name="Normal 4 4 2 2 2 5 3 3" xfId="31306" xr:uid="{16944A64-99C9-464A-B599-95BE970679B6}"/>
    <cellStyle name="Normal 4 4 2 2 2 5 3 4" xfId="14434" xr:uid="{702FA2B7-F503-4E1B-BACB-5785B3134684}"/>
    <cellStyle name="Normal 4 4 2 2 2 5 4" xfId="18654" xr:uid="{B67DEC8E-3293-4361-9B8C-BC752A22ECE9}"/>
    <cellStyle name="Normal 4 4 2 2 2 5 5" xfId="27089" xr:uid="{CE1A2FCC-C456-476F-B34D-CD1506E361FE}"/>
    <cellStyle name="Normal 4 4 2 2 2 5 6" xfId="10216" xr:uid="{4DFD6D5B-8ED2-4EC6-B51D-EA056CDEA3D5}"/>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25430" xr:uid="{55602F2C-D2E0-40AC-B5F2-1825194C9B55}"/>
    <cellStyle name="Normal 4 4 2 2 2 6 2 2 3" xfId="33864" xr:uid="{FE07C174-1357-4311-A495-E48583B09958}"/>
    <cellStyle name="Normal 4 4 2 2 2 6 2 2 4" xfId="16992" xr:uid="{A619C3D8-66F2-4A9E-863E-0D96CE451726}"/>
    <cellStyle name="Normal 4 4 2 2 2 6 2 3" xfId="21212" xr:uid="{086EC423-A423-4F02-8DB5-814A13BEE515}"/>
    <cellStyle name="Normal 4 4 2 2 2 6 2 4" xfId="29647" xr:uid="{5AEAB8B4-02C7-4D9F-B862-40245006E0D1}"/>
    <cellStyle name="Normal 4 4 2 2 2 6 2 5" xfId="12774" xr:uid="{3FD4DA77-DDCE-4F2B-ABE9-9EC3BBF4578F}"/>
    <cellStyle name="Normal 4 4 2 2 2 6 3" xfId="6408" xr:uid="{00000000-0005-0000-0000-0000EB140000}"/>
    <cellStyle name="Normal 4 4 2 2 2 6 3 2" xfId="23285" xr:uid="{B8BC0347-5350-47A7-89B3-FA454965CBCC}"/>
    <cellStyle name="Normal 4 4 2 2 2 6 3 3" xfId="31719" xr:uid="{5E92B12F-537B-47CF-81AA-836DEC703603}"/>
    <cellStyle name="Normal 4 4 2 2 2 6 3 4" xfId="14847" xr:uid="{F109F3E1-D910-4C0F-A63B-ED6F58B7613B}"/>
    <cellStyle name="Normal 4 4 2 2 2 6 4" xfId="19067" xr:uid="{4DB4545F-6DDD-420E-A75A-6054848E37F7}"/>
    <cellStyle name="Normal 4 4 2 2 2 6 5" xfId="27502" xr:uid="{F4F62A0D-DF89-4A43-BFFA-1905F03E8B97}"/>
    <cellStyle name="Normal 4 4 2 2 2 6 6" xfId="10629" xr:uid="{B29DE9D1-CF4A-4E16-81A5-A648984F20BA}"/>
    <cellStyle name="Normal 4 4 2 2 2 7" xfId="2537" xr:uid="{00000000-0005-0000-0000-0000EC140000}"/>
    <cellStyle name="Normal 4 4 2 2 2 7 2" xfId="6821" xr:uid="{00000000-0005-0000-0000-0000ED140000}"/>
    <cellStyle name="Normal 4 4 2 2 2 7 2 2" xfId="23698" xr:uid="{39F2E7B0-9074-4CEF-9EE3-E61048453F7A}"/>
    <cellStyle name="Normal 4 4 2 2 2 7 2 3" xfId="32132" xr:uid="{6CDEB5AA-0905-41BC-9FBD-A2B4E30BCEB6}"/>
    <cellStyle name="Normal 4 4 2 2 2 7 2 4" xfId="15260" xr:uid="{7008F052-E2C1-4504-81FE-238906B46308}"/>
    <cellStyle name="Normal 4 4 2 2 2 7 3" xfId="19480" xr:uid="{758DB585-EFF7-49AF-A3E7-029395308AF5}"/>
    <cellStyle name="Normal 4 4 2 2 2 7 4" xfId="27915" xr:uid="{15843A56-F32B-433F-A65D-9967E062AF76}"/>
    <cellStyle name="Normal 4 4 2 2 2 7 5" xfId="11042" xr:uid="{955ECCEE-7E5B-44E5-9986-7CB5E98AA4E2}"/>
    <cellStyle name="Normal 4 4 2 2 2 8" xfId="4756" xr:uid="{00000000-0005-0000-0000-0000EE140000}"/>
    <cellStyle name="Normal 4 4 2 2 2 8 2" xfId="21633" xr:uid="{55553F5B-8C61-40E6-86B2-682DEE74EE49}"/>
    <cellStyle name="Normal 4 4 2 2 2 8 3" xfId="30067" xr:uid="{7C156EF1-6255-4E5D-92B3-CE97EFF926D9}"/>
    <cellStyle name="Normal 4 4 2 2 2 8 4" xfId="13195" xr:uid="{C6612FD6-AC6D-4F85-A306-BE0DF2C65927}"/>
    <cellStyle name="Normal 4 4 2 2 2 9" xfId="17415" xr:uid="{08A970E0-1924-4AB3-8BCB-1FA5B4981C01}"/>
    <cellStyle name="Normal 4 4 2 2 3" xfId="383" xr:uid="{00000000-0005-0000-0000-0000EF140000}"/>
    <cellStyle name="Normal 4 4 2 2 3 10" xfId="8979" xr:uid="{C4BFC701-03A2-43C3-A9BA-65D653D61DF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24193" xr:uid="{FE5DDBC5-247F-48AC-B66C-286B2BE9354F}"/>
    <cellStyle name="Normal 4 4 2 2 3 2 2 2 3" xfId="32627" xr:uid="{468C430E-721D-462F-930C-185ACE0DC76D}"/>
    <cellStyle name="Normal 4 4 2 2 3 2 2 2 4" xfId="15755" xr:uid="{FC2C0BC6-B141-4B2D-89ED-7877F1C94416}"/>
    <cellStyle name="Normal 4 4 2 2 3 2 2 3" xfId="19975" xr:uid="{EE05439B-7970-43D0-86AD-60084DFA82A9}"/>
    <cellStyle name="Normal 4 4 2 2 3 2 2 4" xfId="28410" xr:uid="{03CE974B-0DBF-42AF-B5D8-3E028774402E}"/>
    <cellStyle name="Normal 4 4 2 2 3 2 2 5" xfId="11537" xr:uid="{3D68299E-AC4F-4338-9A1D-3C48B262F3FA}"/>
    <cellStyle name="Normal 4 4 2 2 3 2 3" xfId="5171" xr:uid="{00000000-0005-0000-0000-0000F3140000}"/>
    <cellStyle name="Normal 4 4 2 2 3 2 3 2" xfId="22048" xr:uid="{431E3FE3-2B3E-4D0A-BB1E-238B159046E7}"/>
    <cellStyle name="Normal 4 4 2 2 3 2 3 3" xfId="30482" xr:uid="{81180050-D056-4897-B40C-6113E7583A82}"/>
    <cellStyle name="Normal 4 4 2 2 3 2 3 4" xfId="13610" xr:uid="{DBE2BB48-71F6-4E5E-A3DB-6B3E108C03DD}"/>
    <cellStyle name="Normal 4 4 2 2 3 2 4" xfId="17830" xr:uid="{E8CA4995-3559-4BD0-9A2F-66C0FC3F3A7D}"/>
    <cellStyle name="Normal 4 4 2 2 3 2 5" xfId="26265" xr:uid="{AB0A42AB-F5D9-430B-BB07-D6B7915039FE}"/>
    <cellStyle name="Normal 4 4 2 2 3 2 6" xfId="9392" xr:uid="{7D2D29C4-872A-48C8-A16F-D45CC88E1D41}"/>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24606" xr:uid="{77FD066D-6DBB-4CFE-819A-EC14590C6A66}"/>
    <cellStyle name="Normal 4 4 2 2 3 3 2 2 3" xfId="33040" xr:uid="{D415CF1B-C888-4783-99D0-EE1DF7A0240F}"/>
    <cellStyle name="Normal 4 4 2 2 3 3 2 2 4" xfId="16168" xr:uid="{F794DFE8-98CF-49F8-8C96-88C032E4B81F}"/>
    <cellStyle name="Normal 4 4 2 2 3 3 2 3" xfId="20388" xr:uid="{6E59ABA7-91DA-4D89-BC58-3DE0817B094A}"/>
    <cellStyle name="Normal 4 4 2 2 3 3 2 4" xfId="28823" xr:uid="{17A6833A-F2FB-4131-A750-F8DABB0D410F}"/>
    <cellStyle name="Normal 4 4 2 2 3 3 2 5" xfId="11950" xr:uid="{A69DCB37-D619-4280-AE9E-E7D0C72E8595}"/>
    <cellStyle name="Normal 4 4 2 2 3 3 3" xfId="5584" xr:uid="{00000000-0005-0000-0000-0000F7140000}"/>
    <cellStyle name="Normal 4 4 2 2 3 3 3 2" xfId="22461" xr:uid="{C36B2040-2FCE-4F77-8284-113B33646D79}"/>
    <cellStyle name="Normal 4 4 2 2 3 3 3 3" xfId="30895" xr:uid="{AFA81570-77C8-4B88-9031-D4024B7C0611}"/>
    <cellStyle name="Normal 4 4 2 2 3 3 3 4" xfId="14023" xr:uid="{031CB90B-FBAB-47EB-8E4A-828ED912D94B}"/>
    <cellStyle name="Normal 4 4 2 2 3 3 4" xfId="18243" xr:uid="{C94192E6-688F-43B8-810A-7B8799FFE905}"/>
    <cellStyle name="Normal 4 4 2 2 3 3 5" xfId="26678" xr:uid="{746155BB-A001-4429-AC4C-8F5BB92F0B08}"/>
    <cellStyle name="Normal 4 4 2 2 3 3 6" xfId="9805" xr:uid="{427CD991-25D3-40C1-99CB-60AB1322863C}"/>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25019" xr:uid="{B6E75177-FFB0-4B9C-85B6-F5FD02187448}"/>
    <cellStyle name="Normal 4 4 2 2 3 4 2 2 3" xfId="33453" xr:uid="{259B9053-E2FA-439C-BC77-5AD36B273A59}"/>
    <cellStyle name="Normal 4 4 2 2 3 4 2 2 4" xfId="16581" xr:uid="{A46B6416-F7B6-4384-A577-445427616C20}"/>
    <cellStyle name="Normal 4 4 2 2 3 4 2 3" xfId="20801" xr:uid="{A2D463A2-B25F-4F58-B16E-4554468F3328}"/>
    <cellStyle name="Normal 4 4 2 2 3 4 2 4" xfId="29236" xr:uid="{A6B5FB5B-9403-429F-8174-6C57A6BAE18D}"/>
    <cellStyle name="Normal 4 4 2 2 3 4 2 5" xfId="12363" xr:uid="{596D2EDF-4F65-489D-8066-82CF63000529}"/>
    <cellStyle name="Normal 4 4 2 2 3 4 3" xfId="5997" xr:uid="{00000000-0005-0000-0000-0000FB140000}"/>
    <cellStyle name="Normal 4 4 2 2 3 4 3 2" xfId="22874" xr:uid="{5156B57F-D844-4947-A5A2-0E3ED6A71014}"/>
    <cellStyle name="Normal 4 4 2 2 3 4 3 3" xfId="31308" xr:uid="{B41899A1-C77E-4D51-9D0D-E7ADD01E7184}"/>
    <cellStyle name="Normal 4 4 2 2 3 4 3 4" xfId="14436" xr:uid="{0B5089D8-7249-4E48-961E-356FAEB810DA}"/>
    <cellStyle name="Normal 4 4 2 2 3 4 4" xfId="18656" xr:uid="{62C91737-732E-4153-8933-DD6A0DE3C1D0}"/>
    <cellStyle name="Normal 4 4 2 2 3 4 5" xfId="27091" xr:uid="{F9E7DDDD-6781-4869-8976-A2F7C35C580B}"/>
    <cellStyle name="Normal 4 4 2 2 3 4 6" xfId="10218" xr:uid="{F15F9F1E-5BE0-414A-A650-6A1AF74CCB21}"/>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25432" xr:uid="{85485549-9FA0-408E-B785-A7A0A6CF04B9}"/>
    <cellStyle name="Normal 4 4 2 2 3 5 2 2 3" xfId="33866" xr:uid="{C9568B53-8DB7-4340-BB1B-64D29AA9E9D5}"/>
    <cellStyle name="Normal 4 4 2 2 3 5 2 2 4" xfId="16994" xr:uid="{22AE93DA-6419-4272-AF6F-CF8BEC3925AF}"/>
    <cellStyle name="Normal 4 4 2 2 3 5 2 3" xfId="21214" xr:uid="{1589DF7D-1D6A-4732-8A76-DEEC7631E018}"/>
    <cellStyle name="Normal 4 4 2 2 3 5 2 4" xfId="29649" xr:uid="{5B0AA5CA-C0E9-4A71-86D9-6C6AE6866AD1}"/>
    <cellStyle name="Normal 4 4 2 2 3 5 2 5" xfId="12776" xr:uid="{FED78AFC-88AD-4195-A5B7-0941FB3343DF}"/>
    <cellStyle name="Normal 4 4 2 2 3 5 3" xfId="6410" xr:uid="{00000000-0005-0000-0000-0000FF140000}"/>
    <cellStyle name="Normal 4 4 2 2 3 5 3 2" xfId="23287" xr:uid="{12027A9F-042D-485E-A16F-64A13AAA3544}"/>
    <cellStyle name="Normal 4 4 2 2 3 5 3 3" xfId="31721" xr:uid="{BEA91039-6AE0-4AA2-BEFE-87E202644CCA}"/>
    <cellStyle name="Normal 4 4 2 2 3 5 3 4" xfId="14849" xr:uid="{688908C9-1663-46A4-BBD7-2CD73107A367}"/>
    <cellStyle name="Normal 4 4 2 2 3 5 4" xfId="19069" xr:uid="{4BEFE1B1-316A-446B-BCBC-8F8A3DD84068}"/>
    <cellStyle name="Normal 4 4 2 2 3 5 5" xfId="27504" xr:uid="{45C637A3-57E4-4486-ADFD-50542A9204E1}"/>
    <cellStyle name="Normal 4 4 2 2 3 5 6" xfId="10631" xr:uid="{4F7787CE-C960-442C-8252-6E2E3846AB34}"/>
    <cellStyle name="Normal 4 4 2 2 3 6" xfId="2539" xr:uid="{00000000-0005-0000-0000-000000150000}"/>
    <cellStyle name="Normal 4 4 2 2 3 6 2" xfId="6823" xr:uid="{00000000-0005-0000-0000-000001150000}"/>
    <cellStyle name="Normal 4 4 2 2 3 6 2 2" xfId="23700" xr:uid="{E29F9A77-2FE6-4AC2-B2DC-777BF6558534}"/>
    <cellStyle name="Normal 4 4 2 2 3 6 2 3" xfId="32134" xr:uid="{3D4D3FB2-E664-4A0F-80FA-3FB8FBC5F9D1}"/>
    <cellStyle name="Normal 4 4 2 2 3 6 2 4" xfId="15262" xr:uid="{8F7AD9C8-2D4C-425A-A0AB-E36A60732355}"/>
    <cellStyle name="Normal 4 4 2 2 3 6 3" xfId="19482" xr:uid="{6369876A-9F34-4BF7-9589-A4888B654A57}"/>
    <cellStyle name="Normal 4 4 2 2 3 6 4" xfId="27917" xr:uid="{F9531A57-8527-4231-BF4A-2D9B78AFCB8A}"/>
    <cellStyle name="Normal 4 4 2 2 3 6 5" xfId="11044" xr:uid="{C6E979C5-7BAF-4BDA-8BB4-D78D6B8C4F04}"/>
    <cellStyle name="Normal 4 4 2 2 3 7" xfId="4758" xr:uid="{00000000-0005-0000-0000-000002150000}"/>
    <cellStyle name="Normal 4 4 2 2 3 7 2" xfId="21635" xr:uid="{B7F4FC1E-0E99-4AB6-AB33-3D6CE125A808}"/>
    <cellStyle name="Normal 4 4 2 2 3 7 3" xfId="30069" xr:uid="{7B45D0CD-ED40-4F85-A038-D179BFAEB83B}"/>
    <cellStyle name="Normal 4 4 2 2 3 7 4" xfId="13197" xr:uid="{3C9D2993-78B8-4F0B-880B-380D6111A4DD}"/>
    <cellStyle name="Normal 4 4 2 2 3 8" xfId="17417" xr:uid="{B91E4D26-9A3D-47A6-86E2-9E75E0764F25}"/>
    <cellStyle name="Normal 4 4 2 2 3 9" xfId="25852" xr:uid="{C80E6108-B43A-43F5-88C5-3DCE97C1A24D}"/>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24190" xr:uid="{82854A85-D828-4C98-B9EE-B880B6E4C00E}"/>
    <cellStyle name="Normal 4 4 2 2 4 2 2 3" xfId="32624" xr:uid="{B2AE9D8D-1E33-4358-ACC8-054973BC5382}"/>
    <cellStyle name="Normal 4 4 2 2 4 2 2 4" xfId="15752" xr:uid="{A47E89D6-CA90-4C43-8AB2-DBB98DA49CC8}"/>
    <cellStyle name="Normal 4 4 2 2 4 2 3" xfId="19972" xr:uid="{ACACEFA7-73F4-4782-872F-0CE842982661}"/>
    <cellStyle name="Normal 4 4 2 2 4 2 4" xfId="28407" xr:uid="{20120D69-0F87-42EC-8CFB-129B89449B8D}"/>
    <cellStyle name="Normal 4 4 2 2 4 2 5" xfId="11534" xr:uid="{A2F1C2E3-9C08-4F8B-8BF9-6428FD62E35D}"/>
    <cellStyle name="Normal 4 4 2 2 4 3" xfId="5168" xr:uid="{00000000-0005-0000-0000-000006150000}"/>
    <cellStyle name="Normal 4 4 2 2 4 3 2" xfId="22045" xr:uid="{1028891A-18F0-4BA4-9564-167D44794F09}"/>
    <cellStyle name="Normal 4 4 2 2 4 3 3" xfId="30479" xr:uid="{AE97783F-E2A4-4626-B111-7F98B6E9DD25}"/>
    <cellStyle name="Normal 4 4 2 2 4 3 4" xfId="13607" xr:uid="{36B454A3-EFA1-4EA5-BBCB-1797109FDD6B}"/>
    <cellStyle name="Normal 4 4 2 2 4 4" xfId="17827" xr:uid="{65710161-3082-481E-8A8E-828FE027FBC4}"/>
    <cellStyle name="Normal 4 4 2 2 4 5" xfId="26262" xr:uid="{8A29B97C-C882-459A-BBFE-881E303DAE0A}"/>
    <cellStyle name="Normal 4 4 2 2 4 6" xfId="9389" xr:uid="{B666EE62-BEAE-4FA3-A5E7-6E0076FEC321}"/>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24603" xr:uid="{0D8448D2-37C2-4410-8104-ECBFFE17285D}"/>
    <cellStyle name="Normal 4 4 2 2 5 2 2 3" xfId="33037" xr:uid="{B2F6043B-6F35-441E-A8D1-CA6E905B402F}"/>
    <cellStyle name="Normal 4 4 2 2 5 2 2 4" xfId="16165" xr:uid="{79E2065D-46FE-4E2E-9ED8-7280F4F379E2}"/>
    <cellStyle name="Normal 4 4 2 2 5 2 3" xfId="20385" xr:uid="{5C1FD2DF-EA94-4600-BCC8-7FC1D9F374B7}"/>
    <cellStyle name="Normal 4 4 2 2 5 2 4" xfId="28820" xr:uid="{C18D6856-8A90-4751-BB27-DF5105897B88}"/>
    <cellStyle name="Normal 4 4 2 2 5 2 5" xfId="11947" xr:uid="{74BACB11-CE9F-4510-88C9-9E2ECD6DF277}"/>
    <cellStyle name="Normal 4 4 2 2 5 3" xfId="5581" xr:uid="{00000000-0005-0000-0000-00000A150000}"/>
    <cellStyle name="Normal 4 4 2 2 5 3 2" xfId="22458" xr:uid="{08CFAC51-3D74-4B29-99A8-811DD06F8E7B}"/>
    <cellStyle name="Normal 4 4 2 2 5 3 3" xfId="30892" xr:uid="{AFCB0D8B-7EF3-4858-8AC1-DFB94459091E}"/>
    <cellStyle name="Normal 4 4 2 2 5 3 4" xfId="14020" xr:uid="{2CF7EADB-C951-4E8E-873A-F76AE017BD04}"/>
    <cellStyle name="Normal 4 4 2 2 5 4" xfId="18240" xr:uid="{58E968B4-24B6-425D-ACA4-4DCECD931245}"/>
    <cellStyle name="Normal 4 4 2 2 5 5" xfId="26675" xr:uid="{5ABE75BB-CA1B-4B97-8440-57A81B27F6A9}"/>
    <cellStyle name="Normal 4 4 2 2 5 6" xfId="9802" xr:uid="{9DA70C3F-09BE-472E-8AE8-376317B6912F}"/>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25016" xr:uid="{3B009A0B-2E51-4751-A058-D7F2256FE140}"/>
    <cellStyle name="Normal 4 4 2 2 6 2 2 3" xfId="33450" xr:uid="{E9652762-1166-4721-A56A-241C2EB37FA8}"/>
    <cellStyle name="Normal 4 4 2 2 6 2 2 4" xfId="16578" xr:uid="{D6D2A62D-EC31-47F6-8C20-D98F049F8477}"/>
    <cellStyle name="Normal 4 4 2 2 6 2 3" xfId="20798" xr:uid="{2E16313D-18DA-45A9-AC5D-5DC1410986F0}"/>
    <cellStyle name="Normal 4 4 2 2 6 2 4" xfId="29233" xr:uid="{D09EBC7A-E669-40A3-93A6-31EC32C248E3}"/>
    <cellStyle name="Normal 4 4 2 2 6 2 5" xfId="12360" xr:uid="{9CF0FF2D-C124-461F-80D2-373A6C78A4D5}"/>
    <cellStyle name="Normal 4 4 2 2 6 3" xfId="5994" xr:uid="{00000000-0005-0000-0000-00000E150000}"/>
    <cellStyle name="Normal 4 4 2 2 6 3 2" xfId="22871" xr:uid="{BF2C17E7-A47E-4D03-82E6-26697C58A384}"/>
    <cellStyle name="Normal 4 4 2 2 6 3 3" xfId="31305" xr:uid="{06CE12C5-2C26-453B-8839-F64B56FF56A0}"/>
    <cellStyle name="Normal 4 4 2 2 6 3 4" xfId="14433" xr:uid="{41101993-D8D2-44F8-BBBF-89169731B3BC}"/>
    <cellStyle name="Normal 4 4 2 2 6 4" xfId="18653" xr:uid="{0B59B082-CD2B-4672-8850-BF6570C90034}"/>
    <cellStyle name="Normal 4 4 2 2 6 5" xfId="27088" xr:uid="{0FB171B4-7F6B-4F41-BF88-535B4E44B80E}"/>
    <cellStyle name="Normal 4 4 2 2 6 6" xfId="10215" xr:uid="{2D364063-A1FD-425F-9056-1BD9A5860C46}"/>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25429" xr:uid="{02BC5934-7A05-4509-8D62-EF2517BC6D6A}"/>
    <cellStyle name="Normal 4 4 2 2 7 2 2 3" xfId="33863" xr:uid="{B849987E-DF8F-41B4-8565-FEEC9901823D}"/>
    <cellStyle name="Normal 4 4 2 2 7 2 2 4" xfId="16991" xr:uid="{94A5E360-0464-43FB-A1B9-E4884A5A1702}"/>
    <cellStyle name="Normal 4 4 2 2 7 2 3" xfId="21211" xr:uid="{E88CE866-67E1-43A2-A043-F09FABE4B29E}"/>
    <cellStyle name="Normal 4 4 2 2 7 2 4" xfId="29646" xr:uid="{10F2A1AE-613F-4F18-925B-C1724B548CDE}"/>
    <cellStyle name="Normal 4 4 2 2 7 2 5" xfId="12773" xr:uid="{D2A8969C-EFC2-4888-8DE7-000C4EF4168A}"/>
    <cellStyle name="Normal 4 4 2 2 7 3" xfId="6407" xr:uid="{00000000-0005-0000-0000-000012150000}"/>
    <cellStyle name="Normal 4 4 2 2 7 3 2" xfId="23284" xr:uid="{FFBB026B-B420-4CA5-B673-8678600B54C3}"/>
    <cellStyle name="Normal 4 4 2 2 7 3 3" xfId="31718" xr:uid="{66353DC3-41F2-469E-9CBA-AF003709391F}"/>
    <cellStyle name="Normal 4 4 2 2 7 3 4" xfId="14846" xr:uid="{7B6893D0-45F6-4602-B9E0-BC86D6A9C034}"/>
    <cellStyle name="Normal 4 4 2 2 7 4" xfId="19066" xr:uid="{CADA4E7D-B002-4342-A451-BE7841013DF7}"/>
    <cellStyle name="Normal 4 4 2 2 7 5" xfId="27501" xr:uid="{BA98BE61-71F9-4FE5-B6E2-125A89CD893A}"/>
    <cellStyle name="Normal 4 4 2 2 7 6" xfId="10628" xr:uid="{9298C8AC-0265-410A-A069-6176ECC8484B}"/>
    <cellStyle name="Normal 4 4 2 2 8" xfId="2536" xr:uid="{00000000-0005-0000-0000-000013150000}"/>
    <cellStyle name="Normal 4 4 2 2 8 2" xfId="6820" xr:uid="{00000000-0005-0000-0000-000014150000}"/>
    <cellStyle name="Normal 4 4 2 2 8 2 2" xfId="23697" xr:uid="{6F368E20-4E21-47EB-B1BF-A932807F81AB}"/>
    <cellStyle name="Normal 4 4 2 2 8 2 3" xfId="32131" xr:uid="{2E9CECDF-4830-455E-A442-946E8C049205}"/>
    <cellStyle name="Normal 4 4 2 2 8 2 4" xfId="15259" xr:uid="{E2BDC0D4-80A9-4E69-BCD6-2BB6DF4C5BBC}"/>
    <cellStyle name="Normal 4 4 2 2 8 3" xfId="19479" xr:uid="{76D975F2-A429-417B-A6D2-BE87EE0C718C}"/>
    <cellStyle name="Normal 4 4 2 2 8 4" xfId="27914" xr:uid="{E8122EA5-4119-4E3B-B920-F14033A34334}"/>
    <cellStyle name="Normal 4 4 2 2 8 5" xfId="11041" xr:uid="{8F00185F-D213-4DE2-BA44-DD82A8D7ABF2}"/>
    <cellStyle name="Normal 4 4 2 2 9" xfId="4755" xr:uid="{00000000-0005-0000-0000-000015150000}"/>
    <cellStyle name="Normal 4 4 2 2 9 2" xfId="21632" xr:uid="{F16B317B-E83D-4C5D-8671-870AC6E37B9D}"/>
    <cellStyle name="Normal 4 4 2 2 9 3" xfId="30066" xr:uid="{02BC2BDB-1501-4759-B703-74408AE88677}"/>
    <cellStyle name="Normal 4 4 2 2 9 4" xfId="13194" xr:uid="{487A4AFE-C63E-4B50-B399-5646D233C707}"/>
    <cellStyle name="Normal 4 4 2 3" xfId="384" xr:uid="{00000000-0005-0000-0000-000016150000}"/>
    <cellStyle name="Normal 4 4 2 3 10" xfId="25853" xr:uid="{9F7CB718-FECC-470E-B1A0-8AB55E72AB01}"/>
    <cellStyle name="Normal 4 4 2 3 11" xfId="8980" xr:uid="{7CB435E6-2D9F-49F3-AA62-F2277472BCFD}"/>
    <cellStyle name="Normal 4 4 2 3 2" xfId="385" xr:uid="{00000000-0005-0000-0000-000017150000}"/>
    <cellStyle name="Normal 4 4 2 3 2 10" xfId="8981" xr:uid="{296B4B61-81AB-477B-85F7-D7D01A342A74}"/>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24195" xr:uid="{696DB963-22A5-4A9E-B562-1B40632534A2}"/>
    <cellStyle name="Normal 4 4 2 3 2 2 2 2 3" xfId="32629" xr:uid="{34B5DD7D-7269-4912-BFE4-F9496902930A}"/>
    <cellStyle name="Normal 4 4 2 3 2 2 2 2 4" xfId="15757" xr:uid="{F4C6664C-0E84-42EF-884E-C7A65A1A585E}"/>
    <cellStyle name="Normal 4 4 2 3 2 2 2 3" xfId="19977" xr:uid="{85E9A89D-D341-4944-A4B8-787A6EE5D9CB}"/>
    <cellStyle name="Normal 4 4 2 3 2 2 2 4" xfId="28412" xr:uid="{E09DE9E6-6F7B-4C85-88CC-E9123F6617F8}"/>
    <cellStyle name="Normal 4 4 2 3 2 2 2 5" xfId="11539" xr:uid="{A1253861-BFA3-4236-9E33-C37CAF76F8B9}"/>
    <cellStyle name="Normal 4 4 2 3 2 2 3" xfId="5173" xr:uid="{00000000-0005-0000-0000-00001B150000}"/>
    <cellStyle name="Normal 4 4 2 3 2 2 3 2" xfId="22050" xr:uid="{690518F9-2E75-4CBC-8C91-80225DB0AD90}"/>
    <cellStyle name="Normal 4 4 2 3 2 2 3 3" xfId="30484" xr:uid="{84064135-4724-4163-9051-96F4FC2DB3F6}"/>
    <cellStyle name="Normal 4 4 2 3 2 2 3 4" xfId="13612" xr:uid="{F1239223-1F87-4B9E-99AF-09DBA6344F9D}"/>
    <cellStyle name="Normal 4 4 2 3 2 2 4" xfId="17832" xr:uid="{75D5980A-6FE3-42EB-9E6E-7E7052E66C19}"/>
    <cellStyle name="Normal 4 4 2 3 2 2 5" xfId="26267" xr:uid="{9F8B66A1-E9E4-4748-A44D-FF835562FE77}"/>
    <cellStyle name="Normal 4 4 2 3 2 2 6" xfId="9394" xr:uid="{57F9AEB0-7865-4A8B-95B6-CE7070CCF805}"/>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24608" xr:uid="{CA6FE9B1-2404-40EE-A2CC-2CF42A3E3128}"/>
    <cellStyle name="Normal 4 4 2 3 2 3 2 2 3" xfId="33042" xr:uid="{D0E8CF61-067E-4EBD-B9AC-AF823C6500B1}"/>
    <cellStyle name="Normal 4 4 2 3 2 3 2 2 4" xfId="16170" xr:uid="{A26F2548-2A34-4A47-A2CE-F3226896B8CD}"/>
    <cellStyle name="Normal 4 4 2 3 2 3 2 3" xfId="20390" xr:uid="{A3CCB20F-AF42-45AB-B931-BF4CCFDD6B2D}"/>
    <cellStyle name="Normal 4 4 2 3 2 3 2 4" xfId="28825" xr:uid="{74ED097C-4DED-4505-8A09-F813D51A0B27}"/>
    <cellStyle name="Normal 4 4 2 3 2 3 2 5" xfId="11952" xr:uid="{AF4BC257-2B07-48E1-8190-C4990DD395EC}"/>
    <cellStyle name="Normal 4 4 2 3 2 3 3" xfId="5586" xr:uid="{00000000-0005-0000-0000-00001F150000}"/>
    <cellStyle name="Normal 4 4 2 3 2 3 3 2" xfId="22463" xr:uid="{D0A3507D-EAA3-438B-992F-9ABD845BB01D}"/>
    <cellStyle name="Normal 4 4 2 3 2 3 3 3" xfId="30897" xr:uid="{6104D6C8-0E67-4B77-8D90-6788F2BB847F}"/>
    <cellStyle name="Normal 4 4 2 3 2 3 3 4" xfId="14025" xr:uid="{2656A29F-334A-44CF-AA69-71EC85BFA247}"/>
    <cellStyle name="Normal 4 4 2 3 2 3 4" xfId="18245" xr:uid="{B838221C-E977-4463-A36B-F975A5A256C0}"/>
    <cellStyle name="Normal 4 4 2 3 2 3 5" xfId="26680" xr:uid="{42AB99C8-72F0-43A4-95F5-D2CCFEAD3546}"/>
    <cellStyle name="Normal 4 4 2 3 2 3 6" xfId="9807" xr:uid="{67D176A3-BEC6-4381-B14B-592692B448BC}"/>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25021" xr:uid="{09A47599-7A90-47A3-9776-883311EE5B86}"/>
    <cellStyle name="Normal 4 4 2 3 2 4 2 2 3" xfId="33455" xr:uid="{1A139FC7-4568-4C83-8D41-AB270E644E81}"/>
    <cellStyle name="Normal 4 4 2 3 2 4 2 2 4" xfId="16583" xr:uid="{F91BF367-4992-4EFD-8A0F-1FDE4373CCDE}"/>
    <cellStyle name="Normal 4 4 2 3 2 4 2 3" xfId="20803" xr:uid="{B2BCAE98-0758-42BF-953F-0B0885EC795C}"/>
    <cellStyle name="Normal 4 4 2 3 2 4 2 4" xfId="29238" xr:uid="{B78F5035-616B-47F9-978D-D5EDA6604BE7}"/>
    <cellStyle name="Normal 4 4 2 3 2 4 2 5" xfId="12365" xr:uid="{AB1A04DC-4109-443F-8CEA-6E30A378DC27}"/>
    <cellStyle name="Normal 4 4 2 3 2 4 3" xfId="5999" xr:uid="{00000000-0005-0000-0000-000023150000}"/>
    <cellStyle name="Normal 4 4 2 3 2 4 3 2" xfId="22876" xr:uid="{64761DD1-91D2-401A-A307-3BAC1C3CA517}"/>
    <cellStyle name="Normal 4 4 2 3 2 4 3 3" xfId="31310" xr:uid="{31C87DD5-7805-48BA-BF01-DC1DCDFFA411}"/>
    <cellStyle name="Normal 4 4 2 3 2 4 3 4" xfId="14438" xr:uid="{A40AC3FE-0161-4A3F-B897-886F94A35CAC}"/>
    <cellStyle name="Normal 4 4 2 3 2 4 4" xfId="18658" xr:uid="{E33AEB53-9C50-45B6-BC76-1FC8F362759B}"/>
    <cellStyle name="Normal 4 4 2 3 2 4 5" xfId="27093" xr:uid="{1652CFFB-3E87-42FC-9892-410929AD2C91}"/>
    <cellStyle name="Normal 4 4 2 3 2 4 6" xfId="10220" xr:uid="{645A14BC-1AEE-4249-95D9-6BF3D52C439F}"/>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25434" xr:uid="{CC403640-9D48-47F2-9319-E4FC49BAD857}"/>
    <cellStyle name="Normal 4 4 2 3 2 5 2 2 3" xfId="33868" xr:uid="{B0617867-AA99-4506-B304-6897453C7052}"/>
    <cellStyle name="Normal 4 4 2 3 2 5 2 2 4" xfId="16996" xr:uid="{89A18529-F5E7-4CA5-94C7-52240E830314}"/>
    <cellStyle name="Normal 4 4 2 3 2 5 2 3" xfId="21216" xr:uid="{46979CFB-76A9-45B3-9929-2298911FCEF6}"/>
    <cellStyle name="Normal 4 4 2 3 2 5 2 4" xfId="29651" xr:uid="{4813250B-48E8-495A-84AF-F95F0EF06893}"/>
    <cellStyle name="Normal 4 4 2 3 2 5 2 5" xfId="12778" xr:uid="{5B2D80A9-71A0-4793-9469-4B227E55CD9D}"/>
    <cellStyle name="Normal 4 4 2 3 2 5 3" xfId="6412" xr:uid="{00000000-0005-0000-0000-000027150000}"/>
    <cellStyle name="Normal 4 4 2 3 2 5 3 2" xfId="23289" xr:uid="{D8E2E115-1B8B-4DC2-8E44-2962BB782610}"/>
    <cellStyle name="Normal 4 4 2 3 2 5 3 3" xfId="31723" xr:uid="{A88E7F9B-AAD7-4FC8-9714-B5F5FA5BD44A}"/>
    <cellStyle name="Normal 4 4 2 3 2 5 3 4" xfId="14851" xr:uid="{B7F5CFE2-628A-421C-BA0C-14CD141431F5}"/>
    <cellStyle name="Normal 4 4 2 3 2 5 4" xfId="19071" xr:uid="{B851BC6F-80B8-4609-AE06-4E5E26057114}"/>
    <cellStyle name="Normal 4 4 2 3 2 5 5" xfId="27506" xr:uid="{7D7ED225-F68F-4B05-896F-F0E8DF2E5D75}"/>
    <cellStyle name="Normal 4 4 2 3 2 5 6" xfId="10633" xr:uid="{91052B49-5147-42D2-B859-4790EFB389C0}"/>
    <cellStyle name="Normal 4 4 2 3 2 6" xfId="2541" xr:uid="{00000000-0005-0000-0000-000028150000}"/>
    <cellStyle name="Normal 4 4 2 3 2 6 2" xfId="6825" xr:uid="{00000000-0005-0000-0000-000029150000}"/>
    <cellStyle name="Normal 4 4 2 3 2 6 2 2" xfId="23702" xr:uid="{98FEC8A0-B807-45CF-9542-C465177A64DF}"/>
    <cellStyle name="Normal 4 4 2 3 2 6 2 3" xfId="32136" xr:uid="{30AFFC30-9EC8-42C8-9AD3-A41CB4B1EE50}"/>
    <cellStyle name="Normal 4 4 2 3 2 6 2 4" xfId="15264" xr:uid="{126F5CAF-7953-40A6-85C0-39A8FC119E25}"/>
    <cellStyle name="Normal 4 4 2 3 2 6 3" xfId="19484" xr:uid="{F0219E17-C80A-4B2B-A981-4DCA7322748C}"/>
    <cellStyle name="Normal 4 4 2 3 2 6 4" xfId="27919" xr:uid="{F64C1BE1-DB07-42B5-AE04-65E482D62553}"/>
    <cellStyle name="Normal 4 4 2 3 2 6 5" xfId="11046" xr:uid="{454D465A-2A17-4109-8B04-4D2BF7BB6059}"/>
    <cellStyle name="Normal 4 4 2 3 2 7" xfId="4760" xr:uid="{00000000-0005-0000-0000-00002A150000}"/>
    <cellStyle name="Normal 4 4 2 3 2 7 2" xfId="21637" xr:uid="{F0230D99-2FF6-44CD-9F5E-6756DED35F86}"/>
    <cellStyle name="Normal 4 4 2 3 2 7 3" xfId="30071" xr:uid="{E0FE2645-7327-4D9B-BFD7-365FEDAD1703}"/>
    <cellStyle name="Normal 4 4 2 3 2 7 4" xfId="13199" xr:uid="{AB40A77C-A99C-4BEA-85F0-CBA3E1168188}"/>
    <cellStyle name="Normal 4 4 2 3 2 8" xfId="17419" xr:uid="{334155F7-B298-4119-AA82-3DC7B35817EA}"/>
    <cellStyle name="Normal 4 4 2 3 2 9" xfId="25854" xr:uid="{512A86D2-2A3D-410D-81BC-ED77752734A5}"/>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24194" xr:uid="{17D17218-2607-4C61-A933-82DB01A41C1D}"/>
    <cellStyle name="Normal 4 4 2 3 3 2 2 3" xfId="32628" xr:uid="{C5CDF458-6CD1-48BD-939C-7FE1F42EF088}"/>
    <cellStyle name="Normal 4 4 2 3 3 2 2 4" xfId="15756" xr:uid="{CBAD08A4-6427-4F06-9952-FB65D3C0D1C9}"/>
    <cellStyle name="Normal 4 4 2 3 3 2 3" xfId="19976" xr:uid="{230BE071-5AAC-493C-B0C7-80CA171C5927}"/>
    <cellStyle name="Normal 4 4 2 3 3 2 4" xfId="28411" xr:uid="{AD106E6B-2A4B-42F9-B34C-D40C3CFB80AE}"/>
    <cellStyle name="Normal 4 4 2 3 3 2 5" xfId="11538" xr:uid="{BB325699-0671-436F-811B-2A0BCBC93DC3}"/>
    <cellStyle name="Normal 4 4 2 3 3 3" xfId="5172" xr:uid="{00000000-0005-0000-0000-00002E150000}"/>
    <cellStyle name="Normal 4 4 2 3 3 3 2" xfId="22049" xr:uid="{6115D414-BB09-4228-ABC1-02733CADCD23}"/>
    <cellStyle name="Normal 4 4 2 3 3 3 3" xfId="30483" xr:uid="{21FA0093-128D-424A-8673-24E80BCF049E}"/>
    <cellStyle name="Normal 4 4 2 3 3 3 4" xfId="13611" xr:uid="{CA5D17FA-29D8-4336-BC15-09D7248DEA58}"/>
    <cellStyle name="Normal 4 4 2 3 3 4" xfId="17831" xr:uid="{64A2AF45-2E33-4858-A18E-580A1C46F9F4}"/>
    <cellStyle name="Normal 4 4 2 3 3 5" xfId="26266" xr:uid="{FF5E97C3-0E0E-40CF-B804-B473FF5EEF4C}"/>
    <cellStyle name="Normal 4 4 2 3 3 6" xfId="9393" xr:uid="{9CDF1348-5F2F-4DB8-85E1-71D16E37A616}"/>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24607" xr:uid="{624CAA40-6CA0-43CA-BEAC-7DC065440215}"/>
    <cellStyle name="Normal 4 4 2 3 4 2 2 3" xfId="33041" xr:uid="{D022A7FD-0661-4FBA-827F-516C8C16A548}"/>
    <cellStyle name="Normal 4 4 2 3 4 2 2 4" xfId="16169" xr:uid="{35957662-F72E-4423-A77D-0FB7CA052E13}"/>
    <cellStyle name="Normal 4 4 2 3 4 2 3" xfId="20389" xr:uid="{8CD1857B-8537-4858-962B-C8CF52616382}"/>
    <cellStyle name="Normal 4 4 2 3 4 2 4" xfId="28824" xr:uid="{023B55AB-1A90-4BDF-86DC-B0A0F36B3E39}"/>
    <cellStyle name="Normal 4 4 2 3 4 2 5" xfId="11951" xr:uid="{E53C5C1C-0E17-421D-839C-4ED555206E26}"/>
    <cellStyle name="Normal 4 4 2 3 4 3" xfId="5585" xr:uid="{00000000-0005-0000-0000-000032150000}"/>
    <cellStyle name="Normal 4 4 2 3 4 3 2" xfId="22462" xr:uid="{F069DD7F-C501-4FEB-91DE-CD52B9CAC8FF}"/>
    <cellStyle name="Normal 4 4 2 3 4 3 3" xfId="30896" xr:uid="{02DD3639-9FDA-414D-A83F-9B4D6AC5A5B0}"/>
    <cellStyle name="Normal 4 4 2 3 4 3 4" xfId="14024" xr:uid="{B3A5A7B8-D7AF-4E30-AD57-F00E52B3EDDF}"/>
    <cellStyle name="Normal 4 4 2 3 4 4" xfId="18244" xr:uid="{4F97936A-2EF2-46A8-B560-24584DCF977E}"/>
    <cellStyle name="Normal 4 4 2 3 4 5" xfId="26679" xr:uid="{D7026739-67D6-4593-90E9-01050B003940}"/>
    <cellStyle name="Normal 4 4 2 3 4 6" xfId="9806" xr:uid="{7C5BBA0E-9652-4CCB-BF40-7A039D514586}"/>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25020" xr:uid="{10C2932C-9704-4702-88D8-A0D7CFBD52EA}"/>
    <cellStyle name="Normal 4 4 2 3 5 2 2 3" xfId="33454" xr:uid="{6AE9EDC3-69E1-4FC9-9E03-5A3ECE2FD8A5}"/>
    <cellStyle name="Normal 4 4 2 3 5 2 2 4" xfId="16582" xr:uid="{9C3BBC47-F091-49B5-A94F-DFFE0B11EBE8}"/>
    <cellStyle name="Normal 4 4 2 3 5 2 3" xfId="20802" xr:uid="{0F172C27-82F4-402A-B366-FDB608E53395}"/>
    <cellStyle name="Normal 4 4 2 3 5 2 4" xfId="29237" xr:uid="{B28310F0-A68A-4EDA-BED2-4B117F86A5B7}"/>
    <cellStyle name="Normal 4 4 2 3 5 2 5" xfId="12364" xr:uid="{06A175A6-1EE3-4888-9A24-BE7B187B882A}"/>
    <cellStyle name="Normal 4 4 2 3 5 3" xfId="5998" xr:uid="{00000000-0005-0000-0000-000036150000}"/>
    <cellStyle name="Normal 4 4 2 3 5 3 2" xfId="22875" xr:uid="{8A1F1F4C-EFD0-4EF1-95D0-C21B5DF4B0C6}"/>
    <cellStyle name="Normal 4 4 2 3 5 3 3" xfId="31309" xr:uid="{DBC52B9D-0A88-4D9B-ACA7-36E029F2109D}"/>
    <cellStyle name="Normal 4 4 2 3 5 3 4" xfId="14437" xr:uid="{6C98F9CD-C340-4F29-B3E6-0F04AE1023EC}"/>
    <cellStyle name="Normal 4 4 2 3 5 4" xfId="18657" xr:uid="{057D9DE5-6B53-4668-BA79-F89D2D9E54CE}"/>
    <cellStyle name="Normal 4 4 2 3 5 5" xfId="27092" xr:uid="{EFE02304-5B75-4000-BBF6-5CD4A94AECC7}"/>
    <cellStyle name="Normal 4 4 2 3 5 6" xfId="10219" xr:uid="{3138EB0D-5B67-4923-9D78-3384DE24C124}"/>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25433" xr:uid="{EC006A7E-5033-43E4-8DA5-B9CEF4DF0396}"/>
    <cellStyle name="Normal 4 4 2 3 6 2 2 3" xfId="33867" xr:uid="{6505D41F-DE62-4779-85C3-D42B70D67D9D}"/>
    <cellStyle name="Normal 4 4 2 3 6 2 2 4" xfId="16995" xr:uid="{907A052B-96D3-4CF2-A25D-2C0C306A7125}"/>
    <cellStyle name="Normal 4 4 2 3 6 2 3" xfId="21215" xr:uid="{123D4E55-F59B-4E01-BDE7-A04C882B48F2}"/>
    <cellStyle name="Normal 4 4 2 3 6 2 4" xfId="29650" xr:uid="{9E8F3672-A3BB-413E-A0BC-644DD007779B}"/>
    <cellStyle name="Normal 4 4 2 3 6 2 5" xfId="12777" xr:uid="{CD090AB2-552B-41B7-AF38-FFA09D026715}"/>
    <cellStyle name="Normal 4 4 2 3 6 3" xfId="6411" xr:uid="{00000000-0005-0000-0000-00003A150000}"/>
    <cellStyle name="Normal 4 4 2 3 6 3 2" xfId="23288" xr:uid="{856E25DF-CCBE-4CDE-8997-4203AEEE051A}"/>
    <cellStyle name="Normal 4 4 2 3 6 3 3" xfId="31722" xr:uid="{EB51F60F-144F-4761-A04F-613344433DB7}"/>
    <cellStyle name="Normal 4 4 2 3 6 3 4" xfId="14850" xr:uid="{7D78E716-E5AC-4FC3-8DB7-5D68B5E5A131}"/>
    <cellStyle name="Normal 4 4 2 3 6 4" xfId="19070" xr:uid="{5C880B77-9501-45F9-8506-E2FC42BE19A0}"/>
    <cellStyle name="Normal 4 4 2 3 6 5" xfId="27505" xr:uid="{188271A0-CC2F-4BA2-A643-3B73E6F333A1}"/>
    <cellStyle name="Normal 4 4 2 3 6 6" xfId="10632" xr:uid="{03B7724F-E2AD-4489-A615-3F988B8630FD}"/>
    <cellStyle name="Normal 4 4 2 3 7" xfId="2540" xr:uid="{00000000-0005-0000-0000-00003B150000}"/>
    <cellStyle name="Normal 4 4 2 3 7 2" xfId="6824" xr:uid="{00000000-0005-0000-0000-00003C150000}"/>
    <cellStyle name="Normal 4 4 2 3 7 2 2" xfId="23701" xr:uid="{74CF6F46-D34B-4B71-9799-8AE3E5D05D64}"/>
    <cellStyle name="Normal 4 4 2 3 7 2 3" xfId="32135" xr:uid="{B86EEC7A-494E-4A1D-A708-43A7A76FDFF3}"/>
    <cellStyle name="Normal 4 4 2 3 7 2 4" xfId="15263" xr:uid="{8B49B78B-BA99-456B-9B15-A07E0BFA6E13}"/>
    <cellStyle name="Normal 4 4 2 3 7 3" xfId="19483" xr:uid="{B62BCE1F-A463-4625-A105-305ED52E521E}"/>
    <cellStyle name="Normal 4 4 2 3 7 4" xfId="27918" xr:uid="{D5CB8417-2C1F-449A-B018-7171B6B29FDF}"/>
    <cellStyle name="Normal 4 4 2 3 7 5" xfId="11045" xr:uid="{7858AE91-9227-4582-8356-82D3D4D74586}"/>
    <cellStyle name="Normal 4 4 2 3 8" xfId="4759" xr:uid="{00000000-0005-0000-0000-00003D150000}"/>
    <cellStyle name="Normal 4 4 2 3 8 2" xfId="21636" xr:uid="{1C2C75A7-814B-4673-8795-4B90434F148C}"/>
    <cellStyle name="Normal 4 4 2 3 8 3" xfId="30070" xr:uid="{E9A63B53-FED4-4421-912D-CE35901F2DA8}"/>
    <cellStyle name="Normal 4 4 2 3 8 4" xfId="13198" xr:uid="{47F9C4F8-1EAE-45A2-A0EC-D3CB6A6AE141}"/>
    <cellStyle name="Normal 4 4 2 3 9" xfId="17418" xr:uid="{DFD95F3F-F868-43A7-99AA-CAF5B90672C8}"/>
    <cellStyle name="Normal 4 4 2 4" xfId="386" xr:uid="{00000000-0005-0000-0000-00003E150000}"/>
    <cellStyle name="Normal 4 4 2 4 10" xfId="8982" xr:uid="{3791AF76-5873-4F1B-80FE-BB0B863A347D}"/>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24196" xr:uid="{20B22D90-5977-4148-94BF-E16B265BFAAF}"/>
    <cellStyle name="Normal 4 4 2 4 2 2 2 3" xfId="32630" xr:uid="{B95A9C0C-200C-4D78-BA71-C2124153C4A8}"/>
    <cellStyle name="Normal 4 4 2 4 2 2 2 4" xfId="15758" xr:uid="{1BD23708-DC83-4307-93C2-CA9D5425392E}"/>
    <cellStyle name="Normal 4 4 2 4 2 2 3" xfId="19978" xr:uid="{989F3157-971B-483E-B1B9-D3971E087923}"/>
    <cellStyle name="Normal 4 4 2 4 2 2 4" xfId="28413" xr:uid="{F1C46A0E-2C7C-4E79-A63E-93A42E29C449}"/>
    <cellStyle name="Normal 4 4 2 4 2 2 5" xfId="11540" xr:uid="{25407FA6-39A6-48B0-9A4D-152EE9EE9548}"/>
    <cellStyle name="Normal 4 4 2 4 2 3" xfId="5174" xr:uid="{00000000-0005-0000-0000-000042150000}"/>
    <cellStyle name="Normal 4 4 2 4 2 3 2" xfId="22051" xr:uid="{CEC8C00D-B946-4E1D-8CA7-B6DFFE848D4B}"/>
    <cellStyle name="Normal 4 4 2 4 2 3 3" xfId="30485" xr:uid="{5EF8C4CB-B842-4EDD-8254-18B37484E69F}"/>
    <cellStyle name="Normal 4 4 2 4 2 3 4" xfId="13613" xr:uid="{4D383DED-0477-4F1A-927A-B1ADC4677FC4}"/>
    <cellStyle name="Normal 4 4 2 4 2 4" xfId="17833" xr:uid="{1971D1E0-3285-4E15-A066-B84840FE0F6B}"/>
    <cellStyle name="Normal 4 4 2 4 2 5" xfId="26268" xr:uid="{B6AAEBA1-0F0A-480D-BB99-A3EA22172B59}"/>
    <cellStyle name="Normal 4 4 2 4 2 6" xfId="9395" xr:uid="{A352C2FA-B61C-4036-8066-722F9C599792}"/>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24609" xr:uid="{539D82D4-416D-4661-B24E-81F652BF83EE}"/>
    <cellStyle name="Normal 4 4 2 4 3 2 2 3" xfId="33043" xr:uid="{C695B902-0AC5-49E8-8BE1-64260EA8E3E8}"/>
    <cellStyle name="Normal 4 4 2 4 3 2 2 4" xfId="16171" xr:uid="{81DBDB3E-B65C-4D75-B5EA-C5609BBA5220}"/>
    <cellStyle name="Normal 4 4 2 4 3 2 3" xfId="20391" xr:uid="{225F5212-3C9E-4659-AA23-051482171356}"/>
    <cellStyle name="Normal 4 4 2 4 3 2 4" xfId="28826" xr:uid="{7780769E-551C-4162-8662-F71B929D971E}"/>
    <cellStyle name="Normal 4 4 2 4 3 2 5" xfId="11953" xr:uid="{2AD107A3-7F61-4830-ABE9-059541435FBA}"/>
    <cellStyle name="Normal 4 4 2 4 3 3" xfId="5587" xr:uid="{00000000-0005-0000-0000-000046150000}"/>
    <cellStyle name="Normal 4 4 2 4 3 3 2" xfId="22464" xr:uid="{5A7E4A1E-AE7C-4E70-A669-BCB5CD75B9B6}"/>
    <cellStyle name="Normal 4 4 2 4 3 3 3" xfId="30898" xr:uid="{CB9DD629-CC88-4C65-8FAE-7F824E6FDC34}"/>
    <cellStyle name="Normal 4 4 2 4 3 3 4" xfId="14026" xr:uid="{A4043ABB-CE2E-44E8-AF96-D75250F130D4}"/>
    <cellStyle name="Normal 4 4 2 4 3 4" xfId="18246" xr:uid="{2A996413-6D36-4102-8A1C-FC9E79A8E94D}"/>
    <cellStyle name="Normal 4 4 2 4 3 5" xfId="26681" xr:uid="{23069104-9D53-4048-AA70-60511E726B6F}"/>
    <cellStyle name="Normal 4 4 2 4 3 6" xfId="9808" xr:uid="{8CA0763E-7E39-4A8E-86FB-AD4E5DB1C0E4}"/>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25022" xr:uid="{72AFEA7E-BE28-4499-9A0E-D9A088AFC406}"/>
    <cellStyle name="Normal 4 4 2 4 4 2 2 3" xfId="33456" xr:uid="{96EEB13C-6408-4F0B-948A-BAA6AFE311E9}"/>
    <cellStyle name="Normal 4 4 2 4 4 2 2 4" xfId="16584" xr:uid="{61B06C6B-0846-48E2-B2D7-281A30A5C85D}"/>
    <cellStyle name="Normal 4 4 2 4 4 2 3" xfId="20804" xr:uid="{05AEB4EC-39FD-47E4-BA7C-FC7F2268525A}"/>
    <cellStyle name="Normal 4 4 2 4 4 2 4" xfId="29239" xr:uid="{F80A5E14-6E84-424F-AF87-67181BEAF833}"/>
    <cellStyle name="Normal 4 4 2 4 4 2 5" xfId="12366" xr:uid="{CFCB6871-F358-45A5-B70D-796291CEA028}"/>
    <cellStyle name="Normal 4 4 2 4 4 3" xfId="6000" xr:uid="{00000000-0005-0000-0000-00004A150000}"/>
    <cellStyle name="Normal 4 4 2 4 4 3 2" xfId="22877" xr:uid="{FD36FA97-7307-413C-87D0-5A5FD9A748DD}"/>
    <cellStyle name="Normal 4 4 2 4 4 3 3" xfId="31311" xr:uid="{39F06E21-9A42-4EAF-AC9F-A26EF895EF35}"/>
    <cellStyle name="Normal 4 4 2 4 4 3 4" xfId="14439" xr:uid="{31AA26DC-1630-484E-8344-DA917F047BD6}"/>
    <cellStyle name="Normal 4 4 2 4 4 4" xfId="18659" xr:uid="{1ADE5277-9DD2-4281-8526-CE01A183BF13}"/>
    <cellStyle name="Normal 4 4 2 4 4 5" xfId="27094" xr:uid="{E7D1AFD7-B0B0-4DEC-999E-0C358CDC3259}"/>
    <cellStyle name="Normal 4 4 2 4 4 6" xfId="10221" xr:uid="{365159CB-4305-4ACF-AF7A-43BD06DFABE5}"/>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25435" xr:uid="{12BFE014-9572-49C5-B794-775F46EA5443}"/>
    <cellStyle name="Normal 4 4 2 4 5 2 2 3" xfId="33869" xr:uid="{18B41A1F-0D1C-4915-9C28-FFD0C2BBD987}"/>
    <cellStyle name="Normal 4 4 2 4 5 2 2 4" xfId="16997" xr:uid="{5FD55BA2-8452-445F-B3EA-ED3DE2568C2E}"/>
    <cellStyle name="Normal 4 4 2 4 5 2 3" xfId="21217" xr:uid="{D1A6C945-E729-4571-92C8-A6F14FC6A7F9}"/>
    <cellStyle name="Normal 4 4 2 4 5 2 4" xfId="29652" xr:uid="{BB5B085C-B0AD-4E0F-AB97-C7BC3C911580}"/>
    <cellStyle name="Normal 4 4 2 4 5 2 5" xfId="12779" xr:uid="{E584714B-F35E-4310-94EB-C8D800ACD664}"/>
    <cellStyle name="Normal 4 4 2 4 5 3" xfId="6413" xr:uid="{00000000-0005-0000-0000-00004E150000}"/>
    <cellStyle name="Normal 4 4 2 4 5 3 2" xfId="23290" xr:uid="{385BE6B9-1CCE-442D-AE01-40A4C495C84D}"/>
    <cellStyle name="Normal 4 4 2 4 5 3 3" xfId="31724" xr:uid="{8074337B-5498-42EC-B3A7-23EA40955791}"/>
    <cellStyle name="Normal 4 4 2 4 5 3 4" xfId="14852" xr:uid="{AB048F0E-EAE6-4020-A51D-A97B64CD746D}"/>
    <cellStyle name="Normal 4 4 2 4 5 4" xfId="19072" xr:uid="{7B2F35FB-1F6C-44C2-9C2C-165AC7C4BFE9}"/>
    <cellStyle name="Normal 4 4 2 4 5 5" xfId="27507" xr:uid="{3732E4B6-C9D9-41D3-A0D5-2A8EE38F2792}"/>
    <cellStyle name="Normal 4 4 2 4 5 6" xfId="10634" xr:uid="{42C08782-72AA-44A1-BFA7-25A02AE9B35E}"/>
    <cellStyle name="Normal 4 4 2 4 6" xfId="2542" xr:uid="{00000000-0005-0000-0000-00004F150000}"/>
    <cellStyle name="Normal 4 4 2 4 6 2" xfId="6826" xr:uid="{00000000-0005-0000-0000-000050150000}"/>
    <cellStyle name="Normal 4 4 2 4 6 2 2" xfId="23703" xr:uid="{944355EF-A476-4A27-A459-A6CA51F5113C}"/>
    <cellStyle name="Normal 4 4 2 4 6 2 3" xfId="32137" xr:uid="{ED056E9F-02A9-4805-BFAF-347983BBDDB4}"/>
    <cellStyle name="Normal 4 4 2 4 6 2 4" xfId="15265" xr:uid="{323370B8-F63B-47F5-B459-3F3A5A25AEDC}"/>
    <cellStyle name="Normal 4 4 2 4 6 3" xfId="19485" xr:uid="{CAB2E347-7A93-49A8-9EC8-9F84E2C93012}"/>
    <cellStyle name="Normal 4 4 2 4 6 4" xfId="27920" xr:uid="{001B2B37-8341-402A-94F6-FA63022711FB}"/>
    <cellStyle name="Normal 4 4 2 4 6 5" xfId="11047" xr:uid="{1577B091-89A1-4842-8630-1C878E77CF3A}"/>
    <cellStyle name="Normal 4 4 2 4 7" xfId="4761" xr:uid="{00000000-0005-0000-0000-000051150000}"/>
    <cellStyle name="Normal 4 4 2 4 7 2" xfId="21638" xr:uid="{C1459923-EAC3-4762-B11C-1C07DA01F173}"/>
    <cellStyle name="Normal 4 4 2 4 7 3" xfId="30072" xr:uid="{3D4DED2D-F5EE-465D-A1B8-E5AE3FF5C493}"/>
    <cellStyle name="Normal 4 4 2 4 7 4" xfId="13200" xr:uid="{9D2F5883-C178-485D-9A39-C8F9E826878D}"/>
    <cellStyle name="Normal 4 4 2 4 8" xfId="17420" xr:uid="{5D7DCC99-2580-46E1-ABE3-158A657E7FAD}"/>
    <cellStyle name="Normal 4 4 2 4 9" xfId="25855" xr:uid="{7A3DAD7C-B57B-4351-B029-EB818D981530}"/>
    <cellStyle name="Normal 4 4 2 5" xfId="854" xr:uid="{00000000-0005-0000-0000-000052150000}"/>
    <cellStyle name="Normal 4 4 2 5 2" xfId="3089" xr:uid="{00000000-0005-0000-0000-000053150000}"/>
    <cellStyle name="Normal 4 4 2 5 2 2" xfId="7312" xr:uid="{00000000-0005-0000-0000-000054150000}"/>
    <cellStyle name="Normal 4 4 2 5 2 2 2" xfId="24189" xr:uid="{B0A36A3E-9DE3-4F3A-99B5-4FB8D0F66F9B}"/>
    <cellStyle name="Normal 4 4 2 5 2 2 3" xfId="32623" xr:uid="{72337047-EFD3-4658-9D66-264FFF7A950E}"/>
    <cellStyle name="Normal 4 4 2 5 2 2 4" xfId="15751" xr:uid="{6382652D-6973-4C3C-A348-148D1D8ECC72}"/>
    <cellStyle name="Normal 4 4 2 5 2 3" xfId="19971" xr:uid="{8F58E6C0-DE24-4C8A-AF9A-D45B68A1DE51}"/>
    <cellStyle name="Normal 4 4 2 5 2 4" xfId="28406" xr:uid="{DE07E7AE-2079-4DC2-9A4D-6FA1B225B0A5}"/>
    <cellStyle name="Normal 4 4 2 5 2 5" xfId="11533" xr:uid="{AB3B2A33-5198-4AC3-B2BE-89B5EF9B1012}"/>
    <cellStyle name="Normal 4 4 2 5 3" xfId="5167" xr:uid="{00000000-0005-0000-0000-000055150000}"/>
    <cellStyle name="Normal 4 4 2 5 3 2" xfId="22044" xr:uid="{9C258BFF-B3B1-40C4-80B5-2D46D7275DA3}"/>
    <cellStyle name="Normal 4 4 2 5 3 3" xfId="30478" xr:uid="{B6739FD8-CF2B-4B0A-BDC2-7F829C0EAFB6}"/>
    <cellStyle name="Normal 4 4 2 5 3 4" xfId="13606" xr:uid="{C427573B-F238-473E-8893-14DF0CB1A5CC}"/>
    <cellStyle name="Normal 4 4 2 5 4" xfId="17826" xr:uid="{D52D24B0-4CE5-4F7C-AC50-0D95FA66F8BE}"/>
    <cellStyle name="Normal 4 4 2 5 5" xfId="26261" xr:uid="{7C33E669-89A5-4E81-B6B8-1667921C9B8F}"/>
    <cellStyle name="Normal 4 4 2 5 6" xfId="9388" xr:uid="{072EBC2E-485F-43AC-92A3-5974D70CBFF1}"/>
    <cellStyle name="Normal 4 4 2 6" xfId="1272" xr:uid="{00000000-0005-0000-0000-000056150000}"/>
    <cellStyle name="Normal 4 4 2 6 2" xfId="3502" xr:uid="{00000000-0005-0000-0000-000057150000}"/>
    <cellStyle name="Normal 4 4 2 6 2 2" xfId="7725" xr:uid="{00000000-0005-0000-0000-000058150000}"/>
    <cellStyle name="Normal 4 4 2 6 2 2 2" xfId="24602" xr:uid="{5C3750DB-D694-46F7-8472-B5D25F93D4AA}"/>
    <cellStyle name="Normal 4 4 2 6 2 2 3" xfId="33036" xr:uid="{094C97C8-C430-4DCB-B294-1E7E7DF6CFF3}"/>
    <cellStyle name="Normal 4 4 2 6 2 2 4" xfId="16164" xr:uid="{2F54D189-4F41-47C6-90BF-76B3F336AA2A}"/>
    <cellStyle name="Normal 4 4 2 6 2 3" xfId="20384" xr:uid="{056428D5-E3E8-45C6-85CB-487A412D91C2}"/>
    <cellStyle name="Normal 4 4 2 6 2 4" xfId="28819" xr:uid="{153A42C8-3228-4476-AB07-9B2470550C04}"/>
    <cellStyle name="Normal 4 4 2 6 2 5" xfId="11946" xr:uid="{C75D0A78-F9D6-476E-9BFE-F752496F1887}"/>
    <cellStyle name="Normal 4 4 2 6 3" xfId="5580" xr:uid="{00000000-0005-0000-0000-000059150000}"/>
    <cellStyle name="Normal 4 4 2 6 3 2" xfId="22457" xr:uid="{55313A42-6688-4389-9221-25A5DC8C2DD6}"/>
    <cellStyle name="Normal 4 4 2 6 3 3" xfId="30891" xr:uid="{B947CBB6-38E9-410C-A443-225FA7CE744B}"/>
    <cellStyle name="Normal 4 4 2 6 3 4" xfId="14019" xr:uid="{2593920E-26DF-40D4-B1AC-24D7BAC1A371}"/>
    <cellStyle name="Normal 4 4 2 6 4" xfId="18239" xr:uid="{CAD2C53C-54BE-46F5-9CA2-C962F08ACE89}"/>
    <cellStyle name="Normal 4 4 2 6 5" xfId="26674" xr:uid="{75FF54D0-7C4A-4848-915F-5AC98E31F57C}"/>
    <cellStyle name="Normal 4 4 2 6 6" xfId="9801" xr:uid="{D6C9CEA1-727E-4731-94C0-90E558A94BA3}"/>
    <cellStyle name="Normal 4 4 2 7" xfId="1685" xr:uid="{00000000-0005-0000-0000-00005A150000}"/>
    <cellStyle name="Normal 4 4 2 7 2" xfId="3915" xr:uid="{00000000-0005-0000-0000-00005B150000}"/>
    <cellStyle name="Normal 4 4 2 7 2 2" xfId="8138" xr:uid="{00000000-0005-0000-0000-00005C150000}"/>
    <cellStyle name="Normal 4 4 2 7 2 2 2" xfId="25015" xr:uid="{44D7A273-A4B4-418F-BE7C-F63C9B3F8BB4}"/>
    <cellStyle name="Normal 4 4 2 7 2 2 3" xfId="33449" xr:uid="{205B273F-450D-45B9-9772-D4C936F095D0}"/>
    <cellStyle name="Normal 4 4 2 7 2 2 4" xfId="16577" xr:uid="{E999B518-9AF9-4664-9C77-D1879FED06AA}"/>
    <cellStyle name="Normal 4 4 2 7 2 3" xfId="20797" xr:uid="{A7298408-C3DC-4F56-9213-2F2AA36DE478}"/>
    <cellStyle name="Normal 4 4 2 7 2 4" xfId="29232" xr:uid="{866803AC-0CFB-44E7-90AE-43A033E9C9D1}"/>
    <cellStyle name="Normal 4 4 2 7 2 5" xfId="12359" xr:uid="{AF9D988D-55C2-4F35-BAA3-0CA0DD576F1F}"/>
    <cellStyle name="Normal 4 4 2 7 3" xfId="5993" xr:uid="{00000000-0005-0000-0000-00005D150000}"/>
    <cellStyle name="Normal 4 4 2 7 3 2" xfId="22870" xr:uid="{E2FA2DDE-3617-4356-8316-FC07977C6D6E}"/>
    <cellStyle name="Normal 4 4 2 7 3 3" xfId="31304" xr:uid="{A53117E4-A299-4B6C-A528-FCAF120A04B0}"/>
    <cellStyle name="Normal 4 4 2 7 3 4" xfId="14432" xr:uid="{0978FD92-0C80-4873-BDA8-C611B738A352}"/>
    <cellStyle name="Normal 4 4 2 7 4" xfId="18652" xr:uid="{6EE7AA64-769B-475B-B97F-743E276E7159}"/>
    <cellStyle name="Normal 4 4 2 7 5" xfId="27087" xr:uid="{6ED818F2-AE2A-44DA-974A-8272576272C3}"/>
    <cellStyle name="Normal 4 4 2 7 6" xfId="10214" xr:uid="{3E23072E-66EC-49F8-A0E4-9109101AD6A8}"/>
    <cellStyle name="Normal 4 4 2 8" xfId="2099" xr:uid="{00000000-0005-0000-0000-00005E150000}"/>
    <cellStyle name="Normal 4 4 2 8 2" xfId="4328" xr:uid="{00000000-0005-0000-0000-00005F150000}"/>
    <cellStyle name="Normal 4 4 2 8 2 2" xfId="8551" xr:uid="{00000000-0005-0000-0000-000060150000}"/>
    <cellStyle name="Normal 4 4 2 8 2 2 2" xfId="25428" xr:uid="{26CEF106-CD0E-44D4-BFEE-7D996914263A}"/>
    <cellStyle name="Normal 4 4 2 8 2 2 3" xfId="33862" xr:uid="{E357491B-A134-4475-8545-E2533AD71D06}"/>
    <cellStyle name="Normal 4 4 2 8 2 2 4" xfId="16990" xr:uid="{7012CF9D-0628-4B7A-889E-C46CA7E9EEC7}"/>
    <cellStyle name="Normal 4 4 2 8 2 3" xfId="21210" xr:uid="{BF872F71-F2D1-4F66-956E-081CCB2ED50C}"/>
    <cellStyle name="Normal 4 4 2 8 2 4" xfId="29645" xr:uid="{B7777CBE-AE01-4883-91FB-662EA14F1BB3}"/>
    <cellStyle name="Normal 4 4 2 8 2 5" xfId="12772" xr:uid="{CAFF8625-1BD1-4693-813A-05D40C6152C9}"/>
    <cellStyle name="Normal 4 4 2 8 3" xfId="6406" xr:uid="{00000000-0005-0000-0000-000061150000}"/>
    <cellStyle name="Normal 4 4 2 8 3 2" xfId="23283" xr:uid="{8078E95A-79D8-4F10-AB88-62E0300D1495}"/>
    <cellStyle name="Normal 4 4 2 8 3 3" xfId="31717" xr:uid="{C8E79C4F-5EE6-441D-A0C0-F07B083B39A0}"/>
    <cellStyle name="Normal 4 4 2 8 3 4" xfId="14845" xr:uid="{6AF938A5-85D1-4809-8BA7-79507E6402B3}"/>
    <cellStyle name="Normal 4 4 2 8 4" xfId="19065" xr:uid="{4C187F7E-4678-4FA3-8C88-88024303CF65}"/>
    <cellStyle name="Normal 4 4 2 8 5" xfId="27500" xr:uid="{DC0819E4-DFC3-4137-ACB7-F8C721FFB3C3}"/>
    <cellStyle name="Normal 4 4 2 8 6" xfId="10627" xr:uid="{D7F48D91-72A8-4345-95EA-78C4CFAB8024}"/>
    <cellStyle name="Normal 4 4 2 9" xfId="2535" xr:uid="{00000000-0005-0000-0000-000062150000}"/>
    <cellStyle name="Normal 4 4 2 9 2" xfId="6819" xr:uid="{00000000-0005-0000-0000-000063150000}"/>
    <cellStyle name="Normal 4 4 2 9 2 2" xfId="23696" xr:uid="{869CC3B1-BE9F-4EFE-A21B-47B9A9201489}"/>
    <cellStyle name="Normal 4 4 2 9 2 3" xfId="32130" xr:uid="{1578A6DC-9217-48F2-BFC4-12B06D08158F}"/>
    <cellStyle name="Normal 4 4 2 9 2 4" xfId="15258" xr:uid="{D4198F15-46DB-4176-9850-5E90F1282A6E}"/>
    <cellStyle name="Normal 4 4 2 9 3" xfId="19478" xr:uid="{2176C3D4-E1F8-4A33-BC1B-469AA0259725}"/>
    <cellStyle name="Normal 4 4 2 9 4" xfId="27913" xr:uid="{CDEEF092-7485-4B1B-BBB4-D0CEE545E32A}"/>
    <cellStyle name="Normal 4 4 2 9 5" xfId="11040" xr:uid="{51439AB3-3F7F-4974-9052-57230600BD0E}"/>
    <cellStyle name="Normal 4 4 3" xfId="387" xr:uid="{00000000-0005-0000-0000-000064150000}"/>
    <cellStyle name="Normal 4 4 3 10" xfId="17421" xr:uid="{1B14255B-1098-461E-9DB2-D6280BED163C}"/>
    <cellStyle name="Normal 4 4 3 11" xfId="25856" xr:uid="{55BC121A-FB80-4050-B292-47DEE7093AA4}"/>
    <cellStyle name="Normal 4 4 3 12" xfId="8983" xr:uid="{957EEDE8-BB5B-4A55-BBAE-B0097ABD0613}"/>
    <cellStyle name="Normal 4 4 3 2" xfId="388" xr:uid="{00000000-0005-0000-0000-000065150000}"/>
    <cellStyle name="Normal 4 4 3 2 10" xfId="25857" xr:uid="{D4B466EC-8179-4C8C-941F-4F02C7239C20}"/>
    <cellStyle name="Normal 4 4 3 2 11" xfId="8984" xr:uid="{1BAA0E73-03F9-4B18-AED2-922519F61661}"/>
    <cellStyle name="Normal 4 4 3 2 2" xfId="389" xr:uid="{00000000-0005-0000-0000-000066150000}"/>
    <cellStyle name="Normal 4 4 3 2 2 10" xfId="8985" xr:uid="{2BEEA4F2-E684-4BE3-98DB-D2374E9FF1AC}"/>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24199" xr:uid="{F164FCA3-4868-4E77-8AF2-5C54B3AB55AE}"/>
    <cellStyle name="Normal 4 4 3 2 2 2 2 2 3" xfId="32633" xr:uid="{162F3572-AA69-4F27-9871-897C1F86781D}"/>
    <cellStyle name="Normal 4 4 3 2 2 2 2 2 4" xfId="15761" xr:uid="{3D1BE1D8-D487-4E91-947B-AE666B10A8C0}"/>
    <cellStyle name="Normal 4 4 3 2 2 2 2 3" xfId="19981" xr:uid="{25D513AD-0FB1-4411-91AC-603A065A730D}"/>
    <cellStyle name="Normal 4 4 3 2 2 2 2 4" xfId="28416" xr:uid="{FA5261A8-06E0-472A-B952-815EF2D1A524}"/>
    <cellStyle name="Normal 4 4 3 2 2 2 2 5" xfId="11543" xr:uid="{1C915791-AE98-44BA-9484-B3E2E3775542}"/>
    <cellStyle name="Normal 4 4 3 2 2 2 3" xfId="5177" xr:uid="{00000000-0005-0000-0000-00006A150000}"/>
    <cellStyle name="Normal 4 4 3 2 2 2 3 2" xfId="22054" xr:uid="{37A91C6D-79FC-4B98-A488-38A7AD7FB47F}"/>
    <cellStyle name="Normal 4 4 3 2 2 2 3 3" xfId="30488" xr:uid="{4B73A1C5-16AA-4C7D-8DA9-6260E06CFBA0}"/>
    <cellStyle name="Normal 4 4 3 2 2 2 3 4" xfId="13616" xr:uid="{16DA4FF4-604A-4F22-8933-A7E917C5B06C}"/>
    <cellStyle name="Normal 4 4 3 2 2 2 4" xfId="17836" xr:uid="{86232E15-8D11-4468-B6DB-C7364D167D95}"/>
    <cellStyle name="Normal 4 4 3 2 2 2 5" xfId="26271" xr:uid="{78826E96-97F1-4065-A066-0C5D2DDE756E}"/>
    <cellStyle name="Normal 4 4 3 2 2 2 6" xfId="9398" xr:uid="{B9EED339-9B28-4842-991D-C70487D0EE34}"/>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24612" xr:uid="{8845D603-8BB8-4E02-89F2-9BC2189B9B34}"/>
    <cellStyle name="Normal 4 4 3 2 2 3 2 2 3" xfId="33046" xr:uid="{BA14C4EE-8AD2-478F-A3B7-2F81358CA0AE}"/>
    <cellStyle name="Normal 4 4 3 2 2 3 2 2 4" xfId="16174" xr:uid="{E6357715-2A97-413D-9330-C822416856EF}"/>
    <cellStyle name="Normal 4 4 3 2 2 3 2 3" xfId="20394" xr:uid="{D0AF65AB-A722-4E53-B4D5-2572C8351F34}"/>
    <cellStyle name="Normal 4 4 3 2 2 3 2 4" xfId="28829" xr:uid="{92356606-9FA8-4F17-8ADC-9ABFE6AAFABB}"/>
    <cellStyle name="Normal 4 4 3 2 2 3 2 5" xfId="11956" xr:uid="{E45718E4-DBEB-4185-A874-A054666AC75B}"/>
    <cellStyle name="Normal 4 4 3 2 2 3 3" xfId="5590" xr:uid="{00000000-0005-0000-0000-00006E150000}"/>
    <cellStyle name="Normal 4 4 3 2 2 3 3 2" xfId="22467" xr:uid="{02481B37-8856-40C0-8E7F-0ADF34BA1916}"/>
    <cellStyle name="Normal 4 4 3 2 2 3 3 3" xfId="30901" xr:uid="{165DFBB1-7AE5-4FE6-9C06-EBC2FCA34957}"/>
    <cellStyle name="Normal 4 4 3 2 2 3 3 4" xfId="14029" xr:uid="{A0393433-993C-4A21-9915-FFD80C2AA821}"/>
    <cellStyle name="Normal 4 4 3 2 2 3 4" xfId="18249" xr:uid="{7415ACCA-B055-4DE1-B72E-D6828B7F45FA}"/>
    <cellStyle name="Normal 4 4 3 2 2 3 5" xfId="26684" xr:uid="{2F46DDA8-D4DB-4630-B4C0-EFBF8199E092}"/>
    <cellStyle name="Normal 4 4 3 2 2 3 6" xfId="9811" xr:uid="{10670ACE-F4B5-438C-8F5B-845F333C05B1}"/>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25025" xr:uid="{20AC5CBB-E162-4137-94A0-BAC6245DA6F4}"/>
    <cellStyle name="Normal 4 4 3 2 2 4 2 2 3" xfId="33459" xr:uid="{64BE2EBE-E351-40D8-B33B-A1528106EB75}"/>
    <cellStyle name="Normal 4 4 3 2 2 4 2 2 4" xfId="16587" xr:uid="{D36B990D-D7AF-42BD-88CD-FF33B9C09404}"/>
    <cellStyle name="Normal 4 4 3 2 2 4 2 3" xfId="20807" xr:uid="{D57B84B6-6C28-449E-A1EF-BCF2AD3B8267}"/>
    <cellStyle name="Normal 4 4 3 2 2 4 2 4" xfId="29242" xr:uid="{8792FA91-7613-4F38-A5E7-ADBDF5FEF3BC}"/>
    <cellStyle name="Normal 4 4 3 2 2 4 2 5" xfId="12369" xr:uid="{A9D918B4-AB1C-4B1F-958F-C50ED9852BF6}"/>
    <cellStyle name="Normal 4 4 3 2 2 4 3" xfId="6003" xr:uid="{00000000-0005-0000-0000-000072150000}"/>
    <cellStyle name="Normal 4 4 3 2 2 4 3 2" xfId="22880" xr:uid="{BCCBCD26-C680-434A-A757-BED5D49A6078}"/>
    <cellStyle name="Normal 4 4 3 2 2 4 3 3" xfId="31314" xr:uid="{F5040BA3-F0C7-42FC-8CCE-41615938E924}"/>
    <cellStyle name="Normal 4 4 3 2 2 4 3 4" xfId="14442" xr:uid="{FFDDC9F5-D612-4D85-8E21-BD6417412E1B}"/>
    <cellStyle name="Normal 4 4 3 2 2 4 4" xfId="18662" xr:uid="{305BE375-57F1-4ADB-8292-C41037933AE2}"/>
    <cellStyle name="Normal 4 4 3 2 2 4 5" xfId="27097" xr:uid="{CA3687F5-96B8-4B0F-B7F9-DFE618125D4F}"/>
    <cellStyle name="Normal 4 4 3 2 2 4 6" xfId="10224" xr:uid="{19866CC3-5EB1-4B7A-8EE4-8FCF0C127D5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25438" xr:uid="{F90E3B7D-BBBE-457F-AC21-98DC00E88DD3}"/>
    <cellStyle name="Normal 4 4 3 2 2 5 2 2 3" xfId="33872" xr:uid="{F5AEEFF9-076C-4193-B4B3-5F6464BFECEA}"/>
    <cellStyle name="Normal 4 4 3 2 2 5 2 2 4" xfId="17000" xr:uid="{2783C00F-A49E-422E-A659-F87DE16C0D66}"/>
    <cellStyle name="Normal 4 4 3 2 2 5 2 3" xfId="21220" xr:uid="{B6325015-E4CA-4B9D-9F0C-D1278C9E2A30}"/>
    <cellStyle name="Normal 4 4 3 2 2 5 2 4" xfId="29655" xr:uid="{F264F7AC-84D4-4599-8BC8-B030089E4D7B}"/>
    <cellStyle name="Normal 4 4 3 2 2 5 2 5" xfId="12782" xr:uid="{15D4DAA8-9E48-4900-B49E-C1747D66A749}"/>
    <cellStyle name="Normal 4 4 3 2 2 5 3" xfId="6416" xr:uid="{00000000-0005-0000-0000-000076150000}"/>
    <cellStyle name="Normal 4 4 3 2 2 5 3 2" xfId="23293" xr:uid="{D56F71BC-0305-4E16-9926-DEDAE8F0DB27}"/>
    <cellStyle name="Normal 4 4 3 2 2 5 3 3" xfId="31727" xr:uid="{CAFB51BD-FA3C-4BA5-918D-0D24EA4787D0}"/>
    <cellStyle name="Normal 4 4 3 2 2 5 3 4" xfId="14855" xr:uid="{1E1065E1-A66E-4D95-8F95-A47F48EA0EEF}"/>
    <cellStyle name="Normal 4 4 3 2 2 5 4" xfId="19075" xr:uid="{982D6836-AD1D-481F-BFD9-3B45295766FB}"/>
    <cellStyle name="Normal 4 4 3 2 2 5 5" xfId="27510" xr:uid="{AD863242-CE8C-4D39-A99E-61DCAA5068A0}"/>
    <cellStyle name="Normal 4 4 3 2 2 5 6" xfId="10637" xr:uid="{410E15C2-F72F-4D90-9240-C596B609A798}"/>
    <cellStyle name="Normal 4 4 3 2 2 6" xfId="2545" xr:uid="{00000000-0005-0000-0000-000077150000}"/>
    <cellStyle name="Normal 4 4 3 2 2 6 2" xfId="6829" xr:uid="{00000000-0005-0000-0000-000078150000}"/>
    <cellStyle name="Normal 4 4 3 2 2 6 2 2" xfId="23706" xr:uid="{C03C3027-91D3-452B-8FF1-436671264D63}"/>
    <cellStyle name="Normal 4 4 3 2 2 6 2 3" xfId="32140" xr:uid="{01D36213-CE9D-4A70-B4C8-FE0B2CCD3E3E}"/>
    <cellStyle name="Normal 4 4 3 2 2 6 2 4" xfId="15268" xr:uid="{4726E61D-135C-4888-93DD-D5D704D384CE}"/>
    <cellStyle name="Normal 4 4 3 2 2 6 3" xfId="19488" xr:uid="{8FFFC80D-726D-4CAA-A804-F8A1E24AB680}"/>
    <cellStyle name="Normal 4 4 3 2 2 6 4" xfId="27923" xr:uid="{CB33450B-6438-4438-B46B-B0C43BD08568}"/>
    <cellStyle name="Normal 4 4 3 2 2 6 5" xfId="11050" xr:uid="{09E63FDC-1079-4835-8CF4-35DA309AACA7}"/>
    <cellStyle name="Normal 4 4 3 2 2 7" xfId="4764" xr:uid="{00000000-0005-0000-0000-000079150000}"/>
    <cellStyle name="Normal 4 4 3 2 2 7 2" xfId="21641" xr:uid="{538C9405-8E39-458A-B546-612A2D578D2B}"/>
    <cellStyle name="Normal 4 4 3 2 2 7 3" xfId="30075" xr:uid="{00386959-872C-422B-ADFB-5B8FF41353D8}"/>
    <cellStyle name="Normal 4 4 3 2 2 7 4" xfId="13203" xr:uid="{B2520506-C906-4BB4-93A5-F457E5A7A354}"/>
    <cellStyle name="Normal 4 4 3 2 2 8" xfId="17423" xr:uid="{C1873928-965F-4457-AB37-6CC8930270A7}"/>
    <cellStyle name="Normal 4 4 3 2 2 9" xfId="25858" xr:uid="{52DD25CE-4EDA-43BD-A9EA-40100DDB1A0B}"/>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24198" xr:uid="{362EC4CF-EF1B-4F13-9083-8D68D7E4B13D}"/>
    <cellStyle name="Normal 4 4 3 2 3 2 2 3" xfId="32632" xr:uid="{9F1D6635-4478-4459-8BAC-D378C8EEECB2}"/>
    <cellStyle name="Normal 4 4 3 2 3 2 2 4" xfId="15760" xr:uid="{DBF49EC1-364A-40E3-8120-5BBD62207EC8}"/>
    <cellStyle name="Normal 4 4 3 2 3 2 3" xfId="19980" xr:uid="{00030320-8173-4DD6-995F-47C2D789D50A}"/>
    <cellStyle name="Normal 4 4 3 2 3 2 4" xfId="28415" xr:uid="{FF4A061B-1BC4-41B1-9F39-995CC90E3376}"/>
    <cellStyle name="Normal 4 4 3 2 3 2 5" xfId="11542" xr:uid="{D337C57C-85EC-48A4-BD5D-45E6193FDFCA}"/>
    <cellStyle name="Normal 4 4 3 2 3 3" xfId="5176" xr:uid="{00000000-0005-0000-0000-00007D150000}"/>
    <cellStyle name="Normal 4 4 3 2 3 3 2" xfId="22053" xr:uid="{CE3C476A-BA76-4415-8FD3-FE5BFE9AA885}"/>
    <cellStyle name="Normal 4 4 3 2 3 3 3" xfId="30487" xr:uid="{F9BB61DB-962C-4BC6-BAD6-C248322F7B0E}"/>
    <cellStyle name="Normal 4 4 3 2 3 3 4" xfId="13615" xr:uid="{F4C13F25-7B42-41F5-98D0-61C5F5CB0BF5}"/>
    <cellStyle name="Normal 4 4 3 2 3 4" xfId="17835" xr:uid="{0BCB6EA9-2F7F-42E7-AB19-2A257E97003E}"/>
    <cellStyle name="Normal 4 4 3 2 3 5" xfId="26270" xr:uid="{EE31CDC2-8559-4967-A18F-627206498535}"/>
    <cellStyle name="Normal 4 4 3 2 3 6" xfId="9397" xr:uid="{64701BE2-5E68-4564-A266-66AB05234DE6}"/>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24611" xr:uid="{089451CF-4078-4636-9248-8956C211AB6E}"/>
    <cellStyle name="Normal 4 4 3 2 4 2 2 3" xfId="33045" xr:uid="{5A8B21CD-9C96-4799-B6A0-E2130D3AF631}"/>
    <cellStyle name="Normal 4 4 3 2 4 2 2 4" xfId="16173" xr:uid="{2B5E755F-8A92-47FC-B271-3143FC7EB34D}"/>
    <cellStyle name="Normal 4 4 3 2 4 2 3" xfId="20393" xr:uid="{1A76C8E1-FA43-4481-8308-C3D03CDC763B}"/>
    <cellStyle name="Normal 4 4 3 2 4 2 4" xfId="28828" xr:uid="{EC67A03D-25A8-469F-9D6D-6CB391DD749B}"/>
    <cellStyle name="Normal 4 4 3 2 4 2 5" xfId="11955" xr:uid="{007495DF-A8D6-43C1-B4F3-16CB72341E32}"/>
    <cellStyle name="Normal 4 4 3 2 4 3" xfId="5589" xr:uid="{00000000-0005-0000-0000-000081150000}"/>
    <cellStyle name="Normal 4 4 3 2 4 3 2" xfId="22466" xr:uid="{3BD9D52A-D7E7-4DE8-9A69-FFB0D5DE03BD}"/>
    <cellStyle name="Normal 4 4 3 2 4 3 3" xfId="30900" xr:uid="{6F63655F-37CF-41B4-B3A5-D54B1982E825}"/>
    <cellStyle name="Normal 4 4 3 2 4 3 4" xfId="14028" xr:uid="{382442AF-F044-4390-87C6-7FC68E1ABD49}"/>
    <cellStyle name="Normal 4 4 3 2 4 4" xfId="18248" xr:uid="{75A3A7B7-BB53-455C-A1C3-DA860DC81A1C}"/>
    <cellStyle name="Normal 4 4 3 2 4 5" xfId="26683" xr:uid="{17BE6976-F275-4DF6-9B4E-5E7DA2694B50}"/>
    <cellStyle name="Normal 4 4 3 2 4 6" xfId="9810" xr:uid="{B2CFBC78-7913-4DD0-8898-44643A393434}"/>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25024" xr:uid="{39BB3735-FFCA-4621-AD73-18275A22B0DE}"/>
    <cellStyle name="Normal 4 4 3 2 5 2 2 3" xfId="33458" xr:uid="{1364F555-23BC-414E-A7DA-CEA68B9FDF52}"/>
    <cellStyle name="Normal 4 4 3 2 5 2 2 4" xfId="16586" xr:uid="{15199D5D-E13E-4723-93E1-2DB73CEDB3FD}"/>
    <cellStyle name="Normal 4 4 3 2 5 2 3" xfId="20806" xr:uid="{F5F2922A-B6D4-4D7F-B944-52EF24998BC7}"/>
    <cellStyle name="Normal 4 4 3 2 5 2 4" xfId="29241" xr:uid="{115EAD43-20FF-4B23-87B7-DA53E26B7F46}"/>
    <cellStyle name="Normal 4 4 3 2 5 2 5" xfId="12368" xr:uid="{88FE8F74-790A-4A24-8A1D-09F130CDA073}"/>
    <cellStyle name="Normal 4 4 3 2 5 3" xfId="6002" xr:uid="{00000000-0005-0000-0000-000085150000}"/>
    <cellStyle name="Normal 4 4 3 2 5 3 2" xfId="22879" xr:uid="{1CA92409-290E-4BB1-9620-42C4547B6331}"/>
    <cellStyle name="Normal 4 4 3 2 5 3 3" xfId="31313" xr:uid="{0E2451C6-819B-4D88-8ABC-9E81114860AD}"/>
    <cellStyle name="Normal 4 4 3 2 5 3 4" xfId="14441" xr:uid="{A012249B-8C7A-4D67-B06C-9D76640D35B3}"/>
    <cellStyle name="Normal 4 4 3 2 5 4" xfId="18661" xr:uid="{4B591ECF-B583-45E4-9C49-CE93E0562532}"/>
    <cellStyle name="Normal 4 4 3 2 5 5" xfId="27096" xr:uid="{5FF760A3-5320-4AA2-9E39-6153D1A61E13}"/>
    <cellStyle name="Normal 4 4 3 2 5 6" xfId="10223" xr:uid="{919FC4DE-35A9-4B31-900D-409170501C1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25437" xr:uid="{E51978FF-9DD7-4B2D-A0CF-9ABD2BC6D85F}"/>
    <cellStyle name="Normal 4 4 3 2 6 2 2 3" xfId="33871" xr:uid="{465C021E-6B8C-4399-BACE-4F70C7803D15}"/>
    <cellStyle name="Normal 4 4 3 2 6 2 2 4" xfId="16999" xr:uid="{4AA524E9-CAB3-4ACE-9C9E-30CEB5589BC8}"/>
    <cellStyle name="Normal 4 4 3 2 6 2 3" xfId="21219" xr:uid="{457A61CE-CD49-4073-A2EC-38D8D7BF4F01}"/>
    <cellStyle name="Normal 4 4 3 2 6 2 4" xfId="29654" xr:uid="{1D7EB5CB-C954-4100-8B11-30AC5708BCD1}"/>
    <cellStyle name="Normal 4 4 3 2 6 2 5" xfId="12781" xr:uid="{E72AFE69-2970-4943-B6F1-B541589207B0}"/>
    <cellStyle name="Normal 4 4 3 2 6 3" xfId="6415" xr:uid="{00000000-0005-0000-0000-000089150000}"/>
    <cellStyle name="Normal 4 4 3 2 6 3 2" xfId="23292" xr:uid="{CAE8D7B3-5DE9-45D7-B3EE-4540EFC863C1}"/>
    <cellStyle name="Normal 4 4 3 2 6 3 3" xfId="31726" xr:uid="{701380CE-768B-41E9-BEF8-B759C52D5F5D}"/>
    <cellStyle name="Normal 4 4 3 2 6 3 4" xfId="14854" xr:uid="{C46D2F9B-812E-4F8C-A762-CAF18116B4ED}"/>
    <cellStyle name="Normal 4 4 3 2 6 4" xfId="19074" xr:uid="{33503C7E-744E-409D-B337-3AD1C3D703C7}"/>
    <cellStyle name="Normal 4 4 3 2 6 5" xfId="27509" xr:uid="{AC7EAD10-A28F-4820-9562-F07620384992}"/>
    <cellStyle name="Normal 4 4 3 2 6 6" xfId="10636" xr:uid="{BE6C3BED-C68C-4370-9F45-25CFCBBB9BA2}"/>
    <cellStyle name="Normal 4 4 3 2 7" xfId="2544" xr:uid="{00000000-0005-0000-0000-00008A150000}"/>
    <cellStyle name="Normal 4 4 3 2 7 2" xfId="6828" xr:uid="{00000000-0005-0000-0000-00008B150000}"/>
    <cellStyle name="Normal 4 4 3 2 7 2 2" xfId="23705" xr:uid="{186F810F-BAA5-475E-9465-9997A73DCC77}"/>
    <cellStyle name="Normal 4 4 3 2 7 2 3" xfId="32139" xr:uid="{997E60DC-9567-4014-8DE3-24A969D77DF0}"/>
    <cellStyle name="Normal 4 4 3 2 7 2 4" xfId="15267" xr:uid="{4D8CC8A5-1A23-4A22-9873-48BAB6923B18}"/>
    <cellStyle name="Normal 4 4 3 2 7 3" xfId="19487" xr:uid="{7275A9A6-E160-4D6F-B1BA-3986422E30C4}"/>
    <cellStyle name="Normal 4 4 3 2 7 4" xfId="27922" xr:uid="{D07BE40F-E968-4C60-BF0D-EC7D4C4E8350}"/>
    <cellStyle name="Normal 4 4 3 2 7 5" xfId="11049" xr:uid="{F9D65EFB-7910-4286-B5FF-41ACE222B92C}"/>
    <cellStyle name="Normal 4 4 3 2 8" xfId="4763" xr:uid="{00000000-0005-0000-0000-00008C150000}"/>
    <cellStyle name="Normal 4 4 3 2 8 2" xfId="21640" xr:uid="{51B3968A-A564-4DB9-9B6F-7FF4159AD52C}"/>
    <cellStyle name="Normal 4 4 3 2 8 3" xfId="30074" xr:uid="{5AC0DA72-BC4B-47DE-8291-49EDDA8FAEDD}"/>
    <cellStyle name="Normal 4 4 3 2 8 4" xfId="13202" xr:uid="{2504E88B-7BBB-4A89-BCA4-54B7F4E2C3CE}"/>
    <cellStyle name="Normal 4 4 3 2 9" xfId="17422" xr:uid="{A8B83552-2638-4E2B-A300-0F8A1F1258A5}"/>
    <cellStyle name="Normal 4 4 3 3" xfId="390" xr:uid="{00000000-0005-0000-0000-00008D150000}"/>
    <cellStyle name="Normal 4 4 3 3 10" xfId="8986" xr:uid="{CDFC96CB-BBF0-4577-A83F-DA1A360EA00E}"/>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24200" xr:uid="{35B00816-4B19-49CA-B08D-C66A43D7BA21}"/>
    <cellStyle name="Normal 4 4 3 3 2 2 2 3" xfId="32634" xr:uid="{0546EEFB-1B40-4789-A694-0287EFCFADDF}"/>
    <cellStyle name="Normal 4 4 3 3 2 2 2 4" xfId="15762" xr:uid="{D257F000-FDFE-4C43-B3B0-07DF9B5DF551}"/>
    <cellStyle name="Normal 4 4 3 3 2 2 3" xfId="19982" xr:uid="{F98A08F7-31BA-4924-B3C5-8E0881034249}"/>
    <cellStyle name="Normal 4 4 3 3 2 2 4" xfId="28417" xr:uid="{46BC0920-0217-40F4-989A-CAD1B4513E28}"/>
    <cellStyle name="Normal 4 4 3 3 2 2 5" xfId="11544" xr:uid="{0062A7C8-BC72-46D3-A18F-AEF02FE0B58B}"/>
    <cellStyle name="Normal 4 4 3 3 2 3" xfId="5178" xr:uid="{00000000-0005-0000-0000-000091150000}"/>
    <cellStyle name="Normal 4 4 3 3 2 3 2" xfId="22055" xr:uid="{6ACE3884-A08D-4AC4-A6D9-13FEFF2D391A}"/>
    <cellStyle name="Normal 4 4 3 3 2 3 3" xfId="30489" xr:uid="{520FAE62-CF36-465D-9AC7-FD435344216A}"/>
    <cellStyle name="Normal 4 4 3 3 2 3 4" xfId="13617" xr:uid="{40C281C1-6E89-4550-81D8-13993E8376C4}"/>
    <cellStyle name="Normal 4 4 3 3 2 4" xfId="17837" xr:uid="{7CB48A02-9D4D-49F4-8C7B-79859A65F42F}"/>
    <cellStyle name="Normal 4 4 3 3 2 5" xfId="26272" xr:uid="{E4B9F0FA-5988-4945-B3C2-16279CE0530A}"/>
    <cellStyle name="Normal 4 4 3 3 2 6" xfId="9399" xr:uid="{AE3B2755-79B1-4062-BCD7-014DFA929CA1}"/>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24613" xr:uid="{28EF30AA-565A-4329-BDE2-2D18E8B93361}"/>
    <cellStyle name="Normal 4 4 3 3 3 2 2 3" xfId="33047" xr:uid="{2235477E-CDD0-47E9-9D90-CBAF3CF29AC4}"/>
    <cellStyle name="Normal 4 4 3 3 3 2 2 4" xfId="16175" xr:uid="{54342C3F-7222-482F-96DE-84D3051A0158}"/>
    <cellStyle name="Normal 4 4 3 3 3 2 3" xfId="20395" xr:uid="{67149AD3-81A2-43E8-AB9B-506508C6B044}"/>
    <cellStyle name="Normal 4 4 3 3 3 2 4" xfId="28830" xr:uid="{C0D48508-ABCB-4BBB-9370-BCF355794F59}"/>
    <cellStyle name="Normal 4 4 3 3 3 2 5" xfId="11957" xr:uid="{D3DE5F32-13B3-48C9-BFC6-A5722E3B1B03}"/>
    <cellStyle name="Normal 4 4 3 3 3 3" xfId="5591" xr:uid="{00000000-0005-0000-0000-000095150000}"/>
    <cellStyle name="Normal 4 4 3 3 3 3 2" xfId="22468" xr:uid="{7501A50B-77AE-48AD-A9BB-2510C542B376}"/>
    <cellStyle name="Normal 4 4 3 3 3 3 3" xfId="30902" xr:uid="{1A80E8D6-B4C0-4517-81F3-7B2F20769F90}"/>
    <cellStyle name="Normal 4 4 3 3 3 3 4" xfId="14030" xr:uid="{123ECE74-C23F-4B2E-BE62-5D25429090D5}"/>
    <cellStyle name="Normal 4 4 3 3 3 4" xfId="18250" xr:uid="{4070711C-5DEC-4D58-A588-8541EECCF2C0}"/>
    <cellStyle name="Normal 4 4 3 3 3 5" xfId="26685" xr:uid="{73951A6B-D799-4615-9246-FC79F410A9A2}"/>
    <cellStyle name="Normal 4 4 3 3 3 6" xfId="9812" xr:uid="{E7051545-1AB1-442A-A78D-5383BFF410C9}"/>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25026" xr:uid="{C0207D93-3CF2-4D72-B5E7-5529F5DEFFFD}"/>
    <cellStyle name="Normal 4 4 3 3 4 2 2 3" xfId="33460" xr:uid="{A502B2B4-C05A-4CC7-B9F9-2596F165C630}"/>
    <cellStyle name="Normal 4 4 3 3 4 2 2 4" xfId="16588" xr:uid="{D28E1029-2C33-4057-959F-69E44AEEED4D}"/>
    <cellStyle name="Normal 4 4 3 3 4 2 3" xfId="20808" xr:uid="{3F27E930-23FE-41E7-982F-AD335B4C9837}"/>
    <cellStyle name="Normal 4 4 3 3 4 2 4" xfId="29243" xr:uid="{D453B122-280B-4395-A169-7C356853B76F}"/>
    <cellStyle name="Normal 4 4 3 3 4 2 5" xfId="12370" xr:uid="{B5D76734-0110-45B0-86E2-D33BD486064A}"/>
    <cellStyle name="Normal 4 4 3 3 4 3" xfId="6004" xr:uid="{00000000-0005-0000-0000-000099150000}"/>
    <cellStyle name="Normal 4 4 3 3 4 3 2" xfId="22881" xr:uid="{A122ED8A-2C83-48F8-84BC-A3740FDEE8E2}"/>
    <cellStyle name="Normal 4 4 3 3 4 3 3" xfId="31315" xr:uid="{6F77DB22-D4C0-46E0-A2A6-27F317A2F33D}"/>
    <cellStyle name="Normal 4 4 3 3 4 3 4" xfId="14443" xr:uid="{A6BA393C-3D20-4743-9338-E6BF439744DD}"/>
    <cellStyle name="Normal 4 4 3 3 4 4" xfId="18663" xr:uid="{23AB400C-5145-4729-97FB-CB59242B2C13}"/>
    <cellStyle name="Normal 4 4 3 3 4 5" xfId="27098" xr:uid="{4BE7F421-9654-4569-AD1F-01155E46C44C}"/>
    <cellStyle name="Normal 4 4 3 3 4 6" xfId="10225" xr:uid="{B0915E1C-19F9-431A-8CB9-E2C8DDE0ADD8}"/>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25439" xr:uid="{3976A386-254D-4407-947D-AEFCF69944BD}"/>
    <cellStyle name="Normal 4 4 3 3 5 2 2 3" xfId="33873" xr:uid="{C833B11D-35B6-4F80-8806-648B8869126A}"/>
    <cellStyle name="Normal 4 4 3 3 5 2 2 4" xfId="17001" xr:uid="{70669233-3963-40A7-A3BC-9739964093AD}"/>
    <cellStyle name="Normal 4 4 3 3 5 2 3" xfId="21221" xr:uid="{58CF0825-230A-4277-B8F9-AA6B82F356F0}"/>
    <cellStyle name="Normal 4 4 3 3 5 2 4" xfId="29656" xr:uid="{0F613427-2609-4B0F-A5A0-96496E50E383}"/>
    <cellStyle name="Normal 4 4 3 3 5 2 5" xfId="12783" xr:uid="{CCF0BB15-C292-43F4-B76D-3BEE58BF4194}"/>
    <cellStyle name="Normal 4 4 3 3 5 3" xfId="6417" xr:uid="{00000000-0005-0000-0000-00009D150000}"/>
    <cellStyle name="Normal 4 4 3 3 5 3 2" xfId="23294" xr:uid="{960A9738-D3F3-49CA-ABBD-A9F4E05342A4}"/>
    <cellStyle name="Normal 4 4 3 3 5 3 3" xfId="31728" xr:uid="{3605C3A5-644B-47DB-B153-35DCCDF049A4}"/>
    <cellStyle name="Normal 4 4 3 3 5 3 4" xfId="14856" xr:uid="{F5FF869D-47E6-4E14-BACE-56D4183017CC}"/>
    <cellStyle name="Normal 4 4 3 3 5 4" xfId="19076" xr:uid="{D0AB7BBC-75F3-4A08-A22E-1FE8BB8A39FD}"/>
    <cellStyle name="Normal 4 4 3 3 5 5" xfId="27511" xr:uid="{00018729-9116-4EFF-AD1F-918B82C193D7}"/>
    <cellStyle name="Normal 4 4 3 3 5 6" xfId="10638" xr:uid="{6BC44659-7124-43F2-8B87-9BCA210161F5}"/>
    <cellStyle name="Normal 4 4 3 3 6" xfId="2546" xr:uid="{00000000-0005-0000-0000-00009E150000}"/>
    <cellStyle name="Normal 4 4 3 3 6 2" xfId="6830" xr:uid="{00000000-0005-0000-0000-00009F150000}"/>
    <cellStyle name="Normal 4 4 3 3 6 2 2" xfId="23707" xr:uid="{CA5ABB55-E28E-4A05-8955-5B35D013E7D9}"/>
    <cellStyle name="Normal 4 4 3 3 6 2 3" xfId="32141" xr:uid="{187BF958-1AF7-4637-9324-A78973404E63}"/>
    <cellStyle name="Normal 4 4 3 3 6 2 4" xfId="15269" xr:uid="{A9BB30D5-3DDC-4944-B42C-80B34C067ADE}"/>
    <cellStyle name="Normal 4 4 3 3 6 3" xfId="19489" xr:uid="{4C480F48-B864-4392-B785-9BEF338AF7EB}"/>
    <cellStyle name="Normal 4 4 3 3 6 4" xfId="27924" xr:uid="{A1E55755-2147-44C4-9C2E-282ECCF8DF34}"/>
    <cellStyle name="Normal 4 4 3 3 6 5" xfId="11051" xr:uid="{C278188F-8A51-4708-A7AA-536D32EE3959}"/>
    <cellStyle name="Normal 4 4 3 3 7" xfId="4765" xr:uid="{00000000-0005-0000-0000-0000A0150000}"/>
    <cellStyle name="Normal 4 4 3 3 7 2" xfId="21642" xr:uid="{80805453-5B68-42B5-9C7D-1078556BFD06}"/>
    <cellStyle name="Normal 4 4 3 3 7 3" xfId="30076" xr:uid="{B8D2878A-B3E6-482A-8D69-9FD506565411}"/>
    <cellStyle name="Normal 4 4 3 3 7 4" xfId="13204" xr:uid="{AD9AB403-327A-422C-B280-2211F1DEC909}"/>
    <cellStyle name="Normal 4 4 3 3 8" xfId="17424" xr:uid="{6821DBF1-9E77-4B39-971F-5F653E415BB5}"/>
    <cellStyle name="Normal 4 4 3 3 9" xfId="25859" xr:uid="{F1BC3C7D-2B76-450D-AA41-0726F085A829}"/>
    <cellStyle name="Normal 4 4 3 4" xfId="862" xr:uid="{00000000-0005-0000-0000-0000A1150000}"/>
    <cellStyle name="Normal 4 4 3 4 2" xfId="3097" xr:uid="{00000000-0005-0000-0000-0000A2150000}"/>
    <cellStyle name="Normal 4 4 3 4 2 2" xfId="7320" xr:uid="{00000000-0005-0000-0000-0000A3150000}"/>
    <cellStyle name="Normal 4 4 3 4 2 2 2" xfId="24197" xr:uid="{4ACBE420-072D-4BDC-92E3-52C3CA816FB7}"/>
    <cellStyle name="Normal 4 4 3 4 2 2 3" xfId="32631" xr:uid="{839ED215-8EF7-4B6A-AB29-B67B81B1AC26}"/>
    <cellStyle name="Normal 4 4 3 4 2 2 4" xfId="15759" xr:uid="{4323999C-C133-4129-BEA4-0E6E88C74731}"/>
    <cellStyle name="Normal 4 4 3 4 2 3" xfId="19979" xr:uid="{964BB748-58C2-45CE-A2EB-62295851843E}"/>
    <cellStyle name="Normal 4 4 3 4 2 4" xfId="28414" xr:uid="{B32E0A8D-85A7-4431-8540-888DACB05CD8}"/>
    <cellStyle name="Normal 4 4 3 4 2 5" xfId="11541" xr:uid="{ADA9EFB3-974A-47E7-A534-3690A1DF83B4}"/>
    <cellStyle name="Normal 4 4 3 4 3" xfId="5175" xr:uid="{00000000-0005-0000-0000-0000A4150000}"/>
    <cellStyle name="Normal 4 4 3 4 3 2" xfId="22052" xr:uid="{31FBB6B2-2D7B-4B45-8568-30B96C78632B}"/>
    <cellStyle name="Normal 4 4 3 4 3 3" xfId="30486" xr:uid="{97BC8085-87E2-4185-B0AD-9B27C9F377F2}"/>
    <cellStyle name="Normal 4 4 3 4 3 4" xfId="13614" xr:uid="{E50EDCB3-2B60-4744-830D-C3130B69AA92}"/>
    <cellStyle name="Normal 4 4 3 4 4" xfId="17834" xr:uid="{BBA6FEDF-9E05-430E-9BE7-34495FB4B7F3}"/>
    <cellStyle name="Normal 4 4 3 4 5" xfId="26269" xr:uid="{46060C4C-EA8C-46E0-9E91-ECA4F7F5B27F}"/>
    <cellStyle name="Normal 4 4 3 4 6" xfId="9396" xr:uid="{9C1F9FA6-1934-449A-B4C0-C100E46F23FA}"/>
    <cellStyle name="Normal 4 4 3 5" xfId="1280" xr:uid="{00000000-0005-0000-0000-0000A5150000}"/>
    <cellStyle name="Normal 4 4 3 5 2" xfId="3510" xr:uid="{00000000-0005-0000-0000-0000A6150000}"/>
    <cellStyle name="Normal 4 4 3 5 2 2" xfId="7733" xr:uid="{00000000-0005-0000-0000-0000A7150000}"/>
    <cellStyle name="Normal 4 4 3 5 2 2 2" xfId="24610" xr:uid="{91198CA4-6668-403D-886C-A08EADD25FBE}"/>
    <cellStyle name="Normal 4 4 3 5 2 2 3" xfId="33044" xr:uid="{72D0C70D-A571-4E3E-BA17-ADECF1CCA678}"/>
    <cellStyle name="Normal 4 4 3 5 2 2 4" xfId="16172" xr:uid="{241A86D5-ECB9-480D-975A-BA87C2A95365}"/>
    <cellStyle name="Normal 4 4 3 5 2 3" xfId="20392" xr:uid="{E2C3924C-9A9F-48E8-8B84-984CEE1B22EC}"/>
    <cellStyle name="Normal 4 4 3 5 2 4" xfId="28827" xr:uid="{25A157AF-ABD8-476C-B1D4-D8EB26B379C6}"/>
    <cellStyle name="Normal 4 4 3 5 2 5" xfId="11954" xr:uid="{4D1A6FF1-8F15-4079-86F4-42BBD24E90C7}"/>
    <cellStyle name="Normal 4 4 3 5 3" xfId="5588" xr:uid="{00000000-0005-0000-0000-0000A8150000}"/>
    <cellStyle name="Normal 4 4 3 5 3 2" xfId="22465" xr:uid="{109CEE45-3384-4697-8365-272D20A75338}"/>
    <cellStyle name="Normal 4 4 3 5 3 3" xfId="30899" xr:uid="{B0E2091D-965E-4A88-8AC2-2C5E90D25128}"/>
    <cellStyle name="Normal 4 4 3 5 3 4" xfId="14027" xr:uid="{767DA324-C254-4626-B1B2-1ECA7F5751F0}"/>
    <cellStyle name="Normal 4 4 3 5 4" xfId="18247" xr:uid="{0029A4D0-8E9D-44E3-99B8-8F7072D8BAE0}"/>
    <cellStyle name="Normal 4 4 3 5 5" xfId="26682" xr:uid="{42809DB7-63DC-4175-B62B-7F0DC530536D}"/>
    <cellStyle name="Normal 4 4 3 5 6" xfId="9809" xr:uid="{39304B37-7F1D-4FFC-AAF7-2696C2FDB35C}"/>
    <cellStyle name="Normal 4 4 3 6" xfId="1693" xr:uid="{00000000-0005-0000-0000-0000A9150000}"/>
    <cellStyle name="Normal 4 4 3 6 2" xfId="3923" xr:uid="{00000000-0005-0000-0000-0000AA150000}"/>
    <cellStyle name="Normal 4 4 3 6 2 2" xfId="8146" xr:uid="{00000000-0005-0000-0000-0000AB150000}"/>
    <cellStyle name="Normal 4 4 3 6 2 2 2" xfId="25023" xr:uid="{80A062F3-C316-4075-98F2-AD6B08B469AD}"/>
    <cellStyle name="Normal 4 4 3 6 2 2 3" xfId="33457" xr:uid="{D30909D3-7946-44F9-BC9A-4F796BB6959D}"/>
    <cellStyle name="Normal 4 4 3 6 2 2 4" xfId="16585" xr:uid="{C8102E51-E056-45C1-8E03-37607CA9BD1D}"/>
    <cellStyle name="Normal 4 4 3 6 2 3" xfId="20805" xr:uid="{9FCE24DA-B04D-41E3-B800-F915F07D09A3}"/>
    <cellStyle name="Normal 4 4 3 6 2 4" xfId="29240" xr:uid="{A5BB721D-BEBF-43FE-B677-2F312CB49B4A}"/>
    <cellStyle name="Normal 4 4 3 6 2 5" xfId="12367" xr:uid="{A0527000-4FBE-42AB-8028-169A1A7655F3}"/>
    <cellStyle name="Normal 4 4 3 6 3" xfId="6001" xr:uid="{00000000-0005-0000-0000-0000AC150000}"/>
    <cellStyle name="Normal 4 4 3 6 3 2" xfId="22878" xr:uid="{36912B0D-4B84-495E-A102-68D7E2AD30A9}"/>
    <cellStyle name="Normal 4 4 3 6 3 3" xfId="31312" xr:uid="{B60E51BB-99BD-46F0-8196-F941A5370F97}"/>
    <cellStyle name="Normal 4 4 3 6 3 4" xfId="14440" xr:uid="{6D98651E-7376-486D-8CFD-D031883811EB}"/>
    <cellStyle name="Normal 4 4 3 6 4" xfId="18660" xr:uid="{E67F22E5-FEF2-44D5-9A50-CCA335F0297B}"/>
    <cellStyle name="Normal 4 4 3 6 5" xfId="27095" xr:uid="{F88FF1CB-FF5E-48C1-94EA-782118819C4E}"/>
    <cellStyle name="Normal 4 4 3 6 6" xfId="10222" xr:uid="{0E61475F-9789-4A97-94CD-785B077B14E9}"/>
    <cellStyle name="Normal 4 4 3 7" xfId="2107" xr:uid="{00000000-0005-0000-0000-0000AD150000}"/>
    <cellStyle name="Normal 4 4 3 7 2" xfId="4336" xr:uid="{00000000-0005-0000-0000-0000AE150000}"/>
    <cellStyle name="Normal 4 4 3 7 2 2" xfId="8559" xr:uid="{00000000-0005-0000-0000-0000AF150000}"/>
    <cellStyle name="Normal 4 4 3 7 2 2 2" xfId="25436" xr:uid="{B38D1D9B-8138-49CB-A551-613331E0188A}"/>
    <cellStyle name="Normal 4 4 3 7 2 2 3" xfId="33870" xr:uid="{3CDF7E53-3D03-4129-BBE0-6890C4564EDB}"/>
    <cellStyle name="Normal 4 4 3 7 2 2 4" xfId="16998" xr:uid="{FDC99F74-2116-4876-A9A8-C8BC04341DEC}"/>
    <cellStyle name="Normal 4 4 3 7 2 3" xfId="21218" xr:uid="{0A92BA5B-923C-473F-9C5D-D133195CB3A2}"/>
    <cellStyle name="Normal 4 4 3 7 2 4" xfId="29653" xr:uid="{58D81586-F651-40E5-BA1C-79A92F972282}"/>
    <cellStyle name="Normal 4 4 3 7 2 5" xfId="12780" xr:uid="{81ED0F71-8042-464D-83A0-9917D5FB3F1E}"/>
    <cellStyle name="Normal 4 4 3 7 3" xfId="6414" xr:uid="{00000000-0005-0000-0000-0000B0150000}"/>
    <cellStyle name="Normal 4 4 3 7 3 2" xfId="23291" xr:uid="{7E44C24A-EAC4-4D2D-9402-63D9A78EC7E2}"/>
    <cellStyle name="Normal 4 4 3 7 3 3" xfId="31725" xr:uid="{5FF739F8-4465-4F0E-9974-51D7EFBF7AAC}"/>
    <cellStyle name="Normal 4 4 3 7 3 4" xfId="14853" xr:uid="{F48AA716-9CFB-4AC3-8FB4-1AA0C362AE7E}"/>
    <cellStyle name="Normal 4 4 3 7 4" xfId="19073" xr:uid="{90B6DDE6-0E36-41FD-8B80-9FA80CCFD066}"/>
    <cellStyle name="Normal 4 4 3 7 5" xfId="27508" xr:uid="{34607F82-8CA4-4842-9941-40CE49B50164}"/>
    <cellStyle name="Normal 4 4 3 7 6" xfId="10635" xr:uid="{E6063E87-0EE5-46AB-8B5B-EDF7D30D0C98}"/>
    <cellStyle name="Normal 4 4 3 8" xfId="2543" xr:uid="{00000000-0005-0000-0000-0000B1150000}"/>
    <cellStyle name="Normal 4 4 3 8 2" xfId="6827" xr:uid="{00000000-0005-0000-0000-0000B2150000}"/>
    <cellStyle name="Normal 4 4 3 8 2 2" xfId="23704" xr:uid="{6A95FE63-1C0D-4098-9C9D-38DB2766FE1F}"/>
    <cellStyle name="Normal 4 4 3 8 2 3" xfId="32138" xr:uid="{961E0A96-1E3E-4061-81FB-B848BE9E6765}"/>
    <cellStyle name="Normal 4 4 3 8 2 4" xfId="15266" xr:uid="{0A298C2A-8A10-4178-9254-B6D35788EA7B}"/>
    <cellStyle name="Normal 4 4 3 8 3" xfId="19486" xr:uid="{D21C3B3E-C6D8-4391-9470-2BDF29AC6A39}"/>
    <cellStyle name="Normal 4 4 3 8 4" xfId="27921" xr:uid="{E80F337A-B464-4A77-B075-FFEC38110CAC}"/>
    <cellStyle name="Normal 4 4 3 8 5" xfId="11048" xr:uid="{32656A8F-96C3-4029-87AE-421E90548B6E}"/>
    <cellStyle name="Normal 4 4 3 9" xfId="4762" xr:uid="{00000000-0005-0000-0000-0000B3150000}"/>
    <cellStyle name="Normal 4 4 3 9 2" xfId="21639" xr:uid="{D958EE5F-4A0C-4F18-818E-9AF3A4F7F765}"/>
    <cellStyle name="Normal 4 4 3 9 3" xfId="30073" xr:uid="{7E1FC3F3-B41D-4CF4-8B3C-F3545F09911D}"/>
    <cellStyle name="Normal 4 4 3 9 4" xfId="13201" xr:uid="{E924AFE9-EA81-4C44-B187-D53102010E69}"/>
    <cellStyle name="Normal 4 4 4" xfId="391" xr:uid="{00000000-0005-0000-0000-0000B4150000}"/>
    <cellStyle name="Normal 4 4 4 10" xfId="25860" xr:uid="{976C59C1-A5CC-42F1-8544-96FB9F963F19}"/>
    <cellStyle name="Normal 4 4 4 11" xfId="8987" xr:uid="{C07AC7DF-F2F7-46A3-992F-27D53AFAF521}"/>
    <cellStyle name="Normal 4 4 4 2" xfId="392" xr:uid="{00000000-0005-0000-0000-0000B5150000}"/>
    <cellStyle name="Normal 4 4 4 2 10" xfId="8988" xr:uid="{EB106A5F-149E-4DDB-B901-6B24F2866A42}"/>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24202" xr:uid="{1C76DBEE-A1EC-4F49-B86E-B198D4FF7F7D}"/>
    <cellStyle name="Normal 4 4 4 2 2 2 2 3" xfId="32636" xr:uid="{F42F09E9-5C11-41DC-88C1-D100B53EE40C}"/>
    <cellStyle name="Normal 4 4 4 2 2 2 2 4" xfId="15764" xr:uid="{B4F0E9B7-6F36-4FAF-9C9A-A6F2A20B0120}"/>
    <cellStyle name="Normal 4 4 4 2 2 2 3" xfId="19984" xr:uid="{31503F43-D645-4E0F-8410-2F04EF4BBD60}"/>
    <cellStyle name="Normal 4 4 4 2 2 2 4" xfId="28419" xr:uid="{E3EBC287-67BD-444A-9347-0DE925BF667F}"/>
    <cellStyle name="Normal 4 4 4 2 2 2 5" xfId="11546" xr:uid="{7727C466-DD37-4380-81E1-9F16DFA012FE}"/>
    <cellStyle name="Normal 4 4 4 2 2 3" xfId="5180" xr:uid="{00000000-0005-0000-0000-0000B9150000}"/>
    <cellStyle name="Normal 4 4 4 2 2 3 2" xfId="22057" xr:uid="{F0C9CF5B-DAB7-453E-995B-864EF21CE28E}"/>
    <cellStyle name="Normal 4 4 4 2 2 3 3" xfId="30491" xr:uid="{0313F02B-0C21-46E7-9FF4-644993548291}"/>
    <cellStyle name="Normal 4 4 4 2 2 3 4" xfId="13619" xr:uid="{CD66B8C0-01D2-497F-B983-BB307A8F1EF1}"/>
    <cellStyle name="Normal 4 4 4 2 2 4" xfId="17839" xr:uid="{F7492735-481A-49E1-A95F-08A06894CC3B}"/>
    <cellStyle name="Normal 4 4 4 2 2 5" xfId="26274" xr:uid="{E79DBE79-DA14-4E70-9007-4BE82F95A879}"/>
    <cellStyle name="Normal 4 4 4 2 2 6" xfId="9401" xr:uid="{B7A4390F-0953-417F-83D6-210D06CFB69E}"/>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24615" xr:uid="{E42EAB2D-AA0E-4F8B-B09A-C48C68E2AF2B}"/>
    <cellStyle name="Normal 4 4 4 2 3 2 2 3" xfId="33049" xr:uid="{1B741A0C-BF3B-404F-B08C-EF7A13958ADD}"/>
    <cellStyle name="Normal 4 4 4 2 3 2 2 4" xfId="16177" xr:uid="{D9E748D5-B801-430C-B9A7-56C2DDBE0615}"/>
    <cellStyle name="Normal 4 4 4 2 3 2 3" xfId="20397" xr:uid="{C02331C9-0B20-4172-811C-221586FCD818}"/>
    <cellStyle name="Normal 4 4 4 2 3 2 4" xfId="28832" xr:uid="{DE3C35FC-DDEC-4E46-A84A-941B8FA6EF59}"/>
    <cellStyle name="Normal 4 4 4 2 3 2 5" xfId="11959" xr:uid="{0D0C1C32-1F86-4D2E-ADF6-795FE493342E}"/>
    <cellStyle name="Normal 4 4 4 2 3 3" xfId="5593" xr:uid="{00000000-0005-0000-0000-0000BD150000}"/>
    <cellStyle name="Normal 4 4 4 2 3 3 2" xfId="22470" xr:uid="{09616E37-640B-4BCF-BC72-3C0E54326821}"/>
    <cellStyle name="Normal 4 4 4 2 3 3 3" xfId="30904" xr:uid="{E9B8E65F-ADF1-4844-B069-17BDFDFE9ED5}"/>
    <cellStyle name="Normal 4 4 4 2 3 3 4" xfId="14032" xr:uid="{1AB72D32-A11E-418C-80A1-3AB4821683B2}"/>
    <cellStyle name="Normal 4 4 4 2 3 4" xfId="18252" xr:uid="{E062B9E3-7AE5-4224-B508-00364F3DEDEE}"/>
    <cellStyle name="Normal 4 4 4 2 3 5" xfId="26687" xr:uid="{587164B8-8C6E-4296-A2CC-3C92847F77A0}"/>
    <cellStyle name="Normal 4 4 4 2 3 6" xfId="9814" xr:uid="{54C1C6E6-294C-4C19-8BBC-22E057F6CEEE}"/>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25028" xr:uid="{B1633481-16E3-4C7F-90E9-0200FE3FCB28}"/>
    <cellStyle name="Normal 4 4 4 2 4 2 2 3" xfId="33462" xr:uid="{7C8745FF-7312-4DC7-AC3B-068FC16BE579}"/>
    <cellStyle name="Normal 4 4 4 2 4 2 2 4" xfId="16590" xr:uid="{01C161CE-564A-4E44-A4F0-655357B21185}"/>
    <cellStyle name="Normal 4 4 4 2 4 2 3" xfId="20810" xr:uid="{23A098D3-6F3D-4C9C-90C4-754618E96461}"/>
    <cellStyle name="Normal 4 4 4 2 4 2 4" xfId="29245" xr:uid="{771AC6D8-294E-4A4A-8DD5-48E25A6E1CA8}"/>
    <cellStyle name="Normal 4 4 4 2 4 2 5" xfId="12372" xr:uid="{962A7EF7-F322-47E7-B55E-04E59AB50B58}"/>
    <cellStyle name="Normal 4 4 4 2 4 3" xfId="6006" xr:uid="{00000000-0005-0000-0000-0000C1150000}"/>
    <cellStyle name="Normal 4 4 4 2 4 3 2" xfId="22883" xr:uid="{FC71A7FC-FFE3-4AFC-A4E3-48B0A1962DA6}"/>
    <cellStyle name="Normal 4 4 4 2 4 3 3" xfId="31317" xr:uid="{5FC4E5F8-AFE9-4266-A63B-38A0C1681EC4}"/>
    <cellStyle name="Normal 4 4 4 2 4 3 4" xfId="14445" xr:uid="{41D1D420-E8AD-4D4F-AEBD-1323660E99B8}"/>
    <cellStyle name="Normal 4 4 4 2 4 4" xfId="18665" xr:uid="{F89966EB-6B2D-4BCF-AD40-1873E6092A8C}"/>
    <cellStyle name="Normal 4 4 4 2 4 5" xfId="27100" xr:uid="{BB982079-CAA7-4C02-886B-4CCF43FBDDE0}"/>
    <cellStyle name="Normal 4 4 4 2 4 6" xfId="10227" xr:uid="{3EC9F16E-D229-4793-8D7A-B2FE55C0CE0A}"/>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25441" xr:uid="{4114D92F-99A1-449A-A31E-82974DCCB429}"/>
    <cellStyle name="Normal 4 4 4 2 5 2 2 3" xfId="33875" xr:uid="{3D0177C3-5192-4FF9-B613-8E8BDEA19051}"/>
    <cellStyle name="Normal 4 4 4 2 5 2 2 4" xfId="17003" xr:uid="{434BD384-8C78-4B29-9FE5-89000BEFAD4B}"/>
    <cellStyle name="Normal 4 4 4 2 5 2 3" xfId="21223" xr:uid="{32555EE0-ACAD-4FC3-8AE5-FAC8415D54D5}"/>
    <cellStyle name="Normal 4 4 4 2 5 2 4" xfId="29658" xr:uid="{77906A42-F342-4A2D-8039-C4C387C7BA2C}"/>
    <cellStyle name="Normal 4 4 4 2 5 2 5" xfId="12785" xr:uid="{36DA5249-0446-444D-84F7-641378530D18}"/>
    <cellStyle name="Normal 4 4 4 2 5 3" xfId="6419" xr:uid="{00000000-0005-0000-0000-0000C5150000}"/>
    <cellStyle name="Normal 4 4 4 2 5 3 2" xfId="23296" xr:uid="{962496C6-6DBB-4688-8EB1-318994875002}"/>
    <cellStyle name="Normal 4 4 4 2 5 3 3" xfId="31730" xr:uid="{40DA9FC7-DB23-459A-B465-9B011C327E6C}"/>
    <cellStyle name="Normal 4 4 4 2 5 3 4" xfId="14858" xr:uid="{102C0BB0-40A8-4D83-8549-599FA0EFE30E}"/>
    <cellStyle name="Normal 4 4 4 2 5 4" xfId="19078" xr:uid="{A2174808-22FF-41BB-98B2-0C8BA6EECF85}"/>
    <cellStyle name="Normal 4 4 4 2 5 5" xfId="27513" xr:uid="{EA0FDA6C-DDA3-454B-9E6A-AAF0BAA7E0F7}"/>
    <cellStyle name="Normal 4 4 4 2 5 6" xfId="10640" xr:uid="{E17E5F55-47FB-4742-AB03-AA5463DFA05D}"/>
    <cellStyle name="Normal 4 4 4 2 6" xfId="2548" xr:uid="{00000000-0005-0000-0000-0000C6150000}"/>
    <cellStyle name="Normal 4 4 4 2 6 2" xfId="6832" xr:uid="{00000000-0005-0000-0000-0000C7150000}"/>
    <cellStyle name="Normal 4 4 4 2 6 2 2" xfId="23709" xr:uid="{37D3D66F-35EC-459F-819E-0D475A332861}"/>
    <cellStyle name="Normal 4 4 4 2 6 2 3" xfId="32143" xr:uid="{FA1D5505-6AC7-4EBD-88DE-F19061139844}"/>
    <cellStyle name="Normal 4 4 4 2 6 2 4" xfId="15271" xr:uid="{F6E091E3-7ECF-4795-8908-828E23F6481D}"/>
    <cellStyle name="Normal 4 4 4 2 6 3" xfId="19491" xr:uid="{F706453C-BA57-4068-B8CA-70EE7242A41E}"/>
    <cellStyle name="Normal 4 4 4 2 6 4" xfId="27926" xr:uid="{5D0B730D-B7C7-41A4-9F81-28E09F1F22F9}"/>
    <cellStyle name="Normal 4 4 4 2 6 5" xfId="11053" xr:uid="{1D90B407-B07F-44CF-9905-5909AB6896B8}"/>
    <cellStyle name="Normal 4 4 4 2 7" xfId="4767" xr:uid="{00000000-0005-0000-0000-0000C8150000}"/>
    <cellStyle name="Normal 4 4 4 2 7 2" xfId="21644" xr:uid="{1C39C3E8-9FCE-46C8-872C-271DCE77CDB2}"/>
    <cellStyle name="Normal 4 4 4 2 7 3" xfId="30078" xr:uid="{95C4160A-175B-4A97-B2A8-655D3736B0AF}"/>
    <cellStyle name="Normal 4 4 4 2 7 4" xfId="13206" xr:uid="{F2AB8EF3-90C4-46B1-8C6F-C150179C9470}"/>
    <cellStyle name="Normal 4 4 4 2 8" xfId="17426" xr:uid="{F586BE7D-1095-469A-AB97-CD5BD6B97A76}"/>
    <cellStyle name="Normal 4 4 4 2 9" xfId="25861" xr:uid="{A13689BD-6B23-498A-8D0E-C91FE5168D99}"/>
    <cellStyle name="Normal 4 4 4 3" xfId="866" xr:uid="{00000000-0005-0000-0000-0000C9150000}"/>
    <cellStyle name="Normal 4 4 4 3 2" xfId="3101" xr:uid="{00000000-0005-0000-0000-0000CA150000}"/>
    <cellStyle name="Normal 4 4 4 3 2 2" xfId="7324" xr:uid="{00000000-0005-0000-0000-0000CB150000}"/>
    <cellStyle name="Normal 4 4 4 3 2 2 2" xfId="24201" xr:uid="{BD57FDF5-039B-426B-8080-0D3C854A8228}"/>
    <cellStyle name="Normal 4 4 4 3 2 2 3" xfId="32635" xr:uid="{F2CF28C3-1BEB-4904-9037-4A16B544D911}"/>
    <cellStyle name="Normal 4 4 4 3 2 2 4" xfId="15763" xr:uid="{E4CDB8A1-62DB-49A1-99D7-EED45BE70377}"/>
    <cellStyle name="Normal 4 4 4 3 2 3" xfId="19983" xr:uid="{9D172A77-29AA-4BD5-A454-0928287F2046}"/>
    <cellStyle name="Normal 4 4 4 3 2 4" xfId="28418" xr:uid="{3A764112-E4A7-4E55-88E1-D36936E6CF65}"/>
    <cellStyle name="Normal 4 4 4 3 2 5" xfId="11545" xr:uid="{3CE6AF79-1F3F-49B3-B0A1-0CA51CB9203F}"/>
    <cellStyle name="Normal 4 4 4 3 3" xfId="5179" xr:uid="{00000000-0005-0000-0000-0000CC150000}"/>
    <cellStyle name="Normal 4 4 4 3 3 2" xfId="22056" xr:uid="{B57DBAE1-1695-416C-9A6F-6314C4A61DE5}"/>
    <cellStyle name="Normal 4 4 4 3 3 3" xfId="30490" xr:uid="{A7039C55-40CB-4153-8AD7-C7CF57A6F9D1}"/>
    <cellStyle name="Normal 4 4 4 3 3 4" xfId="13618" xr:uid="{88F59F0E-365E-4F30-9F87-4F43063EF5F3}"/>
    <cellStyle name="Normal 4 4 4 3 4" xfId="17838" xr:uid="{6A29DB67-79F0-41E0-9724-0D8A1DDADB6A}"/>
    <cellStyle name="Normal 4 4 4 3 5" xfId="26273" xr:uid="{7DA6A9E7-CB20-4FF7-A35C-313F70FB0169}"/>
    <cellStyle name="Normal 4 4 4 3 6" xfId="9400" xr:uid="{673336EC-7A22-48B6-895F-7D20909261A0}"/>
    <cellStyle name="Normal 4 4 4 4" xfId="1284" xr:uid="{00000000-0005-0000-0000-0000CD150000}"/>
    <cellStyle name="Normal 4 4 4 4 2" xfId="3514" xr:uid="{00000000-0005-0000-0000-0000CE150000}"/>
    <cellStyle name="Normal 4 4 4 4 2 2" xfId="7737" xr:uid="{00000000-0005-0000-0000-0000CF150000}"/>
    <cellStyle name="Normal 4 4 4 4 2 2 2" xfId="24614" xr:uid="{D205E734-EE50-4C71-A00A-EFDA3BA002F4}"/>
    <cellStyle name="Normal 4 4 4 4 2 2 3" xfId="33048" xr:uid="{852C4F89-5CEF-446C-8547-CCBC1D8A592A}"/>
    <cellStyle name="Normal 4 4 4 4 2 2 4" xfId="16176" xr:uid="{EA623B07-4FB8-416C-8A18-1D4E0B23FA4D}"/>
    <cellStyle name="Normal 4 4 4 4 2 3" xfId="20396" xr:uid="{75F3105B-D986-4B78-B394-6AC2D93CEEF6}"/>
    <cellStyle name="Normal 4 4 4 4 2 4" xfId="28831" xr:uid="{C215AAF7-E631-48DF-9052-BB7C5052F82C}"/>
    <cellStyle name="Normal 4 4 4 4 2 5" xfId="11958" xr:uid="{D8BF7FD0-2A1B-4533-B732-56473EFB5487}"/>
    <cellStyle name="Normal 4 4 4 4 3" xfId="5592" xr:uid="{00000000-0005-0000-0000-0000D0150000}"/>
    <cellStyle name="Normal 4 4 4 4 3 2" xfId="22469" xr:uid="{C76CA50D-695C-4455-8A70-4A16DB495023}"/>
    <cellStyle name="Normal 4 4 4 4 3 3" xfId="30903" xr:uid="{E78351AD-5D1F-4354-8B48-B3018CE857C5}"/>
    <cellStyle name="Normal 4 4 4 4 3 4" xfId="14031" xr:uid="{6348CF5E-B509-45A5-8A9D-8F85BE924202}"/>
    <cellStyle name="Normal 4 4 4 4 4" xfId="18251" xr:uid="{635D9DE7-E6FD-4AB2-A092-A3ABDBF77061}"/>
    <cellStyle name="Normal 4 4 4 4 5" xfId="26686" xr:uid="{E7E02A8C-CA83-4690-A433-818788EDA4D8}"/>
    <cellStyle name="Normal 4 4 4 4 6" xfId="9813" xr:uid="{CAD5AE00-F5AD-4BFC-9B65-210BCC9D02F1}"/>
    <cellStyle name="Normal 4 4 4 5" xfId="1697" xr:uid="{00000000-0005-0000-0000-0000D1150000}"/>
    <cellStyle name="Normal 4 4 4 5 2" xfId="3927" xr:uid="{00000000-0005-0000-0000-0000D2150000}"/>
    <cellStyle name="Normal 4 4 4 5 2 2" xfId="8150" xr:uid="{00000000-0005-0000-0000-0000D3150000}"/>
    <cellStyle name="Normal 4 4 4 5 2 2 2" xfId="25027" xr:uid="{AD03116A-09B9-4C10-9BD5-B63C89A4EEE5}"/>
    <cellStyle name="Normal 4 4 4 5 2 2 3" xfId="33461" xr:uid="{42A801EC-CED4-461F-90BE-B19DE2B73793}"/>
    <cellStyle name="Normal 4 4 4 5 2 2 4" xfId="16589" xr:uid="{0142781A-C1F4-48AA-9E72-37E228B7BC36}"/>
    <cellStyle name="Normal 4 4 4 5 2 3" xfId="20809" xr:uid="{F022A0B4-794C-47D8-B257-C47A1A1FC82A}"/>
    <cellStyle name="Normal 4 4 4 5 2 4" xfId="29244" xr:uid="{72109E8A-B681-49CE-B94B-314DB0A0A295}"/>
    <cellStyle name="Normal 4 4 4 5 2 5" xfId="12371" xr:uid="{885482B8-7C24-4207-94BB-445FC7AAFCF5}"/>
    <cellStyle name="Normal 4 4 4 5 3" xfId="6005" xr:uid="{00000000-0005-0000-0000-0000D4150000}"/>
    <cellStyle name="Normal 4 4 4 5 3 2" xfId="22882" xr:uid="{F0A1F613-FC5C-42CE-A3D1-AD1C82FF0C76}"/>
    <cellStyle name="Normal 4 4 4 5 3 3" xfId="31316" xr:uid="{3221A02D-28F4-4631-BFF8-B4F78EE12462}"/>
    <cellStyle name="Normal 4 4 4 5 3 4" xfId="14444" xr:uid="{265B45D1-9238-4093-BD60-4D4297DC3AD1}"/>
    <cellStyle name="Normal 4 4 4 5 4" xfId="18664" xr:uid="{79DFBF4C-A56A-471C-A538-9AA999684591}"/>
    <cellStyle name="Normal 4 4 4 5 5" xfId="27099" xr:uid="{3F0A9D41-E9A8-4D58-8A2E-C0BCF02043B1}"/>
    <cellStyle name="Normal 4 4 4 5 6" xfId="10226" xr:uid="{477CA93C-486C-4001-89ED-AB8470ADAF47}"/>
    <cellStyle name="Normal 4 4 4 6" xfId="2111" xr:uid="{00000000-0005-0000-0000-0000D5150000}"/>
    <cellStyle name="Normal 4 4 4 6 2" xfId="4340" xr:uid="{00000000-0005-0000-0000-0000D6150000}"/>
    <cellStyle name="Normal 4 4 4 6 2 2" xfId="8563" xr:uid="{00000000-0005-0000-0000-0000D7150000}"/>
    <cellStyle name="Normal 4 4 4 6 2 2 2" xfId="25440" xr:uid="{A2746579-AFA3-4F32-965F-D266B8D7DE90}"/>
    <cellStyle name="Normal 4 4 4 6 2 2 3" xfId="33874" xr:uid="{2D46B4F9-0046-4665-827D-17E24E63E0C6}"/>
    <cellStyle name="Normal 4 4 4 6 2 2 4" xfId="17002" xr:uid="{EC4C517F-D19A-412F-B88D-20865563B183}"/>
    <cellStyle name="Normal 4 4 4 6 2 3" xfId="21222" xr:uid="{F4C2740D-6BAC-4505-B22C-09A2BE95962C}"/>
    <cellStyle name="Normal 4 4 4 6 2 4" xfId="29657" xr:uid="{5D86DD1A-36A8-472A-BDF4-5F2F03EED29E}"/>
    <cellStyle name="Normal 4 4 4 6 2 5" xfId="12784" xr:uid="{4EA9D0E5-0B3F-48BA-9D4F-43046D7FCF41}"/>
    <cellStyle name="Normal 4 4 4 6 3" xfId="6418" xr:uid="{00000000-0005-0000-0000-0000D8150000}"/>
    <cellStyle name="Normal 4 4 4 6 3 2" xfId="23295" xr:uid="{E3822785-305A-468C-83A4-BBC301B9D586}"/>
    <cellStyle name="Normal 4 4 4 6 3 3" xfId="31729" xr:uid="{6DA3E396-1E43-45F5-8681-42BE5349B290}"/>
    <cellStyle name="Normal 4 4 4 6 3 4" xfId="14857" xr:uid="{AC26123A-0248-474C-9D76-5C29222EE28C}"/>
    <cellStyle name="Normal 4 4 4 6 4" xfId="19077" xr:uid="{4CE5EF93-3697-4F66-A644-A2D80DFEEC24}"/>
    <cellStyle name="Normal 4 4 4 6 5" xfId="27512" xr:uid="{7B126063-C846-48E2-B0C7-83715EA8CE42}"/>
    <cellStyle name="Normal 4 4 4 6 6" xfId="10639" xr:uid="{AECCF465-806C-4CB8-B677-A6C7A0028C46}"/>
    <cellStyle name="Normal 4 4 4 7" xfId="2547" xr:uid="{00000000-0005-0000-0000-0000D9150000}"/>
    <cellStyle name="Normal 4 4 4 7 2" xfId="6831" xr:uid="{00000000-0005-0000-0000-0000DA150000}"/>
    <cellStyle name="Normal 4 4 4 7 2 2" xfId="23708" xr:uid="{97BC6B4F-B662-4F83-8983-A3941C282ECB}"/>
    <cellStyle name="Normal 4 4 4 7 2 3" xfId="32142" xr:uid="{4EFDC690-16D9-40D3-A4DD-2B02B503785D}"/>
    <cellStyle name="Normal 4 4 4 7 2 4" xfId="15270" xr:uid="{46091144-7A56-49AC-8AB2-FEF75942A8D7}"/>
    <cellStyle name="Normal 4 4 4 7 3" xfId="19490" xr:uid="{6B78536B-A265-4A2C-AF05-68B85E6024D2}"/>
    <cellStyle name="Normal 4 4 4 7 4" xfId="27925" xr:uid="{C19B57E5-C990-45FF-9154-990D0C4FA0FF}"/>
    <cellStyle name="Normal 4 4 4 7 5" xfId="11052" xr:uid="{87637723-0777-40D9-8415-333B66E22A51}"/>
    <cellStyle name="Normal 4 4 4 8" xfId="4766" xr:uid="{00000000-0005-0000-0000-0000DB150000}"/>
    <cellStyle name="Normal 4 4 4 8 2" xfId="21643" xr:uid="{7B5851EB-2726-41FA-A05A-E1A9B2EC29E6}"/>
    <cellStyle name="Normal 4 4 4 8 3" xfId="30077" xr:uid="{7F7E9352-4BB3-45CF-8D00-FC063F17F157}"/>
    <cellStyle name="Normal 4 4 4 8 4" xfId="13205" xr:uid="{A2775C58-2D75-400B-B379-9A409ED1E23C}"/>
    <cellStyle name="Normal 4 4 4 9" xfId="17425" xr:uid="{CEEB509B-9175-4381-BE3B-1BB0B3C54610}"/>
    <cellStyle name="Normal 4 4 5" xfId="393" xr:uid="{00000000-0005-0000-0000-0000DC150000}"/>
    <cellStyle name="Normal 4 4 5 10" xfId="8989" xr:uid="{BA14A1D1-ABDF-4CBE-8FA4-A95D0FB8E623}"/>
    <cellStyle name="Normal 4 4 5 2" xfId="868" xr:uid="{00000000-0005-0000-0000-0000DD150000}"/>
    <cellStyle name="Normal 4 4 5 2 2" xfId="3103" xr:uid="{00000000-0005-0000-0000-0000DE150000}"/>
    <cellStyle name="Normal 4 4 5 2 2 2" xfId="7326" xr:uid="{00000000-0005-0000-0000-0000DF150000}"/>
    <cellStyle name="Normal 4 4 5 2 2 2 2" xfId="24203" xr:uid="{6C9C272E-1891-4530-972D-3A75F41F9506}"/>
    <cellStyle name="Normal 4 4 5 2 2 2 3" xfId="32637" xr:uid="{7EDA267B-1B34-4518-9949-16446B60EDF3}"/>
    <cellStyle name="Normal 4 4 5 2 2 2 4" xfId="15765" xr:uid="{4E132B9F-F457-406F-9CF4-1F373EC2A0A0}"/>
    <cellStyle name="Normal 4 4 5 2 2 3" xfId="19985" xr:uid="{92DB63F6-F4C9-4B8B-AFAA-F9C877250EB1}"/>
    <cellStyle name="Normal 4 4 5 2 2 4" xfId="28420" xr:uid="{E2044396-35D2-4D38-9773-96BB4214D286}"/>
    <cellStyle name="Normal 4 4 5 2 2 5" xfId="11547" xr:uid="{B570F7E7-0F04-45E2-AA71-4A7320F8C3EF}"/>
    <cellStyle name="Normal 4 4 5 2 3" xfId="5181" xr:uid="{00000000-0005-0000-0000-0000E0150000}"/>
    <cellStyle name="Normal 4 4 5 2 3 2" xfId="22058" xr:uid="{72E2214E-E959-4F78-901F-792FF9163005}"/>
    <cellStyle name="Normal 4 4 5 2 3 3" xfId="30492" xr:uid="{D2662025-BFD4-45FE-9DD3-A2E18B5ED558}"/>
    <cellStyle name="Normal 4 4 5 2 3 4" xfId="13620" xr:uid="{2885B71A-17FD-4BF6-9223-66D3BE954181}"/>
    <cellStyle name="Normal 4 4 5 2 4" xfId="17840" xr:uid="{BF672F83-00CA-4600-8D48-444A08233C02}"/>
    <cellStyle name="Normal 4 4 5 2 5" xfId="26275" xr:uid="{4EA4E969-109A-44AD-A22C-799A9DBA6643}"/>
    <cellStyle name="Normal 4 4 5 2 6" xfId="9402" xr:uid="{66F72751-A12B-47D4-AF0C-B2876FBB8E63}"/>
    <cellStyle name="Normal 4 4 5 3" xfId="1286" xr:uid="{00000000-0005-0000-0000-0000E1150000}"/>
    <cellStyle name="Normal 4 4 5 3 2" xfId="3516" xr:uid="{00000000-0005-0000-0000-0000E2150000}"/>
    <cellStyle name="Normal 4 4 5 3 2 2" xfId="7739" xr:uid="{00000000-0005-0000-0000-0000E3150000}"/>
    <cellStyle name="Normal 4 4 5 3 2 2 2" xfId="24616" xr:uid="{64F74B9D-9122-4F9B-B6A8-F7E63B279FF1}"/>
    <cellStyle name="Normal 4 4 5 3 2 2 3" xfId="33050" xr:uid="{FEBD6AA3-691E-4C42-ACFA-BA4EDBB0A74C}"/>
    <cellStyle name="Normal 4 4 5 3 2 2 4" xfId="16178" xr:uid="{3D776DD7-56EC-4B45-86A3-31C5610E4F15}"/>
    <cellStyle name="Normal 4 4 5 3 2 3" xfId="20398" xr:uid="{13835C25-4C10-4CEC-A252-4ECB8702A79F}"/>
    <cellStyle name="Normal 4 4 5 3 2 4" xfId="28833" xr:uid="{0618D397-EFED-4669-8423-E6EB2DC84695}"/>
    <cellStyle name="Normal 4 4 5 3 2 5" xfId="11960" xr:uid="{A6B4DA70-0059-4A22-906C-DE4AF46D5C1B}"/>
    <cellStyle name="Normal 4 4 5 3 3" xfId="5594" xr:uid="{00000000-0005-0000-0000-0000E4150000}"/>
    <cellStyle name="Normal 4 4 5 3 3 2" xfId="22471" xr:uid="{869CDE68-829B-430C-8B94-076F575306FE}"/>
    <cellStyle name="Normal 4 4 5 3 3 3" xfId="30905" xr:uid="{174E60B8-B511-421D-8558-5DBDE36E9775}"/>
    <cellStyle name="Normal 4 4 5 3 3 4" xfId="14033" xr:uid="{C8D30DF6-6361-4AC5-B18D-57AAF06D8C39}"/>
    <cellStyle name="Normal 4 4 5 3 4" xfId="18253" xr:uid="{671C58D5-5B0A-4E22-B876-CBE33DE7AB17}"/>
    <cellStyle name="Normal 4 4 5 3 5" xfId="26688" xr:uid="{9E169312-FE76-458F-8895-4AF7E1A89884}"/>
    <cellStyle name="Normal 4 4 5 3 6" xfId="9815" xr:uid="{5338BB99-AA09-493C-93C7-1D5C45848EF6}"/>
    <cellStyle name="Normal 4 4 5 4" xfId="1699" xr:uid="{00000000-0005-0000-0000-0000E5150000}"/>
    <cellStyle name="Normal 4 4 5 4 2" xfId="3929" xr:uid="{00000000-0005-0000-0000-0000E6150000}"/>
    <cellStyle name="Normal 4 4 5 4 2 2" xfId="8152" xr:uid="{00000000-0005-0000-0000-0000E7150000}"/>
    <cellStyle name="Normal 4 4 5 4 2 2 2" xfId="25029" xr:uid="{B79E421A-6D57-4ECF-A695-2DEBFD0E8CA2}"/>
    <cellStyle name="Normal 4 4 5 4 2 2 3" xfId="33463" xr:uid="{42483C56-1452-4F0A-92A2-5F267AE96FBE}"/>
    <cellStyle name="Normal 4 4 5 4 2 2 4" xfId="16591" xr:uid="{C15DEA31-9D7C-47DB-87D5-1EB1258799D4}"/>
    <cellStyle name="Normal 4 4 5 4 2 3" xfId="20811" xr:uid="{AB5BA1B3-959E-4E69-A4A6-A02DF283EC3F}"/>
    <cellStyle name="Normal 4 4 5 4 2 4" xfId="29246" xr:uid="{CF763166-235A-4B4D-AF96-5971EC00EADA}"/>
    <cellStyle name="Normal 4 4 5 4 2 5" xfId="12373" xr:uid="{776C5706-7A0E-4718-9C81-01B897BD5D06}"/>
    <cellStyle name="Normal 4 4 5 4 3" xfId="6007" xr:uid="{00000000-0005-0000-0000-0000E8150000}"/>
    <cellStyle name="Normal 4 4 5 4 3 2" xfId="22884" xr:uid="{91AFED80-FCC6-4717-9B9F-4EEDBE7C6B22}"/>
    <cellStyle name="Normal 4 4 5 4 3 3" xfId="31318" xr:uid="{1623F81D-23D7-4049-8A06-36DC5BADE54B}"/>
    <cellStyle name="Normal 4 4 5 4 3 4" xfId="14446" xr:uid="{C8F45B6F-5004-4009-85EB-F5ECB4CCDE53}"/>
    <cellStyle name="Normal 4 4 5 4 4" xfId="18666" xr:uid="{8F3C2BFF-F4D7-4486-8B4B-7FDDE1534A99}"/>
    <cellStyle name="Normal 4 4 5 4 5" xfId="27101" xr:uid="{66D024D9-BAE3-4009-8481-ED1097FBA992}"/>
    <cellStyle name="Normal 4 4 5 4 6" xfId="10228" xr:uid="{1104505E-3CAE-441D-A705-1324C4A31163}"/>
    <cellStyle name="Normal 4 4 5 5" xfId="2113" xr:uid="{00000000-0005-0000-0000-0000E9150000}"/>
    <cellStyle name="Normal 4 4 5 5 2" xfId="4342" xr:uid="{00000000-0005-0000-0000-0000EA150000}"/>
    <cellStyle name="Normal 4 4 5 5 2 2" xfId="8565" xr:uid="{00000000-0005-0000-0000-0000EB150000}"/>
    <cellStyle name="Normal 4 4 5 5 2 2 2" xfId="25442" xr:uid="{5C0BBD67-192D-4D21-8AD3-3DA4802550AE}"/>
    <cellStyle name="Normal 4 4 5 5 2 2 3" xfId="33876" xr:uid="{75772E84-4DCA-49BC-8AD6-AE92E0433E31}"/>
    <cellStyle name="Normal 4 4 5 5 2 2 4" xfId="17004" xr:uid="{4D3B82C4-5DE3-4EDA-B114-95724BDB0369}"/>
    <cellStyle name="Normal 4 4 5 5 2 3" xfId="21224" xr:uid="{60150F42-4BAB-430F-AD95-3A78D4916BBD}"/>
    <cellStyle name="Normal 4 4 5 5 2 4" xfId="29659" xr:uid="{3893ED5C-ACA2-46B9-9F4A-3117E1053823}"/>
    <cellStyle name="Normal 4 4 5 5 2 5" xfId="12786" xr:uid="{0DF0448B-6124-4D2B-B813-99F7F5AD0AB6}"/>
    <cellStyle name="Normal 4 4 5 5 3" xfId="6420" xr:uid="{00000000-0005-0000-0000-0000EC150000}"/>
    <cellStyle name="Normal 4 4 5 5 3 2" xfId="23297" xr:uid="{306596E1-D4C8-4EDA-9D54-9F20683535E9}"/>
    <cellStyle name="Normal 4 4 5 5 3 3" xfId="31731" xr:uid="{AF1D912D-50CA-441C-859B-0EBF8799E3D4}"/>
    <cellStyle name="Normal 4 4 5 5 3 4" xfId="14859" xr:uid="{028FADEF-7FBB-4FFE-92AF-D2C26136CE99}"/>
    <cellStyle name="Normal 4 4 5 5 4" xfId="19079" xr:uid="{DE50CAF0-45D4-45F5-9602-7F76ED8C1AB5}"/>
    <cellStyle name="Normal 4 4 5 5 5" xfId="27514" xr:uid="{AAFFBB22-6031-4609-9C0E-5A8CF17470B1}"/>
    <cellStyle name="Normal 4 4 5 5 6" xfId="10641" xr:uid="{309E9199-ED9D-4A67-9DF7-6EA0257880BA}"/>
    <cellStyle name="Normal 4 4 5 6" xfId="2549" xr:uid="{00000000-0005-0000-0000-0000ED150000}"/>
    <cellStyle name="Normal 4 4 5 6 2" xfId="6833" xr:uid="{00000000-0005-0000-0000-0000EE150000}"/>
    <cellStyle name="Normal 4 4 5 6 2 2" xfId="23710" xr:uid="{10E4CE2A-3368-4D7F-B41F-0ABA088F91B3}"/>
    <cellStyle name="Normal 4 4 5 6 2 3" xfId="32144" xr:uid="{CE0E9B4E-087E-4C23-9491-FB21BF859376}"/>
    <cellStyle name="Normal 4 4 5 6 2 4" xfId="15272" xr:uid="{9646329B-B6D4-47EB-8893-784F66D9D522}"/>
    <cellStyle name="Normal 4 4 5 6 3" xfId="19492" xr:uid="{737F9CD6-CD12-42F4-8426-5E607A8AAAC0}"/>
    <cellStyle name="Normal 4 4 5 6 4" xfId="27927" xr:uid="{2B680B64-1A2E-4869-B655-162A53D1FC8E}"/>
    <cellStyle name="Normal 4 4 5 6 5" xfId="11054" xr:uid="{564BDF4B-32BF-4327-BB5F-DD481C9DE2B4}"/>
    <cellStyle name="Normal 4 4 5 7" xfId="4768" xr:uid="{00000000-0005-0000-0000-0000EF150000}"/>
    <cellStyle name="Normal 4 4 5 7 2" xfId="21645" xr:uid="{493696D7-079B-4690-BB2C-FBDA10AEAEAE}"/>
    <cellStyle name="Normal 4 4 5 7 3" xfId="30079" xr:uid="{FAF44729-64E4-42FD-A6ED-24D3F19084F7}"/>
    <cellStyle name="Normal 4 4 5 7 4" xfId="13207" xr:uid="{85070318-EFA7-4F35-9462-3B0A85BC6927}"/>
    <cellStyle name="Normal 4 4 5 8" xfId="17427" xr:uid="{D2E87083-77C1-450B-B008-A803AE80E847}"/>
    <cellStyle name="Normal 4 4 5 9" xfId="25862" xr:uid="{ADE34025-E2EA-48F6-9212-BFF808E99762}"/>
    <cellStyle name="Normal 4 4 6" xfId="853" xr:uid="{00000000-0005-0000-0000-0000F0150000}"/>
    <cellStyle name="Normal 4 4 6 2" xfId="3088" xr:uid="{00000000-0005-0000-0000-0000F1150000}"/>
    <cellStyle name="Normal 4 4 6 2 2" xfId="7311" xr:uid="{00000000-0005-0000-0000-0000F2150000}"/>
    <cellStyle name="Normal 4 4 6 2 2 2" xfId="24188" xr:uid="{8FE34A6B-961A-4910-9482-842BBA72A37B}"/>
    <cellStyle name="Normal 4 4 6 2 2 3" xfId="32622" xr:uid="{CD978B57-F0DD-4BE2-8681-B383E2E4D23A}"/>
    <cellStyle name="Normal 4 4 6 2 2 4" xfId="15750" xr:uid="{EA9C633D-2843-46AE-AC06-5ACF8147AE0F}"/>
    <cellStyle name="Normal 4 4 6 2 3" xfId="19970" xr:uid="{8F9EA7C2-5723-4CDB-A20B-E4A5A987D186}"/>
    <cellStyle name="Normal 4 4 6 2 4" xfId="28405" xr:uid="{5A50736C-C471-4561-9AB5-0E56EE6D065C}"/>
    <cellStyle name="Normal 4 4 6 2 5" xfId="11532" xr:uid="{E9716D4B-187C-40F0-9931-6714C82BE0F5}"/>
    <cellStyle name="Normal 4 4 6 3" xfId="5166" xr:uid="{00000000-0005-0000-0000-0000F3150000}"/>
    <cellStyle name="Normal 4 4 6 3 2" xfId="22043" xr:uid="{1017AE11-74BD-4B02-8B26-6C49B98FC857}"/>
    <cellStyle name="Normal 4 4 6 3 3" xfId="30477" xr:uid="{4FBCA51B-D2D7-4D57-AB01-9E0A7EB02E2C}"/>
    <cellStyle name="Normal 4 4 6 3 4" xfId="13605" xr:uid="{D6F07413-AD94-4E10-A301-CEA26FED534D}"/>
    <cellStyle name="Normal 4 4 6 4" xfId="17825" xr:uid="{50B4EB16-7570-4F31-B0C3-B02D899D6629}"/>
    <cellStyle name="Normal 4 4 6 5" xfId="26260" xr:uid="{5DFFBA20-76D8-4D87-9DAE-487F3076F209}"/>
    <cellStyle name="Normal 4 4 6 6" xfId="9387" xr:uid="{8F554BE8-F63A-4001-8D4A-1FF6542490CD}"/>
    <cellStyle name="Normal 4 4 7" xfId="1271" xr:uid="{00000000-0005-0000-0000-0000F4150000}"/>
    <cellStyle name="Normal 4 4 7 2" xfId="3501" xr:uid="{00000000-0005-0000-0000-0000F5150000}"/>
    <cellStyle name="Normal 4 4 7 2 2" xfId="7724" xr:uid="{00000000-0005-0000-0000-0000F6150000}"/>
    <cellStyle name="Normal 4 4 7 2 2 2" xfId="24601" xr:uid="{FA8E6522-D8AA-44EC-971D-F61C0DA2E282}"/>
    <cellStyle name="Normal 4 4 7 2 2 3" xfId="33035" xr:uid="{FD9F26BE-A076-4440-AC0E-E9FB1857FF83}"/>
    <cellStyle name="Normal 4 4 7 2 2 4" xfId="16163" xr:uid="{92981BCF-D0E4-4815-93DB-2239BC5DB2C0}"/>
    <cellStyle name="Normal 4 4 7 2 3" xfId="20383" xr:uid="{600A7175-0475-4686-A7D6-A23AB9DBC91B}"/>
    <cellStyle name="Normal 4 4 7 2 4" xfId="28818" xr:uid="{34E42145-0998-49BC-995D-6459F69BE526}"/>
    <cellStyle name="Normal 4 4 7 2 5" xfId="11945" xr:uid="{6106C223-8EBB-41E8-AD8C-8627317D0C3C}"/>
    <cellStyle name="Normal 4 4 7 3" xfId="5579" xr:uid="{00000000-0005-0000-0000-0000F7150000}"/>
    <cellStyle name="Normal 4 4 7 3 2" xfId="22456" xr:uid="{1BE7305E-F5E9-4E5E-B049-03D9C72F3114}"/>
    <cellStyle name="Normal 4 4 7 3 3" xfId="30890" xr:uid="{2DF9629C-5FB2-4704-AE97-9564CED85B82}"/>
    <cellStyle name="Normal 4 4 7 3 4" xfId="14018" xr:uid="{AE290CFC-5375-43E4-B65E-F8B3BFD6FD32}"/>
    <cellStyle name="Normal 4 4 7 4" xfId="18238" xr:uid="{54D43C32-B9AD-427D-8085-E587476CC836}"/>
    <cellStyle name="Normal 4 4 7 5" xfId="26673" xr:uid="{303B6CEF-6AA2-487E-86E2-E6C185FE9E67}"/>
    <cellStyle name="Normal 4 4 7 6" xfId="9800" xr:uid="{DAF30764-1165-4AF9-9E15-4ECFCBDB5C35}"/>
    <cellStyle name="Normal 4 4 8" xfId="1684" xr:uid="{00000000-0005-0000-0000-0000F8150000}"/>
    <cellStyle name="Normal 4 4 8 2" xfId="3914" xr:uid="{00000000-0005-0000-0000-0000F9150000}"/>
    <cellStyle name="Normal 4 4 8 2 2" xfId="8137" xr:uid="{00000000-0005-0000-0000-0000FA150000}"/>
    <cellStyle name="Normal 4 4 8 2 2 2" xfId="25014" xr:uid="{690293FA-CDED-4577-ABED-A8541C1DD29F}"/>
    <cellStyle name="Normal 4 4 8 2 2 3" xfId="33448" xr:uid="{44BD72C2-9C79-4B44-9E40-C9A2477C764C}"/>
    <cellStyle name="Normal 4 4 8 2 2 4" xfId="16576" xr:uid="{114A1F44-EF7A-4A04-9E02-C4C94CEE00BD}"/>
    <cellStyle name="Normal 4 4 8 2 3" xfId="20796" xr:uid="{6B6782FD-8E7F-4ED1-95D9-450F19992805}"/>
    <cellStyle name="Normal 4 4 8 2 4" xfId="29231" xr:uid="{12B2DFB9-04C4-49A1-8052-63A4686D36C1}"/>
    <cellStyle name="Normal 4 4 8 2 5" xfId="12358" xr:uid="{3393A332-67A5-4FD1-ADAF-F1A54B824AD5}"/>
    <cellStyle name="Normal 4 4 8 3" xfId="5992" xr:uid="{00000000-0005-0000-0000-0000FB150000}"/>
    <cellStyle name="Normal 4 4 8 3 2" xfId="22869" xr:uid="{55F2B957-6B2E-4B59-8914-741F682FD38A}"/>
    <cellStyle name="Normal 4 4 8 3 3" xfId="31303" xr:uid="{FB19A1B2-4DE5-4DC4-8FB8-E2160C1DE1A1}"/>
    <cellStyle name="Normal 4 4 8 3 4" xfId="14431" xr:uid="{27A1FA0F-F089-4F22-8D34-F3D82F031843}"/>
    <cellStyle name="Normal 4 4 8 4" xfId="18651" xr:uid="{D1C6C82E-F204-4BAE-91AD-2E31F274AB19}"/>
    <cellStyle name="Normal 4 4 8 5" xfId="27086" xr:uid="{9E72D22C-90D5-48BD-B510-67249ED89EC8}"/>
    <cellStyle name="Normal 4 4 8 6" xfId="10213" xr:uid="{38FB8545-13F7-44E5-B741-B3280F393609}"/>
    <cellStyle name="Normal 4 4 9" xfId="2098" xr:uid="{00000000-0005-0000-0000-0000FC150000}"/>
    <cellStyle name="Normal 4 4 9 2" xfId="4327" xr:uid="{00000000-0005-0000-0000-0000FD150000}"/>
    <cellStyle name="Normal 4 4 9 2 2" xfId="8550" xr:uid="{00000000-0005-0000-0000-0000FE150000}"/>
    <cellStyle name="Normal 4 4 9 2 2 2" xfId="25427" xr:uid="{EEC026E4-9679-4409-BCB8-E683EF285458}"/>
    <cellStyle name="Normal 4 4 9 2 2 3" xfId="33861" xr:uid="{9396989E-E016-40EE-B241-B9100618A389}"/>
    <cellStyle name="Normal 4 4 9 2 2 4" xfId="16989" xr:uid="{28DC4400-246D-413C-B900-B908A43CB6E7}"/>
    <cellStyle name="Normal 4 4 9 2 3" xfId="21209" xr:uid="{5FDDDEF3-6709-4267-86E4-47598D825BA4}"/>
    <cellStyle name="Normal 4 4 9 2 4" xfId="29644" xr:uid="{8A88A950-A2A0-4D45-B2DD-4D3AD757A58D}"/>
    <cellStyle name="Normal 4 4 9 2 5" xfId="12771" xr:uid="{E22B5DE3-3387-47E7-AEF1-C9B504494281}"/>
    <cellStyle name="Normal 4 4 9 3" xfId="6405" xr:uid="{00000000-0005-0000-0000-0000FF150000}"/>
    <cellStyle name="Normal 4 4 9 3 2" xfId="23282" xr:uid="{38CAA276-D4FE-4B4A-9126-69152079A045}"/>
    <cellStyle name="Normal 4 4 9 3 3" xfId="31716" xr:uid="{3358F053-4BC7-4497-AC76-9784C30D223D}"/>
    <cellStyle name="Normal 4 4 9 3 4" xfId="14844" xr:uid="{B6968B3B-C5C2-4D9B-9434-8E2FDA8E239B}"/>
    <cellStyle name="Normal 4 4 9 4" xfId="19064" xr:uid="{D6652C11-312D-4395-9024-7CAAF1C1936B}"/>
    <cellStyle name="Normal 4 4 9 5" xfId="27499" xr:uid="{588B4E5E-9913-40A8-8F5A-6FBFC951FE7E}"/>
    <cellStyle name="Normal 4 4 9 6" xfId="10626" xr:uid="{7DDB12E0-9FBC-452C-A777-9882380581D6}"/>
    <cellStyle name="Normal 4 5" xfId="394" xr:uid="{00000000-0005-0000-0000-000000160000}"/>
    <cellStyle name="Normal 4 6" xfId="395" xr:uid="{00000000-0005-0000-0000-000001160000}"/>
    <cellStyle name="Normal 4 6 10" xfId="4769" xr:uid="{00000000-0005-0000-0000-000002160000}"/>
    <cellStyle name="Normal 4 6 10 2" xfId="21646" xr:uid="{67B912F9-EBCA-4E6F-8DDA-2A3460941F98}"/>
    <cellStyle name="Normal 4 6 10 3" xfId="30080" xr:uid="{DE27B49B-327A-4F76-B2EE-90C0ABC7000A}"/>
    <cellStyle name="Normal 4 6 10 4" xfId="13208" xr:uid="{2F894787-ED02-4178-8BDB-C37CC4FF3D5B}"/>
    <cellStyle name="Normal 4 6 11" xfId="17428" xr:uid="{D3E4D8DA-6833-48A8-9A68-9A5EE1EEC041}"/>
    <cellStyle name="Normal 4 6 12" xfId="25863" xr:uid="{59AB7128-9EA1-43AD-A9DB-E18DCD9FFAD6}"/>
    <cellStyle name="Normal 4 6 13" xfId="8990" xr:uid="{2B02264D-DA5C-466B-BA27-1A7A87916CCD}"/>
    <cellStyle name="Normal 4 6 2" xfId="396" xr:uid="{00000000-0005-0000-0000-000003160000}"/>
    <cellStyle name="Normal 4 6 2 10" xfId="17429" xr:uid="{E2172F73-6647-442B-B102-24B96D2716F7}"/>
    <cellStyle name="Normal 4 6 2 11" xfId="25864" xr:uid="{F2C1FAD3-2C07-4972-A068-0D315DDD68E3}"/>
    <cellStyle name="Normal 4 6 2 12" xfId="8991" xr:uid="{89FDDA25-CB0B-4CFE-AF2B-3B1EE308D325}"/>
    <cellStyle name="Normal 4 6 2 2" xfId="397" xr:uid="{00000000-0005-0000-0000-000004160000}"/>
    <cellStyle name="Normal 4 6 2 2 10" xfId="25865" xr:uid="{9F24F860-D09B-4BD2-A9A9-4EB67E397D31}"/>
    <cellStyle name="Normal 4 6 2 2 11" xfId="8992" xr:uid="{29E7171B-D87A-44B6-A6A4-BBF430EEECB2}"/>
    <cellStyle name="Normal 4 6 2 2 2" xfId="398" xr:uid="{00000000-0005-0000-0000-000005160000}"/>
    <cellStyle name="Normal 4 6 2 2 2 10" xfId="8993" xr:uid="{D721D46C-7674-4CDA-89E4-1866EEBC7D2F}"/>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24207" xr:uid="{9EB0170D-ADB5-4470-818E-68271CB4E342}"/>
    <cellStyle name="Normal 4 6 2 2 2 2 2 2 3" xfId="32641" xr:uid="{4B9DFBB3-4B6B-491B-9DEC-F39DF4D58412}"/>
    <cellStyle name="Normal 4 6 2 2 2 2 2 2 4" xfId="15769" xr:uid="{343091E3-7149-4F3A-A01D-C0C57CDEFFF9}"/>
    <cellStyle name="Normal 4 6 2 2 2 2 2 3" xfId="19989" xr:uid="{DE4579BA-96CF-4646-9CD1-386745220F3B}"/>
    <cellStyle name="Normal 4 6 2 2 2 2 2 4" xfId="28424" xr:uid="{57A9D7B8-E4F1-4E2B-9473-B58D9C56912E}"/>
    <cellStyle name="Normal 4 6 2 2 2 2 2 5" xfId="11551" xr:uid="{B8A11FC9-F95B-4EFA-B561-FA254720EA39}"/>
    <cellStyle name="Normal 4 6 2 2 2 2 3" xfId="5185" xr:uid="{00000000-0005-0000-0000-000009160000}"/>
    <cellStyle name="Normal 4 6 2 2 2 2 3 2" xfId="22062" xr:uid="{812321AA-A059-408B-AF69-F86FF9054AB7}"/>
    <cellStyle name="Normal 4 6 2 2 2 2 3 3" xfId="30496" xr:uid="{D2EED3E9-3BD3-43D6-8C70-0846E91872EB}"/>
    <cellStyle name="Normal 4 6 2 2 2 2 3 4" xfId="13624" xr:uid="{F1CEEE4F-6142-4047-8B87-004B8D26AD05}"/>
    <cellStyle name="Normal 4 6 2 2 2 2 4" xfId="17844" xr:uid="{F3741FE9-9E96-435A-BF86-C04E7B441EF7}"/>
    <cellStyle name="Normal 4 6 2 2 2 2 5" xfId="26279" xr:uid="{5F0840B8-0F2A-4579-B02E-A23CEEEC4865}"/>
    <cellStyle name="Normal 4 6 2 2 2 2 6" xfId="9406" xr:uid="{BC5BFA13-D1C7-40AF-87E9-E9CB63E24C0F}"/>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24620" xr:uid="{DF3AF56E-90BB-467E-B520-851691886DC3}"/>
    <cellStyle name="Normal 4 6 2 2 2 3 2 2 3" xfId="33054" xr:uid="{C1D1B85B-4CE7-4877-A14D-11EA5B864125}"/>
    <cellStyle name="Normal 4 6 2 2 2 3 2 2 4" xfId="16182" xr:uid="{8727BD3F-21B7-4161-987C-18CAFC951005}"/>
    <cellStyle name="Normal 4 6 2 2 2 3 2 3" xfId="20402" xr:uid="{DC23BB94-3304-4C79-A79F-0A7913039B64}"/>
    <cellStyle name="Normal 4 6 2 2 2 3 2 4" xfId="28837" xr:uid="{AB8A71FD-024B-44B3-8193-E7F18C2443B1}"/>
    <cellStyle name="Normal 4 6 2 2 2 3 2 5" xfId="11964" xr:uid="{A6E175E4-28E3-4DED-8E26-477C55FF12E8}"/>
    <cellStyle name="Normal 4 6 2 2 2 3 3" xfId="5598" xr:uid="{00000000-0005-0000-0000-00000D160000}"/>
    <cellStyle name="Normal 4 6 2 2 2 3 3 2" xfId="22475" xr:uid="{98DE4D2B-0FE9-4D06-856D-716DD01FC7AA}"/>
    <cellStyle name="Normal 4 6 2 2 2 3 3 3" xfId="30909" xr:uid="{3C754AC6-5335-4CF2-B1F8-25A627323E61}"/>
    <cellStyle name="Normal 4 6 2 2 2 3 3 4" xfId="14037" xr:uid="{7EB3BBC3-332C-414E-8555-ED362482E71D}"/>
    <cellStyle name="Normal 4 6 2 2 2 3 4" xfId="18257" xr:uid="{5834D112-CC02-4893-9ADD-6D646E58F03C}"/>
    <cellStyle name="Normal 4 6 2 2 2 3 5" xfId="26692" xr:uid="{0CCD1AC5-F4E1-49ED-AE03-03396A85B4DD}"/>
    <cellStyle name="Normal 4 6 2 2 2 3 6" xfId="9819" xr:uid="{68B4C83D-3577-4FF0-ABC9-33B53ABB3115}"/>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25033" xr:uid="{A46EE5AD-26D0-41BE-8E5B-1B2659B5BECA}"/>
    <cellStyle name="Normal 4 6 2 2 2 4 2 2 3" xfId="33467" xr:uid="{C14C7CDB-35BD-4F05-A151-FE498BD642D1}"/>
    <cellStyle name="Normal 4 6 2 2 2 4 2 2 4" xfId="16595" xr:uid="{17612150-D06E-458E-B0C7-30850E16AFFE}"/>
    <cellStyle name="Normal 4 6 2 2 2 4 2 3" xfId="20815" xr:uid="{E49EF86E-E79C-4CA2-8781-3190EE29370F}"/>
    <cellStyle name="Normal 4 6 2 2 2 4 2 4" xfId="29250" xr:uid="{0760A06E-7932-49F4-8462-BAE088457033}"/>
    <cellStyle name="Normal 4 6 2 2 2 4 2 5" xfId="12377" xr:uid="{6DDB6362-64EF-499E-825D-EC714CDECF84}"/>
    <cellStyle name="Normal 4 6 2 2 2 4 3" xfId="6011" xr:uid="{00000000-0005-0000-0000-000011160000}"/>
    <cellStyle name="Normal 4 6 2 2 2 4 3 2" xfId="22888" xr:uid="{ADEB6C68-CA5A-430F-B920-4B1B77421CD4}"/>
    <cellStyle name="Normal 4 6 2 2 2 4 3 3" xfId="31322" xr:uid="{F24467D2-C02F-46A4-B6C6-3C3DF5C75425}"/>
    <cellStyle name="Normal 4 6 2 2 2 4 3 4" xfId="14450" xr:uid="{7F54339D-926F-49A6-B501-ADA4EB1FD3B6}"/>
    <cellStyle name="Normal 4 6 2 2 2 4 4" xfId="18670" xr:uid="{5C54D3CE-2A45-4FFC-8F8F-74BB1CA284AC}"/>
    <cellStyle name="Normal 4 6 2 2 2 4 5" xfId="27105" xr:uid="{C89A43E2-1F16-4183-980F-87206FC51320}"/>
    <cellStyle name="Normal 4 6 2 2 2 4 6" xfId="10232" xr:uid="{051F54E6-857B-4505-A739-F7E0BD7E8449}"/>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25446" xr:uid="{22E9B79E-246B-46B6-99A5-DAEDE282840C}"/>
    <cellStyle name="Normal 4 6 2 2 2 5 2 2 3" xfId="33880" xr:uid="{990FDFB0-A772-4150-880F-72ECC3561017}"/>
    <cellStyle name="Normal 4 6 2 2 2 5 2 2 4" xfId="17008" xr:uid="{5C9883BC-B121-49FF-A350-BD90A21C30DD}"/>
    <cellStyle name="Normal 4 6 2 2 2 5 2 3" xfId="21228" xr:uid="{4423B717-519E-45E2-83EE-9C3694398528}"/>
    <cellStyle name="Normal 4 6 2 2 2 5 2 4" xfId="29663" xr:uid="{B7A539CB-B970-43C9-8B56-08A59769929B}"/>
    <cellStyle name="Normal 4 6 2 2 2 5 2 5" xfId="12790" xr:uid="{333F7132-97EF-4B49-A6E2-0E729A663F7A}"/>
    <cellStyle name="Normal 4 6 2 2 2 5 3" xfId="6424" xr:uid="{00000000-0005-0000-0000-000015160000}"/>
    <cellStyle name="Normal 4 6 2 2 2 5 3 2" xfId="23301" xr:uid="{F0F69CC4-6DE8-41AB-840A-FDE097E66E3C}"/>
    <cellStyle name="Normal 4 6 2 2 2 5 3 3" xfId="31735" xr:uid="{C38C79CB-978F-45C5-8312-A25CA5E7FF43}"/>
    <cellStyle name="Normal 4 6 2 2 2 5 3 4" xfId="14863" xr:uid="{2449FA05-193C-4120-BD13-F04E209D00F7}"/>
    <cellStyle name="Normal 4 6 2 2 2 5 4" xfId="19083" xr:uid="{634B079F-1279-44FF-84A4-221F6C9F5FFE}"/>
    <cellStyle name="Normal 4 6 2 2 2 5 5" xfId="27518" xr:uid="{31B29DE2-877A-47D8-806B-1FFC2FF1F3FE}"/>
    <cellStyle name="Normal 4 6 2 2 2 5 6" xfId="10645" xr:uid="{1AA594E6-EFAD-4281-A41F-41CDEC716A63}"/>
    <cellStyle name="Normal 4 6 2 2 2 6" xfId="2553" xr:uid="{00000000-0005-0000-0000-000016160000}"/>
    <cellStyle name="Normal 4 6 2 2 2 6 2" xfId="6837" xr:uid="{00000000-0005-0000-0000-000017160000}"/>
    <cellStyle name="Normal 4 6 2 2 2 6 2 2" xfId="23714" xr:uid="{FCBFD3EC-929F-4E19-849A-10AB45BDB6BE}"/>
    <cellStyle name="Normal 4 6 2 2 2 6 2 3" xfId="32148" xr:uid="{4E5154A4-2184-4BBB-92B4-444F2422B575}"/>
    <cellStyle name="Normal 4 6 2 2 2 6 2 4" xfId="15276" xr:uid="{518B7D1F-8ADD-41BD-BD6A-FD5F1C2494DC}"/>
    <cellStyle name="Normal 4 6 2 2 2 6 3" xfId="19496" xr:uid="{7E0C7780-E726-4B4B-A246-818D9EAE8480}"/>
    <cellStyle name="Normal 4 6 2 2 2 6 4" xfId="27931" xr:uid="{F5D382A4-AEB6-4090-AF37-656358F0EC51}"/>
    <cellStyle name="Normal 4 6 2 2 2 6 5" xfId="11058" xr:uid="{E82BD909-01C3-41A2-B66A-C2DD6C41AF8B}"/>
    <cellStyle name="Normal 4 6 2 2 2 7" xfId="4772" xr:uid="{00000000-0005-0000-0000-000018160000}"/>
    <cellStyle name="Normal 4 6 2 2 2 7 2" xfId="21649" xr:uid="{905D7421-6808-4890-AEF1-9E6F8C875E57}"/>
    <cellStyle name="Normal 4 6 2 2 2 7 3" xfId="30083" xr:uid="{E195AA8F-6CA9-45BA-B59F-CA110930A780}"/>
    <cellStyle name="Normal 4 6 2 2 2 7 4" xfId="13211" xr:uid="{608DA8A9-344F-44B2-8E26-5F9345A8E869}"/>
    <cellStyle name="Normal 4 6 2 2 2 8" xfId="17431" xr:uid="{683060C2-61C9-4246-B95F-5B75D5C7CF5A}"/>
    <cellStyle name="Normal 4 6 2 2 2 9" xfId="25866" xr:uid="{F3C0BBD5-9BE8-44FA-BB4E-38CC967D9958}"/>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24206" xr:uid="{797ABF83-9281-48B1-A8C8-222A42C52E38}"/>
    <cellStyle name="Normal 4 6 2 2 3 2 2 3" xfId="32640" xr:uid="{74772769-20AF-4280-BB5C-34E9AB8664A5}"/>
    <cellStyle name="Normal 4 6 2 2 3 2 2 4" xfId="15768" xr:uid="{CF6DD632-76BF-4B12-89E3-DEEB70335782}"/>
    <cellStyle name="Normal 4 6 2 2 3 2 3" xfId="19988" xr:uid="{9D16FCB6-C201-40C0-ABB6-D0EF0CA63275}"/>
    <cellStyle name="Normal 4 6 2 2 3 2 4" xfId="28423" xr:uid="{347DEB2D-9CBC-4171-B9A2-CE80E1812C38}"/>
    <cellStyle name="Normal 4 6 2 2 3 2 5" xfId="11550" xr:uid="{3A42C1B9-D09F-497F-B68C-13EA5BB0E277}"/>
    <cellStyle name="Normal 4 6 2 2 3 3" xfId="5184" xr:uid="{00000000-0005-0000-0000-00001C160000}"/>
    <cellStyle name="Normal 4 6 2 2 3 3 2" xfId="22061" xr:uid="{116784D8-1C06-49EF-B785-00FDF28D861D}"/>
    <cellStyle name="Normal 4 6 2 2 3 3 3" xfId="30495" xr:uid="{B13996EA-22DE-49A2-88A6-EC487055B447}"/>
    <cellStyle name="Normal 4 6 2 2 3 3 4" xfId="13623" xr:uid="{4995A56B-A66E-40D9-A3EC-B3E04678E2FD}"/>
    <cellStyle name="Normal 4 6 2 2 3 4" xfId="17843" xr:uid="{243CD5B9-FEC9-47EA-A93E-8D72D37A42BF}"/>
    <cellStyle name="Normal 4 6 2 2 3 5" xfId="26278" xr:uid="{F838AFCF-DC6A-4C71-8D49-8D447A8597F8}"/>
    <cellStyle name="Normal 4 6 2 2 3 6" xfId="9405" xr:uid="{E57A5AFD-245F-4547-AADA-9F048E9D875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24619" xr:uid="{F3C47C32-0429-4772-AF33-2AC1D72ADC2D}"/>
    <cellStyle name="Normal 4 6 2 2 4 2 2 3" xfId="33053" xr:uid="{667B483D-E2D4-4D89-9BC3-849EDCC2DB8F}"/>
    <cellStyle name="Normal 4 6 2 2 4 2 2 4" xfId="16181" xr:uid="{BB5F9FF4-BC1D-4B5B-846B-8FD77E20EE80}"/>
    <cellStyle name="Normal 4 6 2 2 4 2 3" xfId="20401" xr:uid="{D27E097A-B023-4949-899C-74420B91F8A6}"/>
    <cellStyle name="Normal 4 6 2 2 4 2 4" xfId="28836" xr:uid="{8D7356EE-49F1-4CA8-877F-A7CAF76E992E}"/>
    <cellStyle name="Normal 4 6 2 2 4 2 5" xfId="11963" xr:uid="{7F9144B3-FB6B-4545-8711-7771B1FB74A8}"/>
    <cellStyle name="Normal 4 6 2 2 4 3" xfId="5597" xr:uid="{00000000-0005-0000-0000-000020160000}"/>
    <cellStyle name="Normal 4 6 2 2 4 3 2" xfId="22474" xr:uid="{9B0ED76B-D634-42BD-AA1A-96A3C32428E9}"/>
    <cellStyle name="Normal 4 6 2 2 4 3 3" xfId="30908" xr:uid="{1AB6A4B8-04DE-4EA2-AD5D-668E33F6DE96}"/>
    <cellStyle name="Normal 4 6 2 2 4 3 4" xfId="14036" xr:uid="{64918DF0-29B2-48CD-AF49-37932147E8BB}"/>
    <cellStyle name="Normal 4 6 2 2 4 4" xfId="18256" xr:uid="{EB859F38-AB4F-475B-BCEF-39930AFA748D}"/>
    <cellStyle name="Normal 4 6 2 2 4 5" xfId="26691" xr:uid="{97454880-569F-4623-B251-CDA58376D8BF}"/>
    <cellStyle name="Normal 4 6 2 2 4 6" xfId="9818" xr:uid="{E55EC3AF-1C7A-4309-AC07-29822BB6FC68}"/>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25032" xr:uid="{46392E54-9086-495C-ACD1-86E23C08A97B}"/>
    <cellStyle name="Normal 4 6 2 2 5 2 2 3" xfId="33466" xr:uid="{29246B57-AE25-481A-A060-280A32786884}"/>
    <cellStyle name="Normal 4 6 2 2 5 2 2 4" xfId="16594" xr:uid="{F32BFBCA-46B8-4DE4-8AF2-AB338654B093}"/>
    <cellStyle name="Normal 4 6 2 2 5 2 3" xfId="20814" xr:uid="{51AADDE9-77AE-4024-B682-F1F94F79A2D2}"/>
    <cellStyle name="Normal 4 6 2 2 5 2 4" xfId="29249" xr:uid="{4458E68E-1AD8-4BF0-8C3A-C89DAA7E2ECA}"/>
    <cellStyle name="Normal 4 6 2 2 5 2 5" xfId="12376" xr:uid="{127BE572-AFAB-4243-81DB-82545DC88CC5}"/>
    <cellStyle name="Normal 4 6 2 2 5 3" xfId="6010" xr:uid="{00000000-0005-0000-0000-000024160000}"/>
    <cellStyle name="Normal 4 6 2 2 5 3 2" xfId="22887" xr:uid="{45ED1BF9-2615-4ACC-855F-527DBD541736}"/>
    <cellStyle name="Normal 4 6 2 2 5 3 3" xfId="31321" xr:uid="{96285C52-99A0-49F2-B8D8-4A6D218B6F16}"/>
    <cellStyle name="Normal 4 6 2 2 5 3 4" xfId="14449" xr:uid="{B603719A-A136-49F3-AC63-DC32CD200AEE}"/>
    <cellStyle name="Normal 4 6 2 2 5 4" xfId="18669" xr:uid="{E64CEE80-EE13-4F73-8E86-0169D6490C4F}"/>
    <cellStyle name="Normal 4 6 2 2 5 5" xfId="27104" xr:uid="{CE93FD6B-CA98-4481-9B99-3E4E25D7405E}"/>
    <cellStyle name="Normal 4 6 2 2 5 6" xfId="10231" xr:uid="{CED4C6A5-27A4-4E98-950F-672C0D8ED162}"/>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25445" xr:uid="{4A49BCEB-F186-4643-B100-38875806C015}"/>
    <cellStyle name="Normal 4 6 2 2 6 2 2 3" xfId="33879" xr:uid="{36A69378-1D3B-4A03-974B-06D880B7A328}"/>
    <cellStyle name="Normal 4 6 2 2 6 2 2 4" xfId="17007" xr:uid="{BE2B8C4E-C121-42F0-A577-7EC4C67A957F}"/>
    <cellStyle name="Normal 4 6 2 2 6 2 3" xfId="21227" xr:uid="{E29848FA-774C-4683-B639-1306C1B4D513}"/>
    <cellStyle name="Normal 4 6 2 2 6 2 4" xfId="29662" xr:uid="{85962A7E-AF71-4E11-907B-B3E82B28DAB0}"/>
    <cellStyle name="Normal 4 6 2 2 6 2 5" xfId="12789" xr:uid="{E725BB62-40E7-4A05-973D-B4313166F0D3}"/>
    <cellStyle name="Normal 4 6 2 2 6 3" xfId="6423" xr:uid="{00000000-0005-0000-0000-000028160000}"/>
    <cellStyle name="Normal 4 6 2 2 6 3 2" xfId="23300" xr:uid="{C115E994-0AF8-4916-86E6-32AB0C9EC868}"/>
    <cellStyle name="Normal 4 6 2 2 6 3 3" xfId="31734" xr:uid="{5F70CE83-736D-417E-9149-1F76E7BD3167}"/>
    <cellStyle name="Normal 4 6 2 2 6 3 4" xfId="14862" xr:uid="{BE9A1E12-84D7-47C9-98DA-D4171601E467}"/>
    <cellStyle name="Normal 4 6 2 2 6 4" xfId="19082" xr:uid="{F1B3902F-1EC7-4DEE-813C-0D9830C61E11}"/>
    <cellStyle name="Normal 4 6 2 2 6 5" xfId="27517" xr:uid="{7F572F14-08E6-4C04-92FC-9A82410146A6}"/>
    <cellStyle name="Normal 4 6 2 2 6 6" xfId="10644" xr:uid="{96726EF5-E1DA-4FF2-A1D5-B62D6B90D48C}"/>
    <cellStyle name="Normal 4 6 2 2 7" xfId="2552" xr:uid="{00000000-0005-0000-0000-000029160000}"/>
    <cellStyle name="Normal 4 6 2 2 7 2" xfId="6836" xr:uid="{00000000-0005-0000-0000-00002A160000}"/>
    <cellStyle name="Normal 4 6 2 2 7 2 2" xfId="23713" xr:uid="{4A183E1F-AA8A-4A5A-9F30-EEE556D5207F}"/>
    <cellStyle name="Normal 4 6 2 2 7 2 3" xfId="32147" xr:uid="{6CDA9DC7-946F-428E-B52F-2FC5C3905EA8}"/>
    <cellStyle name="Normal 4 6 2 2 7 2 4" xfId="15275" xr:uid="{0809C83F-2324-4905-89A5-F93B53673F42}"/>
    <cellStyle name="Normal 4 6 2 2 7 3" xfId="19495" xr:uid="{56018751-4247-4042-9107-73648AC3A8B7}"/>
    <cellStyle name="Normal 4 6 2 2 7 4" xfId="27930" xr:uid="{0089E3C2-3721-42CE-BF5F-0A83A55CBC59}"/>
    <cellStyle name="Normal 4 6 2 2 7 5" xfId="11057" xr:uid="{78BDE9BB-4EE8-4834-AA8D-00593167AD67}"/>
    <cellStyle name="Normal 4 6 2 2 8" xfId="4771" xr:uid="{00000000-0005-0000-0000-00002B160000}"/>
    <cellStyle name="Normal 4 6 2 2 8 2" xfId="21648" xr:uid="{23D470B1-908F-4B7C-8B3E-3A3E53BD93E8}"/>
    <cellStyle name="Normal 4 6 2 2 8 3" xfId="30082" xr:uid="{F9645F49-3BE9-47E8-A85E-15D9F3DDAE6B}"/>
    <cellStyle name="Normal 4 6 2 2 8 4" xfId="13210" xr:uid="{2F2C8330-6BA9-43F4-9578-5D02C8AE22A9}"/>
    <cellStyle name="Normal 4 6 2 2 9" xfId="17430" xr:uid="{D0BB0FEA-8B35-4536-A470-CCD5EFD2514F}"/>
    <cellStyle name="Normal 4 6 2 3" xfId="399" xr:uid="{00000000-0005-0000-0000-00002C160000}"/>
    <cellStyle name="Normal 4 6 2 3 10" xfId="8994" xr:uid="{A5633ECB-D548-40E6-A464-DD9C5DD9BC8C}"/>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24208" xr:uid="{82A81BA2-D292-46D5-BF74-5131E51023A6}"/>
    <cellStyle name="Normal 4 6 2 3 2 2 2 3" xfId="32642" xr:uid="{1267125D-D7E4-4702-8939-781EB3F8DCD8}"/>
    <cellStyle name="Normal 4 6 2 3 2 2 2 4" xfId="15770" xr:uid="{F4739A97-635D-4B3B-9DDB-FDF1387A83A8}"/>
    <cellStyle name="Normal 4 6 2 3 2 2 3" xfId="19990" xr:uid="{8A020A9A-2CB3-4EF3-9A1E-A56BD24FED18}"/>
    <cellStyle name="Normal 4 6 2 3 2 2 4" xfId="28425" xr:uid="{5BAD72B6-BD00-4566-A73D-111A1A738B56}"/>
    <cellStyle name="Normal 4 6 2 3 2 2 5" xfId="11552" xr:uid="{6E29FE2F-3539-48ED-8309-EE2F81C86CD0}"/>
    <cellStyle name="Normal 4 6 2 3 2 3" xfId="5186" xr:uid="{00000000-0005-0000-0000-000030160000}"/>
    <cellStyle name="Normal 4 6 2 3 2 3 2" xfId="22063" xr:uid="{7FA11E6B-2FB5-4A83-B713-1B1EB0A1E583}"/>
    <cellStyle name="Normal 4 6 2 3 2 3 3" xfId="30497" xr:uid="{FB4B8B57-E7B9-4B4B-9495-ADDA531F3390}"/>
    <cellStyle name="Normal 4 6 2 3 2 3 4" xfId="13625" xr:uid="{8C4058E6-65C1-46F0-8200-8BD2FB12AB3C}"/>
    <cellStyle name="Normal 4 6 2 3 2 4" xfId="17845" xr:uid="{8F88161B-AB4F-41F1-9CB4-74EC1AC92CB6}"/>
    <cellStyle name="Normal 4 6 2 3 2 5" xfId="26280" xr:uid="{8189E021-2C33-4C14-B849-6611AD566A3B}"/>
    <cellStyle name="Normal 4 6 2 3 2 6" xfId="9407" xr:uid="{F86C98C6-6BAB-4492-A1C0-89B9E65C9553}"/>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24621" xr:uid="{B2458170-2A32-4F36-AB81-F1FA22EF9DAA}"/>
    <cellStyle name="Normal 4 6 2 3 3 2 2 3" xfId="33055" xr:uid="{D88AEF84-CDDF-49BA-A0F8-C18B730CA5FB}"/>
    <cellStyle name="Normal 4 6 2 3 3 2 2 4" xfId="16183" xr:uid="{0E5A4C40-DC03-4734-9DB3-9060B5FB7E88}"/>
    <cellStyle name="Normal 4 6 2 3 3 2 3" xfId="20403" xr:uid="{C10D7565-8CF0-49EF-9888-91BE8A2BCBFC}"/>
    <cellStyle name="Normal 4 6 2 3 3 2 4" xfId="28838" xr:uid="{B0630806-3DFD-4722-83DE-2D7C180B73AB}"/>
    <cellStyle name="Normal 4 6 2 3 3 2 5" xfId="11965" xr:uid="{4258043A-6533-46DE-92F7-CDBDCBF98C0B}"/>
    <cellStyle name="Normal 4 6 2 3 3 3" xfId="5599" xr:uid="{00000000-0005-0000-0000-000034160000}"/>
    <cellStyle name="Normal 4 6 2 3 3 3 2" xfId="22476" xr:uid="{1517FD44-071F-432C-A20E-DEAF088506CE}"/>
    <cellStyle name="Normal 4 6 2 3 3 3 3" xfId="30910" xr:uid="{86967F82-F486-4997-98FF-7493B0CF926E}"/>
    <cellStyle name="Normal 4 6 2 3 3 3 4" xfId="14038" xr:uid="{6B542EC2-87E3-48BF-834B-398BEF9FEE9F}"/>
    <cellStyle name="Normal 4 6 2 3 3 4" xfId="18258" xr:uid="{2DF87209-4D47-4CF8-9714-6A040B57AB71}"/>
    <cellStyle name="Normal 4 6 2 3 3 5" xfId="26693" xr:uid="{91C69538-4225-4B6B-AC07-EA5D37DB9B04}"/>
    <cellStyle name="Normal 4 6 2 3 3 6" xfId="9820" xr:uid="{195848B2-FD3C-48CC-86D1-66FBB5A6644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25034" xr:uid="{35EA9479-088B-4A1A-9488-9407857939C1}"/>
    <cellStyle name="Normal 4 6 2 3 4 2 2 3" xfId="33468" xr:uid="{34879498-08B0-4ACE-BA3F-C510D21917FE}"/>
    <cellStyle name="Normal 4 6 2 3 4 2 2 4" xfId="16596" xr:uid="{EA51A977-D29F-420D-93D7-ACA335797FF6}"/>
    <cellStyle name="Normal 4 6 2 3 4 2 3" xfId="20816" xr:uid="{2BFB926E-FF91-41F3-9EB9-B6A6ADDC35E8}"/>
    <cellStyle name="Normal 4 6 2 3 4 2 4" xfId="29251" xr:uid="{C72F4A0B-F024-4914-9CB7-496191C84161}"/>
    <cellStyle name="Normal 4 6 2 3 4 2 5" xfId="12378" xr:uid="{63EAF72C-5F3C-4877-9768-99AFC7CBA3A8}"/>
    <cellStyle name="Normal 4 6 2 3 4 3" xfId="6012" xr:uid="{00000000-0005-0000-0000-000038160000}"/>
    <cellStyle name="Normal 4 6 2 3 4 3 2" xfId="22889" xr:uid="{CD3294D2-5704-4EF5-8676-7ED01A086617}"/>
    <cellStyle name="Normal 4 6 2 3 4 3 3" xfId="31323" xr:uid="{F7830698-05D8-400E-B010-2A964B3EEAE7}"/>
    <cellStyle name="Normal 4 6 2 3 4 3 4" xfId="14451" xr:uid="{ABA9CFC7-035A-40E0-98B3-612CEEF6215D}"/>
    <cellStyle name="Normal 4 6 2 3 4 4" xfId="18671" xr:uid="{35A994F6-9E8E-4332-B15D-565FC7906513}"/>
    <cellStyle name="Normal 4 6 2 3 4 5" xfId="27106" xr:uid="{9F5A4CBB-E301-48A4-840E-E2CD97F56E84}"/>
    <cellStyle name="Normal 4 6 2 3 4 6" xfId="10233" xr:uid="{2B715A7C-F43E-4D4A-BC7F-A1162A99B9EE}"/>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25447" xr:uid="{E05FD8A0-F7F1-473C-BF37-CF0075F48B9F}"/>
    <cellStyle name="Normal 4 6 2 3 5 2 2 3" xfId="33881" xr:uid="{21C2750C-BEA7-4323-9AF7-34DB88E1B898}"/>
    <cellStyle name="Normal 4 6 2 3 5 2 2 4" xfId="17009" xr:uid="{76D57D80-859C-4840-A7E4-643B074CFB50}"/>
    <cellStyle name="Normal 4 6 2 3 5 2 3" xfId="21229" xr:uid="{0EEC42F7-A4DB-44EA-88B8-137B4D31F5FC}"/>
    <cellStyle name="Normal 4 6 2 3 5 2 4" xfId="29664" xr:uid="{3CBBF948-E549-4F5F-B916-5246D2645989}"/>
    <cellStyle name="Normal 4 6 2 3 5 2 5" xfId="12791" xr:uid="{89A611A2-2D98-419A-AED1-23FCC0F9E991}"/>
    <cellStyle name="Normal 4 6 2 3 5 3" xfId="6425" xr:uid="{00000000-0005-0000-0000-00003C160000}"/>
    <cellStyle name="Normal 4 6 2 3 5 3 2" xfId="23302" xr:uid="{8F35C948-670D-4342-986D-5C7B748C193B}"/>
    <cellStyle name="Normal 4 6 2 3 5 3 3" xfId="31736" xr:uid="{70A4D45F-63E1-4934-B7D9-5BBE4AE2A782}"/>
    <cellStyle name="Normal 4 6 2 3 5 3 4" xfId="14864" xr:uid="{B64D250B-1AA6-444B-BDB1-C550CEB5308A}"/>
    <cellStyle name="Normal 4 6 2 3 5 4" xfId="19084" xr:uid="{003D6B30-B87A-49CF-BD04-C6AED229162B}"/>
    <cellStyle name="Normal 4 6 2 3 5 5" xfId="27519" xr:uid="{668917DA-E186-4B5B-84B6-AAB331DBC0F5}"/>
    <cellStyle name="Normal 4 6 2 3 5 6" xfId="10646" xr:uid="{9E117C73-CB1C-46B5-88F7-AF94841B1F49}"/>
    <cellStyle name="Normal 4 6 2 3 6" xfId="2554" xr:uid="{00000000-0005-0000-0000-00003D160000}"/>
    <cellStyle name="Normal 4 6 2 3 6 2" xfId="6838" xr:uid="{00000000-0005-0000-0000-00003E160000}"/>
    <cellStyle name="Normal 4 6 2 3 6 2 2" xfId="23715" xr:uid="{FCD72EDF-B7E7-4AD8-A980-1AD5AFB4DA85}"/>
    <cellStyle name="Normal 4 6 2 3 6 2 3" xfId="32149" xr:uid="{DD52D13C-3F35-4B16-BBED-3CB3D5A53F1E}"/>
    <cellStyle name="Normal 4 6 2 3 6 2 4" xfId="15277" xr:uid="{3A1F9BDF-88E0-4AD8-9A21-0814F6257381}"/>
    <cellStyle name="Normal 4 6 2 3 6 3" xfId="19497" xr:uid="{F2A10060-2146-4527-8914-2BD2F8EE9E23}"/>
    <cellStyle name="Normal 4 6 2 3 6 4" xfId="27932" xr:uid="{22BEF0AD-3387-45DB-8D66-7BB77A85DAD0}"/>
    <cellStyle name="Normal 4 6 2 3 6 5" xfId="11059" xr:uid="{582FD8AC-465C-49F5-87F8-9A373FFAF9E3}"/>
    <cellStyle name="Normal 4 6 2 3 7" xfId="4773" xr:uid="{00000000-0005-0000-0000-00003F160000}"/>
    <cellStyle name="Normal 4 6 2 3 7 2" xfId="21650" xr:uid="{4DDF5B77-34A4-4A6D-B63B-68275CA2C6B5}"/>
    <cellStyle name="Normal 4 6 2 3 7 3" xfId="30084" xr:uid="{2F948A45-281B-4C50-9428-1A3299C4DD3E}"/>
    <cellStyle name="Normal 4 6 2 3 7 4" xfId="13212" xr:uid="{213B8B2D-5A25-40B9-980B-C381D87C4DAF}"/>
    <cellStyle name="Normal 4 6 2 3 8" xfId="17432" xr:uid="{6A132A29-C77D-4FBB-A570-E446BFE33D7A}"/>
    <cellStyle name="Normal 4 6 2 3 9" xfId="25867" xr:uid="{D7544551-C883-491F-AB0E-2ABFB47A905B}"/>
    <cellStyle name="Normal 4 6 2 4" xfId="870" xr:uid="{00000000-0005-0000-0000-000040160000}"/>
    <cellStyle name="Normal 4 6 2 4 2" xfId="3105" xr:uid="{00000000-0005-0000-0000-000041160000}"/>
    <cellStyle name="Normal 4 6 2 4 2 2" xfId="7328" xr:uid="{00000000-0005-0000-0000-000042160000}"/>
    <cellStyle name="Normal 4 6 2 4 2 2 2" xfId="24205" xr:uid="{CD761095-C274-4270-B1EC-62415FCFCE86}"/>
    <cellStyle name="Normal 4 6 2 4 2 2 3" xfId="32639" xr:uid="{C2C4B5BE-6E90-486D-A53A-D1B03E360629}"/>
    <cellStyle name="Normal 4 6 2 4 2 2 4" xfId="15767" xr:uid="{CA722B3E-E7FA-4F3D-B469-4313599D23E8}"/>
    <cellStyle name="Normal 4 6 2 4 2 3" xfId="19987" xr:uid="{89FE9AC8-0CA5-4DA1-A574-36885D42EBE9}"/>
    <cellStyle name="Normal 4 6 2 4 2 4" xfId="28422" xr:uid="{B087B181-F122-4D39-AF4C-0D030B04817A}"/>
    <cellStyle name="Normal 4 6 2 4 2 5" xfId="11549" xr:uid="{302BF3E8-B43E-4319-9EAC-BE2CD3134A0A}"/>
    <cellStyle name="Normal 4 6 2 4 3" xfId="5183" xr:uid="{00000000-0005-0000-0000-000043160000}"/>
    <cellStyle name="Normal 4 6 2 4 3 2" xfId="22060" xr:uid="{A4EE1695-B2F8-4A2B-8CE7-A358F28A9ACF}"/>
    <cellStyle name="Normal 4 6 2 4 3 3" xfId="30494" xr:uid="{0E29DC6E-C00D-4E35-9E7D-B5B74BDD1D2A}"/>
    <cellStyle name="Normal 4 6 2 4 3 4" xfId="13622" xr:uid="{5710669F-77F6-4167-B665-3A0C55E8A07B}"/>
    <cellStyle name="Normal 4 6 2 4 4" xfId="17842" xr:uid="{715D6837-BFE0-44C3-A35A-CA3D82CB8BAA}"/>
    <cellStyle name="Normal 4 6 2 4 5" xfId="26277" xr:uid="{7686D5B9-FB2D-468C-A668-A63C770B48F2}"/>
    <cellStyle name="Normal 4 6 2 4 6" xfId="9404" xr:uid="{075AB7BF-6498-498E-ADC7-8F52E3D0F857}"/>
    <cellStyle name="Normal 4 6 2 5" xfId="1288" xr:uid="{00000000-0005-0000-0000-000044160000}"/>
    <cellStyle name="Normal 4 6 2 5 2" xfId="3518" xr:uid="{00000000-0005-0000-0000-000045160000}"/>
    <cellStyle name="Normal 4 6 2 5 2 2" xfId="7741" xr:uid="{00000000-0005-0000-0000-000046160000}"/>
    <cellStyle name="Normal 4 6 2 5 2 2 2" xfId="24618" xr:uid="{E41AB541-F99B-4EF9-A480-40527CD176CE}"/>
    <cellStyle name="Normal 4 6 2 5 2 2 3" xfId="33052" xr:uid="{D1FBAB6C-17A2-47CE-981B-032FDC7DB9AA}"/>
    <cellStyle name="Normal 4 6 2 5 2 2 4" xfId="16180" xr:uid="{7E2F7120-79D8-4C93-AA46-D9E07D521118}"/>
    <cellStyle name="Normal 4 6 2 5 2 3" xfId="20400" xr:uid="{A35129DE-3D3D-491C-8E1C-4E9CE4D89A9D}"/>
    <cellStyle name="Normal 4 6 2 5 2 4" xfId="28835" xr:uid="{D9958610-DBF2-4822-9764-5B92D5D79C53}"/>
    <cellStyle name="Normal 4 6 2 5 2 5" xfId="11962" xr:uid="{D76D00E8-6645-4844-BAF9-B63C51E99FE3}"/>
    <cellStyle name="Normal 4 6 2 5 3" xfId="5596" xr:uid="{00000000-0005-0000-0000-000047160000}"/>
    <cellStyle name="Normal 4 6 2 5 3 2" xfId="22473" xr:uid="{6A441E16-6880-4D00-B2FB-776E545AC9A8}"/>
    <cellStyle name="Normal 4 6 2 5 3 3" xfId="30907" xr:uid="{8312890E-0324-478E-8649-A734EF69F79D}"/>
    <cellStyle name="Normal 4 6 2 5 3 4" xfId="14035" xr:uid="{FA7DC1B3-D9F8-45C1-A2A3-EC12AF0BED47}"/>
    <cellStyle name="Normal 4 6 2 5 4" xfId="18255" xr:uid="{FFCA70F2-03C7-45D0-AF71-117C70B154E1}"/>
    <cellStyle name="Normal 4 6 2 5 5" xfId="26690" xr:uid="{1E58CD2E-729D-4B51-AF65-AB67A982E0D6}"/>
    <cellStyle name="Normal 4 6 2 5 6" xfId="9817" xr:uid="{41BDF637-6D1E-4439-B9A0-45BDDC5849B8}"/>
    <cellStyle name="Normal 4 6 2 6" xfId="1701" xr:uid="{00000000-0005-0000-0000-000048160000}"/>
    <cellStyle name="Normal 4 6 2 6 2" xfId="3931" xr:uid="{00000000-0005-0000-0000-000049160000}"/>
    <cellStyle name="Normal 4 6 2 6 2 2" xfId="8154" xr:uid="{00000000-0005-0000-0000-00004A160000}"/>
    <cellStyle name="Normal 4 6 2 6 2 2 2" xfId="25031" xr:uid="{FAF9543B-13E5-4DEF-9215-80A3E57CAA34}"/>
    <cellStyle name="Normal 4 6 2 6 2 2 3" xfId="33465" xr:uid="{70043B00-AFD6-41B4-9580-A6F59393AAC2}"/>
    <cellStyle name="Normal 4 6 2 6 2 2 4" xfId="16593" xr:uid="{6B7400F3-F551-4342-97BA-792EF0C53A57}"/>
    <cellStyle name="Normal 4 6 2 6 2 3" xfId="20813" xr:uid="{6145379D-F840-4FC1-8CF7-27C80A5FB451}"/>
    <cellStyle name="Normal 4 6 2 6 2 4" xfId="29248" xr:uid="{82A5C4B4-3497-4551-A7AD-3908DB9A3F5B}"/>
    <cellStyle name="Normal 4 6 2 6 2 5" xfId="12375" xr:uid="{38100674-67D3-4560-B38F-5633B2E062C3}"/>
    <cellStyle name="Normal 4 6 2 6 3" xfId="6009" xr:uid="{00000000-0005-0000-0000-00004B160000}"/>
    <cellStyle name="Normal 4 6 2 6 3 2" xfId="22886" xr:uid="{B3376A2D-83B5-4127-B0B0-D05549566FC7}"/>
    <cellStyle name="Normal 4 6 2 6 3 3" xfId="31320" xr:uid="{5925F3DF-CA0A-438A-9DDB-C34801546924}"/>
    <cellStyle name="Normal 4 6 2 6 3 4" xfId="14448" xr:uid="{6CE34557-42CD-4270-B8D0-FA2730B72D39}"/>
    <cellStyle name="Normal 4 6 2 6 4" xfId="18668" xr:uid="{39890548-96A7-4F3F-A89B-1EC44D7EE64A}"/>
    <cellStyle name="Normal 4 6 2 6 5" xfId="27103" xr:uid="{DF1F258D-FDAA-4714-8C32-4633782FE776}"/>
    <cellStyle name="Normal 4 6 2 6 6" xfId="10230" xr:uid="{F99D4732-CDAE-4991-A6FE-5C6169F3583D}"/>
    <cellStyle name="Normal 4 6 2 7" xfId="2115" xr:uid="{00000000-0005-0000-0000-00004C160000}"/>
    <cellStyle name="Normal 4 6 2 7 2" xfId="4344" xr:uid="{00000000-0005-0000-0000-00004D160000}"/>
    <cellStyle name="Normal 4 6 2 7 2 2" xfId="8567" xr:uid="{00000000-0005-0000-0000-00004E160000}"/>
    <cellStyle name="Normal 4 6 2 7 2 2 2" xfId="25444" xr:uid="{2F7DE3C7-5874-4E1C-B6A6-593D67826BE3}"/>
    <cellStyle name="Normal 4 6 2 7 2 2 3" xfId="33878" xr:uid="{C932EDAA-8FDE-40D7-8011-398B04A81C88}"/>
    <cellStyle name="Normal 4 6 2 7 2 2 4" xfId="17006" xr:uid="{22D70E4A-6D8E-4B06-A379-C575851411E6}"/>
    <cellStyle name="Normal 4 6 2 7 2 3" xfId="21226" xr:uid="{9A289030-6464-4EE8-A417-28DE35504CEB}"/>
    <cellStyle name="Normal 4 6 2 7 2 4" xfId="29661" xr:uid="{5E7CE496-9693-4A16-8717-B4808F3B89B1}"/>
    <cellStyle name="Normal 4 6 2 7 2 5" xfId="12788" xr:uid="{DA21D3F2-A65D-4AF6-A80D-6CF18C0C2AD9}"/>
    <cellStyle name="Normal 4 6 2 7 3" xfId="6422" xr:uid="{00000000-0005-0000-0000-00004F160000}"/>
    <cellStyle name="Normal 4 6 2 7 3 2" xfId="23299" xr:uid="{10EF55DC-4CCA-446B-AE8A-A028274F31C5}"/>
    <cellStyle name="Normal 4 6 2 7 3 3" xfId="31733" xr:uid="{515C671F-464F-45DB-81F0-3B868998CC8B}"/>
    <cellStyle name="Normal 4 6 2 7 3 4" xfId="14861" xr:uid="{F8F170F3-2D71-4996-87EA-0E37E554CB53}"/>
    <cellStyle name="Normal 4 6 2 7 4" xfId="19081" xr:uid="{03AD5F76-0A00-413C-AB5B-E11953725B20}"/>
    <cellStyle name="Normal 4 6 2 7 5" xfId="27516" xr:uid="{567B11D5-E447-4764-8F97-C037374A7488}"/>
    <cellStyle name="Normal 4 6 2 7 6" xfId="10643" xr:uid="{3014342E-7265-4B52-9719-EE47555EF1E1}"/>
    <cellStyle name="Normal 4 6 2 8" xfId="2551" xr:uid="{00000000-0005-0000-0000-000050160000}"/>
    <cellStyle name="Normal 4 6 2 8 2" xfId="6835" xr:uid="{00000000-0005-0000-0000-000051160000}"/>
    <cellStyle name="Normal 4 6 2 8 2 2" xfId="23712" xr:uid="{126F8AD6-4555-4585-BCA1-425961D149D2}"/>
    <cellStyle name="Normal 4 6 2 8 2 3" xfId="32146" xr:uid="{0A35BF2C-40C9-4089-A65B-F2765A418203}"/>
    <cellStyle name="Normal 4 6 2 8 2 4" xfId="15274" xr:uid="{9A48A7DE-E1AC-4BF3-9B43-3FF089F325EA}"/>
    <cellStyle name="Normal 4 6 2 8 3" xfId="19494" xr:uid="{8A4472B2-8842-46F9-BCF9-9FCC50C19965}"/>
    <cellStyle name="Normal 4 6 2 8 4" xfId="27929" xr:uid="{0FAFEAE8-509A-4923-B273-4C1740096C7C}"/>
    <cellStyle name="Normal 4 6 2 8 5" xfId="11056" xr:uid="{A59E1E49-A10C-4E83-9AB5-4AF824B02058}"/>
    <cellStyle name="Normal 4 6 2 9" xfId="4770" xr:uid="{00000000-0005-0000-0000-000052160000}"/>
    <cellStyle name="Normal 4 6 2 9 2" xfId="21647" xr:uid="{22D7624F-C035-49F8-A111-A3E3D850607A}"/>
    <cellStyle name="Normal 4 6 2 9 3" xfId="30081" xr:uid="{19B159D5-D775-46CD-B6C1-34F20EE94BC8}"/>
    <cellStyle name="Normal 4 6 2 9 4" xfId="13209" xr:uid="{FB814E04-EE74-46FC-ABF7-AEDDEAADD0B5}"/>
    <cellStyle name="Normal 4 6 3" xfId="400" xr:uid="{00000000-0005-0000-0000-000053160000}"/>
    <cellStyle name="Normal 4 6 3 10" xfId="25868" xr:uid="{E6BC4F21-E6D8-41AF-9FD1-C4B878850A1B}"/>
    <cellStyle name="Normal 4 6 3 11" xfId="8995" xr:uid="{54331783-B448-4E1C-B436-7C18620C6BB4}"/>
    <cellStyle name="Normal 4 6 3 2" xfId="401" xr:uid="{00000000-0005-0000-0000-000054160000}"/>
    <cellStyle name="Normal 4 6 3 2 10" xfId="8996" xr:uid="{32C7D0A8-23DE-4403-A9CC-BA0AEA3AFCE8}"/>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24210" xr:uid="{0B765A17-9C4A-4BF1-B217-54FCA36D67A7}"/>
    <cellStyle name="Normal 4 6 3 2 2 2 2 3" xfId="32644" xr:uid="{7FC643E3-977A-46A9-BC5B-979F65571B32}"/>
    <cellStyle name="Normal 4 6 3 2 2 2 2 4" xfId="15772" xr:uid="{3C7676D3-F92F-421C-82D3-7B7598B42C80}"/>
    <cellStyle name="Normal 4 6 3 2 2 2 3" xfId="19992" xr:uid="{BF8F49DC-6FA8-460E-87DD-9122936B8084}"/>
    <cellStyle name="Normal 4 6 3 2 2 2 4" xfId="28427" xr:uid="{89AE3013-DB6D-47BC-B3BE-6E81033CBBFB}"/>
    <cellStyle name="Normal 4 6 3 2 2 2 5" xfId="11554" xr:uid="{5C0CD732-2642-46A6-9C08-8D20D21377DE}"/>
    <cellStyle name="Normal 4 6 3 2 2 3" xfId="5188" xr:uid="{00000000-0005-0000-0000-000058160000}"/>
    <cellStyle name="Normal 4 6 3 2 2 3 2" xfId="22065" xr:uid="{5443E522-30B7-442C-84C7-D3580BCF4EB8}"/>
    <cellStyle name="Normal 4 6 3 2 2 3 3" xfId="30499" xr:uid="{7E4FB2F1-6FB0-4793-9530-E28A669FC386}"/>
    <cellStyle name="Normal 4 6 3 2 2 3 4" xfId="13627" xr:uid="{504F631B-569A-4F90-8014-96B5CE0BCDD6}"/>
    <cellStyle name="Normal 4 6 3 2 2 4" xfId="17847" xr:uid="{15209CF2-1C77-4DD6-8212-AD26F95C6269}"/>
    <cellStyle name="Normal 4 6 3 2 2 5" xfId="26282" xr:uid="{9318C47B-9BC0-4929-8E79-7D317D3CEC62}"/>
    <cellStyle name="Normal 4 6 3 2 2 6" xfId="9409" xr:uid="{CF4EE657-79EC-4F20-9A90-762A8ECAFB21}"/>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24623" xr:uid="{2587B839-9260-4C8A-AFB1-C156C8DD358E}"/>
    <cellStyle name="Normal 4 6 3 2 3 2 2 3" xfId="33057" xr:uid="{9693E2D2-5E7C-45C6-8A9C-60EDC9452027}"/>
    <cellStyle name="Normal 4 6 3 2 3 2 2 4" xfId="16185" xr:uid="{62707728-7E3B-4234-8C57-BAFEDF5F71D7}"/>
    <cellStyle name="Normal 4 6 3 2 3 2 3" xfId="20405" xr:uid="{6D3ED279-7C55-4CB4-96F5-0F99309CD8D3}"/>
    <cellStyle name="Normal 4 6 3 2 3 2 4" xfId="28840" xr:uid="{83FE00C8-04B1-4447-B503-CD2AEB1B820C}"/>
    <cellStyle name="Normal 4 6 3 2 3 2 5" xfId="11967" xr:uid="{8EACDF02-7167-4E29-92B9-8FCA3360C776}"/>
    <cellStyle name="Normal 4 6 3 2 3 3" xfId="5601" xr:uid="{00000000-0005-0000-0000-00005C160000}"/>
    <cellStyle name="Normal 4 6 3 2 3 3 2" xfId="22478" xr:uid="{A4976A86-0420-4D04-813F-167B07ED8FBC}"/>
    <cellStyle name="Normal 4 6 3 2 3 3 3" xfId="30912" xr:uid="{3C3FF61B-D8C8-4940-90B2-6C609E7AD3C1}"/>
    <cellStyle name="Normal 4 6 3 2 3 3 4" xfId="14040" xr:uid="{0E604D58-8E2C-4BA4-A62C-40DAE059CF89}"/>
    <cellStyle name="Normal 4 6 3 2 3 4" xfId="18260" xr:uid="{1F125083-F40A-4F49-BFD4-FB41EF1C8C24}"/>
    <cellStyle name="Normal 4 6 3 2 3 5" xfId="26695" xr:uid="{FC5692BE-223E-4A69-85A0-36902F413207}"/>
    <cellStyle name="Normal 4 6 3 2 3 6" xfId="9822" xr:uid="{2CB9759F-F4B2-4CA2-9044-EF13711056DF}"/>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25036" xr:uid="{0FBE6DE8-DAE3-45E7-A8D0-38DF9625728E}"/>
    <cellStyle name="Normal 4 6 3 2 4 2 2 3" xfId="33470" xr:uid="{9F12451B-116D-4205-A443-B9C8E25D058B}"/>
    <cellStyle name="Normal 4 6 3 2 4 2 2 4" xfId="16598" xr:uid="{312DF13C-F2D6-4FA1-B419-86D1EAC7D44E}"/>
    <cellStyle name="Normal 4 6 3 2 4 2 3" xfId="20818" xr:uid="{AA4709E5-88EE-4A07-A9AB-BE647212504F}"/>
    <cellStyle name="Normal 4 6 3 2 4 2 4" xfId="29253" xr:uid="{3ECD2632-C059-4340-B7E5-607E967B18C4}"/>
    <cellStyle name="Normal 4 6 3 2 4 2 5" xfId="12380" xr:uid="{A3167EDA-7460-41C2-ABFC-7E5982AB846C}"/>
    <cellStyle name="Normal 4 6 3 2 4 3" xfId="6014" xr:uid="{00000000-0005-0000-0000-000060160000}"/>
    <cellStyle name="Normal 4 6 3 2 4 3 2" xfId="22891" xr:uid="{E9DCFA5F-BD0F-4D03-9F40-F17FA9BEFB16}"/>
    <cellStyle name="Normal 4 6 3 2 4 3 3" xfId="31325" xr:uid="{2772AAFA-630B-4B02-8D9B-39864532576C}"/>
    <cellStyle name="Normal 4 6 3 2 4 3 4" xfId="14453" xr:uid="{AA446CCE-0132-4C64-B53B-0AE701324C4D}"/>
    <cellStyle name="Normal 4 6 3 2 4 4" xfId="18673" xr:uid="{E1B8FD4E-96D0-4D89-A9CB-A6B28CD1FA55}"/>
    <cellStyle name="Normal 4 6 3 2 4 5" xfId="27108" xr:uid="{3C621105-32B0-4CF7-9133-DD55135C9D9B}"/>
    <cellStyle name="Normal 4 6 3 2 4 6" xfId="10235" xr:uid="{8DB40192-CC3B-4319-92BA-B1DFB0655FCF}"/>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25449" xr:uid="{278400F5-72C9-4791-87F3-DE2E248160E4}"/>
    <cellStyle name="Normal 4 6 3 2 5 2 2 3" xfId="33883" xr:uid="{0439C1B0-4F58-4726-88F4-612CF8EA10DA}"/>
    <cellStyle name="Normal 4 6 3 2 5 2 2 4" xfId="17011" xr:uid="{47C11369-CB65-439E-AB3F-F3ACFA250A40}"/>
    <cellStyle name="Normal 4 6 3 2 5 2 3" xfId="21231" xr:uid="{C08E5CC8-E5AD-4EF2-B7AA-2D0CCDF98736}"/>
    <cellStyle name="Normal 4 6 3 2 5 2 4" xfId="29666" xr:uid="{02C5938B-7486-4761-9E20-F40F9616F5A7}"/>
    <cellStyle name="Normal 4 6 3 2 5 2 5" xfId="12793" xr:uid="{565F01E9-B32B-4596-9528-E27CE9EB0274}"/>
    <cellStyle name="Normal 4 6 3 2 5 3" xfId="6427" xr:uid="{00000000-0005-0000-0000-000064160000}"/>
    <cellStyle name="Normal 4 6 3 2 5 3 2" xfId="23304" xr:uid="{F56D7EA9-E50E-4A14-9C91-6CD8A1F56E7D}"/>
    <cellStyle name="Normal 4 6 3 2 5 3 3" xfId="31738" xr:uid="{7111FE56-953F-4AB4-820A-A05D9D7F9DB9}"/>
    <cellStyle name="Normal 4 6 3 2 5 3 4" xfId="14866" xr:uid="{62AA8321-67E8-4C68-8664-E54150541740}"/>
    <cellStyle name="Normal 4 6 3 2 5 4" xfId="19086" xr:uid="{7CC41C2C-AACA-47B6-A299-493F7BCA60CF}"/>
    <cellStyle name="Normal 4 6 3 2 5 5" xfId="27521" xr:uid="{80292132-F0B2-42C6-AAB9-E45404E14EB3}"/>
    <cellStyle name="Normal 4 6 3 2 5 6" xfId="10648" xr:uid="{81A74DF7-53C7-48BD-8BED-8A3C18235F22}"/>
    <cellStyle name="Normal 4 6 3 2 6" xfId="2556" xr:uid="{00000000-0005-0000-0000-000065160000}"/>
    <cellStyle name="Normal 4 6 3 2 6 2" xfId="6840" xr:uid="{00000000-0005-0000-0000-000066160000}"/>
    <cellStyle name="Normal 4 6 3 2 6 2 2" xfId="23717" xr:uid="{04B16409-745E-40A9-A517-867D49C4FD78}"/>
    <cellStyle name="Normal 4 6 3 2 6 2 3" xfId="32151" xr:uid="{BD19372D-6E5F-49F9-ACA5-C9FF33186288}"/>
    <cellStyle name="Normal 4 6 3 2 6 2 4" xfId="15279" xr:uid="{AE6CFD38-6959-43A2-A282-3D0F7430C159}"/>
    <cellStyle name="Normal 4 6 3 2 6 3" xfId="19499" xr:uid="{8A28F0C1-6E35-4CA8-B477-A680ECF2EB76}"/>
    <cellStyle name="Normal 4 6 3 2 6 4" xfId="27934" xr:uid="{927521C5-FB00-40E8-B347-FECFE94CCDD5}"/>
    <cellStyle name="Normal 4 6 3 2 6 5" xfId="11061" xr:uid="{46A67C25-C873-4ED8-904D-6CF11A65A064}"/>
    <cellStyle name="Normal 4 6 3 2 7" xfId="4775" xr:uid="{00000000-0005-0000-0000-000067160000}"/>
    <cellStyle name="Normal 4 6 3 2 7 2" xfId="21652" xr:uid="{A2B62885-ECE1-4D43-9209-3EC97C8EBDE9}"/>
    <cellStyle name="Normal 4 6 3 2 7 3" xfId="30086" xr:uid="{AAE3AB52-58DB-4FDF-B17F-C76A1AF7BB5B}"/>
    <cellStyle name="Normal 4 6 3 2 7 4" xfId="13214" xr:uid="{7CE60E3D-421B-4B0C-9F90-79EE0737DF0D}"/>
    <cellStyle name="Normal 4 6 3 2 8" xfId="17434" xr:uid="{DA2C86F4-9175-4777-B13D-2DC27DC3E257}"/>
    <cellStyle name="Normal 4 6 3 2 9" xfId="25869" xr:uid="{36C06E20-F925-41C8-8EB2-45F061F8EB49}"/>
    <cellStyle name="Normal 4 6 3 3" xfId="874" xr:uid="{00000000-0005-0000-0000-000068160000}"/>
    <cellStyle name="Normal 4 6 3 3 2" xfId="3109" xr:uid="{00000000-0005-0000-0000-000069160000}"/>
    <cellStyle name="Normal 4 6 3 3 2 2" xfId="7332" xr:uid="{00000000-0005-0000-0000-00006A160000}"/>
    <cellStyle name="Normal 4 6 3 3 2 2 2" xfId="24209" xr:uid="{0AB7AAA1-564B-49FB-B632-1A2909B2A9AE}"/>
    <cellStyle name="Normal 4 6 3 3 2 2 3" xfId="32643" xr:uid="{BF305DEA-2982-48D0-8DD9-EF59D87963EA}"/>
    <cellStyle name="Normal 4 6 3 3 2 2 4" xfId="15771" xr:uid="{CB13F110-CD27-4D75-964B-5D5118A2A9BF}"/>
    <cellStyle name="Normal 4 6 3 3 2 3" xfId="19991" xr:uid="{3B46F090-5E1D-4787-86F4-5DE7A441A7D7}"/>
    <cellStyle name="Normal 4 6 3 3 2 4" xfId="28426" xr:uid="{7DFC110E-CEED-4AA6-BF55-88528DC1C116}"/>
    <cellStyle name="Normal 4 6 3 3 2 5" xfId="11553" xr:uid="{6E03B826-9614-49AF-B69F-9269FBFC74B2}"/>
    <cellStyle name="Normal 4 6 3 3 3" xfId="5187" xr:uid="{00000000-0005-0000-0000-00006B160000}"/>
    <cellStyle name="Normal 4 6 3 3 3 2" xfId="22064" xr:uid="{A0F0B122-6E88-49FB-9A3E-92647DDDA646}"/>
    <cellStyle name="Normal 4 6 3 3 3 3" xfId="30498" xr:uid="{BD86F3C3-054F-4AFA-9DB3-FE93B1197DFE}"/>
    <cellStyle name="Normal 4 6 3 3 3 4" xfId="13626" xr:uid="{84D1F3C5-6B54-4E1F-A80C-A742BF535323}"/>
    <cellStyle name="Normal 4 6 3 3 4" xfId="17846" xr:uid="{A8DCC3AB-E923-4C99-A8C5-89054FAD923C}"/>
    <cellStyle name="Normal 4 6 3 3 5" xfId="26281" xr:uid="{9BFD09BF-B806-4EDC-B84D-EFF6F22754CD}"/>
    <cellStyle name="Normal 4 6 3 3 6" xfId="9408" xr:uid="{03B2D62E-B8A7-46D7-B44A-C9930CD4CDB1}"/>
    <cellStyle name="Normal 4 6 3 4" xfId="1292" xr:uid="{00000000-0005-0000-0000-00006C160000}"/>
    <cellStyle name="Normal 4 6 3 4 2" xfId="3522" xr:uid="{00000000-0005-0000-0000-00006D160000}"/>
    <cellStyle name="Normal 4 6 3 4 2 2" xfId="7745" xr:uid="{00000000-0005-0000-0000-00006E160000}"/>
    <cellStyle name="Normal 4 6 3 4 2 2 2" xfId="24622" xr:uid="{50F7A619-884B-42C6-9503-58F23CBFDA66}"/>
    <cellStyle name="Normal 4 6 3 4 2 2 3" xfId="33056" xr:uid="{8FCA880B-4498-47F0-B4BB-D708A6DF3008}"/>
    <cellStyle name="Normal 4 6 3 4 2 2 4" xfId="16184" xr:uid="{C94355A2-C8F6-439F-9CB0-2001D3864291}"/>
    <cellStyle name="Normal 4 6 3 4 2 3" xfId="20404" xr:uid="{9558840D-305B-4617-9B87-EA847505057A}"/>
    <cellStyle name="Normal 4 6 3 4 2 4" xfId="28839" xr:uid="{42272AA1-7297-42CF-92F6-A6D8645B3DAF}"/>
    <cellStyle name="Normal 4 6 3 4 2 5" xfId="11966" xr:uid="{E1717B1E-90BE-4691-B361-66F20F967AAA}"/>
    <cellStyle name="Normal 4 6 3 4 3" xfId="5600" xr:uid="{00000000-0005-0000-0000-00006F160000}"/>
    <cellStyle name="Normal 4 6 3 4 3 2" xfId="22477" xr:uid="{803671B1-65CB-46B7-B470-6133917CE21E}"/>
    <cellStyle name="Normal 4 6 3 4 3 3" xfId="30911" xr:uid="{60CF73A8-774C-4D3C-8C3F-CC1C3A8F97B1}"/>
    <cellStyle name="Normal 4 6 3 4 3 4" xfId="14039" xr:uid="{43F93557-E5B4-4D8F-9A61-607ED50A63B2}"/>
    <cellStyle name="Normal 4 6 3 4 4" xfId="18259" xr:uid="{37BDED3C-B607-485B-8A2D-BA1951BAC9A1}"/>
    <cellStyle name="Normal 4 6 3 4 5" xfId="26694" xr:uid="{2D2AE6A5-4653-4C57-A3C3-9F82A3E0A598}"/>
    <cellStyle name="Normal 4 6 3 4 6" xfId="9821" xr:uid="{529F3FD7-9947-4BC8-A4B3-1A8F25AAFF05}"/>
    <cellStyle name="Normal 4 6 3 5" xfId="1705" xr:uid="{00000000-0005-0000-0000-000070160000}"/>
    <cellStyle name="Normal 4 6 3 5 2" xfId="3935" xr:uid="{00000000-0005-0000-0000-000071160000}"/>
    <cellStyle name="Normal 4 6 3 5 2 2" xfId="8158" xr:uid="{00000000-0005-0000-0000-000072160000}"/>
    <cellStyle name="Normal 4 6 3 5 2 2 2" xfId="25035" xr:uid="{0A0A9C2A-B849-4778-A34A-5507C6AAAB90}"/>
    <cellStyle name="Normal 4 6 3 5 2 2 3" xfId="33469" xr:uid="{3EB61AAC-EA8D-4778-ADA5-5D356EB8F2D8}"/>
    <cellStyle name="Normal 4 6 3 5 2 2 4" xfId="16597" xr:uid="{E42FB7FC-4A9E-4A99-BD8B-916B99C50126}"/>
    <cellStyle name="Normal 4 6 3 5 2 3" xfId="20817" xr:uid="{DA1E801C-F1C8-467A-B9E9-39F8630991BD}"/>
    <cellStyle name="Normal 4 6 3 5 2 4" xfId="29252" xr:uid="{B504205F-6BBF-4644-A087-28B2C02B54F2}"/>
    <cellStyle name="Normal 4 6 3 5 2 5" xfId="12379" xr:uid="{319E4E4F-DBF7-4A0B-8EE6-FEB68EAF1E32}"/>
    <cellStyle name="Normal 4 6 3 5 3" xfId="6013" xr:uid="{00000000-0005-0000-0000-000073160000}"/>
    <cellStyle name="Normal 4 6 3 5 3 2" xfId="22890" xr:uid="{F131C5A6-6423-4BBA-9CA5-949C2162110C}"/>
    <cellStyle name="Normal 4 6 3 5 3 3" xfId="31324" xr:uid="{3C83F7B0-CCBE-4B7F-9DE2-907B81757195}"/>
    <cellStyle name="Normal 4 6 3 5 3 4" xfId="14452" xr:uid="{08556ED2-6424-4F67-AFAA-52D3A3C1CE4D}"/>
    <cellStyle name="Normal 4 6 3 5 4" xfId="18672" xr:uid="{E1833DD6-0C91-4153-9E56-EA5FECDF2BF2}"/>
    <cellStyle name="Normal 4 6 3 5 5" xfId="27107" xr:uid="{E6358B77-3287-448D-97A4-17FE69DB0CB2}"/>
    <cellStyle name="Normal 4 6 3 5 6" xfId="10234" xr:uid="{83201DF3-BEE9-4ADF-980A-402636A18B40}"/>
    <cellStyle name="Normal 4 6 3 6" xfId="2119" xr:uid="{00000000-0005-0000-0000-000074160000}"/>
    <cellStyle name="Normal 4 6 3 6 2" xfId="4348" xr:uid="{00000000-0005-0000-0000-000075160000}"/>
    <cellStyle name="Normal 4 6 3 6 2 2" xfId="8571" xr:uid="{00000000-0005-0000-0000-000076160000}"/>
    <cellStyle name="Normal 4 6 3 6 2 2 2" xfId="25448" xr:uid="{75F44596-E9E6-475F-937D-CE2DCEF2E379}"/>
    <cellStyle name="Normal 4 6 3 6 2 2 3" xfId="33882" xr:uid="{267E7CB3-5364-4EA0-A117-C96B188A8833}"/>
    <cellStyle name="Normal 4 6 3 6 2 2 4" xfId="17010" xr:uid="{32E1596D-6760-40F7-A81D-8AD19721373F}"/>
    <cellStyle name="Normal 4 6 3 6 2 3" xfId="21230" xr:uid="{013B7B8A-3DC8-4976-A1DE-176C38829240}"/>
    <cellStyle name="Normal 4 6 3 6 2 4" xfId="29665" xr:uid="{FBF0834B-8338-4C3D-AF4E-DBA3C5D778C7}"/>
    <cellStyle name="Normal 4 6 3 6 2 5" xfId="12792" xr:uid="{FDEB734D-3627-4EEE-8648-54DF00FAFE61}"/>
    <cellStyle name="Normal 4 6 3 6 3" xfId="6426" xr:uid="{00000000-0005-0000-0000-000077160000}"/>
    <cellStyle name="Normal 4 6 3 6 3 2" xfId="23303" xr:uid="{09D39411-2EF3-49C5-95D4-8FB9CB54A970}"/>
    <cellStyle name="Normal 4 6 3 6 3 3" xfId="31737" xr:uid="{31864829-0B7D-44BD-9ADD-3FE2CD5ED842}"/>
    <cellStyle name="Normal 4 6 3 6 3 4" xfId="14865" xr:uid="{581C7556-13D6-46A9-8716-415D68ED24F3}"/>
    <cellStyle name="Normal 4 6 3 6 4" xfId="19085" xr:uid="{AAEF05BB-B5D0-4DB3-A32C-9B8AB987C910}"/>
    <cellStyle name="Normal 4 6 3 6 5" xfId="27520" xr:uid="{59036F1B-8000-4823-8674-5AAF7DA8D1E0}"/>
    <cellStyle name="Normal 4 6 3 6 6" xfId="10647" xr:uid="{4289F82C-AEF6-4383-8654-2886602537FE}"/>
    <cellStyle name="Normal 4 6 3 7" xfId="2555" xr:uid="{00000000-0005-0000-0000-000078160000}"/>
    <cellStyle name="Normal 4 6 3 7 2" xfId="6839" xr:uid="{00000000-0005-0000-0000-000079160000}"/>
    <cellStyle name="Normal 4 6 3 7 2 2" xfId="23716" xr:uid="{7B858026-1F5C-4ACA-B33D-1C3B88DEE8BA}"/>
    <cellStyle name="Normal 4 6 3 7 2 3" xfId="32150" xr:uid="{2C524D1D-FD5A-4221-AB00-AD3163937CB4}"/>
    <cellStyle name="Normal 4 6 3 7 2 4" xfId="15278" xr:uid="{E2AADB05-31C2-4DD5-AB04-E4A60839D3F6}"/>
    <cellStyle name="Normal 4 6 3 7 3" xfId="19498" xr:uid="{D8705936-BC6B-4BFC-98BD-11E377EDA99E}"/>
    <cellStyle name="Normal 4 6 3 7 4" xfId="27933" xr:uid="{E5FFC809-D1A0-49A8-9644-CB033C389714}"/>
    <cellStyle name="Normal 4 6 3 7 5" xfId="11060" xr:uid="{7F47806F-D377-45F4-8B37-0831E0519CCC}"/>
    <cellStyle name="Normal 4 6 3 8" xfId="4774" xr:uid="{00000000-0005-0000-0000-00007A160000}"/>
    <cellStyle name="Normal 4 6 3 8 2" xfId="21651" xr:uid="{FA60DA5B-243F-4CE3-ABCF-B89A68D33236}"/>
    <cellStyle name="Normal 4 6 3 8 3" xfId="30085" xr:uid="{ED597BD1-2C10-4420-870C-4CED8D3A8686}"/>
    <cellStyle name="Normal 4 6 3 8 4" xfId="13213" xr:uid="{EFF3CBE3-549B-47BA-A34F-6E722056694A}"/>
    <cellStyle name="Normal 4 6 3 9" xfId="17433" xr:uid="{97AE1BB4-8C2A-448C-8C37-253635AB91E8}"/>
    <cellStyle name="Normal 4 6 4" xfId="402" xr:uid="{00000000-0005-0000-0000-00007B160000}"/>
    <cellStyle name="Normal 4 6 4 10" xfId="8997" xr:uid="{FF49CE9D-356F-4898-AE90-FFC73A6B2577}"/>
    <cellStyle name="Normal 4 6 4 2" xfId="876" xr:uid="{00000000-0005-0000-0000-00007C160000}"/>
    <cellStyle name="Normal 4 6 4 2 2" xfId="3111" xr:uid="{00000000-0005-0000-0000-00007D160000}"/>
    <cellStyle name="Normal 4 6 4 2 2 2" xfId="7334" xr:uid="{00000000-0005-0000-0000-00007E160000}"/>
    <cellStyle name="Normal 4 6 4 2 2 2 2" xfId="24211" xr:uid="{63807AA7-F25F-490E-A4FA-8A7EAAF7FE6C}"/>
    <cellStyle name="Normal 4 6 4 2 2 2 3" xfId="32645" xr:uid="{FF61BD5A-B2E0-45A1-BCB7-EE4F2FD57697}"/>
    <cellStyle name="Normal 4 6 4 2 2 2 4" xfId="15773" xr:uid="{B818D6AD-F862-48F6-9FF0-A301271F2FBD}"/>
    <cellStyle name="Normal 4 6 4 2 2 3" xfId="19993" xr:uid="{489FE35F-EE71-4691-A63F-A0672C20309E}"/>
    <cellStyle name="Normal 4 6 4 2 2 4" xfId="28428" xr:uid="{208728E3-E871-425F-A485-362AECFD0730}"/>
    <cellStyle name="Normal 4 6 4 2 2 5" xfId="11555" xr:uid="{E260339A-D866-4CA5-AF43-0F604FD33242}"/>
    <cellStyle name="Normal 4 6 4 2 3" xfId="5189" xr:uid="{00000000-0005-0000-0000-00007F160000}"/>
    <cellStyle name="Normal 4 6 4 2 3 2" xfId="22066" xr:uid="{032EC221-6BE1-4933-9441-DBC0CBF5AF0E}"/>
    <cellStyle name="Normal 4 6 4 2 3 3" xfId="30500" xr:uid="{6E33E677-41BB-4B25-AF3F-AAA49A1A2D75}"/>
    <cellStyle name="Normal 4 6 4 2 3 4" xfId="13628" xr:uid="{E9A33B07-72F5-4CED-B752-3CB6EE24BC95}"/>
    <cellStyle name="Normal 4 6 4 2 4" xfId="17848" xr:uid="{8DB47CDC-90A3-4DDC-BA5C-2949FA0DE0BC}"/>
    <cellStyle name="Normal 4 6 4 2 5" xfId="26283" xr:uid="{7FFA4855-B830-44AD-AC57-B7B6CD0730ED}"/>
    <cellStyle name="Normal 4 6 4 2 6" xfId="9410" xr:uid="{AD576550-B303-41D3-A03A-2AB680FF4031}"/>
    <cellStyle name="Normal 4 6 4 3" xfId="1294" xr:uid="{00000000-0005-0000-0000-000080160000}"/>
    <cellStyle name="Normal 4 6 4 3 2" xfId="3524" xr:uid="{00000000-0005-0000-0000-000081160000}"/>
    <cellStyle name="Normal 4 6 4 3 2 2" xfId="7747" xr:uid="{00000000-0005-0000-0000-000082160000}"/>
    <cellStyle name="Normal 4 6 4 3 2 2 2" xfId="24624" xr:uid="{5AEC27F1-5EEC-4310-AEFC-DC824C67C017}"/>
    <cellStyle name="Normal 4 6 4 3 2 2 3" xfId="33058" xr:uid="{3579C351-879B-40E9-A4DC-D5FDD0E287D9}"/>
    <cellStyle name="Normal 4 6 4 3 2 2 4" xfId="16186" xr:uid="{0BEBAE75-EB25-47D6-94BA-4FD4244C6CB2}"/>
    <cellStyle name="Normal 4 6 4 3 2 3" xfId="20406" xr:uid="{72E7B189-F9E6-4074-B527-4566A8D8EB98}"/>
    <cellStyle name="Normal 4 6 4 3 2 4" xfId="28841" xr:uid="{2782D63C-45D7-49D9-A266-0A3D62250005}"/>
    <cellStyle name="Normal 4 6 4 3 2 5" xfId="11968" xr:uid="{CF9412E1-F0BA-4BEE-920F-C2852AB3F01D}"/>
    <cellStyle name="Normal 4 6 4 3 3" xfId="5602" xr:uid="{00000000-0005-0000-0000-000083160000}"/>
    <cellStyle name="Normal 4 6 4 3 3 2" xfId="22479" xr:uid="{67EBE7CA-A95C-4944-B20D-8E71D00F4749}"/>
    <cellStyle name="Normal 4 6 4 3 3 3" xfId="30913" xr:uid="{39617AE5-7039-4058-B768-07CE538D73F4}"/>
    <cellStyle name="Normal 4 6 4 3 3 4" xfId="14041" xr:uid="{F51387DC-45CA-4666-9D24-569DDCBFC46B}"/>
    <cellStyle name="Normal 4 6 4 3 4" xfId="18261" xr:uid="{6846BECD-1884-4D96-9508-355321D72103}"/>
    <cellStyle name="Normal 4 6 4 3 5" xfId="26696" xr:uid="{0067F850-7AA9-4CA0-92BE-3DED4B691095}"/>
    <cellStyle name="Normal 4 6 4 3 6" xfId="9823" xr:uid="{7334E0D0-F1FE-4F26-B7B1-3ABFBF05D15D}"/>
    <cellStyle name="Normal 4 6 4 4" xfId="1707" xr:uid="{00000000-0005-0000-0000-000084160000}"/>
    <cellStyle name="Normal 4 6 4 4 2" xfId="3937" xr:uid="{00000000-0005-0000-0000-000085160000}"/>
    <cellStyle name="Normal 4 6 4 4 2 2" xfId="8160" xr:uid="{00000000-0005-0000-0000-000086160000}"/>
    <cellStyle name="Normal 4 6 4 4 2 2 2" xfId="25037" xr:uid="{9972EF83-3C2F-4257-A9C2-E3C705B14F7B}"/>
    <cellStyle name="Normal 4 6 4 4 2 2 3" xfId="33471" xr:uid="{829DA255-81C4-4E51-A772-17B2CD001B26}"/>
    <cellStyle name="Normal 4 6 4 4 2 2 4" xfId="16599" xr:uid="{A8E23508-54C0-4B38-AD11-F3D3DA29ADAC}"/>
    <cellStyle name="Normal 4 6 4 4 2 3" xfId="20819" xr:uid="{0EDE96FD-A619-46BA-9B57-791E5D546A91}"/>
    <cellStyle name="Normal 4 6 4 4 2 4" xfId="29254" xr:uid="{FC066F3F-4DDD-4835-85B9-94427F70D08F}"/>
    <cellStyle name="Normal 4 6 4 4 2 5" xfId="12381" xr:uid="{9AC0E6D9-910A-4167-B1A0-872D45CE348D}"/>
    <cellStyle name="Normal 4 6 4 4 3" xfId="6015" xr:uid="{00000000-0005-0000-0000-000087160000}"/>
    <cellStyle name="Normal 4 6 4 4 3 2" xfId="22892" xr:uid="{D95071D3-6574-4697-B2A7-6936C68ED035}"/>
    <cellStyle name="Normal 4 6 4 4 3 3" xfId="31326" xr:uid="{3E4558AC-DBAE-4730-AD48-4A464655F68E}"/>
    <cellStyle name="Normal 4 6 4 4 3 4" xfId="14454" xr:uid="{B3DFC204-D30F-4E46-8E19-9A3C7D69B5D0}"/>
    <cellStyle name="Normal 4 6 4 4 4" xfId="18674" xr:uid="{531C7F8A-6063-4757-9E28-26BF2022FE48}"/>
    <cellStyle name="Normal 4 6 4 4 5" xfId="27109" xr:uid="{81969D5C-6BA1-4551-B088-367B18206574}"/>
    <cellStyle name="Normal 4 6 4 4 6" xfId="10236" xr:uid="{7FD093C5-1E3E-498C-B42C-6A0F377BA47F}"/>
    <cellStyle name="Normal 4 6 4 5" xfId="2121" xr:uid="{00000000-0005-0000-0000-000088160000}"/>
    <cellStyle name="Normal 4 6 4 5 2" xfId="4350" xr:uid="{00000000-0005-0000-0000-000089160000}"/>
    <cellStyle name="Normal 4 6 4 5 2 2" xfId="8573" xr:uid="{00000000-0005-0000-0000-00008A160000}"/>
    <cellStyle name="Normal 4 6 4 5 2 2 2" xfId="25450" xr:uid="{F584BF84-1C61-4903-A33B-A2E5571BE7D8}"/>
    <cellStyle name="Normal 4 6 4 5 2 2 3" xfId="33884" xr:uid="{93453BCC-EF4C-4F4E-814B-81F3FCACAFE2}"/>
    <cellStyle name="Normal 4 6 4 5 2 2 4" xfId="17012" xr:uid="{77A943C2-748A-4586-9123-CB46500E87D9}"/>
    <cellStyle name="Normal 4 6 4 5 2 3" xfId="21232" xr:uid="{AC521FFC-2A7B-4657-B14F-0A75B788C5B7}"/>
    <cellStyle name="Normal 4 6 4 5 2 4" xfId="29667" xr:uid="{E9D1DAF0-92EF-4E02-BECA-B149E4F87C46}"/>
    <cellStyle name="Normal 4 6 4 5 2 5" xfId="12794" xr:uid="{FCB894E6-B19A-44A4-98BE-5BC1F5C482DF}"/>
    <cellStyle name="Normal 4 6 4 5 3" xfId="6428" xr:uid="{00000000-0005-0000-0000-00008B160000}"/>
    <cellStyle name="Normal 4 6 4 5 3 2" xfId="23305" xr:uid="{0A3BBFF2-AE9B-4BD2-9F34-EF1D89F87D1E}"/>
    <cellStyle name="Normal 4 6 4 5 3 3" xfId="31739" xr:uid="{639C9146-103F-4A54-B4EB-F284F514159A}"/>
    <cellStyle name="Normal 4 6 4 5 3 4" xfId="14867" xr:uid="{03A7E74B-257F-4DF1-86F4-578FCA75C875}"/>
    <cellStyle name="Normal 4 6 4 5 4" xfId="19087" xr:uid="{BCEDCC14-4A56-4EC2-93A0-911CFFAF05B5}"/>
    <cellStyle name="Normal 4 6 4 5 5" xfId="27522" xr:uid="{C1E3CE75-2C3D-4889-A2D3-F8E7382CCD48}"/>
    <cellStyle name="Normal 4 6 4 5 6" xfId="10649" xr:uid="{947ABEFC-0548-4846-B5D0-8EE86C7CE082}"/>
    <cellStyle name="Normal 4 6 4 6" xfId="2557" xr:uid="{00000000-0005-0000-0000-00008C160000}"/>
    <cellStyle name="Normal 4 6 4 6 2" xfId="6841" xr:uid="{00000000-0005-0000-0000-00008D160000}"/>
    <cellStyle name="Normal 4 6 4 6 2 2" xfId="23718" xr:uid="{2443E957-1A4C-484B-B013-E0D990576952}"/>
    <cellStyle name="Normal 4 6 4 6 2 3" xfId="32152" xr:uid="{86842C9B-B83F-4A85-8F6B-15EB98BCE9CC}"/>
    <cellStyle name="Normal 4 6 4 6 2 4" xfId="15280" xr:uid="{36712DC1-E24F-4D28-8A92-C29863E93718}"/>
    <cellStyle name="Normal 4 6 4 6 3" xfId="19500" xr:uid="{2820DAD1-2E36-444C-903A-D0586A2058BF}"/>
    <cellStyle name="Normal 4 6 4 6 4" xfId="27935" xr:uid="{D3CD8DBA-FAC4-4811-AE26-5DDF01AD440A}"/>
    <cellStyle name="Normal 4 6 4 6 5" xfId="11062" xr:uid="{371BD552-D711-410B-BA9D-1EDEFF2A6629}"/>
    <cellStyle name="Normal 4 6 4 7" xfId="4776" xr:uid="{00000000-0005-0000-0000-00008E160000}"/>
    <cellStyle name="Normal 4 6 4 7 2" xfId="21653" xr:uid="{AB9E32C9-E0F5-4B33-B8BF-F5B304ED11E8}"/>
    <cellStyle name="Normal 4 6 4 7 3" xfId="30087" xr:uid="{43DD6284-3DE2-4712-879B-A2CB918FC4B9}"/>
    <cellStyle name="Normal 4 6 4 7 4" xfId="13215" xr:uid="{B7EE0445-B1CB-4613-A906-436B23A3EBA1}"/>
    <cellStyle name="Normal 4 6 4 8" xfId="17435" xr:uid="{0A5D2FA3-BD4C-46C5-B878-2A8455AD0C06}"/>
    <cellStyle name="Normal 4 6 4 9" xfId="25870" xr:uid="{5FF25D03-ECFE-47AB-AFCE-B05FE3018D61}"/>
    <cellStyle name="Normal 4 6 5" xfId="869" xr:uid="{00000000-0005-0000-0000-00008F160000}"/>
    <cellStyle name="Normal 4 6 5 2" xfId="3104" xr:uid="{00000000-0005-0000-0000-000090160000}"/>
    <cellStyle name="Normal 4 6 5 2 2" xfId="7327" xr:uid="{00000000-0005-0000-0000-000091160000}"/>
    <cellStyle name="Normal 4 6 5 2 2 2" xfId="24204" xr:uid="{BF54A241-FFB1-4F04-BB31-1C4C8A1443D3}"/>
    <cellStyle name="Normal 4 6 5 2 2 3" xfId="32638" xr:uid="{F0B74925-15A5-48B1-81B5-9E2F66D104D0}"/>
    <cellStyle name="Normal 4 6 5 2 2 4" xfId="15766" xr:uid="{D97F0ACC-AA69-43D1-B5EC-9D4EBEF052A3}"/>
    <cellStyle name="Normal 4 6 5 2 3" xfId="19986" xr:uid="{1EB2D17E-E56E-42AB-88AD-0F6C2BEDCF2E}"/>
    <cellStyle name="Normal 4 6 5 2 4" xfId="28421" xr:uid="{45FA1219-24DF-4784-9A3D-BD2E0BB6D145}"/>
    <cellStyle name="Normal 4 6 5 2 5" xfId="11548" xr:uid="{72919ACD-39DA-4A78-9316-F997DAB32119}"/>
    <cellStyle name="Normal 4 6 5 3" xfId="5182" xr:uid="{00000000-0005-0000-0000-000092160000}"/>
    <cellStyle name="Normal 4 6 5 3 2" xfId="22059" xr:uid="{F2A5FA9C-D639-47B8-A679-2AF493639103}"/>
    <cellStyle name="Normal 4 6 5 3 3" xfId="30493" xr:uid="{4FCF6C3B-4B4B-42EF-9C13-8180AC22F6ED}"/>
    <cellStyle name="Normal 4 6 5 3 4" xfId="13621" xr:uid="{67D2B6F8-E7A1-4B73-A1A4-9228C551B9C4}"/>
    <cellStyle name="Normal 4 6 5 4" xfId="17841" xr:uid="{B9D3865B-154C-44DB-B423-8AC84FE87E0F}"/>
    <cellStyle name="Normal 4 6 5 5" xfId="26276" xr:uid="{1311AA1C-EBE1-4537-ABB6-32E90CEB61F0}"/>
    <cellStyle name="Normal 4 6 5 6" xfId="9403" xr:uid="{B6C298AB-B9B8-47DC-B8C8-83629CD5586B}"/>
    <cellStyle name="Normal 4 6 6" xfId="1287" xr:uid="{00000000-0005-0000-0000-000093160000}"/>
    <cellStyle name="Normal 4 6 6 2" xfId="3517" xr:uid="{00000000-0005-0000-0000-000094160000}"/>
    <cellStyle name="Normal 4 6 6 2 2" xfId="7740" xr:uid="{00000000-0005-0000-0000-000095160000}"/>
    <cellStyle name="Normal 4 6 6 2 2 2" xfId="24617" xr:uid="{C910229C-BE8B-440B-8F8E-083C80CE92FD}"/>
    <cellStyle name="Normal 4 6 6 2 2 3" xfId="33051" xr:uid="{E84D5B8C-3F4B-4EBF-B31A-E83FCC183545}"/>
    <cellStyle name="Normal 4 6 6 2 2 4" xfId="16179" xr:uid="{21E5BC7F-6C3C-4297-B442-44B441EEA722}"/>
    <cellStyle name="Normal 4 6 6 2 3" xfId="20399" xr:uid="{4EF6D133-986B-45FD-A88B-1C8FB2177626}"/>
    <cellStyle name="Normal 4 6 6 2 4" xfId="28834" xr:uid="{F4017A8F-A378-4643-9434-A125CD9766F8}"/>
    <cellStyle name="Normal 4 6 6 2 5" xfId="11961" xr:uid="{6E7D62BE-3B14-4301-A45B-B104D8A80C21}"/>
    <cellStyle name="Normal 4 6 6 3" xfId="5595" xr:uid="{00000000-0005-0000-0000-000096160000}"/>
    <cellStyle name="Normal 4 6 6 3 2" xfId="22472" xr:uid="{CFFC9AB8-4300-4BD9-BE87-F2218BC478ED}"/>
    <cellStyle name="Normal 4 6 6 3 3" xfId="30906" xr:uid="{F3BB0C19-B408-417F-88B8-498BE5D481B1}"/>
    <cellStyle name="Normal 4 6 6 3 4" xfId="14034" xr:uid="{0E57CB62-CD05-4694-B410-B8A9F0D7EC65}"/>
    <cellStyle name="Normal 4 6 6 4" xfId="18254" xr:uid="{82F6A54C-82A5-456D-B93E-0F9736C40293}"/>
    <cellStyle name="Normal 4 6 6 5" xfId="26689" xr:uid="{1C25F57C-7E9E-4810-87F0-26740309F55E}"/>
    <cellStyle name="Normal 4 6 6 6" xfId="9816" xr:uid="{01ECD087-5E59-4727-A878-D2CC1383CC15}"/>
    <cellStyle name="Normal 4 6 7" xfId="1700" xr:uid="{00000000-0005-0000-0000-000097160000}"/>
    <cellStyle name="Normal 4 6 7 2" xfId="3930" xr:uid="{00000000-0005-0000-0000-000098160000}"/>
    <cellStyle name="Normal 4 6 7 2 2" xfId="8153" xr:uid="{00000000-0005-0000-0000-000099160000}"/>
    <cellStyle name="Normal 4 6 7 2 2 2" xfId="25030" xr:uid="{130C3882-8ECB-48DD-AEE7-799F08B19E49}"/>
    <cellStyle name="Normal 4 6 7 2 2 3" xfId="33464" xr:uid="{85E819A2-DFF9-4FB8-9060-4DB6B73A6F95}"/>
    <cellStyle name="Normal 4 6 7 2 2 4" xfId="16592" xr:uid="{B6CFC0D0-0066-494E-A584-E3DF8E6ACEC3}"/>
    <cellStyle name="Normal 4 6 7 2 3" xfId="20812" xr:uid="{9ED9964D-87EB-4109-AA1F-4BF00D94E6B0}"/>
    <cellStyle name="Normal 4 6 7 2 4" xfId="29247" xr:uid="{CE550787-E8A5-49E5-8C91-5BAEAA17AFA3}"/>
    <cellStyle name="Normal 4 6 7 2 5" xfId="12374" xr:uid="{9DA6F120-5D0A-4C73-9335-7CB05F804ECA}"/>
    <cellStyle name="Normal 4 6 7 3" xfId="6008" xr:uid="{00000000-0005-0000-0000-00009A160000}"/>
    <cellStyle name="Normal 4 6 7 3 2" xfId="22885" xr:uid="{394AB541-66CF-4984-A0E0-47295096335C}"/>
    <cellStyle name="Normal 4 6 7 3 3" xfId="31319" xr:uid="{9F2063A4-7CAF-47D9-871B-A0F5F6FFE0B7}"/>
    <cellStyle name="Normal 4 6 7 3 4" xfId="14447" xr:uid="{F54DDFF2-9456-4B88-91D6-D08B00C045EE}"/>
    <cellStyle name="Normal 4 6 7 4" xfId="18667" xr:uid="{1FCA07E8-8F04-4B8A-B975-E0063A2C833A}"/>
    <cellStyle name="Normal 4 6 7 5" xfId="27102" xr:uid="{05814ABD-D2D8-4EDB-AF35-36FBA27DBB43}"/>
    <cellStyle name="Normal 4 6 7 6" xfId="10229" xr:uid="{A852DF53-AB57-4F5F-AC7E-B36E35E12E88}"/>
    <cellStyle name="Normal 4 6 8" xfId="2114" xr:uid="{00000000-0005-0000-0000-00009B160000}"/>
    <cellStyle name="Normal 4 6 8 2" xfId="4343" xr:uid="{00000000-0005-0000-0000-00009C160000}"/>
    <cellStyle name="Normal 4 6 8 2 2" xfId="8566" xr:uid="{00000000-0005-0000-0000-00009D160000}"/>
    <cellStyle name="Normal 4 6 8 2 2 2" xfId="25443" xr:uid="{9F1FA341-9F3E-4D0C-9C08-2D5DAF4EE714}"/>
    <cellStyle name="Normal 4 6 8 2 2 3" xfId="33877" xr:uid="{8000EE88-35AB-4AE2-98E0-338FA7BA4C8C}"/>
    <cellStyle name="Normal 4 6 8 2 2 4" xfId="17005" xr:uid="{8A627936-2539-4D8A-BFDD-C13A12767157}"/>
    <cellStyle name="Normal 4 6 8 2 3" xfId="21225" xr:uid="{BF772BC4-8565-4C8C-9E6C-DA2E974E24FE}"/>
    <cellStyle name="Normal 4 6 8 2 4" xfId="29660" xr:uid="{5DF5688B-334F-42FB-94D8-03E521FB7A9B}"/>
    <cellStyle name="Normal 4 6 8 2 5" xfId="12787" xr:uid="{0615158A-E414-493A-9546-CEFD472F002C}"/>
    <cellStyle name="Normal 4 6 8 3" xfId="6421" xr:uid="{00000000-0005-0000-0000-00009E160000}"/>
    <cellStyle name="Normal 4 6 8 3 2" xfId="23298" xr:uid="{FF8752DC-476B-40FE-B0D4-86E7A0A85324}"/>
    <cellStyle name="Normal 4 6 8 3 3" xfId="31732" xr:uid="{B6996F00-8F03-4E6F-990A-0DD8D5A2D66B}"/>
    <cellStyle name="Normal 4 6 8 3 4" xfId="14860" xr:uid="{A3017350-A75A-48B4-B11F-AFCA76B1CEB4}"/>
    <cellStyle name="Normal 4 6 8 4" xfId="19080" xr:uid="{B6289F19-01ED-4C98-B4BC-F2EE09D3603B}"/>
    <cellStyle name="Normal 4 6 8 5" xfId="27515" xr:uid="{3D6DFAC7-2CB4-4FB1-BE82-417C52AF5189}"/>
    <cellStyle name="Normal 4 6 8 6" xfId="10642" xr:uid="{FBD89BEA-F4EC-404A-B0B0-3798ECE2F42A}"/>
    <cellStyle name="Normal 4 6 9" xfId="2550" xr:uid="{00000000-0005-0000-0000-00009F160000}"/>
    <cellStyle name="Normal 4 6 9 2" xfId="6834" xr:uid="{00000000-0005-0000-0000-0000A0160000}"/>
    <cellStyle name="Normal 4 6 9 2 2" xfId="23711" xr:uid="{735AC2A9-BE60-4FBF-94F1-3BBED2B5FDFB}"/>
    <cellStyle name="Normal 4 6 9 2 3" xfId="32145" xr:uid="{23CDB8A1-4A90-4910-BBEC-9F8AF3349D59}"/>
    <cellStyle name="Normal 4 6 9 2 4" xfId="15273" xr:uid="{DB7C0D36-DDAF-48B1-BE79-CDDD739C175E}"/>
    <cellStyle name="Normal 4 6 9 3" xfId="19493" xr:uid="{AD67C749-5F08-492D-8B12-8F11E6168953}"/>
    <cellStyle name="Normal 4 6 9 4" xfId="27928" xr:uid="{7864367F-0D35-4EB7-AA3B-E2A53C77EDB6}"/>
    <cellStyle name="Normal 4 6 9 5" xfId="11055" xr:uid="{FFB5C2EB-8DB9-49C0-BD35-317526034A10}"/>
    <cellStyle name="Normal 4 7" xfId="403" xr:uid="{00000000-0005-0000-0000-0000A1160000}"/>
    <cellStyle name="Normal 4 7 10" xfId="25871" xr:uid="{4312C853-799E-4E76-85C3-7D32C92E52E9}"/>
    <cellStyle name="Normal 4 7 11" xfId="8998" xr:uid="{82E73EBC-F5B1-48CD-9AE4-58C4D4FB085C}"/>
    <cellStyle name="Normal 4 7 2" xfId="404" xr:uid="{00000000-0005-0000-0000-0000A2160000}"/>
    <cellStyle name="Normal 4 7 2 10" xfId="8999" xr:uid="{982C0754-649C-4E6E-88D4-95AEADE4F3E9}"/>
    <cellStyle name="Normal 4 7 2 2" xfId="878" xr:uid="{00000000-0005-0000-0000-0000A3160000}"/>
    <cellStyle name="Normal 4 7 2 2 2" xfId="3113" xr:uid="{00000000-0005-0000-0000-0000A4160000}"/>
    <cellStyle name="Normal 4 7 2 2 2 2" xfId="7336" xr:uid="{00000000-0005-0000-0000-0000A5160000}"/>
    <cellStyle name="Normal 4 7 2 2 2 2 2" xfId="24213" xr:uid="{23A9D2BE-20F4-4935-BAE3-B8A0C95D0A4E}"/>
    <cellStyle name="Normal 4 7 2 2 2 2 3" xfId="32647" xr:uid="{82029E23-789C-4D1D-89D6-A4EAD1CE749E}"/>
    <cellStyle name="Normal 4 7 2 2 2 2 4" xfId="15775" xr:uid="{13E30349-E46F-4E3C-9077-D13C175F6E15}"/>
    <cellStyle name="Normal 4 7 2 2 2 3" xfId="19995" xr:uid="{B5F3B0EE-9D5D-4A25-A51D-DD3DDEC446CE}"/>
    <cellStyle name="Normal 4 7 2 2 2 4" xfId="28430" xr:uid="{12EA7688-032C-4E92-983D-D4421033A12B}"/>
    <cellStyle name="Normal 4 7 2 2 2 5" xfId="11557" xr:uid="{E9CEDEB0-987D-47BD-9896-EA40FE2C3DCA}"/>
    <cellStyle name="Normal 4 7 2 2 3" xfId="5191" xr:uid="{00000000-0005-0000-0000-0000A6160000}"/>
    <cellStyle name="Normal 4 7 2 2 3 2" xfId="22068" xr:uid="{D4D5829F-5005-486A-8855-D9C8DFCA8F37}"/>
    <cellStyle name="Normal 4 7 2 2 3 3" xfId="30502" xr:uid="{495881FA-6C8A-434F-8F0A-BEC2BF538AB0}"/>
    <cellStyle name="Normal 4 7 2 2 3 4" xfId="13630" xr:uid="{134364D7-E94E-4EBF-8358-832BC25F6150}"/>
    <cellStyle name="Normal 4 7 2 2 4" xfId="17850" xr:uid="{BDA5020A-3CB0-4717-B99D-4E671CF8665B}"/>
    <cellStyle name="Normal 4 7 2 2 5" xfId="26285" xr:uid="{30BC02C3-EFFD-4F77-9320-1FCA5A77087A}"/>
    <cellStyle name="Normal 4 7 2 2 6" xfId="9412" xr:uid="{40E4DDF9-1E3C-4C8E-8DE5-685AB99A4E00}"/>
    <cellStyle name="Normal 4 7 2 3" xfId="1296" xr:uid="{00000000-0005-0000-0000-0000A7160000}"/>
    <cellStyle name="Normal 4 7 2 3 2" xfId="3526" xr:uid="{00000000-0005-0000-0000-0000A8160000}"/>
    <cellStyle name="Normal 4 7 2 3 2 2" xfId="7749" xr:uid="{00000000-0005-0000-0000-0000A9160000}"/>
    <cellStyle name="Normal 4 7 2 3 2 2 2" xfId="24626" xr:uid="{456DC8CD-FEF2-4739-9CFC-BE113C905542}"/>
    <cellStyle name="Normal 4 7 2 3 2 2 3" xfId="33060" xr:uid="{066867CB-1701-4D58-B4A4-89D51113B744}"/>
    <cellStyle name="Normal 4 7 2 3 2 2 4" xfId="16188" xr:uid="{3DD750A5-9C77-4360-847C-078ED40BFC6A}"/>
    <cellStyle name="Normal 4 7 2 3 2 3" xfId="20408" xr:uid="{80200075-D49B-4420-8840-2722CE0B8936}"/>
    <cellStyle name="Normal 4 7 2 3 2 4" xfId="28843" xr:uid="{64B06F9C-C859-4FD0-89B0-3E9491CAEDDE}"/>
    <cellStyle name="Normal 4 7 2 3 2 5" xfId="11970" xr:uid="{99AB5F1E-EE94-4833-B5D7-72BE83A1D761}"/>
    <cellStyle name="Normal 4 7 2 3 3" xfId="5604" xr:uid="{00000000-0005-0000-0000-0000AA160000}"/>
    <cellStyle name="Normal 4 7 2 3 3 2" xfId="22481" xr:uid="{DC8B7B7C-BEDD-4D7E-B16F-80D8484E6ACD}"/>
    <cellStyle name="Normal 4 7 2 3 3 3" xfId="30915" xr:uid="{B14F6714-86CA-4DD9-BCDC-353959CDC0E0}"/>
    <cellStyle name="Normal 4 7 2 3 3 4" xfId="14043" xr:uid="{52635630-B0F0-47B5-AD88-72B28927EC26}"/>
    <cellStyle name="Normal 4 7 2 3 4" xfId="18263" xr:uid="{37A72288-3775-4409-A3AA-6723A848D963}"/>
    <cellStyle name="Normal 4 7 2 3 5" xfId="26698" xr:uid="{2D4D583D-BEC9-43F8-BE12-C73F0489CA76}"/>
    <cellStyle name="Normal 4 7 2 3 6" xfId="9825" xr:uid="{0DAF1B31-99B3-479F-856A-E0D57C1E7725}"/>
    <cellStyle name="Normal 4 7 2 4" xfId="1709" xr:uid="{00000000-0005-0000-0000-0000AB160000}"/>
    <cellStyle name="Normal 4 7 2 4 2" xfId="3939" xr:uid="{00000000-0005-0000-0000-0000AC160000}"/>
    <cellStyle name="Normal 4 7 2 4 2 2" xfId="8162" xr:uid="{00000000-0005-0000-0000-0000AD160000}"/>
    <cellStyle name="Normal 4 7 2 4 2 2 2" xfId="25039" xr:uid="{98F04A62-F0CA-4B43-9495-672A4450B7C5}"/>
    <cellStyle name="Normal 4 7 2 4 2 2 3" xfId="33473" xr:uid="{89260297-6BF3-457A-9897-FB197162B58B}"/>
    <cellStyle name="Normal 4 7 2 4 2 2 4" xfId="16601" xr:uid="{A069C551-2EBB-48E5-B655-9B3A9C173B7A}"/>
    <cellStyle name="Normal 4 7 2 4 2 3" xfId="20821" xr:uid="{61212ECC-5810-4F55-B83A-BA98451BC493}"/>
    <cellStyle name="Normal 4 7 2 4 2 4" xfId="29256" xr:uid="{A889C444-CE42-4693-95C4-0ED19285363F}"/>
    <cellStyle name="Normal 4 7 2 4 2 5" xfId="12383" xr:uid="{28DB1684-7CC9-4D60-9094-FA2034F25B23}"/>
    <cellStyle name="Normal 4 7 2 4 3" xfId="6017" xr:uid="{00000000-0005-0000-0000-0000AE160000}"/>
    <cellStyle name="Normal 4 7 2 4 3 2" xfId="22894" xr:uid="{C88AC42B-1EBB-413D-BC56-D6E862E5D020}"/>
    <cellStyle name="Normal 4 7 2 4 3 3" xfId="31328" xr:uid="{A63293DB-9CA0-4653-87DB-F3EB4ABC6B50}"/>
    <cellStyle name="Normal 4 7 2 4 3 4" xfId="14456" xr:uid="{B1885B29-0F33-4472-BDBE-DFB4C5205C76}"/>
    <cellStyle name="Normal 4 7 2 4 4" xfId="18676" xr:uid="{8E871FB2-5468-41B2-BA2E-1E85AA96B84A}"/>
    <cellStyle name="Normal 4 7 2 4 5" xfId="27111" xr:uid="{1A27F137-72FD-4F3B-A90E-0D844CD76873}"/>
    <cellStyle name="Normal 4 7 2 4 6" xfId="10238" xr:uid="{7F35EEE1-7C40-445D-B699-CF3D8E5834DF}"/>
    <cellStyle name="Normal 4 7 2 5" xfId="2123" xr:uid="{00000000-0005-0000-0000-0000AF160000}"/>
    <cellStyle name="Normal 4 7 2 5 2" xfId="4352" xr:uid="{00000000-0005-0000-0000-0000B0160000}"/>
    <cellStyle name="Normal 4 7 2 5 2 2" xfId="8575" xr:uid="{00000000-0005-0000-0000-0000B1160000}"/>
    <cellStyle name="Normal 4 7 2 5 2 2 2" xfId="25452" xr:uid="{971F66E0-D141-456A-8F25-E95ED4DC9DB8}"/>
    <cellStyle name="Normal 4 7 2 5 2 2 3" xfId="33886" xr:uid="{0D6619BE-B1A4-45AF-B72A-2E73E0DB056C}"/>
    <cellStyle name="Normal 4 7 2 5 2 2 4" xfId="17014" xr:uid="{3E62CA3B-ED95-43DF-8993-1F61D91564B8}"/>
    <cellStyle name="Normal 4 7 2 5 2 3" xfId="21234" xr:uid="{046A1763-435A-4B22-B437-FF5B8964B3EF}"/>
    <cellStyle name="Normal 4 7 2 5 2 4" xfId="29669" xr:uid="{BA95EC14-B03C-4B38-959B-C3D8670BBE9A}"/>
    <cellStyle name="Normal 4 7 2 5 2 5" xfId="12796" xr:uid="{AB662498-30E9-4058-BE2C-364756994231}"/>
    <cellStyle name="Normal 4 7 2 5 3" xfId="6430" xr:uid="{00000000-0005-0000-0000-0000B2160000}"/>
    <cellStyle name="Normal 4 7 2 5 3 2" xfId="23307" xr:uid="{207B070E-357B-4024-9EB5-AB60D53E3B99}"/>
    <cellStyle name="Normal 4 7 2 5 3 3" xfId="31741" xr:uid="{A30CF8A6-F8A7-4F9F-A82F-0120E5B3E779}"/>
    <cellStyle name="Normal 4 7 2 5 3 4" xfId="14869" xr:uid="{F3549C24-D055-4E6B-A9F7-5D374A101C14}"/>
    <cellStyle name="Normal 4 7 2 5 4" xfId="19089" xr:uid="{6544E463-E6B5-421F-AA3C-2986789D423D}"/>
    <cellStyle name="Normal 4 7 2 5 5" xfId="27524" xr:uid="{4A04B74E-DDC9-4B1E-9810-17A6DE1BE5A7}"/>
    <cellStyle name="Normal 4 7 2 5 6" xfId="10651" xr:uid="{0002FC87-E4B0-4B48-BCA2-7839C3FBE658}"/>
    <cellStyle name="Normal 4 7 2 6" xfId="2559" xr:uid="{00000000-0005-0000-0000-0000B3160000}"/>
    <cellStyle name="Normal 4 7 2 6 2" xfId="6843" xr:uid="{00000000-0005-0000-0000-0000B4160000}"/>
    <cellStyle name="Normal 4 7 2 6 2 2" xfId="23720" xr:uid="{8ADCCB7B-AA82-49CF-BBEC-2BA1D8B564A0}"/>
    <cellStyle name="Normal 4 7 2 6 2 3" xfId="32154" xr:uid="{729725F1-B4F7-48EA-B6AA-2151CD6A69FC}"/>
    <cellStyle name="Normal 4 7 2 6 2 4" xfId="15282" xr:uid="{DBA1AC2B-E88C-414F-851F-FDD5D3F14374}"/>
    <cellStyle name="Normal 4 7 2 6 3" xfId="19502" xr:uid="{6F2C1A01-0370-4874-86C8-97FAB78455E9}"/>
    <cellStyle name="Normal 4 7 2 6 4" xfId="27937" xr:uid="{CD74B025-36F1-4B5A-8CA9-C6E8008C3A5B}"/>
    <cellStyle name="Normal 4 7 2 6 5" xfId="11064" xr:uid="{64EBBBBF-A29F-4451-8A4B-3F13F138CADA}"/>
    <cellStyle name="Normal 4 7 2 7" xfId="4778" xr:uid="{00000000-0005-0000-0000-0000B5160000}"/>
    <cellStyle name="Normal 4 7 2 7 2" xfId="21655" xr:uid="{65215C5A-564C-4DD9-8426-E9132E5CE185}"/>
    <cellStyle name="Normal 4 7 2 7 3" xfId="30089" xr:uid="{B4F4EDAE-38B8-4257-8EFF-4BB22E011090}"/>
    <cellStyle name="Normal 4 7 2 7 4" xfId="13217" xr:uid="{F16CAF5F-72DB-4EE9-8E49-AE854A766B01}"/>
    <cellStyle name="Normal 4 7 2 8" xfId="17437" xr:uid="{5243EE70-794F-4FE6-9769-6F43E87B06FE}"/>
    <cellStyle name="Normal 4 7 2 9" xfId="25872" xr:uid="{C68891B1-913B-4436-B644-E7538E3D928C}"/>
    <cellStyle name="Normal 4 7 3" xfId="877" xr:uid="{00000000-0005-0000-0000-0000B6160000}"/>
    <cellStyle name="Normal 4 7 3 2" xfId="3112" xr:uid="{00000000-0005-0000-0000-0000B7160000}"/>
    <cellStyle name="Normal 4 7 3 2 2" xfId="7335" xr:uid="{00000000-0005-0000-0000-0000B8160000}"/>
    <cellStyle name="Normal 4 7 3 2 2 2" xfId="24212" xr:uid="{256FD910-B21B-4797-B890-84C9722942E7}"/>
    <cellStyle name="Normal 4 7 3 2 2 3" xfId="32646" xr:uid="{7D9C2F18-C72C-4728-AB78-2CDE5A29FC17}"/>
    <cellStyle name="Normal 4 7 3 2 2 4" xfId="15774" xr:uid="{A18AA264-E190-4A76-AF3A-14BB48F6E1B7}"/>
    <cellStyle name="Normal 4 7 3 2 3" xfId="19994" xr:uid="{74C49AE5-9046-4174-BA28-649A2062AE15}"/>
    <cellStyle name="Normal 4 7 3 2 4" xfId="28429" xr:uid="{B263C05E-0177-45FD-B9B6-4EA8E477152B}"/>
    <cellStyle name="Normal 4 7 3 2 5" xfId="11556" xr:uid="{894BEC1C-BD13-4986-9AC5-E3E621DC0A3D}"/>
    <cellStyle name="Normal 4 7 3 3" xfId="5190" xr:uid="{00000000-0005-0000-0000-0000B9160000}"/>
    <cellStyle name="Normal 4 7 3 3 2" xfId="22067" xr:uid="{AFA69BCF-8217-4AEA-89B6-52659993BD25}"/>
    <cellStyle name="Normal 4 7 3 3 3" xfId="30501" xr:uid="{3EA539F4-5DC4-42C0-BEB9-46C0C901EC41}"/>
    <cellStyle name="Normal 4 7 3 3 4" xfId="13629" xr:uid="{D48DAFD8-BE36-4EFA-BD98-7C831A93AEF0}"/>
    <cellStyle name="Normal 4 7 3 4" xfId="17849" xr:uid="{6A101263-E480-4707-832F-D0474A3F45F7}"/>
    <cellStyle name="Normal 4 7 3 5" xfId="26284" xr:uid="{C574B233-46E0-4A6E-9473-53ADA7F99E50}"/>
    <cellStyle name="Normal 4 7 3 6" xfId="9411" xr:uid="{30414744-E90C-4C1D-92A1-3EEC1208425E}"/>
    <cellStyle name="Normal 4 7 4" xfId="1295" xr:uid="{00000000-0005-0000-0000-0000BA160000}"/>
    <cellStyle name="Normal 4 7 4 2" xfId="3525" xr:uid="{00000000-0005-0000-0000-0000BB160000}"/>
    <cellStyle name="Normal 4 7 4 2 2" xfId="7748" xr:uid="{00000000-0005-0000-0000-0000BC160000}"/>
    <cellStyle name="Normal 4 7 4 2 2 2" xfId="24625" xr:uid="{93673997-CBF8-4346-BE03-1A1D101DE966}"/>
    <cellStyle name="Normal 4 7 4 2 2 3" xfId="33059" xr:uid="{E7391B96-F221-45BC-AC96-9038494C12A9}"/>
    <cellStyle name="Normal 4 7 4 2 2 4" xfId="16187" xr:uid="{58B0A821-1CF6-44F8-AB4F-7F662388E27C}"/>
    <cellStyle name="Normal 4 7 4 2 3" xfId="20407" xr:uid="{AAC1D4EA-A073-4217-AD2C-4B81F9E00025}"/>
    <cellStyle name="Normal 4 7 4 2 4" xfId="28842" xr:uid="{2084992B-32D8-4796-9638-AC14477D8AB3}"/>
    <cellStyle name="Normal 4 7 4 2 5" xfId="11969" xr:uid="{3264B3F1-076B-4A71-8F4E-D10679960F54}"/>
    <cellStyle name="Normal 4 7 4 3" xfId="5603" xr:uid="{00000000-0005-0000-0000-0000BD160000}"/>
    <cellStyle name="Normal 4 7 4 3 2" xfId="22480" xr:uid="{A6F3108F-7B1B-4CA8-9FA2-156F55D1D76D}"/>
    <cellStyle name="Normal 4 7 4 3 3" xfId="30914" xr:uid="{7431E35B-7E01-4C13-B57A-A8DE0E5DB32C}"/>
    <cellStyle name="Normal 4 7 4 3 4" xfId="14042" xr:uid="{39AEA234-A1D6-430D-9C9C-C1AABDD501E3}"/>
    <cellStyle name="Normal 4 7 4 4" xfId="18262" xr:uid="{A986B90E-98D7-4F74-85C9-ACE0B33BC472}"/>
    <cellStyle name="Normal 4 7 4 5" xfId="26697" xr:uid="{86FC594B-04FB-4B81-AD3F-2B8E7EF2AF2B}"/>
    <cellStyle name="Normal 4 7 4 6" xfId="9824" xr:uid="{7A48F77B-3D49-47B6-8B3A-1C7D7D2E4556}"/>
    <cellStyle name="Normal 4 7 5" xfId="1708" xr:uid="{00000000-0005-0000-0000-0000BE160000}"/>
    <cellStyle name="Normal 4 7 5 2" xfId="3938" xr:uid="{00000000-0005-0000-0000-0000BF160000}"/>
    <cellStyle name="Normal 4 7 5 2 2" xfId="8161" xr:uid="{00000000-0005-0000-0000-0000C0160000}"/>
    <cellStyle name="Normal 4 7 5 2 2 2" xfId="25038" xr:uid="{9F4E9AFA-CF48-4FF5-94FE-0AC9E759B67A}"/>
    <cellStyle name="Normal 4 7 5 2 2 3" xfId="33472" xr:uid="{A8C74746-66A0-4BAF-9F5E-047DBBFF997C}"/>
    <cellStyle name="Normal 4 7 5 2 2 4" xfId="16600" xr:uid="{EA593700-AA59-4359-BD2F-F298172A7E41}"/>
    <cellStyle name="Normal 4 7 5 2 3" xfId="20820" xr:uid="{C335BBC9-23D5-40C3-A6B0-CA85815FA0E7}"/>
    <cellStyle name="Normal 4 7 5 2 4" xfId="29255" xr:uid="{5342883B-904C-41E6-9B74-B565F3A404E9}"/>
    <cellStyle name="Normal 4 7 5 2 5" xfId="12382" xr:uid="{8E47E569-1309-482C-98B7-DAFFCC1CCC6D}"/>
    <cellStyle name="Normal 4 7 5 3" xfId="6016" xr:uid="{00000000-0005-0000-0000-0000C1160000}"/>
    <cellStyle name="Normal 4 7 5 3 2" xfId="22893" xr:uid="{654EFC84-8E0E-49A1-AF52-E1CF372D8BAC}"/>
    <cellStyle name="Normal 4 7 5 3 3" xfId="31327" xr:uid="{25A19535-CC11-4ED4-B04C-743B346F00BD}"/>
    <cellStyle name="Normal 4 7 5 3 4" xfId="14455" xr:uid="{21870644-4AA2-4508-ADE3-FFB2FB3A2F2C}"/>
    <cellStyle name="Normal 4 7 5 4" xfId="18675" xr:uid="{BBB4F5E5-783F-4390-8145-4DEFF06E5BEF}"/>
    <cellStyle name="Normal 4 7 5 5" xfId="27110" xr:uid="{712C07C0-1BAD-47D8-9AD0-93CAEC9D27C5}"/>
    <cellStyle name="Normal 4 7 5 6" xfId="10237" xr:uid="{D06C0EFD-4105-492A-95E3-3C5B8FBCCD76}"/>
    <cellStyle name="Normal 4 7 6" xfId="2122" xr:uid="{00000000-0005-0000-0000-0000C2160000}"/>
    <cellStyle name="Normal 4 7 6 2" xfId="4351" xr:uid="{00000000-0005-0000-0000-0000C3160000}"/>
    <cellStyle name="Normal 4 7 6 2 2" xfId="8574" xr:uid="{00000000-0005-0000-0000-0000C4160000}"/>
    <cellStyle name="Normal 4 7 6 2 2 2" xfId="25451" xr:uid="{EB901EBF-B94D-40CE-8CA6-3B12EEAA4C5E}"/>
    <cellStyle name="Normal 4 7 6 2 2 3" xfId="33885" xr:uid="{C88E1367-1FDE-4F42-B2C0-8EF346C3E3E2}"/>
    <cellStyle name="Normal 4 7 6 2 2 4" xfId="17013" xr:uid="{1E287D86-0CED-4F44-8BDF-F9530762F54E}"/>
    <cellStyle name="Normal 4 7 6 2 3" xfId="21233" xr:uid="{F6FD2329-9A48-4981-ACD0-BFE485A37BD9}"/>
    <cellStyle name="Normal 4 7 6 2 4" xfId="29668" xr:uid="{5E2A1B89-727A-4307-B881-9D4BEBA9C0FB}"/>
    <cellStyle name="Normal 4 7 6 2 5" xfId="12795" xr:uid="{64601BCC-8936-433D-9010-BBBAAA0A2BE2}"/>
    <cellStyle name="Normal 4 7 6 3" xfId="6429" xr:uid="{00000000-0005-0000-0000-0000C5160000}"/>
    <cellStyle name="Normal 4 7 6 3 2" xfId="23306" xr:uid="{E0488611-FEEE-4D91-B1CE-C76085F45430}"/>
    <cellStyle name="Normal 4 7 6 3 3" xfId="31740" xr:uid="{89DC5E2E-98F8-45E0-BB80-D2E32D5B4977}"/>
    <cellStyle name="Normal 4 7 6 3 4" xfId="14868" xr:uid="{FAD3A92F-881A-4673-AB18-EE54A6719FB3}"/>
    <cellStyle name="Normal 4 7 6 4" xfId="19088" xr:uid="{D02F9B0C-1B36-43E9-BF6D-E11BB5D73CAB}"/>
    <cellStyle name="Normal 4 7 6 5" xfId="27523" xr:uid="{620AC070-7E5E-44F1-AD52-6D6E11C17EB3}"/>
    <cellStyle name="Normal 4 7 6 6" xfId="10650" xr:uid="{2557F2CF-F1DE-47DE-A4B4-AABC700BD05D}"/>
    <cellStyle name="Normal 4 7 7" xfId="2558" xr:uid="{00000000-0005-0000-0000-0000C6160000}"/>
    <cellStyle name="Normal 4 7 7 2" xfId="6842" xr:uid="{00000000-0005-0000-0000-0000C7160000}"/>
    <cellStyle name="Normal 4 7 7 2 2" xfId="23719" xr:uid="{F537463F-3B87-47B8-A0D0-AC3A0FD8295F}"/>
    <cellStyle name="Normal 4 7 7 2 3" xfId="32153" xr:uid="{FC9CD581-7031-468C-B474-33E346D84DDC}"/>
    <cellStyle name="Normal 4 7 7 2 4" xfId="15281" xr:uid="{602B4EEE-33DD-4A5C-9F67-863453F5D24F}"/>
    <cellStyle name="Normal 4 7 7 3" xfId="19501" xr:uid="{EC0C715D-0465-44C3-B134-6958B798F251}"/>
    <cellStyle name="Normal 4 7 7 4" xfId="27936" xr:uid="{2CE7BA50-0B94-47E9-9221-706A1CB10C41}"/>
    <cellStyle name="Normal 4 7 7 5" xfId="11063" xr:uid="{ABCE3D36-F853-4763-AA6A-EF433C674B3B}"/>
    <cellStyle name="Normal 4 7 8" xfId="4777" xr:uid="{00000000-0005-0000-0000-0000C8160000}"/>
    <cellStyle name="Normal 4 7 8 2" xfId="21654" xr:uid="{5B4A4C27-82DB-4004-95E3-CB152BFD6F10}"/>
    <cellStyle name="Normal 4 7 8 3" xfId="30088" xr:uid="{A727745F-16F3-4143-B852-A4838DFE74B0}"/>
    <cellStyle name="Normal 4 7 8 4" xfId="13216" xr:uid="{366792F5-7FE7-40B3-8906-EF8EB94FF319}"/>
    <cellStyle name="Normal 4 7 9" xfId="17436" xr:uid="{73D9BD0C-1B8A-4563-A2DE-368FFEFDACDB}"/>
    <cellStyle name="Normal 4 8" xfId="405" xr:uid="{00000000-0005-0000-0000-0000C9160000}"/>
    <cellStyle name="Normal 4 8 10" xfId="9000" xr:uid="{6F7A575F-DDF2-45AE-AD23-434A4E2E7B5B}"/>
    <cellStyle name="Normal 4 8 2" xfId="879" xr:uid="{00000000-0005-0000-0000-0000CA160000}"/>
    <cellStyle name="Normal 4 8 2 2" xfId="3114" xr:uid="{00000000-0005-0000-0000-0000CB160000}"/>
    <cellStyle name="Normal 4 8 2 2 2" xfId="7337" xr:uid="{00000000-0005-0000-0000-0000CC160000}"/>
    <cellStyle name="Normal 4 8 2 2 2 2" xfId="24214" xr:uid="{C0448C4F-2569-499B-A630-ABD3FAB76DA9}"/>
    <cellStyle name="Normal 4 8 2 2 2 3" xfId="32648" xr:uid="{FBDD29B6-EACA-48CF-A33F-E8F26AFE71F8}"/>
    <cellStyle name="Normal 4 8 2 2 2 4" xfId="15776" xr:uid="{B45E3FFB-640B-4A50-B0A2-176ABAB0233C}"/>
    <cellStyle name="Normal 4 8 2 2 3" xfId="19996" xr:uid="{782580A5-B31B-436D-A9A2-6FC781B7B4D5}"/>
    <cellStyle name="Normal 4 8 2 2 4" xfId="28431" xr:uid="{36F20055-413A-490C-8A18-6C9EDBB02751}"/>
    <cellStyle name="Normal 4 8 2 2 5" xfId="11558" xr:uid="{951868AF-8C90-4729-9BCE-14E9BE196A28}"/>
    <cellStyle name="Normal 4 8 2 3" xfId="5192" xr:uid="{00000000-0005-0000-0000-0000CD160000}"/>
    <cellStyle name="Normal 4 8 2 3 2" xfId="22069" xr:uid="{22988E32-C6AF-42F6-A581-8496165F0D81}"/>
    <cellStyle name="Normal 4 8 2 3 3" xfId="30503" xr:uid="{D2EDCA89-776D-49F9-A026-77B48F363FD8}"/>
    <cellStyle name="Normal 4 8 2 3 4" xfId="13631" xr:uid="{F3F12C15-F6ED-4804-BC3B-726E5FACF579}"/>
    <cellStyle name="Normal 4 8 2 4" xfId="17851" xr:uid="{3BF895B4-27B5-48DC-A11A-185D290BC3B6}"/>
    <cellStyle name="Normal 4 8 2 5" xfId="26286" xr:uid="{220FE30D-C012-45F1-8FB9-866CA05DCB07}"/>
    <cellStyle name="Normal 4 8 2 6" xfId="9413" xr:uid="{C5408F53-2280-4255-8F9E-7637A9513595}"/>
    <cellStyle name="Normal 4 8 3" xfId="1297" xr:uid="{00000000-0005-0000-0000-0000CE160000}"/>
    <cellStyle name="Normal 4 8 3 2" xfId="3527" xr:uid="{00000000-0005-0000-0000-0000CF160000}"/>
    <cellStyle name="Normal 4 8 3 2 2" xfId="7750" xr:uid="{00000000-0005-0000-0000-0000D0160000}"/>
    <cellStyle name="Normal 4 8 3 2 2 2" xfId="24627" xr:uid="{1D68A8FB-97F2-4A4E-AD84-9CF91896A9F0}"/>
    <cellStyle name="Normal 4 8 3 2 2 3" xfId="33061" xr:uid="{2D275606-0366-4991-BBE6-78376A529964}"/>
    <cellStyle name="Normal 4 8 3 2 2 4" xfId="16189" xr:uid="{BC37F22C-0CFB-4D4D-A813-A6728080FBFC}"/>
    <cellStyle name="Normal 4 8 3 2 3" xfId="20409" xr:uid="{B95D0084-5524-43B3-B835-34F75F0559AB}"/>
    <cellStyle name="Normal 4 8 3 2 4" xfId="28844" xr:uid="{DFCF3162-6162-43E1-BB43-BD0111477C48}"/>
    <cellStyle name="Normal 4 8 3 2 5" xfId="11971" xr:uid="{9B01D300-820A-4E4C-836F-169D30AC7488}"/>
    <cellStyle name="Normal 4 8 3 3" xfId="5605" xr:uid="{00000000-0005-0000-0000-0000D1160000}"/>
    <cellStyle name="Normal 4 8 3 3 2" xfId="22482" xr:uid="{D0314010-2B51-4712-B419-AFCAEAACBE78}"/>
    <cellStyle name="Normal 4 8 3 3 3" xfId="30916" xr:uid="{88BFB52A-A28C-4098-A431-83E6328928CC}"/>
    <cellStyle name="Normal 4 8 3 3 4" xfId="14044" xr:uid="{DA49A081-61E0-47A0-845B-D442A461D055}"/>
    <cellStyle name="Normal 4 8 3 4" xfId="18264" xr:uid="{46378C0C-2C48-4861-9CA1-5410CA86F5C3}"/>
    <cellStyle name="Normal 4 8 3 5" xfId="26699" xr:uid="{84448FDD-1F79-472B-9A57-D8EE0A89CEFA}"/>
    <cellStyle name="Normal 4 8 3 6" xfId="9826" xr:uid="{726975AB-0DDA-4765-A367-3F37512818C5}"/>
    <cellStyle name="Normal 4 8 4" xfId="1710" xr:uid="{00000000-0005-0000-0000-0000D2160000}"/>
    <cellStyle name="Normal 4 8 4 2" xfId="3940" xr:uid="{00000000-0005-0000-0000-0000D3160000}"/>
    <cellStyle name="Normal 4 8 4 2 2" xfId="8163" xr:uid="{00000000-0005-0000-0000-0000D4160000}"/>
    <cellStyle name="Normal 4 8 4 2 2 2" xfId="25040" xr:uid="{1269F9F3-FE7D-4178-8E20-AC835E642FD6}"/>
    <cellStyle name="Normal 4 8 4 2 2 3" xfId="33474" xr:uid="{69091613-DF60-4F0B-B027-CA42AEBABF9D}"/>
    <cellStyle name="Normal 4 8 4 2 2 4" xfId="16602" xr:uid="{13B7E941-05B9-47DD-AD48-6DB8153C2494}"/>
    <cellStyle name="Normal 4 8 4 2 3" xfId="20822" xr:uid="{4AFE68AA-C3FC-428B-A6EA-B34B4A610C53}"/>
    <cellStyle name="Normal 4 8 4 2 4" xfId="29257" xr:uid="{5BD26299-AA30-4E57-B34F-C19DCBE970EE}"/>
    <cellStyle name="Normal 4 8 4 2 5" xfId="12384" xr:uid="{1E670281-0C0D-4BC2-B1C7-7595CA08557E}"/>
    <cellStyle name="Normal 4 8 4 3" xfId="6018" xr:uid="{00000000-0005-0000-0000-0000D5160000}"/>
    <cellStyle name="Normal 4 8 4 3 2" xfId="22895" xr:uid="{23B28EED-F610-4396-861C-0F1900048DC4}"/>
    <cellStyle name="Normal 4 8 4 3 3" xfId="31329" xr:uid="{22F4FC54-0A1F-4146-BD34-60F16C882C4B}"/>
    <cellStyle name="Normal 4 8 4 3 4" xfId="14457" xr:uid="{2C8C3B10-9C5B-4507-8B06-73F0D2A9C0A5}"/>
    <cellStyle name="Normal 4 8 4 4" xfId="18677" xr:uid="{9DBF7CE1-32E6-464E-9E6F-4AEABC4334DA}"/>
    <cellStyle name="Normal 4 8 4 5" xfId="27112" xr:uid="{0D87443B-8091-44DB-A6BC-8E09AA60BB7B}"/>
    <cellStyle name="Normal 4 8 4 6" xfId="10239" xr:uid="{8C4DC963-9AE7-4F44-8526-2A94FF547D36}"/>
    <cellStyle name="Normal 4 8 5" xfId="2124" xr:uid="{00000000-0005-0000-0000-0000D6160000}"/>
    <cellStyle name="Normal 4 8 5 2" xfId="4353" xr:uid="{00000000-0005-0000-0000-0000D7160000}"/>
    <cellStyle name="Normal 4 8 5 2 2" xfId="8576" xr:uid="{00000000-0005-0000-0000-0000D8160000}"/>
    <cellStyle name="Normal 4 8 5 2 2 2" xfId="25453" xr:uid="{B4DB5D71-D924-4361-8566-48B122D6B244}"/>
    <cellStyle name="Normal 4 8 5 2 2 3" xfId="33887" xr:uid="{B9EF6FAA-8626-4C73-BF17-1374B77F0C2C}"/>
    <cellStyle name="Normal 4 8 5 2 2 4" xfId="17015" xr:uid="{164F7E80-4C73-473D-981A-B62E0AE8D758}"/>
    <cellStyle name="Normal 4 8 5 2 3" xfId="21235" xr:uid="{7269BA77-C0EE-4630-B439-916E423C1BAE}"/>
    <cellStyle name="Normal 4 8 5 2 4" xfId="29670" xr:uid="{26A40190-7056-4667-B441-C374A9D3F721}"/>
    <cellStyle name="Normal 4 8 5 2 5" xfId="12797" xr:uid="{2BD50142-CE06-4DBE-9C87-D497DA7C26FF}"/>
    <cellStyle name="Normal 4 8 5 3" xfId="6431" xr:uid="{00000000-0005-0000-0000-0000D9160000}"/>
    <cellStyle name="Normal 4 8 5 3 2" xfId="23308" xr:uid="{D27FE669-E38A-461F-AA88-D355B925A090}"/>
    <cellStyle name="Normal 4 8 5 3 3" xfId="31742" xr:uid="{051F51E0-692C-4A43-9EC8-4ED0F8CFB12E}"/>
    <cellStyle name="Normal 4 8 5 3 4" xfId="14870" xr:uid="{AC80089E-DD9E-4D97-AFAD-AC75CAEB803E}"/>
    <cellStyle name="Normal 4 8 5 4" xfId="19090" xr:uid="{A85DF6B3-425E-45FC-AF56-DFE88FF51E58}"/>
    <cellStyle name="Normal 4 8 5 5" xfId="27525" xr:uid="{30BD316B-8563-4F1D-8ACB-CD4A3CF0B126}"/>
    <cellStyle name="Normal 4 8 5 6" xfId="10652" xr:uid="{1ACDAF6A-FCE9-4353-8B16-AD480195FF0F}"/>
    <cellStyle name="Normal 4 8 6" xfId="2560" xr:uid="{00000000-0005-0000-0000-0000DA160000}"/>
    <cellStyle name="Normal 4 8 6 2" xfId="6844" xr:uid="{00000000-0005-0000-0000-0000DB160000}"/>
    <cellStyle name="Normal 4 8 6 2 2" xfId="23721" xr:uid="{31F33806-12DC-4B8A-B294-7AD672C0D82B}"/>
    <cellStyle name="Normal 4 8 6 2 3" xfId="32155" xr:uid="{C1502579-CE9D-4B41-A081-8D03D183D2BA}"/>
    <cellStyle name="Normal 4 8 6 2 4" xfId="15283" xr:uid="{60E87F2D-1DAA-43D7-9C92-D4332958B9FA}"/>
    <cellStyle name="Normal 4 8 6 3" xfId="19503" xr:uid="{958FF10F-F967-4B6A-AA97-AAE8CC072C57}"/>
    <cellStyle name="Normal 4 8 6 4" xfId="27938" xr:uid="{6FF92D57-765D-4AFD-9DEE-332843F3493B}"/>
    <cellStyle name="Normal 4 8 6 5" xfId="11065" xr:uid="{C7E8C5A8-8143-40B2-B87C-CDD2CACE569A}"/>
    <cellStyle name="Normal 4 8 7" xfId="4779" xr:uid="{00000000-0005-0000-0000-0000DC160000}"/>
    <cellStyle name="Normal 4 8 7 2" xfId="21656" xr:uid="{785BDB65-AA63-4D7A-8E50-58F4476B58CB}"/>
    <cellStyle name="Normal 4 8 7 3" xfId="30090" xr:uid="{EF8A29BB-15AC-42B1-9DEA-3EA7F7035381}"/>
    <cellStyle name="Normal 4 8 7 4" xfId="13218" xr:uid="{82AA160B-0D0E-445A-9A0F-82870A2BE3E2}"/>
    <cellStyle name="Normal 4 8 8" xfId="17438" xr:uid="{CD38E83F-CB12-4F1D-8C79-130BC93CB64B}"/>
    <cellStyle name="Normal 4 8 9" xfId="25873" xr:uid="{6DA5CFFF-53BF-491F-8D1C-FD02DBF4A078}"/>
    <cellStyle name="Normal 4 9" xfId="4716" xr:uid="{00000000-0005-0000-0000-0000DD160000}"/>
    <cellStyle name="Normal 4 9 2" xfId="21593" xr:uid="{6A06ACA0-FF95-423C-AA14-F55B637625CC}"/>
    <cellStyle name="Normal 4 9 3" xfId="30027" xr:uid="{072896C3-09D3-44A8-AB7C-A5FC4D8EE84E}"/>
    <cellStyle name="Normal 4 9 4" xfId="13155" xr:uid="{C59A0650-E2D6-4327-B873-DF68F4F982FD}"/>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25041" xr:uid="{02528DD8-4D1F-48B2-9CC7-104ECB2D820B}"/>
    <cellStyle name="Normal 5 10 2 2 3" xfId="33475" xr:uid="{AED416D8-EB19-4705-90D3-79DCA46A4E98}"/>
    <cellStyle name="Normal 5 10 2 2 4" xfId="16603" xr:uid="{A3A18131-84A2-4DD0-BE2A-DDFAC50011F1}"/>
    <cellStyle name="Normal 5 10 2 3" xfId="20823" xr:uid="{90539B6B-7338-4C83-A918-C37537D8182F}"/>
    <cellStyle name="Normal 5 10 2 4" xfId="29258" xr:uid="{EA6CB025-7858-4297-8C87-31DC6AEBE974}"/>
    <cellStyle name="Normal 5 10 2 5" xfId="12385" xr:uid="{6C1667E1-C4EB-4EAE-8A1C-88D7F1B6629D}"/>
    <cellStyle name="Normal 5 10 3" xfId="6019" xr:uid="{00000000-0005-0000-0000-0000E2160000}"/>
    <cellStyle name="Normal 5 10 3 2" xfId="22896" xr:uid="{FB5F45F2-9CBF-4B9C-BF42-6E26C0D0B25F}"/>
    <cellStyle name="Normal 5 10 3 3" xfId="31330" xr:uid="{F9696FAF-97AF-4220-9F7F-A4CC9A045035}"/>
    <cellStyle name="Normal 5 10 3 4" xfId="14458" xr:uid="{4EB84DDA-4F77-4F70-AD4F-DAEC0D007CE2}"/>
    <cellStyle name="Normal 5 10 4" xfId="18678" xr:uid="{0FCF5670-0EC1-4B53-8289-ABD954F3AFD0}"/>
    <cellStyle name="Normal 5 10 5" xfId="27113" xr:uid="{089F52CB-25C8-4EB4-9EF9-71D03F637253}"/>
    <cellStyle name="Normal 5 10 6" xfId="10240" xr:uid="{E7DAFEDC-4CAD-4E54-B0E9-B5CA461BCB82}"/>
    <cellStyle name="Normal 5 11" xfId="2125" xr:uid="{00000000-0005-0000-0000-0000E3160000}"/>
    <cellStyle name="Normal 5 11 2" xfId="4354" xr:uid="{00000000-0005-0000-0000-0000E4160000}"/>
    <cellStyle name="Normal 5 11 2 2" xfId="8577" xr:uid="{00000000-0005-0000-0000-0000E5160000}"/>
    <cellStyle name="Normal 5 11 2 2 2" xfId="25454" xr:uid="{FAC66722-AD18-4969-AA9E-84C85D754458}"/>
    <cellStyle name="Normal 5 11 2 2 3" xfId="33888" xr:uid="{11EE9692-3A7B-48AE-A1C9-A228A150ABBB}"/>
    <cellStyle name="Normal 5 11 2 2 4" xfId="17016" xr:uid="{D9085EE6-C4EA-49E9-8BE2-85859D39BC20}"/>
    <cellStyle name="Normal 5 11 2 3" xfId="21236" xr:uid="{7EAEB977-7BD2-4400-8147-53B77BE79FCB}"/>
    <cellStyle name="Normal 5 11 2 4" xfId="29671" xr:uid="{BBA981C6-D04C-4096-84CB-376F9BE53613}"/>
    <cellStyle name="Normal 5 11 2 5" xfId="12798" xr:uid="{8EECE31F-5F50-424A-8EB9-F9EE5AAF8B71}"/>
    <cellStyle name="Normal 5 11 3" xfId="6432" xr:uid="{00000000-0005-0000-0000-0000E6160000}"/>
    <cellStyle name="Normal 5 11 3 2" xfId="23309" xr:uid="{6EC39B88-0449-4DD9-9528-022E189C569D}"/>
    <cellStyle name="Normal 5 11 3 3" xfId="31743" xr:uid="{ABF7456B-43BD-486A-AD5F-5F4D84FC4BE8}"/>
    <cellStyle name="Normal 5 11 3 4" xfId="14871" xr:uid="{08917865-24FE-4719-B373-A0FD8665B228}"/>
    <cellStyle name="Normal 5 11 4" xfId="19091" xr:uid="{A9484E3D-2CF0-47F3-83FE-BE3F9A7FB553}"/>
    <cellStyle name="Normal 5 11 5" xfId="27526" xr:uid="{645238FC-25B8-41D0-B9C2-98282E966C3A}"/>
    <cellStyle name="Normal 5 11 6" xfId="10653" xr:uid="{1B933E86-A534-4CCF-9C43-69B83EEA5D35}"/>
    <cellStyle name="Normal 5 12" xfId="2561" xr:uid="{00000000-0005-0000-0000-0000E7160000}"/>
    <cellStyle name="Normal 5 12 2" xfId="6845" xr:uid="{00000000-0005-0000-0000-0000E8160000}"/>
    <cellStyle name="Normal 5 12 2 2" xfId="23722" xr:uid="{12700E38-FC7C-4655-BD09-6EA23368D7C9}"/>
    <cellStyle name="Normal 5 12 2 3" xfId="32156" xr:uid="{382A64A3-7E77-4B69-BF49-CA230325885B}"/>
    <cellStyle name="Normal 5 12 2 4" xfId="15284" xr:uid="{58D82687-51A2-4BE8-914D-37BDB1B6184A}"/>
    <cellStyle name="Normal 5 12 3" xfId="19504" xr:uid="{EFF516F3-DA21-458A-A094-144FBB101BA5}"/>
    <cellStyle name="Normal 5 12 4" xfId="27939" xr:uid="{0872881B-FF03-4184-B8B2-6B500BAB1AFD}"/>
    <cellStyle name="Normal 5 12 5" xfId="11066" xr:uid="{3B639FE0-B493-4A43-90B1-8E8EA1EC52F3}"/>
    <cellStyle name="Normal 5 13" xfId="4780" xr:uid="{00000000-0005-0000-0000-0000E9160000}"/>
    <cellStyle name="Normal 5 13 2" xfId="21657" xr:uid="{A30429C6-FF1D-4FF4-870A-91D7470C7F12}"/>
    <cellStyle name="Normal 5 13 3" xfId="30091" xr:uid="{00BD545A-58B2-43CC-9499-CC3EA21C4B75}"/>
    <cellStyle name="Normal 5 13 4" xfId="13219" xr:uid="{7E08A513-F28D-40DD-A2C8-875778DEA4C3}"/>
    <cellStyle name="Normal 5 14" xfId="17439" xr:uid="{1E18C7D6-0378-4EC7-B42A-2F49C9B006A7}"/>
    <cellStyle name="Normal 5 15" xfId="25874" xr:uid="{C2800743-0BBA-41C4-B961-821919F081B5}"/>
    <cellStyle name="Normal 5 16" xfId="9001" xr:uid="{974FA8D3-76D5-4940-932B-D55A4BF44128}"/>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25455" xr:uid="{73CA5780-3A3A-4E01-B0E5-1001C958168C}"/>
    <cellStyle name="Normal 5 2 10 2 2 3" xfId="33889" xr:uid="{B039CDBA-1077-4839-B1F6-1BBBFEEEA8B7}"/>
    <cellStyle name="Normal 5 2 10 2 2 4" xfId="17017" xr:uid="{C5726AC9-4C76-42AA-9DA0-E1230908F93B}"/>
    <cellStyle name="Normal 5 2 10 2 3" xfId="21237" xr:uid="{609428B4-389B-4114-BF99-0132834413BD}"/>
    <cellStyle name="Normal 5 2 10 2 4" xfId="29672" xr:uid="{0552D64B-3945-40F7-B546-9136C66962FB}"/>
    <cellStyle name="Normal 5 2 10 2 5" xfId="12799" xr:uid="{B8BB0C2F-280E-4CE2-8673-EB0B99055BD2}"/>
    <cellStyle name="Normal 5 2 10 3" xfId="6433" xr:uid="{00000000-0005-0000-0000-0000EE160000}"/>
    <cellStyle name="Normal 5 2 10 3 2" xfId="23310" xr:uid="{C25187A5-F956-4EE3-BB39-00945D470B96}"/>
    <cellStyle name="Normal 5 2 10 3 3" xfId="31744" xr:uid="{DCDC1DE2-AA5A-41D5-9D9F-AB94D7D638A5}"/>
    <cellStyle name="Normal 5 2 10 3 4" xfId="14872" xr:uid="{CF158B36-35A8-4867-82E8-020D39F2312F}"/>
    <cellStyle name="Normal 5 2 10 4" xfId="19092" xr:uid="{5081CD85-129C-4410-AA30-06EECFC5875C}"/>
    <cellStyle name="Normal 5 2 10 5" xfId="27527" xr:uid="{6F91C440-2721-4117-A203-5E4DBE610836}"/>
    <cellStyle name="Normal 5 2 10 6" xfId="10654" xr:uid="{09080D80-0EE5-44BE-95F2-5B0D2FACCAFB}"/>
    <cellStyle name="Normal 5 2 11" xfId="2562" xr:uid="{00000000-0005-0000-0000-0000EF160000}"/>
    <cellStyle name="Normal 5 2 11 2" xfId="6846" xr:uid="{00000000-0005-0000-0000-0000F0160000}"/>
    <cellStyle name="Normal 5 2 11 2 2" xfId="23723" xr:uid="{6E435A70-9A15-465A-9F86-963E2F382240}"/>
    <cellStyle name="Normal 5 2 11 2 3" xfId="32157" xr:uid="{43A400D7-BB93-41A9-B1DF-FD04F20808B7}"/>
    <cellStyle name="Normal 5 2 11 2 4" xfId="15285" xr:uid="{705ABC4B-4384-48F1-8FD8-E9FF4653C582}"/>
    <cellStyle name="Normal 5 2 11 3" xfId="19505" xr:uid="{82B7562A-90D1-428E-A629-8601E35541F5}"/>
    <cellStyle name="Normal 5 2 11 4" xfId="27940" xr:uid="{3016C49B-A33C-4D94-9FFC-9D4C5FB872DD}"/>
    <cellStyle name="Normal 5 2 11 5" xfId="11067" xr:uid="{EC4A3470-3A29-4C5E-90F0-5BE2371E0CDD}"/>
    <cellStyle name="Normal 5 2 12" xfId="4781" xr:uid="{00000000-0005-0000-0000-0000F1160000}"/>
    <cellStyle name="Normal 5 2 12 2" xfId="21658" xr:uid="{B8148C95-33BA-472E-8CA1-3998465C5872}"/>
    <cellStyle name="Normal 5 2 12 3" xfId="30092" xr:uid="{A62D1177-A370-4C23-B374-99EBF79ACC1F}"/>
    <cellStyle name="Normal 5 2 12 4" xfId="13220" xr:uid="{D4F9516D-BB52-4EDE-8ACF-DCC5188EB543}"/>
    <cellStyle name="Normal 5 2 13" xfId="17440" xr:uid="{95AE4BDF-3A20-488B-BAF9-86022218AF70}"/>
    <cellStyle name="Normal 5 2 14" xfId="25875" xr:uid="{F4B17295-9E3F-4FE3-942F-FDAC0EE8FFA4}"/>
    <cellStyle name="Normal 5 2 15" xfId="9002" xr:uid="{9275A0F1-37CF-4979-9D67-A49FD1D59107}"/>
    <cellStyle name="Normal 5 2 2" xfId="408" xr:uid="{00000000-0005-0000-0000-0000F2160000}"/>
    <cellStyle name="Normal 5 2 2 10" xfId="2563" xr:uid="{00000000-0005-0000-0000-0000F3160000}"/>
    <cellStyle name="Normal 5 2 2 10 2" xfId="6847" xr:uid="{00000000-0005-0000-0000-0000F4160000}"/>
    <cellStyle name="Normal 5 2 2 10 2 2" xfId="23724" xr:uid="{B3684294-FBF4-45F9-8ED6-D1DD830DB2C3}"/>
    <cellStyle name="Normal 5 2 2 10 2 3" xfId="32158" xr:uid="{5D3DE413-868C-423D-A677-00B1315BF89B}"/>
    <cellStyle name="Normal 5 2 2 10 2 4" xfId="15286" xr:uid="{6AC69613-1089-4B4A-9AD0-2D8B30982DB1}"/>
    <cellStyle name="Normal 5 2 2 10 3" xfId="19506" xr:uid="{F72519EE-97E0-4B30-B01A-BDFDF0DD39A5}"/>
    <cellStyle name="Normal 5 2 2 10 4" xfId="27941" xr:uid="{E8877AFB-19B9-4883-961E-0EDB8EF099B6}"/>
    <cellStyle name="Normal 5 2 2 10 5" xfId="11068" xr:uid="{48D5444F-061D-44C8-A844-E0D855D511E1}"/>
    <cellStyle name="Normal 5 2 2 11" xfId="4782" xr:uid="{00000000-0005-0000-0000-0000F5160000}"/>
    <cellStyle name="Normal 5 2 2 11 2" xfId="21659" xr:uid="{A841C86A-7277-4E85-B831-E5941EB0BDFE}"/>
    <cellStyle name="Normal 5 2 2 11 3" xfId="30093" xr:uid="{E7A6249E-9201-4351-A070-E3CCF383DCEC}"/>
    <cellStyle name="Normal 5 2 2 11 4" xfId="13221" xr:uid="{7D248405-AC18-40B2-BEF3-F75D275E92AD}"/>
    <cellStyle name="Normal 5 2 2 12" xfId="17441" xr:uid="{8D2923B3-742A-4BFA-A6D8-443FCAA84C0A}"/>
    <cellStyle name="Normal 5 2 2 13" xfId="25876" xr:uid="{10C9B19C-81CE-43CE-9072-2955DD977E31}"/>
    <cellStyle name="Normal 5 2 2 14" xfId="9003" xr:uid="{BF119A34-EFB8-4834-898C-E07A27BC28EF}"/>
    <cellStyle name="Normal 5 2 2 2" xfId="409" xr:uid="{00000000-0005-0000-0000-0000F6160000}"/>
    <cellStyle name="Normal 5 2 2 2 10" xfId="4783" xr:uid="{00000000-0005-0000-0000-0000F7160000}"/>
    <cellStyle name="Normal 5 2 2 2 10 2" xfId="21660" xr:uid="{4C30D465-5590-4672-AD5A-CB397325D8D1}"/>
    <cellStyle name="Normal 5 2 2 2 10 3" xfId="30094" xr:uid="{5B7CF7F2-7AC2-40BC-99DB-20E6323D0E52}"/>
    <cellStyle name="Normal 5 2 2 2 10 4" xfId="13222" xr:uid="{37A49AA9-1AE3-48F6-A61E-74915CC996FC}"/>
    <cellStyle name="Normal 5 2 2 2 11" xfId="17442" xr:uid="{55AD9E15-DEB3-4181-815A-D3368F74338C}"/>
    <cellStyle name="Normal 5 2 2 2 12" xfId="25877" xr:uid="{A118A2E4-F7D0-4611-AB05-01338B76637B}"/>
    <cellStyle name="Normal 5 2 2 2 13" xfId="9004" xr:uid="{CCE2624B-D8AC-45C6-806B-5D7205799895}"/>
    <cellStyle name="Normal 5 2 2 2 2" xfId="410" xr:uid="{00000000-0005-0000-0000-0000F8160000}"/>
    <cellStyle name="Normal 5 2 2 2 2 10" xfId="17443" xr:uid="{8668F7D3-3514-464D-A23E-BC256AB18194}"/>
    <cellStyle name="Normal 5 2 2 2 2 11" xfId="25878" xr:uid="{11B6A510-9EA5-4F1B-94A4-45ECCC5CC24F}"/>
    <cellStyle name="Normal 5 2 2 2 2 12" xfId="9005" xr:uid="{3BDB2EAD-E973-42DF-B049-C3E7F2A9F2FD}"/>
    <cellStyle name="Normal 5 2 2 2 2 2" xfId="411" xr:uid="{00000000-0005-0000-0000-0000F9160000}"/>
    <cellStyle name="Normal 5 2 2 2 2 2 10" xfId="25879" xr:uid="{44A9628C-484D-47B4-B5D4-72B296B10783}"/>
    <cellStyle name="Normal 5 2 2 2 2 2 11" xfId="9006" xr:uid="{3CBE2F4A-6E6A-4FD7-90A6-1B38A37CF647}"/>
    <cellStyle name="Normal 5 2 2 2 2 2 2" xfId="412" xr:uid="{00000000-0005-0000-0000-0000FA160000}"/>
    <cellStyle name="Normal 5 2 2 2 2 2 2 10" xfId="9007" xr:uid="{13BF5C93-18EB-4DC9-808C-50A24667ACA3}"/>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24221" xr:uid="{6D134EA6-E16F-446E-826A-5A9D8B4225DE}"/>
    <cellStyle name="Normal 5 2 2 2 2 2 2 2 2 2 3" xfId="32655" xr:uid="{0E36A29D-F245-47C5-BEB5-5453A3FFADC6}"/>
    <cellStyle name="Normal 5 2 2 2 2 2 2 2 2 2 4" xfId="15783" xr:uid="{99896ED4-90D6-4F94-8D4B-BBCA3B67A575}"/>
    <cellStyle name="Normal 5 2 2 2 2 2 2 2 2 3" xfId="20003" xr:uid="{40488E32-F8BF-424A-A03A-CBF35321E481}"/>
    <cellStyle name="Normal 5 2 2 2 2 2 2 2 2 4" xfId="28438" xr:uid="{B7DAC90C-9833-41EC-B3DC-663C3AF96D9A}"/>
    <cellStyle name="Normal 5 2 2 2 2 2 2 2 2 5" xfId="11565" xr:uid="{E5D47C09-0059-4F91-9817-F8A558D41792}"/>
    <cellStyle name="Normal 5 2 2 2 2 2 2 2 3" xfId="5199" xr:uid="{00000000-0005-0000-0000-0000FE160000}"/>
    <cellStyle name="Normal 5 2 2 2 2 2 2 2 3 2" xfId="22076" xr:uid="{5C267094-51F6-460C-ABCA-DA57F3DD34C8}"/>
    <cellStyle name="Normal 5 2 2 2 2 2 2 2 3 3" xfId="30510" xr:uid="{CB518546-BA92-4984-9F38-DC8874ED84F7}"/>
    <cellStyle name="Normal 5 2 2 2 2 2 2 2 3 4" xfId="13638" xr:uid="{94551736-E8A7-4A0E-B829-7A5F5EC7BC81}"/>
    <cellStyle name="Normal 5 2 2 2 2 2 2 2 4" xfId="17858" xr:uid="{4D7B6AB9-B39F-4E06-B245-008EC1CBE55D}"/>
    <cellStyle name="Normal 5 2 2 2 2 2 2 2 5" xfId="26293" xr:uid="{9CC16D92-D284-428C-AEAD-3D2FC807399B}"/>
    <cellStyle name="Normal 5 2 2 2 2 2 2 2 6" xfId="9420" xr:uid="{5095D860-152A-4241-8373-E157B0FD874C}"/>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24634" xr:uid="{52C1D509-4EF7-426C-A5B1-E2A75E20EEB3}"/>
    <cellStyle name="Normal 5 2 2 2 2 2 2 3 2 2 3" xfId="33068" xr:uid="{64CC118C-ADC8-4759-BD8B-8B58C28E683F}"/>
    <cellStyle name="Normal 5 2 2 2 2 2 2 3 2 2 4" xfId="16196" xr:uid="{110ECA1C-6F87-4479-8D41-0576AEA478B8}"/>
    <cellStyle name="Normal 5 2 2 2 2 2 2 3 2 3" xfId="20416" xr:uid="{FD91B0BA-0757-4EFC-9A2F-4A9C54522A55}"/>
    <cellStyle name="Normal 5 2 2 2 2 2 2 3 2 4" xfId="28851" xr:uid="{28C2B31B-0D8D-4594-8D33-FAD8FC5E6FC5}"/>
    <cellStyle name="Normal 5 2 2 2 2 2 2 3 2 5" xfId="11978" xr:uid="{ABCAE25F-4D13-4264-869B-B39F1A80316C}"/>
    <cellStyle name="Normal 5 2 2 2 2 2 2 3 3" xfId="5612" xr:uid="{00000000-0005-0000-0000-000002170000}"/>
    <cellStyle name="Normal 5 2 2 2 2 2 2 3 3 2" xfId="22489" xr:uid="{056A3604-5C5D-4149-9A82-DB1E445EC752}"/>
    <cellStyle name="Normal 5 2 2 2 2 2 2 3 3 3" xfId="30923" xr:uid="{68E10E15-6981-433F-A504-B7CF8961B566}"/>
    <cellStyle name="Normal 5 2 2 2 2 2 2 3 3 4" xfId="14051" xr:uid="{13A2F5B5-4409-45DE-8DF0-2E6AD3092B90}"/>
    <cellStyle name="Normal 5 2 2 2 2 2 2 3 4" xfId="18271" xr:uid="{F5DC7D9E-B64D-44AD-AABF-03D545B405AF}"/>
    <cellStyle name="Normal 5 2 2 2 2 2 2 3 5" xfId="26706" xr:uid="{52982F7F-14C5-418F-85C9-9D5EE9873988}"/>
    <cellStyle name="Normal 5 2 2 2 2 2 2 3 6" xfId="9833" xr:uid="{485004CB-4D96-4758-B68A-8D842D519C28}"/>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25047" xr:uid="{B7BF9E35-B9AA-4BBC-B460-2037A9FFC8B6}"/>
    <cellStyle name="Normal 5 2 2 2 2 2 2 4 2 2 3" xfId="33481" xr:uid="{732499D9-D06B-49A3-8410-4FB574C66163}"/>
    <cellStyle name="Normal 5 2 2 2 2 2 2 4 2 2 4" xfId="16609" xr:uid="{B435BDCA-7F02-4693-B7F9-F8ECA15A3B66}"/>
    <cellStyle name="Normal 5 2 2 2 2 2 2 4 2 3" xfId="20829" xr:uid="{61678CBF-21E2-45FD-9D21-847B1AC6999F}"/>
    <cellStyle name="Normal 5 2 2 2 2 2 2 4 2 4" xfId="29264" xr:uid="{C8606DB6-EC79-498C-89DE-913E7234A878}"/>
    <cellStyle name="Normal 5 2 2 2 2 2 2 4 2 5" xfId="12391" xr:uid="{2BDEC015-DD56-4F98-AFA6-D5CBDE360CA0}"/>
    <cellStyle name="Normal 5 2 2 2 2 2 2 4 3" xfId="6025" xr:uid="{00000000-0005-0000-0000-000006170000}"/>
    <cellStyle name="Normal 5 2 2 2 2 2 2 4 3 2" xfId="22902" xr:uid="{CC88DBBD-9172-4AE1-8D04-FECE2D57D125}"/>
    <cellStyle name="Normal 5 2 2 2 2 2 2 4 3 3" xfId="31336" xr:uid="{3DEA86B9-3020-42B1-AB6B-B69E07C20BC5}"/>
    <cellStyle name="Normal 5 2 2 2 2 2 2 4 3 4" xfId="14464" xr:uid="{6A487D68-025E-4D7C-95E5-A6930D0020F2}"/>
    <cellStyle name="Normal 5 2 2 2 2 2 2 4 4" xfId="18684" xr:uid="{B073B028-E874-42FA-8259-26345946025E}"/>
    <cellStyle name="Normal 5 2 2 2 2 2 2 4 5" xfId="27119" xr:uid="{931B98DC-B2C7-4FEE-A910-B748AEC7E27B}"/>
    <cellStyle name="Normal 5 2 2 2 2 2 2 4 6" xfId="10246" xr:uid="{0557A4F3-C903-4FB5-B1AF-2EE426B0175E}"/>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25460" xr:uid="{BA889990-A450-4309-B32F-EFECEA259683}"/>
    <cellStyle name="Normal 5 2 2 2 2 2 2 5 2 2 3" xfId="33894" xr:uid="{42F49063-7C8A-4FDA-9CDA-786EDB565DF0}"/>
    <cellStyle name="Normal 5 2 2 2 2 2 2 5 2 2 4" xfId="17022" xr:uid="{20FE9536-0F23-4B92-9293-AD08939090B7}"/>
    <cellStyle name="Normal 5 2 2 2 2 2 2 5 2 3" xfId="21242" xr:uid="{ABE51720-216F-482D-8D63-9C1690E1109F}"/>
    <cellStyle name="Normal 5 2 2 2 2 2 2 5 2 4" xfId="29677" xr:uid="{93CE8889-DC9B-4B7A-B568-B73604D0256C}"/>
    <cellStyle name="Normal 5 2 2 2 2 2 2 5 2 5" xfId="12804" xr:uid="{5265304D-63CE-4DBE-8CE1-20ED894AA4DC}"/>
    <cellStyle name="Normal 5 2 2 2 2 2 2 5 3" xfId="6438" xr:uid="{00000000-0005-0000-0000-00000A170000}"/>
    <cellStyle name="Normal 5 2 2 2 2 2 2 5 3 2" xfId="23315" xr:uid="{77C4CF8C-DC7D-4972-830E-4F6E1D374C24}"/>
    <cellStyle name="Normal 5 2 2 2 2 2 2 5 3 3" xfId="31749" xr:uid="{75B55ED5-B4B3-4BC2-A6C6-C115E5270D94}"/>
    <cellStyle name="Normal 5 2 2 2 2 2 2 5 3 4" xfId="14877" xr:uid="{6D1CCE13-595F-48C7-A607-1F85E49BB3EB}"/>
    <cellStyle name="Normal 5 2 2 2 2 2 2 5 4" xfId="19097" xr:uid="{E92E3034-8B52-483B-8BC2-3573E440B86B}"/>
    <cellStyle name="Normal 5 2 2 2 2 2 2 5 5" xfId="27532" xr:uid="{F2CA62D9-4B4A-49FB-90D1-A44FE6DA4AAD}"/>
    <cellStyle name="Normal 5 2 2 2 2 2 2 5 6" xfId="10659" xr:uid="{7DBDA7B1-6BDF-446D-90EF-A3BF2B964E90}"/>
    <cellStyle name="Normal 5 2 2 2 2 2 2 6" xfId="2567" xr:uid="{00000000-0005-0000-0000-00000B170000}"/>
    <cellStyle name="Normal 5 2 2 2 2 2 2 6 2" xfId="6851" xr:uid="{00000000-0005-0000-0000-00000C170000}"/>
    <cellStyle name="Normal 5 2 2 2 2 2 2 6 2 2" xfId="23728" xr:uid="{7CC32313-0DD0-4562-B69C-0CA06C5A9714}"/>
    <cellStyle name="Normal 5 2 2 2 2 2 2 6 2 3" xfId="32162" xr:uid="{B0705B50-CB3B-4CB7-9B12-73864594B80C}"/>
    <cellStyle name="Normal 5 2 2 2 2 2 2 6 2 4" xfId="15290" xr:uid="{7A52ED72-9155-4295-A1E7-548E286F7FA0}"/>
    <cellStyle name="Normal 5 2 2 2 2 2 2 6 3" xfId="19510" xr:uid="{4C6FF25A-6646-4E8B-B485-BA389DEA549F}"/>
    <cellStyle name="Normal 5 2 2 2 2 2 2 6 4" xfId="27945" xr:uid="{CBB228F0-A84A-41B1-A061-9F7C02C01CD6}"/>
    <cellStyle name="Normal 5 2 2 2 2 2 2 6 5" xfId="11072" xr:uid="{9EEA7FF8-3702-4807-A1A2-7F2935E0199B}"/>
    <cellStyle name="Normal 5 2 2 2 2 2 2 7" xfId="4786" xr:uid="{00000000-0005-0000-0000-00000D170000}"/>
    <cellStyle name="Normal 5 2 2 2 2 2 2 7 2" xfId="21663" xr:uid="{0A849584-26C0-413B-A935-0EB9FB0F2699}"/>
    <cellStyle name="Normal 5 2 2 2 2 2 2 7 3" xfId="30097" xr:uid="{C5D7D692-B30B-4943-9E55-C52C50EF3C97}"/>
    <cellStyle name="Normal 5 2 2 2 2 2 2 7 4" xfId="13225" xr:uid="{DB24C184-AED8-4A8F-B034-C5D45962E391}"/>
    <cellStyle name="Normal 5 2 2 2 2 2 2 8" xfId="17445" xr:uid="{90F63713-5B12-470F-8860-99BA0CBE577E}"/>
    <cellStyle name="Normal 5 2 2 2 2 2 2 9" xfId="25880" xr:uid="{C3BA3179-C9E1-4E48-B44C-BD43474BC861}"/>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24220" xr:uid="{5B92BA7C-CA8C-447E-B584-8E241FA4C8C0}"/>
    <cellStyle name="Normal 5 2 2 2 2 2 3 2 2 3" xfId="32654" xr:uid="{631F21C7-F6D5-45AC-9461-16DF18F4F2FC}"/>
    <cellStyle name="Normal 5 2 2 2 2 2 3 2 2 4" xfId="15782" xr:uid="{B732E4EC-CED4-4DC1-818B-4C158F237314}"/>
    <cellStyle name="Normal 5 2 2 2 2 2 3 2 3" xfId="20002" xr:uid="{AF3F16A8-28AA-477C-8959-205DEE11EFAF}"/>
    <cellStyle name="Normal 5 2 2 2 2 2 3 2 4" xfId="28437" xr:uid="{DC8E8174-7CB0-42D4-971A-71A93E76D7CB}"/>
    <cellStyle name="Normal 5 2 2 2 2 2 3 2 5" xfId="11564" xr:uid="{39F017A6-0F5D-4059-A42F-F986F39ABE07}"/>
    <cellStyle name="Normal 5 2 2 2 2 2 3 3" xfId="5198" xr:uid="{00000000-0005-0000-0000-000011170000}"/>
    <cellStyle name="Normal 5 2 2 2 2 2 3 3 2" xfId="22075" xr:uid="{05181E29-4F16-4661-936A-C5C2A9C4697A}"/>
    <cellStyle name="Normal 5 2 2 2 2 2 3 3 3" xfId="30509" xr:uid="{C15A408E-7260-4D65-8A32-80320F7F0BBB}"/>
    <cellStyle name="Normal 5 2 2 2 2 2 3 3 4" xfId="13637" xr:uid="{CC553A12-1CE4-4090-B52D-BFE0BF973370}"/>
    <cellStyle name="Normal 5 2 2 2 2 2 3 4" xfId="17857" xr:uid="{EB39C0DE-C33D-4CA0-A321-A36A33260CDC}"/>
    <cellStyle name="Normal 5 2 2 2 2 2 3 5" xfId="26292" xr:uid="{D6A544D6-9D7E-479F-89F4-0F570CF47D70}"/>
    <cellStyle name="Normal 5 2 2 2 2 2 3 6" xfId="9419" xr:uid="{D32F4B04-49B5-4406-9563-548E49B35DC2}"/>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24633" xr:uid="{E9B99A2A-0ADF-4355-BE80-F93F5ABE78AC}"/>
    <cellStyle name="Normal 5 2 2 2 2 2 4 2 2 3" xfId="33067" xr:uid="{B4E69B8A-CE58-4593-ADF0-6D15143187D3}"/>
    <cellStyle name="Normal 5 2 2 2 2 2 4 2 2 4" xfId="16195" xr:uid="{D8B7A7F0-DECC-4A9A-B561-BDA5B5628F94}"/>
    <cellStyle name="Normal 5 2 2 2 2 2 4 2 3" xfId="20415" xr:uid="{56C0A93E-15B4-406D-B76F-C5200987971A}"/>
    <cellStyle name="Normal 5 2 2 2 2 2 4 2 4" xfId="28850" xr:uid="{4ABFF8EA-378F-4F88-BB79-E97677EF8344}"/>
    <cellStyle name="Normal 5 2 2 2 2 2 4 2 5" xfId="11977" xr:uid="{4D80CE8B-4F70-4745-AC84-368E48CBA168}"/>
    <cellStyle name="Normal 5 2 2 2 2 2 4 3" xfId="5611" xr:uid="{00000000-0005-0000-0000-000015170000}"/>
    <cellStyle name="Normal 5 2 2 2 2 2 4 3 2" xfId="22488" xr:uid="{9D0E5E0E-655A-4C6C-9490-AF393638EE79}"/>
    <cellStyle name="Normal 5 2 2 2 2 2 4 3 3" xfId="30922" xr:uid="{98651F30-FE0B-4C50-B333-5CDD14529990}"/>
    <cellStyle name="Normal 5 2 2 2 2 2 4 3 4" xfId="14050" xr:uid="{87996D24-D1F3-4337-AC0F-49E19E37B05C}"/>
    <cellStyle name="Normal 5 2 2 2 2 2 4 4" xfId="18270" xr:uid="{582703D9-B710-48D2-A89D-5C1504B1EE7F}"/>
    <cellStyle name="Normal 5 2 2 2 2 2 4 5" xfId="26705" xr:uid="{52058E75-975C-4806-BC71-BC551305AAD4}"/>
    <cellStyle name="Normal 5 2 2 2 2 2 4 6" xfId="9832" xr:uid="{800ED9B5-C538-400A-93AE-3EA0325DD0FC}"/>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25046" xr:uid="{0276973E-237B-4F76-8CC8-3DA22E027763}"/>
    <cellStyle name="Normal 5 2 2 2 2 2 5 2 2 3" xfId="33480" xr:uid="{267E1094-A7FC-4CC6-B26C-2B08206D0FE6}"/>
    <cellStyle name="Normal 5 2 2 2 2 2 5 2 2 4" xfId="16608" xr:uid="{B933BAE1-07D2-4B76-B09A-65AAFE0E3DF9}"/>
    <cellStyle name="Normal 5 2 2 2 2 2 5 2 3" xfId="20828" xr:uid="{3A6B5D81-41BC-4CFE-B7E0-56D43A8774B7}"/>
    <cellStyle name="Normal 5 2 2 2 2 2 5 2 4" xfId="29263" xr:uid="{A826D46E-0E32-4C9A-8479-1F8BA8D1D52A}"/>
    <cellStyle name="Normal 5 2 2 2 2 2 5 2 5" xfId="12390" xr:uid="{25561A31-031B-40AC-91F7-06431386E657}"/>
    <cellStyle name="Normal 5 2 2 2 2 2 5 3" xfId="6024" xr:uid="{00000000-0005-0000-0000-000019170000}"/>
    <cellStyle name="Normal 5 2 2 2 2 2 5 3 2" xfId="22901" xr:uid="{E44FAD0B-8B21-4990-BAB3-79953918F885}"/>
    <cellStyle name="Normal 5 2 2 2 2 2 5 3 3" xfId="31335" xr:uid="{5FBE7D04-862C-4476-B3C5-92D8A0542A07}"/>
    <cellStyle name="Normal 5 2 2 2 2 2 5 3 4" xfId="14463" xr:uid="{DE917C45-4FBF-4F0C-B23D-2955FADC2E23}"/>
    <cellStyle name="Normal 5 2 2 2 2 2 5 4" xfId="18683" xr:uid="{69EA617F-AE0E-4F69-BB49-CCCEA4420736}"/>
    <cellStyle name="Normal 5 2 2 2 2 2 5 5" xfId="27118" xr:uid="{8CC86224-4AF3-4F9C-869C-BF8AADF790B9}"/>
    <cellStyle name="Normal 5 2 2 2 2 2 5 6" xfId="10245" xr:uid="{531AB82D-0E09-4304-AF72-86B54D14DBBB}"/>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25459" xr:uid="{C9A2DEC2-73DA-4EA2-89FD-E7FD8C108156}"/>
    <cellStyle name="Normal 5 2 2 2 2 2 6 2 2 3" xfId="33893" xr:uid="{2A035E8B-3A08-4FE4-A5AB-91C8DA999EA4}"/>
    <cellStyle name="Normal 5 2 2 2 2 2 6 2 2 4" xfId="17021" xr:uid="{57A268AD-58FF-4AEE-9736-343BF0315A6F}"/>
    <cellStyle name="Normal 5 2 2 2 2 2 6 2 3" xfId="21241" xr:uid="{4FFF9D51-2ADA-4059-9547-29E898F8FF00}"/>
    <cellStyle name="Normal 5 2 2 2 2 2 6 2 4" xfId="29676" xr:uid="{9F6D5D47-E98C-4606-B390-FBF1D8A45C11}"/>
    <cellStyle name="Normal 5 2 2 2 2 2 6 2 5" xfId="12803" xr:uid="{FEEE479E-4C8E-4822-A7CF-DC19C58B2187}"/>
    <cellStyle name="Normal 5 2 2 2 2 2 6 3" xfId="6437" xr:uid="{00000000-0005-0000-0000-00001D170000}"/>
    <cellStyle name="Normal 5 2 2 2 2 2 6 3 2" xfId="23314" xr:uid="{653FE8B2-A754-441B-812F-D70F79FA136F}"/>
    <cellStyle name="Normal 5 2 2 2 2 2 6 3 3" xfId="31748" xr:uid="{7B662C6A-5E1D-424C-B27C-649DD88DAF71}"/>
    <cellStyle name="Normal 5 2 2 2 2 2 6 3 4" xfId="14876" xr:uid="{C5EC27DD-F845-4608-BDC1-EECAADDCD376}"/>
    <cellStyle name="Normal 5 2 2 2 2 2 6 4" xfId="19096" xr:uid="{A80FD794-6508-4657-9E12-2A7E25E3A0AC}"/>
    <cellStyle name="Normal 5 2 2 2 2 2 6 5" xfId="27531" xr:uid="{94AF0193-C0C6-4A39-9E69-FC99EFE68973}"/>
    <cellStyle name="Normal 5 2 2 2 2 2 6 6" xfId="10658" xr:uid="{4EB151F2-7896-433B-9048-118860F9EB3C}"/>
    <cellStyle name="Normal 5 2 2 2 2 2 7" xfId="2566" xr:uid="{00000000-0005-0000-0000-00001E170000}"/>
    <cellStyle name="Normal 5 2 2 2 2 2 7 2" xfId="6850" xr:uid="{00000000-0005-0000-0000-00001F170000}"/>
    <cellStyle name="Normal 5 2 2 2 2 2 7 2 2" xfId="23727" xr:uid="{95C9301F-4C55-45D0-8B6A-4035DC1A89DC}"/>
    <cellStyle name="Normal 5 2 2 2 2 2 7 2 3" xfId="32161" xr:uid="{2EB3854B-48D2-49AB-B203-AB06EA34FAD4}"/>
    <cellStyle name="Normal 5 2 2 2 2 2 7 2 4" xfId="15289" xr:uid="{48B36650-C437-4547-9C6F-AAEE0400C49D}"/>
    <cellStyle name="Normal 5 2 2 2 2 2 7 3" xfId="19509" xr:uid="{44170BB1-36A3-458B-BCC2-3BFFFB787BFA}"/>
    <cellStyle name="Normal 5 2 2 2 2 2 7 4" xfId="27944" xr:uid="{14E9453F-6AD8-415B-ACE2-16F9E2A47EBC}"/>
    <cellStyle name="Normal 5 2 2 2 2 2 7 5" xfId="11071" xr:uid="{99D4CDB2-9676-4F0B-B36E-222BDAC20CEA}"/>
    <cellStyle name="Normal 5 2 2 2 2 2 8" xfId="4785" xr:uid="{00000000-0005-0000-0000-000020170000}"/>
    <cellStyle name="Normal 5 2 2 2 2 2 8 2" xfId="21662" xr:uid="{FEBA1D60-2F16-41B9-AF28-A2E2BDC7C34F}"/>
    <cellStyle name="Normal 5 2 2 2 2 2 8 3" xfId="30096" xr:uid="{717AFE9A-EA95-4ABF-B8DC-F1A162D91C0C}"/>
    <cellStyle name="Normal 5 2 2 2 2 2 8 4" xfId="13224" xr:uid="{70AD044F-72B4-49FF-A5B9-76AFC57290E5}"/>
    <cellStyle name="Normal 5 2 2 2 2 2 9" xfId="17444" xr:uid="{56DBF6D8-1A90-4D21-BE36-C66AA25A1208}"/>
    <cellStyle name="Normal 5 2 2 2 2 3" xfId="413" xr:uid="{00000000-0005-0000-0000-000021170000}"/>
    <cellStyle name="Normal 5 2 2 2 2 3 10" xfId="9008" xr:uid="{E8D43884-3C53-4C0F-8EEA-A9F9BB83CF96}"/>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24222" xr:uid="{1196B400-EF1F-46CA-974C-E3B75199089A}"/>
    <cellStyle name="Normal 5 2 2 2 2 3 2 2 2 3" xfId="32656" xr:uid="{9A00548B-95C2-4F40-9C52-02FCB8AFDC77}"/>
    <cellStyle name="Normal 5 2 2 2 2 3 2 2 2 4" xfId="15784" xr:uid="{DABD8107-D42E-4F0B-A4ED-5638FA60E5C9}"/>
    <cellStyle name="Normal 5 2 2 2 2 3 2 2 3" xfId="20004" xr:uid="{ACA410B7-C469-4FBC-B5D9-4F0DC4DF3B6C}"/>
    <cellStyle name="Normal 5 2 2 2 2 3 2 2 4" xfId="28439" xr:uid="{DA080A5F-4C71-4846-BB4C-156BD755E800}"/>
    <cellStyle name="Normal 5 2 2 2 2 3 2 2 5" xfId="11566" xr:uid="{E9967453-27FE-4D7C-865D-B3288023F7AD}"/>
    <cellStyle name="Normal 5 2 2 2 2 3 2 3" xfId="5200" xr:uid="{00000000-0005-0000-0000-000025170000}"/>
    <cellStyle name="Normal 5 2 2 2 2 3 2 3 2" xfId="22077" xr:uid="{A421D263-819C-4C90-A28A-9495D5F23C80}"/>
    <cellStyle name="Normal 5 2 2 2 2 3 2 3 3" xfId="30511" xr:uid="{CE9A2F61-FBA9-4534-9C81-6C5A883BE379}"/>
    <cellStyle name="Normal 5 2 2 2 2 3 2 3 4" xfId="13639" xr:uid="{065BDD7E-3568-47F1-8E86-8966E820435B}"/>
    <cellStyle name="Normal 5 2 2 2 2 3 2 4" xfId="17859" xr:uid="{8BE21EEB-4EA0-4CD8-A448-FAF67287D1CA}"/>
    <cellStyle name="Normal 5 2 2 2 2 3 2 5" xfId="26294" xr:uid="{BE357DD0-BB30-4A48-AF1E-584B8330705A}"/>
    <cellStyle name="Normal 5 2 2 2 2 3 2 6" xfId="9421" xr:uid="{388A2473-8CAD-48C5-8D94-DBCFF91309FD}"/>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24635" xr:uid="{4EED600C-9712-4E86-A7D7-AABD8D594AA5}"/>
    <cellStyle name="Normal 5 2 2 2 2 3 3 2 2 3" xfId="33069" xr:uid="{27B3C90F-EEDE-46DD-9A1E-3A0CF5223469}"/>
    <cellStyle name="Normal 5 2 2 2 2 3 3 2 2 4" xfId="16197" xr:uid="{48848B28-B9E7-414B-916D-B7B200B0CF1D}"/>
    <cellStyle name="Normal 5 2 2 2 2 3 3 2 3" xfId="20417" xr:uid="{40147710-4A3D-40E8-AD58-D24160BED5A2}"/>
    <cellStyle name="Normal 5 2 2 2 2 3 3 2 4" xfId="28852" xr:uid="{1E3748A2-963A-4F50-885D-BF6E8A11F733}"/>
    <cellStyle name="Normal 5 2 2 2 2 3 3 2 5" xfId="11979" xr:uid="{BCFDD91D-55C1-4C83-BEE2-5BCCF3C2873F}"/>
    <cellStyle name="Normal 5 2 2 2 2 3 3 3" xfId="5613" xr:uid="{00000000-0005-0000-0000-000029170000}"/>
    <cellStyle name="Normal 5 2 2 2 2 3 3 3 2" xfId="22490" xr:uid="{8B0AE83B-9D05-4987-BD7A-E611D2ED4C69}"/>
    <cellStyle name="Normal 5 2 2 2 2 3 3 3 3" xfId="30924" xr:uid="{AD6C6E74-5059-4434-A236-C571C2FEE190}"/>
    <cellStyle name="Normal 5 2 2 2 2 3 3 3 4" xfId="14052" xr:uid="{76BA33A0-D5A3-49C5-A6B5-1D4620C7C534}"/>
    <cellStyle name="Normal 5 2 2 2 2 3 3 4" xfId="18272" xr:uid="{E89D20AF-75F6-4CDD-9AF2-928575CEB626}"/>
    <cellStyle name="Normal 5 2 2 2 2 3 3 5" xfId="26707" xr:uid="{FAFAC252-1029-4C65-A976-89EE95429BB9}"/>
    <cellStyle name="Normal 5 2 2 2 2 3 3 6" xfId="9834" xr:uid="{9889B891-8B70-4F77-8C07-5BB2F64A30D8}"/>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25048" xr:uid="{9ADA7E66-A309-428F-B331-87016CD1D51B}"/>
    <cellStyle name="Normal 5 2 2 2 2 3 4 2 2 3" xfId="33482" xr:uid="{BB0E011A-83CB-4D01-891B-8692F8636C78}"/>
    <cellStyle name="Normal 5 2 2 2 2 3 4 2 2 4" xfId="16610" xr:uid="{D93968E6-D6DF-4F0F-8A27-E987BC2C0D78}"/>
    <cellStyle name="Normal 5 2 2 2 2 3 4 2 3" xfId="20830" xr:uid="{D7BFACFA-5B02-4773-B866-4D6E47F440B6}"/>
    <cellStyle name="Normal 5 2 2 2 2 3 4 2 4" xfId="29265" xr:uid="{EFF982EF-B1C2-41BF-B8ED-BCB915FA1063}"/>
    <cellStyle name="Normal 5 2 2 2 2 3 4 2 5" xfId="12392" xr:uid="{56972600-810E-4E70-8444-1342164706F4}"/>
    <cellStyle name="Normal 5 2 2 2 2 3 4 3" xfId="6026" xr:uid="{00000000-0005-0000-0000-00002D170000}"/>
    <cellStyle name="Normal 5 2 2 2 2 3 4 3 2" xfId="22903" xr:uid="{E1778E6A-8C25-451F-AF79-2F6EA4F1AE54}"/>
    <cellStyle name="Normal 5 2 2 2 2 3 4 3 3" xfId="31337" xr:uid="{9E8FB4CA-E178-41ED-96B1-83AB98BD0F40}"/>
    <cellStyle name="Normal 5 2 2 2 2 3 4 3 4" xfId="14465" xr:uid="{BDC05166-8831-4A78-865B-2B3A260CD22A}"/>
    <cellStyle name="Normal 5 2 2 2 2 3 4 4" xfId="18685" xr:uid="{68FABC0C-9C6C-42C4-92CF-BE5E5C01A918}"/>
    <cellStyle name="Normal 5 2 2 2 2 3 4 5" xfId="27120" xr:uid="{DD94940D-650D-4443-A485-D75D8267E350}"/>
    <cellStyle name="Normal 5 2 2 2 2 3 4 6" xfId="10247" xr:uid="{90445323-776B-4DC1-9D00-F4CC41E7CCCE}"/>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25461" xr:uid="{3AE46421-446F-4FD0-B7AE-0540CF9859A7}"/>
    <cellStyle name="Normal 5 2 2 2 2 3 5 2 2 3" xfId="33895" xr:uid="{DC65A227-982F-4D60-8EFF-DD53364EDAC8}"/>
    <cellStyle name="Normal 5 2 2 2 2 3 5 2 2 4" xfId="17023" xr:uid="{58A278D2-DE89-4897-A784-C8AB2CB32A99}"/>
    <cellStyle name="Normal 5 2 2 2 2 3 5 2 3" xfId="21243" xr:uid="{579AA874-EE01-4735-905D-1D5FFAA2DEB9}"/>
    <cellStyle name="Normal 5 2 2 2 2 3 5 2 4" xfId="29678" xr:uid="{9144C926-8C3C-4F92-89DD-7BE9DC99D95A}"/>
    <cellStyle name="Normal 5 2 2 2 2 3 5 2 5" xfId="12805" xr:uid="{E6013469-7166-4AC2-B4C4-B72606A73B7F}"/>
    <cellStyle name="Normal 5 2 2 2 2 3 5 3" xfId="6439" xr:uid="{00000000-0005-0000-0000-000031170000}"/>
    <cellStyle name="Normal 5 2 2 2 2 3 5 3 2" xfId="23316" xr:uid="{F148EC5C-EC87-473D-8D76-94FE626A68BB}"/>
    <cellStyle name="Normal 5 2 2 2 2 3 5 3 3" xfId="31750" xr:uid="{61DDCBF5-53A1-4C05-A5BB-8028D50DF901}"/>
    <cellStyle name="Normal 5 2 2 2 2 3 5 3 4" xfId="14878" xr:uid="{728DAE0E-9CB8-4463-A220-96767212AE71}"/>
    <cellStyle name="Normal 5 2 2 2 2 3 5 4" xfId="19098" xr:uid="{40DC9714-EA6B-41CE-A892-D5A746347710}"/>
    <cellStyle name="Normal 5 2 2 2 2 3 5 5" xfId="27533" xr:uid="{B8D271E7-81D1-496A-A5E3-4FB263A40462}"/>
    <cellStyle name="Normal 5 2 2 2 2 3 5 6" xfId="10660" xr:uid="{356C0A04-511A-49CC-A95C-B4770DF1BEA0}"/>
    <cellStyle name="Normal 5 2 2 2 2 3 6" xfId="2568" xr:uid="{00000000-0005-0000-0000-000032170000}"/>
    <cellStyle name="Normal 5 2 2 2 2 3 6 2" xfId="6852" xr:uid="{00000000-0005-0000-0000-000033170000}"/>
    <cellStyle name="Normal 5 2 2 2 2 3 6 2 2" xfId="23729" xr:uid="{0A5D0DF6-9BD5-413F-A4A6-2C5B27961452}"/>
    <cellStyle name="Normal 5 2 2 2 2 3 6 2 3" xfId="32163" xr:uid="{CD264022-FB8C-449E-BE65-0CA51BCFFD6E}"/>
    <cellStyle name="Normal 5 2 2 2 2 3 6 2 4" xfId="15291" xr:uid="{475CD29E-5792-4EEE-8C21-1F4D9986B6E6}"/>
    <cellStyle name="Normal 5 2 2 2 2 3 6 3" xfId="19511" xr:uid="{6855FE59-E483-4259-BB3A-D9986CDEEBD1}"/>
    <cellStyle name="Normal 5 2 2 2 2 3 6 4" xfId="27946" xr:uid="{F5C4B851-B781-4FD3-BF39-2B14B32C0384}"/>
    <cellStyle name="Normal 5 2 2 2 2 3 6 5" xfId="11073" xr:uid="{EACD576D-E542-478C-A8E3-0E3CAF1CF593}"/>
    <cellStyle name="Normal 5 2 2 2 2 3 7" xfId="4787" xr:uid="{00000000-0005-0000-0000-000034170000}"/>
    <cellStyle name="Normal 5 2 2 2 2 3 7 2" xfId="21664" xr:uid="{35780DE2-8E32-4C07-8D72-2D64BBCF6F1C}"/>
    <cellStyle name="Normal 5 2 2 2 2 3 7 3" xfId="30098" xr:uid="{3C71FE6A-CAC7-4F6E-8BCC-76183178C785}"/>
    <cellStyle name="Normal 5 2 2 2 2 3 7 4" xfId="13226" xr:uid="{1C368D35-857A-470A-861A-8719D8685A5C}"/>
    <cellStyle name="Normal 5 2 2 2 2 3 8" xfId="17446" xr:uid="{0DD33934-2B28-407A-BCCE-C7089601E0F8}"/>
    <cellStyle name="Normal 5 2 2 2 2 3 9" xfId="25881" xr:uid="{77B0BB6B-4C87-4943-814B-E1DFA21591E6}"/>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24219" xr:uid="{EF34CA8F-8971-44C8-913C-D0C788BCAD99}"/>
    <cellStyle name="Normal 5 2 2 2 2 4 2 2 3" xfId="32653" xr:uid="{40230DFF-62D0-45D6-A2D2-3A3F2A11FF07}"/>
    <cellStyle name="Normal 5 2 2 2 2 4 2 2 4" xfId="15781" xr:uid="{F3EB2113-9A28-4C8C-98EB-3A5B1C1249B2}"/>
    <cellStyle name="Normal 5 2 2 2 2 4 2 3" xfId="20001" xr:uid="{93BD4DA8-7B51-4A08-A68F-9D5446E3949C}"/>
    <cellStyle name="Normal 5 2 2 2 2 4 2 4" xfId="28436" xr:uid="{68214C91-2ACE-4E3A-B1D5-B5613A908687}"/>
    <cellStyle name="Normal 5 2 2 2 2 4 2 5" xfId="11563" xr:uid="{0F9E8F74-DE99-4804-A939-34B8F553D54D}"/>
    <cellStyle name="Normal 5 2 2 2 2 4 3" xfId="5197" xr:uid="{00000000-0005-0000-0000-000038170000}"/>
    <cellStyle name="Normal 5 2 2 2 2 4 3 2" xfId="22074" xr:uid="{EADC3B72-E07F-4B45-8E09-1F0D0E14AC1E}"/>
    <cellStyle name="Normal 5 2 2 2 2 4 3 3" xfId="30508" xr:uid="{E62EDD51-0606-4C74-AED9-69EEFC63D527}"/>
    <cellStyle name="Normal 5 2 2 2 2 4 3 4" xfId="13636" xr:uid="{9B86A7C4-99DF-402A-9B12-5925D5686E40}"/>
    <cellStyle name="Normal 5 2 2 2 2 4 4" xfId="17856" xr:uid="{255CC909-F053-4153-85CE-EC3726BE4E89}"/>
    <cellStyle name="Normal 5 2 2 2 2 4 5" xfId="26291" xr:uid="{C735AACC-FED3-4100-A8EB-22402E67DD8A}"/>
    <cellStyle name="Normal 5 2 2 2 2 4 6" xfId="9418" xr:uid="{8172273F-0DD5-4C2B-B1B5-00CD16683A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24632" xr:uid="{F47B1C75-A2BD-409B-B50C-0C7618BB65AB}"/>
    <cellStyle name="Normal 5 2 2 2 2 5 2 2 3" xfId="33066" xr:uid="{53017D51-53BC-4E60-A93A-CBFED1A5B916}"/>
    <cellStyle name="Normal 5 2 2 2 2 5 2 2 4" xfId="16194" xr:uid="{8B899187-C0B2-4EDC-B2DF-FFD143D7CFCE}"/>
    <cellStyle name="Normal 5 2 2 2 2 5 2 3" xfId="20414" xr:uid="{18E7235F-14A2-4340-956B-CF70AC5A1DF5}"/>
    <cellStyle name="Normal 5 2 2 2 2 5 2 4" xfId="28849" xr:uid="{3B62D78E-E0E2-4B2D-8DAD-BCDD6F23635B}"/>
    <cellStyle name="Normal 5 2 2 2 2 5 2 5" xfId="11976" xr:uid="{96E841A1-BD22-48B6-946B-421B8B9645FE}"/>
    <cellStyle name="Normal 5 2 2 2 2 5 3" xfId="5610" xr:uid="{00000000-0005-0000-0000-00003C170000}"/>
    <cellStyle name="Normal 5 2 2 2 2 5 3 2" xfId="22487" xr:uid="{A2D28676-5FA2-4BA2-8741-83C33483BA36}"/>
    <cellStyle name="Normal 5 2 2 2 2 5 3 3" xfId="30921" xr:uid="{7A1B5814-793F-4554-B2D7-68A0BDB5F4C4}"/>
    <cellStyle name="Normal 5 2 2 2 2 5 3 4" xfId="14049" xr:uid="{76A338E4-05EC-4ADF-8363-13017CA84E8C}"/>
    <cellStyle name="Normal 5 2 2 2 2 5 4" xfId="18269" xr:uid="{B6697D87-5617-42CD-80E5-AA17DF3B4E2C}"/>
    <cellStyle name="Normal 5 2 2 2 2 5 5" xfId="26704" xr:uid="{251E065D-2B2A-4006-8140-24AA751804C8}"/>
    <cellStyle name="Normal 5 2 2 2 2 5 6" xfId="9831" xr:uid="{9BA57789-F0CE-415A-B05A-98B9BC2013D3}"/>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25045" xr:uid="{95C14759-9FAA-4731-AFB8-8ACEB3B61A8E}"/>
    <cellStyle name="Normal 5 2 2 2 2 6 2 2 3" xfId="33479" xr:uid="{BB03A193-7720-4CD0-BDA8-166841D14052}"/>
    <cellStyle name="Normal 5 2 2 2 2 6 2 2 4" xfId="16607" xr:uid="{67529744-BA21-403E-9F55-D5342A6D9874}"/>
    <cellStyle name="Normal 5 2 2 2 2 6 2 3" xfId="20827" xr:uid="{9756B966-78EA-499B-A427-6E88D13A6069}"/>
    <cellStyle name="Normal 5 2 2 2 2 6 2 4" xfId="29262" xr:uid="{5058021E-7432-456F-AC0A-0D5F96E2026F}"/>
    <cellStyle name="Normal 5 2 2 2 2 6 2 5" xfId="12389" xr:uid="{F019755C-2323-4700-A187-C8B2C2FC7A34}"/>
    <cellStyle name="Normal 5 2 2 2 2 6 3" xfId="6023" xr:uid="{00000000-0005-0000-0000-000040170000}"/>
    <cellStyle name="Normal 5 2 2 2 2 6 3 2" xfId="22900" xr:uid="{ED5CDB4A-EF79-4DD2-B1AE-9BB05EE2C1EB}"/>
    <cellStyle name="Normal 5 2 2 2 2 6 3 3" xfId="31334" xr:uid="{7A0644D3-B098-4E04-B9DD-ECEB66038943}"/>
    <cellStyle name="Normal 5 2 2 2 2 6 3 4" xfId="14462" xr:uid="{41BBDB4E-C039-40FE-9533-EF73EA9E42BB}"/>
    <cellStyle name="Normal 5 2 2 2 2 6 4" xfId="18682" xr:uid="{1A30FE8A-1A08-4EC1-8F5C-63CCEE03B601}"/>
    <cellStyle name="Normal 5 2 2 2 2 6 5" xfId="27117" xr:uid="{27FD6170-1E6A-4714-AB67-406A735B1EE3}"/>
    <cellStyle name="Normal 5 2 2 2 2 6 6" xfId="10244" xr:uid="{BC50FCF6-0D72-495E-A186-3C72766ACEB5}"/>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25458" xr:uid="{59800129-00B6-4578-8804-180AAD23C458}"/>
    <cellStyle name="Normal 5 2 2 2 2 7 2 2 3" xfId="33892" xr:uid="{AA5D04D7-C63A-4033-99F3-C526261D5181}"/>
    <cellStyle name="Normal 5 2 2 2 2 7 2 2 4" xfId="17020" xr:uid="{70EDC93B-8D15-4EB4-A999-EA6C1705EF21}"/>
    <cellStyle name="Normal 5 2 2 2 2 7 2 3" xfId="21240" xr:uid="{6A833678-F37B-4812-A1CD-64085AE677CC}"/>
    <cellStyle name="Normal 5 2 2 2 2 7 2 4" xfId="29675" xr:uid="{36A09157-2D35-43BD-83B9-3D64E7A0D703}"/>
    <cellStyle name="Normal 5 2 2 2 2 7 2 5" xfId="12802" xr:uid="{9EB746FD-364A-4B73-9BA6-A7369B756447}"/>
    <cellStyle name="Normal 5 2 2 2 2 7 3" xfId="6436" xr:uid="{00000000-0005-0000-0000-000044170000}"/>
    <cellStyle name="Normal 5 2 2 2 2 7 3 2" xfId="23313" xr:uid="{969FC31A-31AA-477F-A993-44F67256547A}"/>
    <cellStyle name="Normal 5 2 2 2 2 7 3 3" xfId="31747" xr:uid="{14588267-11E6-4C1A-B79E-BCB243A9B291}"/>
    <cellStyle name="Normal 5 2 2 2 2 7 3 4" xfId="14875" xr:uid="{A47DAB03-ADD0-40FF-AD92-31B099547FD2}"/>
    <cellStyle name="Normal 5 2 2 2 2 7 4" xfId="19095" xr:uid="{26E7186E-1594-4C21-9319-FE25E4E2D88D}"/>
    <cellStyle name="Normal 5 2 2 2 2 7 5" xfId="27530" xr:uid="{F4C08548-479E-4C4E-B46C-B8F069955EB2}"/>
    <cellStyle name="Normal 5 2 2 2 2 7 6" xfId="10657" xr:uid="{931179B7-1203-4712-B760-6A106ACAC5EC}"/>
    <cellStyle name="Normal 5 2 2 2 2 8" xfId="2565" xr:uid="{00000000-0005-0000-0000-000045170000}"/>
    <cellStyle name="Normal 5 2 2 2 2 8 2" xfId="6849" xr:uid="{00000000-0005-0000-0000-000046170000}"/>
    <cellStyle name="Normal 5 2 2 2 2 8 2 2" xfId="23726" xr:uid="{5ECD0910-8323-4429-BE7B-4510606D2309}"/>
    <cellStyle name="Normal 5 2 2 2 2 8 2 3" xfId="32160" xr:uid="{35B92CA9-6677-4A78-B682-D96990948A66}"/>
    <cellStyle name="Normal 5 2 2 2 2 8 2 4" xfId="15288" xr:uid="{E0DE0FD1-3A6F-45E7-9E2B-52AF4AF514C1}"/>
    <cellStyle name="Normal 5 2 2 2 2 8 3" xfId="19508" xr:uid="{C8A8D618-0AD7-448C-941C-FFEB19B2E019}"/>
    <cellStyle name="Normal 5 2 2 2 2 8 4" xfId="27943" xr:uid="{EAA43A6A-6778-42DE-AA7E-637823AB1EBA}"/>
    <cellStyle name="Normal 5 2 2 2 2 8 5" xfId="11070" xr:uid="{50176F06-C1E7-4119-A243-A93993945D27}"/>
    <cellStyle name="Normal 5 2 2 2 2 9" xfId="4784" xr:uid="{00000000-0005-0000-0000-000047170000}"/>
    <cellStyle name="Normal 5 2 2 2 2 9 2" xfId="21661" xr:uid="{32F91939-AC99-4D87-9556-DAE0D745F0B1}"/>
    <cellStyle name="Normal 5 2 2 2 2 9 3" xfId="30095" xr:uid="{6DF79978-5055-42A3-970F-20D9CDA3388F}"/>
    <cellStyle name="Normal 5 2 2 2 2 9 4" xfId="13223" xr:uid="{CEFFAB7A-01E8-445B-B28F-4DF8730B6D8F}"/>
    <cellStyle name="Normal 5 2 2 2 3" xfId="414" xr:uid="{00000000-0005-0000-0000-000048170000}"/>
    <cellStyle name="Normal 5 2 2 2 3 10" xfId="25882" xr:uid="{51A2A74E-0A13-4E81-9A67-B73DF8EF201E}"/>
    <cellStyle name="Normal 5 2 2 2 3 11" xfId="9009" xr:uid="{D10D372B-73C2-49E0-BC53-2191AAFC23F8}"/>
    <cellStyle name="Normal 5 2 2 2 3 2" xfId="415" xr:uid="{00000000-0005-0000-0000-000049170000}"/>
    <cellStyle name="Normal 5 2 2 2 3 2 10" xfId="9010" xr:uid="{DC5ECBE5-9BA1-4D2C-8D84-ACC20993D7F5}"/>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24224" xr:uid="{61EC9C4E-1936-4723-BF83-578A2B783956}"/>
    <cellStyle name="Normal 5 2 2 2 3 2 2 2 2 3" xfId="32658" xr:uid="{CD4A73E7-349C-4612-B1B3-A2D020DF2DCC}"/>
    <cellStyle name="Normal 5 2 2 2 3 2 2 2 2 4" xfId="15786" xr:uid="{0E495196-A0AC-415E-B803-692669CE5DA7}"/>
    <cellStyle name="Normal 5 2 2 2 3 2 2 2 3" xfId="20006" xr:uid="{8D5D9448-AA66-45A4-8717-D2703140D812}"/>
    <cellStyle name="Normal 5 2 2 2 3 2 2 2 4" xfId="28441" xr:uid="{954F80C6-C438-4443-A59B-0EF5FDE12FA2}"/>
    <cellStyle name="Normal 5 2 2 2 3 2 2 2 5" xfId="11568" xr:uid="{9CACBA61-98E8-49DA-877E-F8EF7A6EB799}"/>
    <cellStyle name="Normal 5 2 2 2 3 2 2 3" xfId="5202" xr:uid="{00000000-0005-0000-0000-00004D170000}"/>
    <cellStyle name="Normal 5 2 2 2 3 2 2 3 2" xfId="22079" xr:uid="{55094F80-95D6-4723-B6C6-77B45BADF582}"/>
    <cellStyle name="Normal 5 2 2 2 3 2 2 3 3" xfId="30513" xr:uid="{D11BC414-4F2C-42C2-8A20-F12D52FA47B5}"/>
    <cellStyle name="Normal 5 2 2 2 3 2 2 3 4" xfId="13641" xr:uid="{A35BDA34-CF90-4275-968F-6E1CD60329F0}"/>
    <cellStyle name="Normal 5 2 2 2 3 2 2 4" xfId="17861" xr:uid="{4575B0EA-EA8F-475E-A864-6FEF6B8FC024}"/>
    <cellStyle name="Normal 5 2 2 2 3 2 2 5" xfId="26296" xr:uid="{A90F26B9-C46D-49A9-8478-6831739B822A}"/>
    <cellStyle name="Normal 5 2 2 2 3 2 2 6" xfId="9423" xr:uid="{E5132B66-4AA5-46F9-9E2E-FB22BC97170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24637" xr:uid="{F3609012-3069-47BE-AF94-56A7578E5503}"/>
    <cellStyle name="Normal 5 2 2 2 3 2 3 2 2 3" xfId="33071" xr:uid="{F36F2083-9074-4E45-8EAB-E46E2796A521}"/>
    <cellStyle name="Normal 5 2 2 2 3 2 3 2 2 4" xfId="16199" xr:uid="{BF9AE99F-8482-43E4-A32B-5573EE726468}"/>
    <cellStyle name="Normal 5 2 2 2 3 2 3 2 3" xfId="20419" xr:uid="{55CD46BD-ACC9-43F1-98D4-A91263B6EE9B}"/>
    <cellStyle name="Normal 5 2 2 2 3 2 3 2 4" xfId="28854" xr:uid="{1A77DB5C-B724-4B14-8856-20D6A20E28C1}"/>
    <cellStyle name="Normal 5 2 2 2 3 2 3 2 5" xfId="11981" xr:uid="{7C604EE6-BC75-4EC1-A8A7-939250089956}"/>
    <cellStyle name="Normal 5 2 2 2 3 2 3 3" xfId="5615" xr:uid="{00000000-0005-0000-0000-000051170000}"/>
    <cellStyle name="Normal 5 2 2 2 3 2 3 3 2" xfId="22492" xr:uid="{38F9F000-EB43-4399-894F-F31D7844B0AB}"/>
    <cellStyle name="Normal 5 2 2 2 3 2 3 3 3" xfId="30926" xr:uid="{CE75A584-5475-4DD5-A432-DA26AE352346}"/>
    <cellStyle name="Normal 5 2 2 2 3 2 3 3 4" xfId="14054" xr:uid="{E7427CE0-303C-4C3A-8F49-2197E63DA487}"/>
    <cellStyle name="Normal 5 2 2 2 3 2 3 4" xfId="18274" xr:uid="{FF588BA2-68B4-42F5-931B-761B02ED737B}"/>
    <cellStyle name="Normal 5 2 2 2 3 2 3 5" xfId="26709" xr:uid="{19DFD53B-B28B-475F-9393-8EF6AE85970E}"/>
    <cellStyle name="Normal 5 2 2 2 3 2 3 6" xfId="9836" xr:uid="{319565E0-37EA-49B6-963D-5EFEDB2A2214}"/>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25050" xr:uid="{4D52CB0F-DF94-4D37-A712-9A6904E2A069}"/>
    <cellStyle name="Normal 5 2 2 2 3 2 4 2 2 3" xfId="33484" xr:uid="{C0F4D71C-8A1E-4CF5-9D2A-2A6FE409027C}"/>
    <cellStyle name="Normal 5 2 2 2 3 2 4 2 2 4" xfId="16612" xr:uid="{3F84D802-6333-4A4E-9698-022C1DF753BA}"/>
    <cellStyle name="Normal 5 2 2 2 3 2 4 2 3" xfId="20832" xr:uid="{FC572ABA-B078-46AF-9D63-F5E94A6298D0}"/>
    <cellStyle name="Normal 5 2 2 2 3 2 4 2 4" xfId="29267" xr:uid="{89EA97AA-F249-4A83-BD4B-BD5082E20E2A}"/>
    <cellStyle name="Normal 5 2 2 2 3 2 4 2 5" xfId="12394" xr:uid="{F724C30F-A3DE-419A-9C70-0B21102806A3}"/>
    <cellStyle name="Normal 5 2 2 2 3 2 4 3" xfId="6028" xr:uid="{00000000-0005-0000-0000-000055170000}"/>
    <cellStyle name="Normal 5 2 2 2 3 2 4 3 2" xfId="22905" xr:uid="{F749273B-A83A-49EB-BA3F-3B4B69038255}"/>
    <cellStyle name="Normal 5 2 2 2 3 2 4 3 3" xfId="31339" xr:uid="{90887CAA-45FB-4BA6-80D9-869644B1F0DA}"/>
    <cellStyle name="Normal 5 2 2 2 3 2 4 3 4" xfId="14467" xr:uid="{2D5FDAB5-9ED9-4CDA-9E70-1E47CDA85279}"/>
    <cellStyle name="Normal 5 2 2 2 3 2 4 4" xfId="18687" xr:uid="{DEA11E13-57DC-4F75-AD78-522660AE3F6D}"/>
    <cellStyle name="Normal 5 2 2 2 3 2 4 5" xfId="27122" xr:uid="{5C1E6BDE-DF19-4487-A721-F42D63E25143}"/>
    <cellStyle name="Normal 5 2 2 2 3 2 4 6" xfId="10249" xr:uid="{D5D285AE-8EBD-42C7-9793-9A6F39E905D6}"/>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25463" xr:uid="{3CB0C82E-97F8-4F46-A7F8-5F0B0D5BE8E4}"/>
    <cellStyle name="Normal 5 2 2 2 3 2 5 2 2 3" xfId="33897" xr:uid="{2EE9ADA0-5917-4A6D-972C-0E56F47F2370}"/>
    <cellStyle name="Normal 5 2 2 2 3 2 5 2 2 4" xfId="17025" xr:uid="{1B37BCEE-4EE7-4C16-8F04-02C19B0B70B9}"/>
    <cellStyle name="Normal 5 2 2 2 3 2 5 2 3" xfId="21245" xr:uid="{02F98577-F1E5-4E02-B00D-62D1C1238EE8}"/>
    <cellStyle name="Normal 5 2 2 2 3 2 5 2 4" xfId="29680" xr:uid="{7C2A8F35-7949-4001-B032-823D10E1EB29}"/>
    <cellStyle name="Normal 5 2 2 2 3 2 5 2 5" xfId="12807" xr:uid="{14D4CB64-4F66-4174-A904-EB022B71A17A}"/>
    <cellStyle name="Normal 5 2 2 2 3 2 5 3" xfId="6441" xr:uid="{00000000-0005-0000-0000-000059170000}"/>
    <cellStyle name="Normal 5 2 2 2 3 2 5 3 2" xfId="23318" xr:uid="{25A24482-E51C-4B77-A4ED-B67B6D7912A4}"/>
    <cellStyle name="Normal 5 2 2 2 3 2 5 3 3" xfId="31752" xr:uid="{92FE56BD-2774-415B-94C5-03FDAEAB2D61}"/>
    <cellStyle name="Normal 5 2 2 2 3 2 5 3 4" xfId="14880" xr:uid="{453575EA-5D27-4D62-AC3A-623D9A1CB804}"/>
    <cellStyle name="Normal 5 2 2 2 3 2 5 4" xfId="19100" xr:uid="{4A5BFC31-137D-4051-86DF-82B8D86BACE5}"/>
    <cellStyle name="Normal 5 2 2 2 3 2 5 5" xfId="27535" xr:uid="{EC26833D-62AC-48B3-87F8-B8D31322F970}"/>
    <cellStyle name="Normal 5 2 2 2 3 2 5 6" xfId="10662" xr:uid="{11248AD4-9E05-49E3-8C6D-373CABC685DC}"/>
    <cellStyle name="Normal 5 2 2 2 3 2 6" xfId="2570" xr:uid="{00000000-0005-0000-0000-00005A170000}"/>
    <cellStyle name="Normal 5 2 2 2 3 2 6 2" xfId="6854" xr:uid="{00000000-0005-0000-0000-00005B170000}"/>
    <cellStyle name="Normal 5 2 2 2 3 2 6 2 2" xfId="23731" xr:uid="{F95FF9B2-C66B-4181-A58C-400666A0D377}"/>
    <cellStyle name="Normal 5 2 2 2 3 2 6 2 3" xfId="32165" xr:uid="{17B87F23-5294-4236-AA11-9BE2ABD38D46}"/>
    <cellStyle name="Normal 5 2 2 2 3 2 6 2 4" xfId="15293" xr:uid="{68DB4EDD-44A6-4C81-AC00-CB097A3EE45E}"/>
    <cellStyle name="Normal 5 2 2 2 3 2 6 3" xfId="19513" xr:uid="{A192E542-BA12-4C24-AC73-5A6BB255EBCD}"/>
    <cellStyle name="Normal 5 2 2 2 3 2 6 4" xfId="27948" xr:uid="{40823957-9F5D-4FC3-A1CF-F1E7B5AD3489}"/>
    <cellStyle name="Normal 5 2 2 2 3 2 6 5" xfId="11075" xr:uid="{166C64DB-E500-404B-9C5C-C2D797536B21}"/>
    <cellStyle name="Normal 5 2 2 2 3 2 7" xfId="4789" xr:uid="{00000000-0005-0000-0000-00005C170000}"/>
    <cellStyle name="Normal 5 2 2 2 3 2 7 2" xfId="21666" xr:uid="{1F327E47-5B84-4C6A-942E-F37342409020}"/>
    <cellStyle name="Normal 5 2 2 2 3 2 7 3" xfId="30100" xr:uid="{8B34EF71-B1B7-4FA9-9AE1-8687F3565C1D}"/>
    <cellStyle name="Normal 5 2 2 2 3 2 7 4" xfId="13228" xr:uid="{C7D93D23-6C13-4F7A-902E-128C2C1FA1D7}"/>
    <cellStyle name="Normal 5 2 2 2 3 2 8" xfId="17448" xr:uid="{CEAF7CF7-043C-4522-9F9E-852FBB57DC9E}"/>
    <cellStyle name="Normal 5 2 2 2 3 2 9" xfId="25883" xr:uid="{C11E14EA-39A2-4F94-9C1C-B7375148CBD8}"/>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24223" xr:uid="{6568F8FE-64F4-4D15-A838-5B14148E8511}"/>
    <cellStyle name="Normal 5 2 2 2 3 3 2 2 3" xfId="32657" xr:uid="{FC820C38-30A0-4171-A412-D4F4F79042B1}"/>
    <cellStyle name="Normal 5 2 2 2 3 3 2 2 4" xfId="15785" xr:uid="{DC21E852-1A6B-48C0-93C5-A705FAB2A5C1}"/>
    <cellStyle name="Normal 5 2 2 2 3 3 2 3" xfId="20005" xr:uid="{95A56AEF-B84B-436D-9DC7-082C0D7046CF}"/>
    <cellStyle name="Normal 5 2 2 2 3 3 2 4" xfId="28440" xr:uid="{C0CAE445-9125-4F8C-945D-603BE9C7FA03}"/>
    <cellStyle name="Normal 5 2 2 2 3 3 2 5" xfId="11567" xr:uid="{19AFBE60-284E-4198-BEF7-2B7B88C61E9F}"/>
    <cellStyle name="Normal 5 2 2 2 3 3 3" xfId="5201" xr:uid="{00000000-0005-0000-0000-000060170000}"/>
    <cellStyle name="Normal 5 2 2 2 3 3 3 2" xfId="22078" xr:uid="{CE1E865C-B83F-4CE9-BA68-CBF6ADA02C7B}"/>
    <cellStyle name="Normal 5 2 2 2 3 3 3 3" xfId="30512" xr:uid="{5F87AD61-1A33-433D-832A-66AF8860EED3}"/>
    <cellStyle name="Normal 5 2 2 2 3 3 3 4" xfId="13640" xr:uid="{3AE71682-3714-4094-8593-82E09CD54DC7}"/>
    <cellStyle name="Normal 5 2 2 2 3 3 4" xfId="17860" xr:uid="{A63A44F2-0A8B-4849-A037-ADD09A0AE001}"/>
    <cellStyle name="Normal 5 2 2 2 3 3 5" xfId="26295" xr:uid="{46CBF800-4CC3-4839-B167-60F309C15D31}"/>
    <cellStyle name="Normal 5 2 2 2 3 3 6" xfId="9422" xr:uid="{BADF5064-1587-4B00-9B0A-C5E1D564EEAC}"/>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24636" xr:uid="{46C1A696-DA8E-46F9-9FC5-B801A757A261}"/>
    <cellStyle name="Normal 5 2 2 2 3 4 2 2 3" xfId="33070" xr:uid="{B7045784-421D-4A2D-A14E-4C5EBD9C3EFB}"/>
    <cellStyle name="Normal 5 2 2 2 3 4 2 2 4" xfId="16198" xr:uid="{21FDEA40-52B3-47FB-8B2D-7B0786D3D946}"/>
    <cellStyle name="Normal 5 2 2 2 3 4 2 3" xfId="20418" xr:uid="{5AE6CB60-B251-45A9-96C6-9652F3B10132}"/>
    <cellStyle name="Normal 5 2 2 2 3 4 2 4" xfId="28853" xr:uid="{40525006-B5B1-4025-8741-0D6A84A1479C}"/>
    <cellStyle name="Normal 5 2 2 2 3 4 2 5" xfId="11980" xr:uid="{A3FE6B7D-29FB-4E72-9664-BC6CB1597693}"/>
    <cellStyle name="Normal 5 2 2 2 3 4 3" xfId="5614" xr:uid="{00000000-0005-0000-0000-000064170000}"/>
    <cellStyle name="Normal 5 2 2 2 3 4 3 2" xfId="22491" xr:uid="{2B33C5CD-16CB-43F5-81D3-AD1450070D20}"/>
    <cellStyle name="Normal 5 2 2 2 3 4 3 3" xfId="30925" xr:uid="{6195E9AC-04E0-47AE-9D7C-6962EDDE5141}"/>
    <cellStyle name="Normal 5 2 2 2 3 4 3 4" xfId="14053" xr:uid="{BCF331D4-40ED-427A-9680-F2724BA623F0}"/>
    <cellStyle name="Normal 5 2 2 2 3 4 4" xfId="18273" xr:uid="{45A96990-994E-4B6E-95BD-82884B063648}"/>
    <cellStyle name="Normal 5 2 2 2 3 4 5" xfId="26708" xr:uid="{D962AD13-D910-4A01-9DB2-A0D9A1C1E044}"/>
    <cellStyle name="Normal 5 2 2 2 3 4 6" xfId="9835" xr:uid="{50B63702-47E1-4825-8D54-C2878CC46C38}"/>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25049" xr:uid="{6B51E8AC-425A-4AB5-A11E-54EA482B00C2}"/>
    <cellStyle name="Normal 5 2 2 2 3 5 2 2 3" xfId="33483" xr:uid="{0FF60452-DD4E-4B29-8138-255320F02205}"/>
    <cellStyle name="Normal 5 2 2 2 3 5 2 2 4" xfId="16611" xr:uid="{75AA135A-7CDE-4397-9DF0-1283E231EE1A}"/>
    <cellStyle name="Normal 5 2 2 2 3 5 2 3" xfId="20831" xr:uid="{7F11782D-2F3D-4CAA-AB13-7D6E434CC0CC}"/>
    <cellStyle name="Normal 5 2 2 2 3 5 2 4" xfId="29266" xr:uid="{A4D08574-EA0D-4D24-93FB-5283C38962C1}"/>
    <cellStyle name="Normal 5 2 2 2 3 5 2 5" xfId="12393" xr:uid="{AD7335F3-EEBA-4BB8-9738-09756E793580}"/>
    <cellStyle name="Normal 5 2 2 2 3 5 3" xfId="6027" xr:uid="{00000000-0005-0000-0000-000068170000}"/>
    <cellStyle name="Normal 5 2 2 2 3 5 3 2" xfId="22904" xr:uid="{B3D55FD8-4C9D-4DC4-AB85-5C548DB68A82}"/>
    <cellStyle name="Normal 5 2 2 2 3 5 3 3" xfId="31338" xr:uid="{76CF362A-6342-494D-9347-FF5BB601DDB5}"/>
    <cellStyle name="Normal 5 2 2 2 3 5 3 4" xfId="14466" xr:uid="{9D9454C1-7926-4E84-81E6-DDCF7D7068F4}"/>
    <cellStyle name="Normal 5 2 2 2 3 5 4" xfId="18686" xr:uid="{5DDFA404-1838-4092-91D8-E63647D3873D}"/>
    <cellStyle name="Normal 5 2 2 2 3 5 5" xfId="27121" xr:uid="{C5B6C869-45F1-42DA-A8CD-A73E5E11CEE2}"/>
    <cellStyle name="Normal 5 2 2 2 3 5 6" xfId="10248" xr:uid="{03ACD7DB-1F34-4B4B-BFB3-D79ABADC153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25462" xr:uid="{1A045AA4-AB31-4C0A-AA72-FC8D8C14BCD5}"/>
    <cellStyle name="Normal 5 2 2 2 3 6 2 2 3" xfId="33896" xr:uid="{0708BD9E-A8D6-4608-8FFC-CA7EAB51B294}"/>
    <cellStyle name="Normal 5 2 2 2 3 6 2 2 4" xfId="17024" xr:uid="{DF422AB6-83ED-4ADC-93C1-C6E16F7D9CC1}"/>
    <cellStyle name="Normal 5 2 2 2 3 6 2 3" xfId="21244" xr:uid="{9D528855-C240-4CE8-A09C-FF5D1D7BE594}"/>
    <cellStyle name="Normal 5 2 2 2 3 6 2 4" xfId="29679" xr:uid="{CFDC759E-57F3-4621-B3AD-829260C050E2}"/>
    <cellStyle name="Normal 5 2 2 2 3 6 2 5" xfId="12806" xr:uid="{61F4253B-905A-47F3-9B1A-DB928AD43E30}"/>
    <cellStyle name="Normal 5 2 2 2 3 6 3" xfId="6440" xr:uid="{00000000-0005-0000-0000-00006C170000}"/>
    <cellStyle name="Normal 5 2 2 2 3 6 3 2" xfId="23317" xr:uid="{4C75872B-894F-4973-A033-0E397A323614}"/>
    <cellStyle name="Normal 5 2 2 2 3 6 3 3" xfId="31751" xr:uid="{0E4B8AE6-42F6-4C41-A946-4BC5EB570212}"/>
    <cellStyle name="Normal 5 2 2 2 3 6 3 4" xfId="14879" xr:uid="{4B3E3DAE-6DFC-4378-8210-B7836A1376FA}"/>
    <cellStyle name="Normal 5 2 2 2 3 6 4" xfId="19099" xr:uid="{0E72F472-3B9B-4C06-961E-EFC4ABA9E0F9}"/>
    <cellStyle name="Normal 5 2 2 2 3 6 5" xfId="27534" xr:uid="{0B175A52-DB74-4A5F-BF93-E097627CCCC3}"/>
    <cellStyle name="Normal 5 2 2 2 3 6 6" xfId="10661" xr:uid="{575F0CBD-997F-49F6-833A-895478B05B80}"/>
    <cellStyle name="Normal 5 2 2 2 3 7" xfId="2569" xr:uid="{00000000-0005-0000-0000-00006D170000}"/>
    <cellStyle name="Normal 5 2 2 2 3 7 2" xfId="6853" xr:uid="{00000000-0005-0000-0000-00006E170000}"/>
    <cellStyle name="Normal 5 2 2 2 3 7 2 2" xfId="23730" xr:uid="{5D94ED51-5D2C-4396-BCA0-F0D62FD19519}"/>
    <cellStyle name="Normal 5 2 2 2 3 7 2 3" xfId="32164" xr:uid="{44205E58-0AD7-4DF6-8D0F-F8100661B048}"/>
    <cellStyle name="Normal 5 2 2 2 3 7 2 4" xfId="15292" xr:uid="{BB0A229C-9813-4513-A430-1922D7E36E7F}"/>
    <cellStyle name="Normal 5 2 2 2 3 7 3" xfId="19512" xr:uid="{EBF3FB87-3373-4270-95B6-13AC61F03277}"/>
    <cellStyle name="Normal 5 2 2 2 3 7 4" xfId="27947" xr:uid="{4CBFD35A-7F3E-4725-8AE9-FAD60DE4FF5E}"/>
    <cellStyle name="Normal 5 2 2 2 3 7 5" xfId="11074" xr:uid="{5E535F6E-4A87-41B6-BF8C-65A7DE8F6780}"/>
    <cellStyle name="Normal 5 2 2 2 3 8" xfId="4788" xr:uid="{00000000-0005-0000-0000-00006F170000}"/>
    <cellStyle name="Normal 5 2 2 2 3 8 2" xfId="21665" xr:uid="{47BC121A-40CB-493C-9AB0-0FDDFC11EEEA}"/>
    <cellStyle name="Normal 5 2 2 2 3 8 3" xfId="30099" xr:uid="{2827C676-93A6-4781-8B3B-D0D5AC72CDAD}"/>
    <cellStyle name="Normal 5 2 2 2 3 8 4" xfId="13227" xr:uid="{617E6459-8EDA-49A4-8405-ED4E1EB0030C}"/>
    <cellStyle name="Normal 5 2 2 2 3 9" xfId="17447" xr:uid="{D5B22230-B210-4CC3-95B0-FAD9CBC99885}"/>
    <cellStyle name="Normal 5 2 2 2 4" xfId="416" xr:uid="{00000000-0005-0000-0000-000070170000}"/>
    <cellStyle name="Normal 5 2 2 2 4 10" xfId="9011" xr:uid="{A430376E-BE40-4FAB-825F-6BABF4C8CF72}"/>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24225" xr:uid="{55CDE399-DB8F-410A-A3CA-FA20F8932B98}"/>
    <cellStyle name="Normal 5 2 2 2 4 2 2 2 3" xfId="32659" xr:uid="{23EECACD-7B32-475B-8C59-1698023A0C9A}"/>
    <cellStyle name="Normal 5 2 2 2 4 2 2 2 4" xfId="15787" xr:uid="{8DFDB6AA-01F2-42AF-A7D1-EF2F7475C8C3}"/>
    <cellStyle name="Normal 5 2 2 2 4 2 2 3" xfId="20007" xr:uid="{CB6B7CD3-C086-49DC-8B7D-96973EA79633}"/>
    <cellStyle name="Normal 5 2 2 2 4 2 2 4" xfId="28442" xr:uid="{3B8A186A-5366-4856-A3A7-D1D1FA9D573F}"/>
    <cellStyle name="Normal 5 2 2 2 4 2 2 5" xfId="11569" xr:uid="{8B18B0E3-5999-4F43-AA62-D3374A9F0CEB}"/>
    <cellStyle name="Normal 5 2 2 2 4 2 3" xfId="5203" xr:uid="{00000000-0005-0000-0000-000074170000}"/>
    <cellStyle name="Normal 5 2 2 2 4 2 3 2" xfId="22080" xr:uid="{328D454B-C0F7-49A0-89B4-586E00EEA88A}"/>
    <cellStyle name="Normal 5 2 2 2 4 2 3 3" xfId="30514" xr:uid="{67949C53-EE86-48AE-9B19-ADA54E26212F}"/>
    <cellStyle name="Normal 5 2 2 2 4 2 3 4" xfId="13642" xr:uid="{DFE42F6D-3977-4F7F-8095-938481322C6F}"/>
    <cellStyle name="Normal 5 2 2 2 4 2 4" xfId="17862" xr:uid="{AC4CCD7A-EA7A-4DDC-A1B5-046733A9E0B6}"/>
    <cellStyle name="Normal 5 2 2 2 4 2 5" xfId="26297" xr:uid="{5F15B802-7475-4CE3-938E-A2C9D95BFC23}"/>
    <cellStyle name="Normal 5 2 2 2 4 2 6" xfId="9424" xr:uid="{337CF03D-D778-4D5E-9760-558F417A9333}"/>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24638" xr:uid="{933ED230-56DC-426A-90E8-D017BFD68EE9}"/>
    <cellStyle name="Normal 5 2 2 2 4 3 2 2 3" xfId="33072" xr:uid="{5CC6F8BF-3419-48A0-BDE3-C897607A0809}"/>
    <cellStyle name="Normal 5 2 2 2 4 3 2 2 4" xfId="16200" xr:uid="{89466C33-EEE4-45D4-A6A8-5076759B086A}"/>
    <cellStyle name="Normal 5 2 2 2 4 3 2 3" xfId="20420" xr:uid="{77C6E680-3950-41A7-B4E5-CF9D7460DBA2}"/>
    <cellStyle name="Normal 5 2 2 2 4 3 2 4" xfId="28855" xr:uid="{952519CD-B9D7-441F-ABDB-2F0D99BE2214}"/>
    <cellStyle name="Normal 5 2 2 2 4 3 2 5" xfId="11982" xr:uid="{D90CCDE7-19AE-481D-8636-43DA2881ED0F}"/>
    <cellStyle name="Normal 5 2 2 2 4 3 3" xfId="5616" xr:uid="{00000000-0005-0000-0000-000078170000}"/>
    <cellStyle name="Normal 5 2 2 2 4 3 3 2" xfId="22493" xr:uid="{F1CC8DAE-FF92-4A3C-B006-40A1E2B4D4F4}"/>
    <cellStyle name="Normal 5 2 2 2 4 3 3 3" xfId="30927" xr:uid="{E99A4668-B726-44E1-B22C-84D7D1A2E2D7}"/>
    <cellStyle name="Normal 5 2 2 2 4 3 3 4" xfId="14055" xr:uid="{D79E9C01-53AC-44FC-90BB-A73C5E7561DC}"/>
    <cellStyle name="Normal 5 2 2 2 4 3 4" xfId="18275" xr:uid="{B2FD8325-AC8E-430D-8F7E-63A075A259DA}"/>
    <cellStyle name="Normal 5 2 2 2 4 3 5" xfId="26710" xr:uid="{D69ACFB1-4A60-40A9-A4B5-AD63F091F841}"/>
    <cellStyle name="Normal 5 2 2 2 4 3 6" xfId="9837" xr:uid="{4CC2DCB0-2628-41D6-BAEC-289F72E6CBA9}"/>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25051" xr:uid="{E41019AA-3224-4DB8-8EA0-D6512330DE86}"/>
    <cellStyle name="Normal 5 2 2 2 4 4 2 2 3" xfId="33485" xr:uid="{1EEA216A-664C-4EDD-A355-675EB621BFF0}"/>
    <cellStyle name="Normal 5 2 2 2 4 4 2 2 4" xfId="16613" xr:uid="{47681D3F-FD1A-4C32-9C4A-A4444844F058}"/>
    <cellStyle name="Normal 5 2 2 2 4 4 2 3" xfId="20833" xr:uid="{0AFDF4BC-E049-498D-8749-441EC4C87A2C}"/>
    <cellStyle name="Normal 5 2 2 2 4 4 2 4" xfId="29268" xr:uid="{A8E87FF4-77A9-44E7-B961-C7C5A17130FA}"/>
    <cellStyle name="Normal 5 2 2 2 4 4 2 5" xfId="12395" xr:uid="{B3D3111E-55B9-4BB6-B8DF-B5996735C955}"/>
    <cellStyle name="Normal 5 2 2 2 4 4 3" xfId="6029" xr:uid="{00000000-0005-0000-0000-00007C170000}"/>
    <cellStyle name="Normal 5 2 2 2 4 4 3 2" xfId="22906" xr:uid="{58DAB00D-EEE6-4941-B2A6-9E9E3CC69C2E}"/>
    <cellStyle name="Normal 5 2 2 2 4 4 3 3" xfId="31340" xr:uid="{5459DFE6-DD06-476B-99D1-DE0625C448E0}"/>
    <cellStyle name="Normal 5 2 2 2 4 4 3 4" xfId="14468" xr:uid="{6EEE9FF7-3631-4C57-997A-100FCD467C75}"/>
    <cellStyle name="Normal 5 2 2 2 4 4 4" xfId="18688" xr:uid="{1310606D-7FEF-41CC-8592-714132669FAD}"/>
    <cellStyle name="Normal 5 2 2 2 4 4 5" xfId="27123" xr:uid="{DB4A65C2-DFAA-4C56-9A5D-1861780F88A8}"/>
    <cellStyle name="Normal 5 2 2 2 4 4 6" xfId="10250" xr:uid="{31571844-65DA-49F9-8DCA-7E3AF3B87356}"/>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25464" xr:uid="{23B841AB-ED42-4C9F-8555-3EBF3E70AD73}"/>
    <cellStyle name="Normal 5 2 2 2 4 5 2 2 3" xfId="33898" xr:uid="{54C91413-4F68-40F1-BF49-F68C87452E1A}"/>
    <cellStyle name="Normal 5 2 2 2 4 5 2 2 4" xfId="17026" xr:uid="{B4DD74A6-2611-4962-869A-9DA59AFE2C6E}"/>
    <cellStyle name="Normal 5 2 2 2 4 5 2 3" xfId="21246" xr:uid="{FC40281D-C9B6-4CD8-96B8-803728558940}"/>
    <cellStyle name="Normal 5 2 2 2 4 5 2 4" xfId="29681" xr:uid="{5C24C64E-C920-4FDC-B0F6-9BEEA8D41954}"/>
    <cellStyle name="Normal 5 2 2 2 4 5 2 5" xfId="12808" xr:uid="{7FC36B9A-99A4-46F7-BA38-E4494A7206EE}"/>
    <cellStyle name="Normal 5 2 2 2 4 5 3" xfId="6442" xr:uid="{00000000-0005-0000-0000-000080170000}"/>
    <cellStyle name="Normal 5 2 2 2 4 5 3 2" xfId="23319" xr:uid="{99B7C19F-4BDB-48C0-B950-7984FAA5D6BA}"/>
    <cellStyle name="Normal 5 2 2 2 4 5 3 3" xfId="31753" xr:uid="{3358F189-7350-484E-B1A9-812603912570}"/>
    <cellStyle name="Normal 5 2 2 2 4 5 3 4" xfId="14881" xr:uid="{33D66BA9-6C83-41B7-A068-BE8B9F409731}"/>
    <cellStyle name="Normal 5 2 2 2 4 5 4" xfId="19101" xr:uid="{F36A5D6D-060D-4E1B-961C-033D12327622}"/>
    <cellStyle name="Normal 5 2 2 2 4 5 5" xfId="27536" xr:uid="{2541E007-2E9A-4F63-908E-93C867173F52}"/>
    <cellStyle name="Normal 5 2 2 2 4 5 6" xfId="10663" xr:uid="{4AF4589B-2EB8-4860-988E-7CE20BDF176C}"/>
    <cellStyle name="Normal 5 2 2 2 4 6" xfId="2571" xr:uid="{00000000-0005-0000-0000-000081170000}"/>
    <cellStyle name="Normal 5 2 2 2 4 6 2" xfId="6855" xr:uid="{00000000-0005-0000-0000-000082170000}"/>
    <cellStyle name="Normal 5 2 2 2 4 6 2 2" xfId="23732" xr:uid="{E32FBBD7-1D2A-4E27-810B-C970ED15ECA6}"/>
    <cellStyle name="Normal 5 2 2 2 4 6 2 3" xfId="32166" xr:uid="{B3B2A82E-2D5B-41F4-96EC-A364E0B0AA8E}"/>
    <cellStyle name="Normal 5 2 2 2 4 6 2 4" xfId="15294" xr:uid="{54A63F25-21EE-4C30-AB31-90EB5D1C267C}"/>
    <cellStyle name="Normal 5 2 2 2 4 6 3" xfId="19514" xr:uid="{8CDBFA48-F5CD-418C-AC97-FB82E121E599}"/>
    <cellStyle name="Normal 5 2 2 2 4 6 4" xfId="27949" xr:uid="{DC9338F8-62BD-4C96-8C16-17E2746A66F6}"/>
    <cellStyle name="Normal 5 2 2 2 4 6 5" xfId="11076" xr:uid="{38E9F536-7F62-4B3C-8F62-A562FA118022}"/>
    <cellStyle name="Normal 5 2 2 2 4 7" xfId="4790" xr:uid="{00000000-0005-0000-0000-000083170000}"/>
    <cellStyle name="Normal 5 2 2 2 4 7 2" xfId="21667" xr:uid="{8E7A6C7C-B689-474B-96D4-F6822F3AB0FF}"/>
    <cellStyle name="Normal 5 2 2 2 4 7 3" xfId="30101" xr:uid="{23826372-1B14-4910-829F-835F56E35B18}"/>
    <cellStyle name="Normal 5 2 2 2 4 7 4" xfId="13229" xr:uid="{78DFF15F-A710-4364-872F-81A5791C1CBA}"/>
    <cellStyle name="Normal 5 2 2 2 4 8" xfId="17449" xr:uid="{E5C539C1-DBD6-4C0B-A59E-1A72A26965FA}"/>
    <cellStyle name="Normal 5 2 2 2 4 9" xfId="25884" xr:uid="{7C83B515-BB35-43BA-9B4F-F65BE2C58FFF}"/>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24218" xr:uid="{E904896F-1ED8-493F-B172-259504DB4C75}"/>
    <cellStyle name="Normal 5 2 2 2 5 2 2 3" xfId="32652" xr:uid="{C91AE57B-F518-465B-9CF3-77E43B02939E}"/>
    <cellStyle name="Normal 5 2 2 2 5 2 2 4" xfId="15780" xr:uid="{E66BECE3-F4FF-4574-B281-51E403AB1A0C}"/>
    <cellStyle name="Normal 5 2 2 2 5 2 3" xfId="20000" xr:uid="{96F1C98F-B9D0-441D-89D3-15646C5A0D64}"/>
    <cellStyle name="Normal 5 2 2 2 5 2 4" xfId="28435" xr:uid="{34FE1E35-1E25-43F9-90A9-B9AC19B8AD05}"/>
    <cellStyle name="Normal 5 2 2 2 5 2 5" xfId="11562" xr:uid="{FA36F813-7D6D-471E-AF9F-4F320913A1E8}"/>
    <cellStyle name="Normal 5 2 2 2 5 3" xfId="5196" xr:uid="{00000000-0005-0000-0000-000087170000}"/>
    <cellStyle name="Normal 5 2 2 2 5 3 2" xfId="22073" xr:uid="{9288C6E9-DF1D-4B46-BAAA-73A778C546AE}"/>
    <cellStyle name="Normal 5 2 2 2 5 3 3" xfId="30507" xr:uid="{DA7630EF-06DE-42AD-B06B-E318FC321DE4}"/>
    <cellStyle name="Normal 5 2 2 2 5 3 4" xfId="13635" xr:uid="{0FC5982B-775A-436E-A5A6-9D25B77E50DC}"/>
    <cellStyle name="Normal 5 2 2 2 5 4" xfId="17855" xr:uid="{E012FF7A-71A9-43B7-A172-53F4FB5780DA}"/>
    <cellStyle name="Normal 5 2 2 2 5 5" xfId="26290" xr:uid="{41CE2ACE-27DD-41CF-9B05-286190CDF6E1}"/>
    <cellStyle name="Normal 5 2 2 2 5 6" xfId="9417" xr:uid="{83428880-EDED-4BDC-A375-7FFE879FC240}"/>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24631" xr:uid="{D1EF3DF1-CB12-47A9-B083-9DB2D0870A5E}"/>
    <cellStyle name="Normal 5 2 2 2 6 2 2 3" xfId="33065" xr:uid="{BBC0F881-B1DD-4274-B6C3-FED1C1B2FE5A}"/>
    <cellStyle name="Normal 5 2 2 2 6 2 2 4" xfId="16193" xr:uid="{73C074F8-816D-4DD0-B34A-AE52F7A3C0C3}"/>
    <cellStyle name="Normal 5 2 2 2 6 2 3" xfId="20413" xr:uid="{DF9FC0F9-BDB6-43BD-A454-878CE537E80F}"/>
    <cellStyle name="Normal 5 2 2 2 6 2 4" xfId="28848" xr:uid="{BB7D8174-8007-4FB4-B953-EEE1EDA004BF}"/>
    <cellStyle name="Normal 5 2 2 2 6 2 5" xfId="11975" xr:uid="{CC11E6C4-AF18-40F0-8A84-D1C15561E619}"/>
    <cellStyle name="Normal 5 2 2 2 6 3" xfId="5609" xr:uid="{00000000-0005-0000-0000-00008B170000}"/>
    <cellStyle name="Normal 5 2 2 2 6 3 2" xfId="22486" xr:uid="{F1273A55-7193-4475-956E-B46A31822729}"/>
    <cellStyle name="Normal 5 2 2 2 6 3 3" xfId="30920" xr:uid="{55CBAE5D-5611-4C58-A7BD-C1C3DDF3E8CF}"/>
    <cellStyle name="Normal 5 2 2 2 6 3 4" xfId="14048" xr:uid="{425C1D0C-0BBF-49E8-B0D9-E05998F6B637}"/>
    <cellStyle name="Normal 5 2 2 2 6 4" xfId="18268" xr:uid="{B8EF265F-41B3-4FB7-B4CC-F846CAAB66AA}"/>
    <cellStyle name="Normal 5 2 2 2 6 5" xfId="26703" xr:uid="{877FF866-6AED-48AD-B124-A5137EF88FFE}"/>
    <cellStyle name="Normal 5 2 2 2 6 6" xfId="9830" xr:uid="{DA7687C6-80B7-4EAF-AF2C-6F315BFB0802}"/>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25044" xr:uid="{100E4118-7F42-4583-B404-C9FBEB6BC5F9}"/>
    <cellStyle name="Normal 5 2 2 2 7 2 2 3" xfId="33478" xr:uid="{55DE9F94-85C9-4CFF-9B2C-70B7B5DDB3F2}"/>
    <cellStyle name="Normal 5 2 2 2 7 2 2 4" xfId="16606" xr:uid="{A02854B1-044A-4854-BA48-E02BC5E48371}"/>
    <cellStyle name="Normal 5 2 2 2 7 2 3" xfId="20826" xr:uid="{E83C08D7-58D1-48A6-9AFB-E8AEA6A8FADE}"/>
    <cellStyle name="Normal 5 2 2 2 7 2 4" xfId="29261" xr:uid="{832E1F67-56A6-4874-B91D-D9EA4F53BA86}"/>
    <cellStyle name="Normal 5 2 2 2 7 2 5" xfId="12388" xr:uid="{780627F5-F078-4166-B6DD-B5329A301E06}"/>
    <cellStyle name="Normal 5 2 2 2 7 3" xfId="6022" xr:uid="{00000000-0005-0000-0000-00008F170000}"/>
    <cellStyle name="Normal 5 2 2 2 7 3 2" xfId="22899" xr:uid="{A3FD7ACB-91A7-4C77-B5E2-21527348A9C5}"/>
    <cellStyle name="Normal 5 2 2 2 7 3 3" xfId="31333" xr:uid="{0D4F02B1-6849-47EE-BC97-A46617625B80}"/>
    <cellStyle name="Normal 5 2 2 2 7 3 4" xfId="14461" xr:uid="{CE438B58-92AC-4FA5-9053-965649FA8423}"/>
    <cellStyle name="Normal 5 2 2 2 7 4" xfId="18681" xr:uid="{B22070CC-1D24-4289-8485-2A1ADB3AC620}"/>
    <cellStyle name="Normal 5 2 2 2 7 5" xfId="27116" xr:uid="{EBE67453-C5D0-4BE0-A4FE-7E32176024FD}"/>
    <cellStyle name="Normal 5 2 2 2 7 6" xfId="10243" xr:uid="{4028E79D-062E-41FD-9202-D797536A92FD}"/>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25457" xr:uid="{6D47ECB3-4E72-4A5A-8B2D-69301EB62E53}"/>
    <cellStyle name="Normal 5 2 2 2 8 2 2 3" xfId="33891" xr:uid="{B059D761-D732-46A9-9CE5-F144B4A4EAE7}"/>
    <cellStyle name="Normal 5 2 2 2 8 2 2 4" xfId="17019" xr:uid="{83793CFD-EE3D-4D4D-96D7-940AC451AC7F}"/>
    <cellStyle name="Normal 5 2 2 2 8 2 3" xfId="21239" xr:uid="{FD32B7BE-0D50-4716-B68E-812B3FA9A1D7}"/>
    <cellStyle name="Normal 5 2 2 2 8 2 4" xfId="29674" xr:uid="{25331A14-B327-448C-A805-0BDF854046BF}"/>
    <cellStyle name="Normal 5 2 2 2 8 2 5" xfId="12801" xr:uid="{A9BC0D0C-0C3F-4143-87EE-B33247E5B8F4}"/>
    <cellStyle name="Normal 5 2 2 2 8 3" xfId="6435" xr:uid="{00000000-0005-0000-0000-000093170000}"/>
    <cellStyle name="Normal 5 2 2 2 8 3 2" xfId="23312" xr:uid="{4086597F-B896-4FF8-8008-82814A5971F3}"/>
    <cellStyle name="Normal 5 2 2 2 8 3 3" xfId="31746" xr:uid="{0308DAA1-269E-45CB-BCCB-ED7CF754A61B}"/>
    <cellStyle name="Normal 5 2 2 2 8 3 4" xfId="14874" xr:uid="{08B8D313-E6CD-4AC9-A91D-A28C83CC8E6C}"/>
    <cellStyle name="Normal 5 2 2 2 8 4" xfId="19094" xr:uid="{91E101AD-F973-43DB-978B-0BD37DC72C5D}"/>
    <cellStyle name="Normal 5 2 2 2 8 5" xfId="27529" xr:uid="{C6DBE9D8-3DFE-4963-8884-5728C015763A}"/>
    <cellStyle name="Normal 5 2 2 2 8 6" xfId="10656" xr:uid="{93162F26-C6F4-4724-9577-D23E33416517}"/>
    <cellStyle name="Normal 5 2 2 2 9" xfId="2564" xr:uid="{00000000-0005-0000-0000-000094170000}"/>
    <cellStyle name="Normal 5 2 2 2 9 2" xfId="6848" xr:uid="{00000000-0005-0000-0000-000095170000}"/>
    <cellStyle name="Normal 5 2 2 2 9 2 2" xfId="23725" xr:uid="{D0E911B5-16EB-4D12-BDA7-558D721F1455}"/>
    <cellStyle name="Normal 5 2 2 2 9 2 3" xfId="32159" xr:uid="{532FBC92-4111-42AD-9525-AC16F5C42148}"/>
    <cellStyle name="Normal 5 2 2 2 9 2 4" xfId="15287" xr:uid="{12C84556-214F-49A4-BD29-10C099680F2F}"/>
    <cellStyle name="Normal 5 2 2 2 9 3" xfId="19507" xr:uid="{B7BC30E0-DA19-4D9E-A43C-443985FFEE95}"/>
    <cellStyle name="Normal 5 2 2 2 9 4" xfId="27942" xr:uid="{1C1F6C7D-DACA-4032-834E-8E3A96A1A80C}"/>
    <cellStyle name="Normal 5 2 2 2 9 5" xfId="11069" xr:uid="{2BCBEF55-3FE7-41E0-88BF-E90B8639556A}"/>
    <cellStyle name="Normal 5 2 2 3" xfId="417" xr:uid="{00000000-0005-0000-0000-000096170000}"/>
    <cellStyle name="Normal 5 2 2 3 10" xfId="17450" xr:uid="{C32CD195-9D14-4FDC-8B44-4EF534ACEC6F}"/>
    <cellStyle name="Normal 5 2 2 3 11" xfId="25885" xr:uid="{96864D5C-E755-4989-B3B9-FF81C15EFF10}"/>
    <cellStyle name="Normal 5 2 2 3 12" xfId="9012" xr:uid="{323677EE-3C83-4F30-8E6F-86284984BB1D}"/>
    <cellStyle name="Normal 5 2 2 3 2" xfId="418" xr:uid="{00000000-0005-0000-0000-000097170000}"/>
    <cellStyle name="Normal 5 2 2 3 2 10" xfId="25886" xr:uid="{EC39D83C-2454-4FDC-BA91-FE67F396C01E}"/>
    <cellStyle name="Normal 5 2 2 3 2 11" xfId="9013" xr:uid="{095B1ACC-5209-4473-BECB-263411228F3A}"/>
    <cellStyle name="Normal 5 2 2 3 2 2" xfId="419" xr:uid="{00000000-0005-0000-0000-000098170000}"/>
    <cellStyle name="Normal 5 2 2 3 2 2 10" xfId="9014" xr:uid="{D2A3DDEF-AD1A-4CED-98D5-3DD08749C8D2}"/>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24228" xr:uid="{F2C324A8-0A1E-45F6-9C56-AA72D245BEE0}"/>
    <cellStyle name="Normal 5 2 2 3 2 2 2 2 2 3" xfId="32662" xr:uid="{D82FF366-E6B3-4459-9156-56231AA17371}"/>
    <cellStyle name="Normal 5 2 2 3 2 2 2 2 2 4" xfId="15790" xr:uid="{E193D12D-8AE2-4958-9F0B-C469EEFE8D59}"/>
    <cellStyle name="Normal 5 2 2 3 2 2 2 2 3" xfId="20010" xr:uid="{B51228E2-4E06-4F1C-A961-82855433A382}"/>
    <cellStyle name="Normal 5 2 2 3 2 2 2 2 4" xfId="28445" xr:uid="{4BA2C199-CD86-4472-A978-5893FDA5A1F1}"/>
    <cellStyle name="Normal 5 2 2 3 2 2 2 2 5" xfId="11572" xr:uid="{D56DF006-6D79-4AEC-9D60-DED8BC7F889A}"/>
    <cellStyle name="Normal 5 2 2 3 2 2 2 3" xfId="5206" xr:uid="{00000000-0005-0000-0000-00009C170000}"/>
    <cellStyle name="Normal 5 2 2 3 2 2 2 3 2" xfId="22083" xr:uid="{9427A029-5CB5-4FAA-A2D2-75AF0F2978A1}"/>
    <cellStyle name="Normal 5 2 2 3 2 2 2 3 3" xfId="30517" xr:uid="{2FA8A991-A051-401A-9CA4-45FC1C200E0D}"/>
    <cellStyle name="Normal 5 2 2 3 2 2 2 3 4" xfId="13645" xr:uid="{3EE2773E-32C1-4ED4-BD15-C6422E06BA95}"/>
    <cellStyle name="Normal 5 2 2 3 2 2 2 4" xfId="17865" xr:uid="{4C904E3D-7D80-474E-B1BE-BE9AA68B0472}"/>
    <cellStyle name="Normal 5 2 2 3 2 2 2 5" xfId="26300" xr:uid="{CE9B365E-7534-4336-90EA-9F3F53CA904C}"/>
    <cellStyle name="Normal 5 2 2 3 2 2 2 6" xfId="9427" xr:uid="{0276CA55-6236-43EE-B070-8F12CFF4A3DB}"/>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24641" xr:uid="{C8D2B631-2363-4CE1-A63F-3F679C6EEC84}"/>
    <cellStyle name="Normal 5 2 2 3 2 2 3 2 2 3" xfId="33075" xr:uid="{9B64A0ED-727F-4F4A-8251-92685974BAFF}"/>
    <cellStyle name="Normal 5 2 2 3 2 2 3 2 2 4" xfId="16203" xr:uid="{09E2A2B6-D8A0-4339-8C42-8DD34BEE4AFD}"/>
    <cellStyle name="Normal 5 2 2 3 2 2 3 2 3" xfId="20423" xr:uid="{783B3A69-BB43-4EC7-BDF5-4D77F537836C}"/>
    <cellStyle name="Normal 5 2 2 3 2 2 3 2 4" xfId="28858" xr:uid="{C43BDACA-2468-4750-8EBB-9EC47320CC22}"/>
    <cellStyle name="Normal 5 2 2 3 2 2 3 2 5" xfId="11985" xr:uid="{7F45C7FC-D5FB-4E34-B30F-0295E67BAE36}"/>
    <cellStyle name="Normal 5 2 2 3 2 2 3 3" xfId="5619" xr:uid="{00000000-0005-0000-0000-0000A0170000}"/>
    <cellStyle name="Normal 5 2 2 3 2 2 3 3 2" xfId="22496" xr:uid="{CB54DCC2-A7DC-4083-8804-DE26C98CBEDE}"/>
    <cellStyle name="Normal 5 2 2 3 2 2 3 3 3" xfId="30930" xr:uid="{A74EE253-35E0-4F32-9F73-206F8CA4A7A0}"/>
    <cellStyle name="Normal 5 2 2 3 2 2 3 3 4" xfId="14058" xr:uid="{F2852B65-6637-46C7-B949-0DD47A3FECF1}"/>
    <cellStyle name="Normal 5 2 2 3 2 2 3 4" xfId="18278" xr:uid="{37733989-CF6D-4BD1-8195-96B929776B37}"/>
    <cellStyle name="Normal 5 2 2 3 2 2 3 5" xfId="26713" xr:uid="{CF2FADB7-D8E3-4F41-8516-5CBAA0EFDC2B}"/>
    <cellStyle name="Normal 5 2 2 3 2 2 3 6" xfId="9840" xr:uid="{72293369-D46A-4892-AF60-DE1EF46C4CA7}"/>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25054" xr:uid="{64C0BADC-631C-4C2E-BBCD-214736F95911}"/>
    <cellStyle name="Normal 5 2 2 3 2 2 4 2 2 3" xfId="33488" xr:uid="{6BCD7798-4E07-4EB0-89CF-2765A31F6433}"/>
    <cellStyle name="Normal 5 2 2 3 2 2 4 2 2 4" xfId="16616" xr:uid="{F3F7CBE0-4613-4577-80B1-862551767ABF}"/>
    <cellStyle name="Normal 5 2 2 3 2 2 4 2 3" xfId="20836" xr:uid="{CF7104F9-FBA1-4BBF-B6D7-573354C2ED62}"/>
    <cellStyle name="Normal 5 2 2 3 2 2 4 2 4" xfId="29271" xr:uid="{E995F289-0A67-4849-A728-19717F8A2C7D}"/>
    <cellStyle name="Normal 5 2 2 3 2 2 4 2 5" xfId="12398" xr:uid="{90E2D598-2E27-4828-961E-7289A4CBEF22}"/>
    <cellStyle name="Normal 5 2 2 3 2 2 4 3" xfId="6032" xr:uid="{00000000-0005-0000-0000-0000A4170000}"/>
    <cellStyle name="Normal 5 2 2 3 2 2 4 3 2" xfId="22909" xr:uid="{FFF59717-8368-4469-9092-43B7DCEC78E0}"/>
    <cellStyle name="Normal 5 2 2 3 2 2 4 3 3" xfId="31343" xr:uid="{B91929E4-47B7-4A39-A5D1-2E07D2BDC790}"/>
    <cellStyle name="Normal 5 2 2 3 2 2 4 3 4" xfId="14471" xr:uid="{762F009E-255D-4DAE-9E72-19E219E0683C}"/>
    <cellStyle name="Normal 5 2 2 3 2 2 4 4" xfId="18691" xr:uid="{9D5DA4BB-13F4-41FA-B91B-BBCC934B3CE5}"/>
    <cellStyle name="Normal 5 2 2 3 2 2 4 5" xfId="27126" xr:uid="{ADBC9B7B-E5FF-4932-B698-33EB45A99568}"/>
    <cellStyle name="Normal 5 2 2 3 2 2 4 6" xfId="10253" xr:uid="{5960FDBB-0D65-41DC-9A55-4C5A3938B589}"/>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25467" xr:uid="{D12C2825-C0EA-4880-A266-24A9258FF227}"/>
    <cellStyle name="Normal 5 2 2 3 2 2 5 2 2 3" xfId="33901" xr:uid="{991D6CAE-E7DE-44E6-92CD-C8271BD26FCE}"/>
    <cellStyle name="Normal 5 2 2 3 2 2 5 2 2 4" xfId="17029" xr:uid="{73600CE4-EE1B-4035-B75B-02A9BBC93038}"/>
    <cellStyle name="Normal 5 2 2 3 2 2 5 2 3" xfId="21249" xr:uid="{4A8D027B-B300-4644-A3BC-17AA277F1F18}"/>
    <cellStyle name="Normal 5 2 2 3 2 2 5 2 4" xfId="29684" xr:uid="{812FA1CB-9F74-4988-A3D1-C58E03B40641}"/>
    <cellStyle name="Normal 5 2 2 3 2 2 5 2 5" xfId="12811" xr:uid="{3CE6CDBC-E48B-47D6-926A-A68245C16627}"/>
    <cellStyle name="Normal 5 2 2 3 2 2 5 3" xfId="6445" xr:uid="{00000000-0005-0000-0000-0000A8170000}"/>
    <cellStyle name="Normal 5 2 2 3 2 2 5 3 2" xfId="23322" xr:uid="{50C062F6-E59F-4611-9B8A-7828D6ECBB22}"/>
    <cellStyle name="Normal 5 2 2 3 2 2 5 3 3" xfId="31756" xr:uid="{6CEBF93F-CDC4-4EEF-A0CF-9A9F7EC9FC70}"/>
    <cellStyle name="Normal 5 2 2 3 2 2 5 3 4" xfId="14884" xr:uid="{9B04ABA4-1F3D-4599-8A15-D0BBFB379CFF}"/>
    <cellStyle name="Normal 5 2 2 3 2 2 5 4" xfId="19104" xr:uid="{8E38B4DC-AD66-474A-A59E-27EBC71AE20B}"/>
    <cellStyle name="Normal 5 2 2 3 2 2 5 5" xfId="27539" xr:uid="{FEE730C5-255E-4EC7-9A14-5F33F409833D}"/>
    <cellStyle name="Normal 5 2 2 3 2 2 5 6" xfId="10666" xr:uid="{D08C27A2-8AC5-4164-A074-D84812ADE655}"/>
    <cellStyle name="Normal 5 2 2 3 2 2 6" xfId="2574" xr:uid="{00000000-0005-0000-0000-0000A9170000}"/>
    <cellStyle name="Normal 5 2 2 3 2 2 6 2" xfId="6858" xr:uid="{00000000-0005-0000-0000-0000AA170000}"/>
    <cellStyle name="Normal 5 2 2 3 2 2 6 2 2" xfId="23735" xr:uid="{1EBF1360-4D8C-42FF-850F-43A2301BEF10}"/>
    <cellStyle name="Normal 5 2 2 3 2 2 6 2 3" xfId="32169" xr:uid="{FD2A2E36-03CD-4497-9EE1-6F439DD77885}"/>
    <cellStyle name="Normal 5 2 2 3 2 2 6 2 4" xfId="15297" xr:uid="{808A546C-D3DF-4476-A5D1-91BDF1DF7186}"/>
    <cellStyle name="Normal 5 2 2 3 2 2 6 3" xfId="19517" xr:uid="{14B8891B-84F3-470A-B0C0-A1F802972F82}"/>
    <cellStyle name="Normal 5 2 2 3 2 2 6 4" xfId="27952" xr:uid="{6F2B5AD2-DC26-4477-ACB8-747258D3CD61}"/>
    <cellStyle name="Normal 5 2 2 3 2 2 6 5" xfId="11079" xr:uid="{2972A831-9DFC-4BD6-AAF0-FA5E16666CBE}"/>
    <cellStyle name="Normal 5 2 2 3 2 2 7" xfId="4793" xr:uid="{00000000-0005-0000-0000-0000AB170000}"/>
    <cellStyle name="Normal 5 2 2 3 2 2 7 2" xfId="21670" xr:uid="{E0DAEF41-C327-4384-9A52-A2ED7AD4A358}"/>
    <cellStyle name="Normal 5 2 2 3 2 2 7 3" xfId="30104" xr:uid="{6292E94F-36AE-4C97-923E-312BA158750F}"/>
    <cellStyle name="Normal 5 2 2 3 2 2 7 4" xfId="13232" xr:uid="{634DDDE9-49A6-449C-98CB-1F7BAB0631D0}"/>
    <cellStyle name="Normal 5 2 2 3 2 2 8" xfId="17452" xr:uid="{DA57ABB8-8CCB-443F-8949-18A87F78CABE}"/>
    <cellStyle name="Normal 5 2 2 3 2 2 9" xfId="25887" xr:uid="{324FAB34-0269-4C5D-9B03-8020F0B429F3}"/>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24227" xr:uid="{28A8F86D-09CC-4D07-A8ED-1E8B62C14BF3}"/>
    <cellStyle name="Normal 5 2 2 3 2 3 2 2 3" xfId="32661" xr:uid="{1CC39FA1-4CD4-4999-95D7-9D78E11FEE11}"/>
    <cellStyle name="Normal 5 2 2 3 2 3 2 2 4" xfId="15789" xr:uid="{5554540C-358C-4BE0-90F7-07259DB10016}"/>
    <cellStyle name="Normal 5 2 2 3 2 3 2 3" xfId="20009" xr:uid="{16310CD1-07CA-4005-8B9B-203307337474}"/>
    <cellStyle name="Normal 5 2 2 3 2 3 2 4" xfId="28444" xr:uid="{72AA1198-EE7B-429D-820B-0BAEA1F6F965}"/>
    <cellStyle name="Normal 5 2 2 3 2 3 2 5" xfId="11571" xr:uid="{2047B60A-7C18-4EB7-96CD-A900441749FD}"/>
    <cellStyle name="Normal 5 2 2 3 2 3 3" xfId="5205" xr:uid="{00000000-0005-0000-0000-0000AF170000}"/>
    <cellStyle name="Normal 5 2 2 3 2 3 3 2" xfId="22082" xr:uid="{A1D9D472-FD30-4A77-A2A5-4389C5069EB5}"/>
    <cellStyle name="Normal 5 2 2 3 2 3 3 3" xfId="30516" xr:uid="{3BDEDC38-E6A1-48C2-9748-BF1E895332BB}"/>
    <cellStyle name="Normal 5 2 2 3 2 3 3 4" xfId="13644" xr:uid="{CFD19C81-949F-45E0-BDBB-1688DDB032C8}"/>
    <cellStyle name="Normal 5 2 2 3 2 3 4" xfId="17864" xr:uid="{61295687-48CE-4FE9-9D41-A21B0A7DD2BD}"/>
    <cellStyle name="Normal 5 2 2 3 2 3 5" xfId="26299" xr:uid="{75200FD4-15A6-4CAF-A5EC-9374E2A6DB6A}"/>
    <cellStyle name="Normal 5 2 2 3 2 3 6" xfId="9426" xr:uid="{41C70F99-D5B0-4FD3-BCF0-852872345826}"/>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24640" xr:uid="{1DA8F7D1-317E-49D5-AB75-6EE73CB77C66}"/>
    <cellStyle name="Normal 5 2 2 3 2 4 2 2 3" xfId="33074" xr:uid="{B5BB3D28-2017-453C-966A-BD44AA278313}"/>
    <cellStyle name="Normal 5 2 2 3 2 4 2 2 4" xfId="16202" xr:uid="{B9B1BE39-D4A1-42BF-8D92-06DF81D5655F}"/>
    <cellStyle name="Normal 5 2 2 3 2 4 2 3" xfId="20422" xr:uid="{FB7E2F1A-AA82-4ED5-9D99-FD43DC529634}"/>
    <cellStyle name="Normal 5 2 2 3 2 4 2 4" xfId="28857" xr:uid="{EDDD3306-67F9-4DA1-9ABF-0AD3AEE5E708}"/>
    <cellStyle name="Normal 5 2 2 3 2 4 2 5" xfId="11984" xr:uid="{AEBB3708-F4FD-4F24-8DFE-3F927E81FF40}"/>
    <cellStyle name="Normal 5 2 2 3 2 4 3" xfId="5618" xr:uid="{00000000-0005-0000-0000-0000B3170000}"/>
    <cellStyle name="Normal 5 2 2 3 2 4 3 2" xfId="22495" xr:uid="{27301467-14EC-49BB-A761-0F3601DB0C6F}"/>
    <cellStyle name="Normal 5 2 2 3 2 4 3 3" xfId="30929" xr:uid="{9FA76F4B-C885-425B-8FFF-44B41F950B84}"/>
    <cellStyle name="Normal 5 2 2 3 2 4 3 4" xfId="14057" xr:uid="{48F9506C-6FE0-46F7-B614-B5535E474FCC}"/>
    <cellStyle name="Normal 5 2 2 3 2 4 4" xfId="18277" xr:uid="{4E6B7A60-A6B7-4E0B-B76F-ABD6F9F6E6E8}"/>
    <cellStyle name="Normal 5 2 2 3 2 4 5" xfId="26712" xr:uid="{18ECA2B5-B415-4AF6-B91F-4A33FAC9BD5C}"/>
    <cellStyle name="Normal 5 2 2 3 2 4 6" xfId="9839" xr:uid="{B51CDD74-3014-4866-8951-4696DB22B22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25053" xr:uid="{DD6F3803-A802-4ACE-B4B2-CA72A7AB09A4}"/>
    <cellStyle name="Normal 5 2 2 3 2 5 2 2 3" xfId="33487" xr:uid="{44AE9932-96DE-414D-8510-FB6D17FD7276}"/>
    <cellStyle name="Normal 5 2 2 3 2 5 2 2 4" xfId="16615" xr:uid="{4C2A201F-3D63-4A8B-94D0-BD53C5F18D34}"/>
    <cellStyle name="Normal 5 2 2 3 2 5 2 3" xfId="20835" xr:uid="{715AD494-EF42-43EB-AA4C-00FFEA4AC965}"/>
    <cellStyle name="Normal 5 2 2 3 2 5 2 4" xfId="29270" xr:uid="{3A303047-E604-4C36-97C8-276C69BE8C2D}"/>
    <cellStyle name="Normal 5 2 2 3 2 5 2 5" xfId="12397" xr:uid="{9341CA37-81DF-4469-BC95-FF332BD74F81}"/>
    <cellStyle name="Normal 5 2 2 3 2 5 3" xfId="6031" xr:uid="{00000000-0005-0000-0000-0000B7170000}"/>
    <cellStyle name="Normal 5 2 2 3 2 5 3 2" xfId="22908" xr:uid="{03F6EDFD-A989-4089-A0D7-6F6D989F69E9}"/>
    <cellStyle name="Normal 5 2 2 3 2 5 3 3" xfId="31342" xr:uid="{6191B5EE-0651-4FFF-8ACE-49EAA8A269C5}"/>
    <cellStyle name="Normal 5 2 2 3 2 5 3 4" xfId="14470" xr:uid="{D95CA69E-8EB5-47AD-AB40-5E76F2449BD2}"/>
    <cellStyle name="Normal 5 2 2 3 2 5 4" xfId="18690" xr:uid="{7D2936E1-55E8-434C-A09D-2C015C4E2E42}"/>
    <cellStyle name="Normal 5 2 2 3 2 5 5" xfId="27125" xr:uid="{B1FB8BD8-65BC-4C06-A409-6EE449DC1E32}"/>
    <cellStyle name="Normal 5 2 2 3 2 5 6" xfId="10252" xr:uid="{7067EFA6-1FD3-4049-8D03-0DEA0EC1AC8C}"/>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25466" xr:uid="{D646ACC1-1773-402E-BEEF-F84AA97BC544}"/>
    <cellStyle name="Normal 5 2 2 3 2 6 2 2 3" xfId="33900" xr:uid="{3E3CB3B0-047A-4254-B035-C1CE3F7463A5}"/>
    <cellStyle name="Normal 5 2 2 3 2 6 2 2 4" xfId="17028" xr:uid="{44F36045-1C5E-476E-8F6D-551793669A0C}"/>
    <cellStyle name="Normal 5 2 2 3 2 6 2 3" xfId="21248" xr:uid="{7F341289-D619-46CF-9373-D2379E874975}"/>
    <cellStyle name="Normal 5 2 2 3 2 6 2 4" xfId="29683" xr:uid="{182DF750-B2C9-42BE-98D1-CF969D37920C}"/>
    <cellStyle name="Normal 5 2 2 3 2 6 2 5" xfId="12810" xr:uid="{2DB37304-9A7E-4A45-BECD-5DB90A252068}"/>
    <cellStyle name="Normal 5 2 2 3 2 6 3" xfId="6444" xr:uid="{00000000-0005-0000-0000-0000BB170000}"/>
    <cellStyle name="Normal 5 2 2 3 2 6 3 2" xfId="23321" xr:uid="{E818838A-0685-486D-9960-C3774D1DD33A}"/>
    <cellStyle name="Normal 5 2 2 3 2 6 3 3" xfId="31755" xr:uid="{3D67766A-8EED-4A99-AC55-55E4849B7E38}"/>
    <cellStyle name="Normal 5 2 2 3 2 6 3 4" xfId="14883" xr:uid="{B5FEC924-13A1-439D-81CF-48375CA97FB2}"/>
    <cellStyle name="Normal 5 2 2 3 2 6 4" xfId="19103" xr:uid="{C91D95C7-8367-47DD-852B-DC6CA83F0A36}"/>
    <cellStyle name="Normal 5 2 2 3 2 6 5" xfId="27538" xr:uid="{94FFA959-4AC5-4BC0-A530-4A3DA3664F3D}"/>
    <cellStyle name="Normal 5 2 2 3 2 6 6" xfId="10665" xr:uid="{AD79A676-F3B5-473E-9AFF-D02978A807C5}"/>
    <cellStyle name="Normal 5 2 2 3 2 7" xfId="2573" xr:uid="{00000000-0005-0000-0000-0000BC170000}"/>
    <cellStyle name="Normal 5 2 2 3 2 7 2" xfId="6857" xr:uid="{00000000-0005-0000-0000-0000BD170000}"/>
    <cellStyle name="Normal 5 2 2 3 2 7 2 2" xfId="23734" xr:uid="{BB898CD0-93A3-498C-B74A-D13B84E9B086}"/>
    <cellStyle name="Normal 5 2 2 3 2 7 2 3" xfId="32168" xr:uid="{9C07966F-B543-49E0-9F78-4DCFFE6D59D4}"/>
    <cellStyle name="Normal 5 2 2 3 2 7 2 4" xfId="15296" xr:uid="{C8DE11E0-DC2E-459E-9407-9A3BFD231F88}"/>
    <cellStyle name="Normal 5 2 2 3 2 7 3" xfId="19516" xr:uid="{DB5F671A-1C80-4FBD-8069-364A7AD4BD9B}"/>
    <cellStyle name="Normal 5 2 2 3 2 7 4" xfId="27951" xr:uid="{FE0E4A52-2578-4134-A5DC-7FD1C9EAFEBA}"/>
    <cellStyle name="Normal 5 2 2 3 2 7 5" xfId="11078" xr:uid="{B9F6E61D-CC36-4AB4-B579-92F3FE980F88}"/>
    <cellStyle name="Normal 5 2 2 3 2 8" xfId="4792" xr:uid="{00000000-0005-0000-0000-0000BE170000}"/>
    <cellStyle name="Normal 5 2 2 3 2 8 2" xfId="21669" xr:uid="{473A7790-559D-415C-89CB-43ABAF7741F6}"/>
    <cellStyle name="Normal 5 2 2 3 2 8 3" xfId="30103" xr:uid="{E0A25087-D8B1-41A5-9BB9-E6D713C36A56}"/>
    <cellStyle name="Normal 5 2 2 3 2 8 4" xfId="13231" xr:uid="{7B159E44-DDBE-461B-9CAB-041B9E29FD0A}"/>
    <cellStyle name="Normal 5 2 2 3 2 9" xfId="17451" xr:uid="{D50B8FB4-E0CB-4152-AC93-1B02FB56FEB6}"/>
    <cellStyle name="Normal 5 2 2 3 3" xfId="420" xr:uid="{00000000-0005-0000-0000-0000BF170000}"/>
    <cellStyle name="Normal 5 2 2 3 3 10" xfId="9015" xr:uid="{F8400A1B-D259-4269-AB11-6F356FF36DA5}"/>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24229" xr:uid="{4026347C-5220-48E1-8BDE-865D5CC2FB60}"/>
    <cellStyle name="Normal 5 2 2 3 3 2 2 2 3" xfId="32663" xr:uid="{42F527F5-4351-4DF0-A8BD-6ABD92432B60}"/>
    <cellStyle name="Normal 5 2 2 3 3 2 2 2 4" xfId="15791" xr:uid="{1FFCB1AE-197D-46E8-990C-3A4A8D6BAF95}"/>
    <cellStyle name="Normal 5 2 2 3 3 2 2 3" xfId="20011" xr:uid="{BCA7146B-51AE-4739-809D-638B059576AB}"/>
    <cellStyle name="Normal 5 2 2 3 3 2 2 4" xfId="28446" xr:uid="{4DE84048-02AF-40BF-8474-575E8E9C05EF}"/>
    <cellStyle name="Normal 5 2 2 3 3 2 2 5" xfId="11573" xr:uid="{4132849C-F8CC-4439-8C44-5BBC25BF7552}"/>
    <cellStyle name="Normal 5 2 2 3 3 2 3" xfId="5207" xr:uid="{00000000-0005-0000-0000-0000C3170000}"/>
    <cellStyle name="Normal 5 2 2 3 3 2 3 2" xfId="22084" xr:uid="{36FABBF0-A6F4-4F4E-B16D-F9B1623140AD}"/>
    <cellStyle name="Normal 5 2 2 3 3 2 3 3" xfId="30518" xr:uid="{BC30F3F7-CB16-4D97-9A8E-D5937F8A87B8}"/>
    <cellStyle name="Normal 5 2 2 3 3 2 3 4" xfId="13646" xr:uid="{2B2D7E55-3A9E-420A-B8BC-F23A841C9432}"/>
    <cellStyle name="Normal 5 2 2 3 3 2 4" xfId="17866" xr:uid="{81A6045D-EC4A-46EE-8C14-4F2C7D575005}"/>
    <cellStyle name="Normal 5 2 2 3 3 2 5" xfId="26301" xr:uid="{B5F4E9D9-367C-443E-AF89-452361356187}"/>
    <cellStyle name="Normal 5 2 2 3 3 2 6" xfId="9428" xr:uid="{6B6A7C34-6C35-4683-9DFB-AE723E20FBE5}"/>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24642" xr:uid="{C2FB0B83-64B4-417A-8762-7A6A36D1A2B0}"/>
    <cellStyle name="Normal 5 2 2 3 3 3 2 2 3" xfId="33076" xr:uid="{A25C0384-F19F-436F-B460-2805E2DE182B}"/>
    <cellStyle name="Normal 5 2 2 3 3 3 2 2 4" xfId="16204" xr:uid="{37F6DA45-4012-4E99-B951-FF6E3AF16F7E}"/>
    <cellStyle name="Normal 5 2 2 3 3 3 2 3" xfId="20424" xr:uid="{2B7F6D21-66FF-470A-9152-ECA055DD813B}"/>
    <cellStyle name="Normal 5 2 2 3 3 3 2 4" xfId="28859" xr:uid="{D9A93774-9DE1-426C-8AA7-2A8673E11C9F}"/>
    <cellStyle name="Normal 5 2 2 3 3 3 2 5" xfId="11986" xr:uid="{AC8A3294-E932-4D50-A696-4FE1D5D8467F}"/>
    <cellStyle name="Normal 5 2 2 3 3 3 3" xfId="5620" xr:uid="{00000000-0005-0000-0000-0000C7170000}"/>
    <cellStyle name="Normal 5 2 2 3 3 3 3 2" xfId="22497" xr:uid="{56B7FEC4-27F1-4D94-803C-CE6CC046A08B}"/>
    <cellStyle name="Normal 5 2 2 3 3 3 3 3" xfId="30931" xr:uid="{2F488943-7848-47D4-9D57-BC4D0E0A6AA2}"/>
    <cellStyle name="Normal 5 2 2 3 3 3 3 4" xfId="14059" xr:uid="{513CA5B6-AC1F-4366-A78B-86826DB81F95}"/>
    <cellStyle name="Normal 5 2 2 3 3 3 4" xfId="18279" xr:uid="{BDC0BB23-63E1-45E2-BE91-FA882EDF3633}"/>
    <cellStyle name="Normal 5 2 2 3 3 3 5" xfId="26714" xr:uid="{29D465C2-68ED-46FC-904E-B06E9CE5614B}"/>
    <cellStyle name="Normal 5 2 2 3 3 3 6" xfId="9841" xr:uid="{2685E9D6-8F7E-4C44-92F5-DBC4C1E4569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25055" xr:uid="{735B1F72-70B5-43E4-8749-1F19A4D319DB}"/>
    <cellStyle name="Normal 5 2 2 3 3 4 2 2 3" xfId="33489" xr:uid="{1793A523-D405-4130-8EE8-02F001295D4D}"/>
    <cellStyle name="Normal 5 2 2 3 3 4 2 2 4" xfId="16617" xr:uid="{37277B3D-4B75-4575-90CE-37FFB25A715D}"/>
    <cellStyle name="Normal 5 2 2 3 3 4 2 3" xfId="20837" xr:uid="{939F33FD-45AA-4EBD-954A-DABE8784A87D}"/>
    <cellStyle name="Normal 5 2 2 3 3 4 2 4" xfId="29272" xr:uid="{67FA49E4-5C23-4EB8-8BE7-C3ABB2F38C1F}"/>
    <cellStyle name="Normal 5 2 2 3 3 4 2 5" xfId="12399" xr:uid="{6C429721-8AA2-4B05-9899-A5F69FDDACC2}"/>
    <cellStyle name="Normal 5 2 2 3 3 4 3" xfId="6033" xr:uid="{00000000-0005-0000-0000-0000CB170000}"/>
    <cellStyle name="Normal 5 2 2 3 3 4 3 2" xfId="22910" xr:uid="{106510F3-F78C-46F2-A2F5-ACBBD6988F35}"/>
    <cellStyle name="Normal 5 2 2 3 3 4 3 3" xfId="31344" xr:uid="{A81EBFF9-96F6-4078-9D6E-BF8DA7AA392A}"/>
    <cellStyle name="Normal 5 2 2 3 3 4 3 4" xfId="14472" xr:uid="{DAF5D10B-2BFB-408C-BE1D-6379A7808B73}"/>
    <cellStyle name="Normal 5 2 2 3 3 4 4" xfId="18692" xr:uid="{B6CA1A12-87ED-4666-9F5E-6E5E9A06D1BE}"/>
    <cellStyle name="Normal 5 2 2 3 3 4 5" xfId="27127" xr:uid="{346C7065-3B47-4010-B05D-52042AA78E8F}"/>
    <cellStyle name="Normal 5 2 2 3 3 4 6" xfId="10254" xr:uid="{DA7F817F-2415-48C7-B9AE-11F5714D75D9}"/>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25468" xr:uid="{6C621744-B2A8-45A1-8243-65669489773F}"/>
    <cellStyle name="Normal 5 2 2 3 3 5 2 2 3" xfId="33902" xr:uid="{221EC672-5EAE-4B55-97F8-D5019390AE60}"/>
    <cellStyle name="Normal 5 2 2 3 3 5 2 2 4" xfId="17030" xr:uid="{297243E3-0C57-447B-B71D-F5F256C5F4A1}"/>
    <cellStyle name="Normal 5 2 2 3 3 5 2 3" xfId="21250" xr:uid="{69407648-2749-49E3-9092-3B1D10ADE815}"/>
    <cellStyle name="Normal 5 2 2 3 3 5 2 4" xfId="29685" xr:uid="{25BD0509-4248-47D5-9448-71A648075D84}"/>
    <cellStyle name="Normal 5 2 2 3 3 5 2 5" xfId="12812" xr:uid="{9E130A11-5FD9-48D5-AD41-796EC87EB1DC}"/>
    <cellStyle name="Normal 5 2 2 3 3 5 3" xfId="6446" xr:uid="{00000000-0005-0000-0000-0000CF170000}"/>
    <cellStyle name="Normal 5 2 2 3 3 5 3 2" xfId="23323" xr:uid="{60EDEE29-5E95-4CC2-B808-FF5C3A6D8206}"/>
    <cellStyle name="Normal 5 2 2 3 3 5 3 3" xfId="31757" xr:uid="{D48925A7-EE83-4A3B-ABD7-5638EC85EC8C}"/>
    <cellStyle name="Normal 5 2 2 3 3 5 3 4" xfId="14885" xr:uid="{40F0DCB5-4DD4-4E04-BC3E-9821BA4E4F83}"/>
    <cellStyle name="Normal 5 2 2 3 3 5 4" xfId="19105" xr:uid="{E9BFEF97-889E-42D6-94C7-9D26362CE6E8}"/>
    <cellStyle name="Normal 5 2 2 3 3 5 5" xfId="27540" xr:uid="{136F350D-6652-41B4-8F2A-E83A0D5A5F33}"/>
    <cellStyle name="Normal 5 2 2 3 3 5 6" xfId="10667" xr:uid="{B4036FA9-658F-4072-861E-AC3552CDBE26}"/>
    <cellStyle name="Normal 5 2 2 3 3 6" xfId="2575" xr:uid="{00000000-0005-0000-0000-0000D0170000}"/>
    <cellStyle name="Normal 5 2 2 3 3 6 2" xfId="6859" xr:uid="{00000000-0005-0000-0000-0000D1170000}"/>
    <cellStyle name="Normal 5 2 2 3 3 6 2 2" xfId="23736" xr:uid="{A75F50B6-88DC-4E75-9A16-4162BB32E892}"/>
    <cellStyle name="Normal 5 2 2 3 3 6 2 3" xfId="32170" xr:uid="{930B983C-7386-4D9C-8AE8-A63733EEC4A6}"/>
    <cellStyle name="Normal 5 2 2 3 3 6 2 4" xfId="15298" xr:uid="{7225BCE0-889F-4877-A110-1C586EA42D21}"/>
    <cellStyle name="Normal 5 2 2 3 3 6 3" xfId="19518" xr:uid="{4CFF7A14-5BC4-4AD4-8E1D-88FC0B7F630C}"/>
    <cellStyle name="Normal 5 2 2 3 3 6 4" xfId="27953" xr:uid="{179D399D-94D8-482C-A027-F9F33DC2BD72}"/>
    <cellStyle name="Normal 5 2 2 3 3 6 5" xfId="11080" xr:uid="{0E2BCC99-4861-466E-AB89-D013CFAE1D3B}"/>
    <cellStyle name="Normal 5 2 2 3 3 7" xfId="4794" xr:uid="{00000000-0005-0000-0000-0000D2170000}"/>
    <cellStyle name="Normal 5 2 2 3 3 7 2" xfId="21671" xr:uid="{D5D7EBF2-BD45-4551-AF23-5B457D94911D}"/>
    <cellStyle name="Normal 5 2 2 3 3 7 3" xfId="30105" xr:uid="{D82E9143-C750-4194-A010-4B967F469636}"/>
    <cellStyle name="Normal 5 2 2 3 3 7 4" xfId="13233" xr:uid="{3BF98DB3-569C-42FE-94CC-E42CF304D821}"/>
    <cellStyle name="Normal 5 2 2 3 3 8" xfId="17453" xr:uid="{17E0CB9D-0DF3-480F-83C1-DFD1C934DB3B}"/>
    <cellStyle name="Normal 5 2 2 3 3 9" xfId="25888" xr:uid="{D1501647-C036-4F65-9393-471E6743DEA7}"/>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24226" xr:uid="{928249C9-C838-452C-B454-4470A9F624FD}"/>
    <cellStyle name="Normal 5 2 2 3 4 2 2 3" xfId="32660" xr:uid="{594DEA69-A91A-461D-92D7-119893F23A73}"/>
    <cellStyle name="Normal 5 2 2 3 4 2 2 4" xfId="15788" xr:uid="{626FF8BB-A1C4-4325-BBB5-060ACEAE3230}"/>
    <cellStyle name="Normal 5 2 2 3 4 2 3" xfId="20008" xr:uid="{615598DE-150A-4C14-B400-3568AD0C7C42}"/>
    <cellStyle name="Normal 5 2 2 3 4 2 4" xfId="28443" xr:uid="{DF1939A4-A8E5-4864-A125-1D96CBCC82C2}"/>
    <cellStyle name="Normal 5 2 2 3 4 2 5" xfId="11570" xr:uid="{71D6E715-C47C-4F8F-BEF6-8E6C03DB82F7}"/>
    <cellStyle name="Normal 5 2 2 3 4 3" xfId="5204" xr:uid="{00000000-0005-0000-0000-0000D6170000}"/>
    <cellStyle name="Normal 5 2 2 3 4 3 2" xfId="22081" xr:uid="{2AED7469-6FFD-4B1F-9FD9-39B9ED747146}"/>
    <cellStyle name="Normal 5 2 2 3 4 3 3" xfId="30515" xr:uid="{3F57F602-FBD5-42F0-BC8C-7F0EBBA88F38}"/>
    <cellStyle name="Normal 5 2 2 3 4 3 4" xfId="13643" xr:uid="{1A577FCB-59C5-417C-80A1-F06679B744EA}"/>
    <cellStyle name="Normal 5 2 2 3 4 4" xfId="17863" xr:uid="{4485156C-7B97-455C-9FB4-C3E8AE6F879A}"/>
    <cellStyle name="Normal 5 2 2 3 4 5" xfId="26298" xr:uid="{648CA3C7-E1DF-452D-99D0-06E0ECAF5044}"/>
    <cellStyle name="Normal 5 2 2 3 4 6" xfId="9425" xr:uid="{5463FE74-D6F6-45CB-9CDD-CB504C408D5E}"/>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24639" xr:uid="{440EA975-AB2E-40FF-A1B0-79F66AF7EA47}"/>
    <cellStyle name="Normal 5 2 2 3 5 2 2 3" xfId="33073" xr:uid="{C447226E-DF74-4352-A590-043E22072418}"/>
    <cellStyle name="Normal 5 2 2 3 5 2 2 4" xfId="16201" xr:uid="{ED74B796-0FD4-4F8B-8406-9AF39FF9BE14}"/>
    <cellStyle name="Normal 5 2 2 3 5 2 3" xfId="20421" xr:uid="{84343EB2-69A2-4F13-901B-84012B795390}"/>
    <cellStyle name="Normal 5 2 2 3 5 2 4" xfId="28856" xr:uid="{B2723733-D81F-4570-8BEF-12F6F6F475FD}"/>
    <cellStyle name="Normal 5 2 2 3 5 2 5" xfId="11983" xr:uid="{33FC3076-F2AE-46EB-B935-20C5FA739A74}"/>
    <cellStyle name="Normal 5 2 2 3 5 3" xfId="5617" xr:uid="{00000000-0005-0000-0000-0000DA170000}"/>
    <cellStyle name="Normal 5 2 2 3 5 3 2" xfId="22494" xr:uid="{A1636572-7A99-4144-A19B-79F2CA08E84B}"/>
    <cellStyle name="Normal 5 2 2 3 5 3 3" xfId="30928" xr:uid="{CA0C997C-6F02-444F-939F-EAEA1E1B51DB}"/>
    <cellStyle name="Normal 5 2 2 3 5 3 4" xfId="14056" xr:uid="{9F54DE53-D993-4321-BBE5-D7071D463A9B}"/>
    <cellStyle name="Normal 5 2 2 3 5 4" xfId="18276" xr:uid="{90623D3C-4A2A-492F-AFD7-2D4423CE787C}"/>
    <cellStyle name="Normal 5 2 2 3 5 5" xfId="26711" xr:uid="{3D472300-1541-4BD9-B457-395E7293DC42}"/>
    <cellStyle name="Normal 5 2 2 3 5 6" xfId="9838" xr:uid="{2E2A17D6-AA26-480B-AB69-5E7B27DE4E37}"/>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25052" xr:uid="{33748BDC-BA28-4C55-9D4A-789955A92023}"/>
    <cellStyle name="Normal 5 2 2 3 6 2 2 3" xfId="33486" xr:uid="{EE609CD2-7737-4C18-9E0C-E3D96707AAA4}"/>
    <cellStyle name="Normal 5 2 2 3 6 2 2 4" xfId="16614" xr:uid="{50F6D627-8535-4360-A9E2-191B6336FE39}"/>
    <cellStyle name="Normal 5 2 2 3 6 2 3" xfId="20834" xr:uid="{9D4AF998-5533-438F-A5C4-92208F3CD1CE}"/>
    <cellStyle name="Normal 5 2 2 3 6 2 4" xfId="29269" xr:uid="{D5D777EF-1117-4529-BAD4-3641C5A5F384}"/>
    <cellStyle name="Normal 5 2 2 3 6 2 5" xfId="12396" xr:uid="{F6CA4DDF-D6BF-4132-8F1D-B49845D21479}"/>
    <cellStyle name="Normal 5 2 2 3 6 3" xfId="6030" xr:uid="{00000000-0005-0000-0000-0000DE170000}"/>
    <cellStyle name="Normal 5 2 2 3 6 3 2" xfId="22907" xr:uid="{9E67FEF0-D50D-43BA-9057-7A1D64B43060}"/>
    <cellStyle name="Normal 5 2 2 3 6 3 3" xfId="31341" xr:uid="{09F4C2D6-EE7D-41FA-898D-5D8ECEA557D9}"/>
    <cellStyle name="Normal 5 2 2 3 6 3 4" xfId="14469" xr:uid="{82929E2F-6360-40C8-9F02-E09198428D56}"/>
    <cellStyle name="Normal 5 2 2 3 6 4" xfId="18689" xr:uid="{4F786B6E-F289-47D2-9D2F-1A5C855132C2}"/>
    <cellStyle name="Normal 5 2 2 3 6 5" xfId="27124" xr:uid="{35AC35A2-426E-4CE5-BAE3-194258ADAAF1}"/>
    <cellStyle name="Normal 5 2 2 3 6 6" xfId="10251" xr:uid="{3D44F878-CAB1-4A45-9734-B0325BE96AEC}"/>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25465" xr:uid="{1A610140-0174-4379-9F04-C0FB4D47533E}"/>
    <cellStyle name="Normal 5 2 2 3 7 2 2 3" xfId="33899" xr:uid="{A36FA87D-502F-469A-9ECC-DBE4334A6235}"/>
    <cellStyle name="Normal 5 2 2 3 7 2 2 4" xfId="17027" xr:uid="{A7025317-B890-4E8D-990E-151854423E9C}"/>
    <cellStyle name="Normal 5 2 2 3 7 2 3" xfId="21247" xr:uid="{4A4015E0-E228-40F7-B2DD-6D1D48BE7B84}"/>
    <cellStyle name="Normal 5 2 2 3 7 2 4" xfId="29682" xr:uid="{F643D689-270F-4414-86A7-383614099028}"/>
    <cellStyle name="Normal 5 2 2 3 7 2 5" xfId="12809" xr:uid="{9B72563E-B4C6-47C5-941F-881555701B20}"/>
    <cellStyle name="Normal 5 2 2 3 7 3" xfId="6443" xr:uid="{00000000-0005-0000-0000-0000E2170000}"/>
    <cellStyle name="Normal 5 2 2 3 7 3 2" xfId="23320" xr:uid="{4B65253B-E60F-4494-A151-80D27F5D0A7D}"/>
    <cellStyle name="Normal 5 2 2 3 7 3 3" xfId="31754" xr:uid="{3A58CBBA-E2E7-4BB0-83EB-4BE75B9863C7}"/>
    <cellStyle name="Normal 5 2 2 3 7 3 4" xfId="14882" xr:uid="{8BE7ECD1-A519-4D21-B5EB-035C3810775A}"/>
    <cellStyle name="Normal 5 2 2 3 7 4" xfId="19102" xr:uid="{5CF0EE00-7B5E-43E7-9825-FD5376ACEEC8}"/>
    <cellStyle name="Normal 5 2 2 3 7 5" xfId="27537" xr:uid="{7DA7FE93-D62B-4A73-885C-4E9740328261}"/>
    <cellStyle name="Normal 5 2 2 3 7 6" xfId="10664" xr:uid="{D4F0189B-B6F5-47F6-8520-DAFC46C53D6A}"/>
    <cellStyle name="Normal 5 2 2 3 8" xfId="2572" xr:uid="{00000000-0005-0000-0000-0000E3170000}"/>
    <cellStyle name="Normal 5 2 2 3 8 2" xfId="6856" xr:uid="{00000000-0005-0000-0000-0000E4170000}"/>
    <cellStyle name="Normal 5 2 2 3 8 2 2" xfId="23733" xr:uid="{D304EB9B-F755-4E36-A635-0D320977A8CE}"/>
    <cellStyle name="Normal 5 2 2 3 8 2 3" xfId="32167" xr:uid="{69DFF172-2765-4A99-A677-55D3753AF3FC}"/>
    <cellStyle name="Normal 5 2 2 3 8 2 4" xfId="15295" xr:uid="{74E83C76-9CA5-48EE-87BA-B5B5CFC3BF17}"/>
    <cellStyle name="Normal 5 2 2 3 8 3" xfId="19515" xr:uid="{D9EB29F5-628E-4F3A-8CBF-BDDE4E930C14}"/>
    <cellStyle name="Normal 5 2 2 3 8 4" xfId="27950" xr:uid="{56142A1F-9C5C-46CC-B945-C6D1EBFE48B5}"/>
    <cellStyle name="Normal 5 2 2 3 8 5" xfId="11077" xr:uid="{CD69EB72-00B1-407C-B0EF-24D40D33F22B}"/>
    <cellStyle name="Normal 5 2 2 3 9" xfId="4791" xr:uid="{00000000-0005-0000-0000-0000E5170000}"/>
    <cellStyle name="Normal 5 2 2 3 9 2" xfId="21668" xr:uid="{D0AF8D33-0105-4A9E-910D-7E738D3993E1}"/>
    <cellStyle name="Normal 5 2 2 3 9 3" xfId="30102" xr:uid="{220ABBE3-AA15-45CD-B0AB-5DD4A2F4BB2F}"/>
    <cellStyle name="Normal 5 2 2 3 9 4" xfId="13230" xr:uid="{00A65B81-C29E-44CA-8EB5-465D065D7BAB}"/>
    <cellStyle name="Normal 5 2 2 4" xfId="421" xr:uid="{00000000-0005-0000-0000-0000E6170000}"/>
    <cellStyle name="Normal 5 2 2 4 10" xfId="25889" xr:uid="{50EAAF5A-5896-4814-A099-14C30B08EC0A}"/>
    <cellStyle name="Normal 5 2 2 4 11" xfId="9016" xr:uid="{47D68D6F-263C-4E3C-8935-9C81B2660D63}"/>
    <cellStyle name="Normal 5 2 2 4 2" xfId="422" xr:uid="{00000000-0005-0000-0000-0000E7170000}"/>
    <cellStyle name="Normal 5 2 2 4 2 10" xfId="9017" xr:uid="{C5C35D90-7D5E-4915-A0CD-DCC4EE3B7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24231" xr:uid="{010C2523-BAB5-4E8B-B180-17CFF7CA8059}"/>
    <cellStyle name="Normal 5 2 2 4 2 2 2 2 3" xfId="32665" xr:uid="{5CDB9D2A-9B0D-41F6-B434-3C29FD7D290B}"/>
    <cellStyle name="Normal 5 2 2 4 2 2 2 2 4" xfId="15793" xr:uid="{7FEA7225-F044-4A93-A49A-06230E75EED9}"/>
    <cellStyle name="Normal 5 2 2 4 2 2 2 3" xfId="20013" xr:uid="{A0804F93-8FDC-4FF1-B462-2DE8AB3A6D3D}"/>
    <cellStyle name="Normal 5 2 2 4 2 2 2 4" xfId="28448" xr:uid="{B5F652E2-31B6-4FA9-9F89-5FCE94D0C39E}"/>
    <cellStyle name="Normal 5 2 2 4 2 2 2 5" xfId="11575" xr:uid="{C93FFD5D-1823-44A5-899B-74EF4729ED7F}"/>
    <cellStyle name="Normal 5 2 2 4 2 2 3" xfId="5209" xr:uid="{00000000-0005-0000-0000-0000EB170000}"/>
    <cellStyle name="Normal 5 2 2 4 2 2 3 2" xfId="22086" xr:uid="{62AF5EC4-B3EA-4E19-9C9E-CF94C5762841}"/>
    <cellStyle name="Normal 5 2 2 4 2 2 3 3" xfId="30520" xr:uid="{F5434E87-408C-43C6-B84E-E21F3F3E439C}"/>
    <cellStyle name="Normal 5 2 2 4 2 2 3 4" xfId="13648" xr:uid="{61B10F0F-8B40-41EE-8881-8937067925A0}"/>
    <cellStyle name="Normal 5 2 2 4 2 2 4" xfId="17868" xr:uid="{07DAA307-7588-48F6-B899-4173BFF7F1D9}"/>
    <cellStyle name="Normal 5 2 2 4 2 2 5" xfId="26303" xr:uid="{6221744D-C641-4E4B-A75C-6BBAA8665812}"/>
    <cellStyle name="Normal 5 2 2 4 2 2 6" xfId="9430" xr:uid="{9A3DD805-F3B3-41B9-9BA6-E2418D624EC8}"/>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24644" xr:uid="{06BD0188-DFA7-4AB3-8A82-653937C4BFD5}"/>
    <cellStyle name="Normal 5 2 2 4 2 3 2 2 3" xfId="33078" xr:uid="{B319A146-3F5D-4324-BF60-32B7D027916E}"/>
    <cellStyle name="Normal 5 2 2 4 2 3 2 2 4" xfId="16206" xr:uid="{A09AEF05-613E-4340-9F69-256E4412D6BB}"/>
    <cellStyle name="Normal 5 2 2 4 2 3 2 3" xfId="20426" xr:uid="{7689945C-428E-4B2D-AE5E-D16B31118C23}"/>
    <cellStyle name="Normal 5 2 2 4 2 3 2 4" xfId="28861" xr:uid="{97B9FC24-FD64-4B55-A976-3D68FE52FB7E}"/>
    <cellStyle name="Normal 5 2 2 4 2 3 2 5" xfId="11988" xr:uid="{6F30D0A3-D788-4AC9-808A-34B87DFD3105}"/>
    <cellStyle name="Normal 5 2 2 4 2 3 3" xfId="5622" xr:uid="{00000000-0005-0000-0000-0000EF170000}"/>
    <cellStyle name="Normal 5 2 2 4 2 3 3 2" xfId="22499" xr:uid="{882509EA-A746-4FA9-8576-76C9832F5D82}"/>
    <cellStyle name="Normal 5 2 2 4 2 3 3 3" xfId="30933" xr:uid="{17327CB6-5406-40E4-9650-CB1206347460}"/>
    <cellStyle name="Normal 5 2 2 4 2 3 3 4" xfId="14061" xr:uid="{924D8C59-A587-4100-9CC2-A92B6201A9F7}"/>
    <cellStyle name="Normal 5 2 2 4 2 3 4" xfId="18281" xr:uid="{35210F1A-823F-40F4-A31A-9501A59523EB}"/>
    <cellStyle name="Normal 5 2 2 4 2 3 5" xfId="26716" xr:uid="{AE1C0020-8104-4B30-8CA2-6824C69B4D84}"/>
    <cellStyle name="Normal 5 2 2 4 2 3 6" xfId="9843" xr:uid="{D1616341-FC7A-43E2-8616-0662D90D298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25057" xr:uid="{8536D737-792B-4745-B171-D4C0D14DF5C8}"/>
    <cellStyle name="Normal 5 2 2 4 2 4 2 2 3" xfId="33491" xr:uid="{F48E629B-8B0F-45B1-BA96-FEF7146D5F6D}"/>
    <cellStyle name="Normal 5 2 2 4 2 4 2 2 4" xfId="16619" xr:uid="{25F70BFF-F3AD-4A50-8445-56559B992141}"/>
    <cellStyle name="Normal 5 2 2 4 2 4 2 3" xfId="20839" xr:uid="{B56526FA-AB36-4E17-9663-7ED89E849276}"/>
    <cellStyle name="Normal 5 2 2 4 2 4 2 4" xfId="29274" xr:uid="{CCFC0740-88D7-495A-92DB-90A49890E56D}"/>
    <cellStyle name="Normal 5 2 2 4 2 4 2 5" xfId="12401" xr:uid="{053544A1-283C-46E8-A4BD-9FDD28D6958C}"/>
    <cellStyle name="Normal 5 2 2 4 2 4 3" xfId="6035" xr:uid="{00000000-0005-0000-0000-0000F3170000}"/>
    <cellStyle name="Normal 5 2 2 4 2 4 3 2" xfId="22912" xr:uid="{C8D79B98-9E78-4860-97E2-1E938FFCAEDD}"/>
    <cellStyle name="Normal 5 2 2 4 2 4 3 3" xfId="31346" xr:uid="{ABB7B772-680B-4ED5-B019-1877723B4639}"/>
    <cellStyle name="Normal 5 2 2 4 2 4 3 4" xfId="14474" xr:uid="{35099D7A-9CFA-4520-B0E0-D9B8D7F37995}"/>
    <cellStyle name="Normal 5 2 2 4 2 4 4" xfId="18694" xr:uid="{4F82050A-EEF4-4045-A245-E5D36C940A27}"/>
    <cellStyle name="Normal 5 2 2 4 2 4 5" xfId="27129" xr:uid="{B874F9B1-F0A6-4893-ADB8-43D90EAB17F8}"/>
    <cellStyle name="Normal 5 2 2 4 2 4 6" xfId="10256" xr:uid="{C478EB15-A358-47A7-BB4C-B36936E2CAC8}"/>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25470" xr:uid="{72D1BA8B-705D-4257-B04A-CEC8668AECDF}"/>
    <cellStyle name="Normal 5 2 2 4 2 5 2 2 3" xfId="33904" xr:uid="{48C93C96-045A-4132-BF58-EF8C4B84CB27}"/>
    <cellStyle name="Normal 5 2 2 4 2 5 2 2 4" xfId="17032" xr:uid="{9D9CBCB4-8306-4E6D-B3F5-73F2A82A2E67}"/>
    <cellStyle name="Normal 5 2 2 4 2 5 2 3" xfId="21252" xr:uid="{6AD5AF10-AC2D-491C-BCC7-B0DC46E92B0E}"/>
    <cellStyle name="Normal 5 2 2 4 2 5 2 4" xfId="29687" xr:uid="{0076BE35-F47F-410A-B3F9-1FF968F46E9F}"/>
    <cellStyle name="Normal 5 2 2 4 2 5 2 5" xfId="12814" xr:uid="{8EF3A31E-5FC1-4268-AD5C-FD165F920211}"/>
    <cellStyle name="Normal 5 2 2 4 2 5 3" xfId="6448" xr:uid="{00000000-0005-0000-0000-0000F7170000}"/>
    <cellStyle name="Normal 5 2 2 4 2 5 3 2" xfId="23325" xr:uid="{4B9F74A8-D9F3-445D-A1DF-2018D377C75E}"/>
    <cellStyle name="Normal 5 2 2 4 2 5 3 3" xfId="31759" xr:uid="{B5549408-A288-4DFD-99BF-825284ED1102}"/>
    <cellStyle name="Normal 5 2 2 4 2 5 3 4" xfId="14887" xr:uid="{81AEF7FD-D946-46DB-9132-AA6B90160E1C}"/>
    <cellStyle name="Normal 5 2 2 4 2 5 4" xfId="19107" xr:uid="{CC748663-8C52-40AF-8BD6-254E9DBA8800}"/>
    <cellStyle name="Normal 5 2 2 4 2 5 5" xfId="27542" xr:uid="{07CE6FD7-4EA2-4782-A4CC-B6BD4263BBEF}"/>
    <cellStyle name="Normal 5 2 2 4 2 5 6" xfId="10669" xr:uid="{4EE8D84D-F55A-450C-AE71-BB0AEEE75F61}"/>
    <cellStyle name="Normal 5 2 2 4 2 6" xfId="2577" xr:uid="{00000000-0005-0000-0000-0000F8170000}"/>
    <cellStyle name="Normal 5 2 2 4 2 6 2" xfId="6861" xr:uid="{00000000-0005-0000-0000-0000F9170000}"/>
    <cellStyle name="Normal 5 2 2 4 2 6 2 2" xfId="23738" xr:uid="{D49471EF-4ED6-4183-B5A7-5FE82EBA64F9}"/>
    <cellStyle name="Normal 5 2 2 4 2 6 2 3" xfId="32172" xr:uid="{907DEBE4-05AF-42E4-90AF-12DECC9E61F0}"/>
    <cellStyle name="Normal 5 2 2 4 2 6 2 4" xfId="15300" xr:uid="{8CA66044-F906-4486-9708-F4D63A625348}"/>
    <cellStyle name="Normal 5 2 2 4 2 6 3" xfId="19520" xr:uid="{218E8918-91A9-4934-949E-AD6E25079499}"/>
    <cellStyle name="Normal 5 2 2 4 2 6 4" xfId="27955" xr:uid="{F8B9ACA6-6AF9-456B-9776-76353176641D}"/>
    <cellStyle name="Normal 5 2 2 4 2 6 5" xfId="11082" xr:uid="{578A5C66-6445-4CD5-B4E4-5B8B75D4CA23}"/>
    <cellStyle name="Normal 5 2 2 4 2 7" xfId="4796" xr:uid="{00000000-0005-0000-0000-0000FA170000}"/>
    <cellStyle name="Normal 5 2 2 4 2 7 2" xfId="21673" xr:uid="{069DC9F0-D67E-4CD2-966F-3945DEC25B7A}"/>
    <cellStyle name="Normal 5 2 2 4 2 7 3" xfId="30107" xr:uid="{12FDF3EB-15EF-4A33-8F95-19C75F9DCA03}"/>
    <cellStyle name="Normal 5 2 2 4 2 7 4" xfId="13235" xr:uid="{8D17229B-1226-4629-956C-B9C063FBC216}"/>
    <cellStyle name="Normal 5 2 2 4 2 8" xfId="17455" xr:uid="{F53CB782-6001-4FC3-A758-CEE9D68494BB}"/>
    <cellStyle name="Normal 5 2 2 4 2 9" xfId="25890" xr:uid="{ED3D79F9-1AF7-41BA-BC13-E2F5FED8081A}"/>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24230" xr:uid="{90F3906D-E492-47C0-B6CE-254BF4BB1B8E}"/>
    <cellStyle name="Normal 5 2 2 4 3 2 2 3" xfId="32664" xr:uid="{79BFF6AD-C17B-4D43-A14D-F709DAD1C3FD}"/>
    <cellStyle name="Normal 5 2 2 4 3 2 2 4" xfId="15792" xr:uid="{723E5041-7F06-4A57-A243-756A82825705}"/>
    <cellStyle name="Normal 5 2 2 4 3 2 3" xfId="20012" xr:uid="{BB88A0A0-27B0-47E1-8EF3-29BA4422F2B0}"/>
    <cellStyle name="Normal 5 2 2 4 3 2 4" xfId="28447" xr:uid="{939E4EB6-E5EA-4934-90CF-163B51D9F471}"/>
    <cellStyle name="Normal 5 2 2 4 3 2 5" xfId="11574" xr:uid="{321D7EF7-8CF0-4FC5-9AF4-9DA0216BA892}"/>
    <cellStyle name="Normal 5 2 2 4 3 3" xfId="5208" xr:uid="{00000000-0005-0000-0000-0000FE170000}"/>
    <cellStyle name="Normal 5 2 2 4 3 3 2" xfId="22085" xr:uid="{53A9A3D1-31A1-44F6-95F1-EDE177AB4D39}"/>
    <cellStyle name="Normal 5 2 2 4 3 3 3" xfId="30519" xr:uid="{C5A4FFBB-CDA0-4ACF-BCEF-2E6E5A4D3DAC}"/>
    <cellStyle name="Normal 5 2 2 4 3 3 4" xfId="13647" xr:uid="{AE4D75F9-2A6D-4A81-BC68-9838FCD6BF0C}"/>
    <cellStyle name="Normal 5 2 2 4 3 4" xfId="17867" xr:uid="{72F56377-0F76-47F5-9BAC-1153EA4077BB}"/>
    <cellStyle name="Normal 5 2 2 4 3 5" xfId="26302" xr:uid="{62E18EE7-A19F-42C9-8CEE-DCE58436A940}"/>
    <cellStyle name="Normal 5 2 2 4 3 6" xfId="9429" xr:uid="{948220CF-CD93-4D29-B65B-1A539B7A4F38}"/>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24643" xr:uid="{2182A917-28E2-4CE9-8F48-6ABD161F3AB8}"/>
    <cellStyle name="Normal 5 2 2 4 4 2 2 3" xfId="33077" xr:uid="{806117B5-7C20-4EAD-A60C-4B8E1C1FA282}"/>
    <cellStyle name="Normal 5 2 2 4 4 2 2 4" xfId="16205" xr:uid="{92042663-68EB-4AA0-8919-66DC2E54A09D}"/>
    <cellStyle name="Normal 5 2 2 4 4 2 3" xfId="20425" xr:uid="{E2A4B5B6-7057-455C-97CD-F8EAB33EB667}"/>
    <cellStyle name="Normal 5 2 2 4 4 2 4" xfId="28860" xr:uid="{5424F8AA-C392-4A69-AFBA-48A954EBC32A}"/>
    <cellStyle name="Normal 5 2 2 4 4 2 5" xfId="11987" xr:uid="{223FDEAB-398C-4004-8EB7-463EF6E1FDD7}"/>
    <cellStyle name="Normal 5 2 2 4 4 3" xfId="5621" xr:uid="{00000000-0005-0000-0000-000002180000}"/>
    <cellStyle name="Normal 5 2 2 4 4 3 2" xfId="22498" xr:uid="{C4625BC8-80B7-4B55-8B64-3AA9A071DD66}"/>
    <cellStyle name="Normal 5 2 2 4 4 3 3" xfId="30932" xr:uid="{A536BFEF-C68A-4669-A754-E471AF6B7DB1}"/>
    <cellStyle name="Normal 5 2 2 4 4 3 4" xfId="14060" xr:uid="{091025C1-40FE-4EC6-8AAE-EB447D2CE855}"/>
    <cellStyle name="Normal 5 2 2 4 4 4" xfId="18280" xr:uid="{D1F270A2-C719-4D0F-83F2-55C30ED0887D}"/>
    <cellStyle name="Normal 5 2 2 4 4 5" xfId="26715" xr:uid="{E097C00B-78FE-405B-AEBB-2370EEDE3A60}"/>
    <cellStyle name="Normal 5 2 2 4 4 6" xfId="9842" xr:uid="{EC306F37-6CE5-4EDC-9DEB-1320819A2437}"/>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25056" xr:uid="{9EED2F26-F688-4C55-8BCD-24B3D2508634}"/>
    <cellStyle name="Normal 5 2 2 4 5 2 2 3" xfId="33490" xr:uid="{E87F5720-B04F-4F8A-B615-221A23C78EF8}"/>
    <cellStyle name="Normal 5 2 2 4 5 2 2 4" xfId="16618" xr:uid="{79B7530B-962E-43AB-84AF-34DFE0336110}"/>
    <cellStyle name="Normal 5 2 2 4 5 2 3" xfId="20838" xr:uid="{2C8CE1E4-99B9-4532-B814-FE238786E664}"/>
    <cellStyle name="Normal 5 2 2 4 5 2 4" xfId="29273" xr:uid="{3BA6A0F3-9A7B-44D1-A7F9-C1AAFE25CBB0}"/>
    <cellStyle name="Normal 5 2 2 4 5 2 5" xfId="12400" xr:uid="{39FD5403-237A-45A3-8DC8-61611A77B6E0}"/>
    <cellStyle name="Normal 5 2 2 4 5 3" xfId="6034" xr:uid="{00000000-0005-0000-0000-000006180000}"/>
    <cellStyle name="Normal 5 2 2 4 5 3 2" xfId="22911" xr:uid="{9BCF0670-C3B0-4213-B982-F7D29D3CC61B}"/>
    <cellStyle name="Normal 5 2 2 4 5 3 3" xfId="31345" xr:uid="{2698ADA1-49BD-468D-92BA-7FA864C5AE15}"/>
    <cellStyle name="Normal 5 2 2 4 5 3 4" xfId="14473" xr:uid="{EAF11B4D-EED3-4FC9-83D4-9D478963ED69}"/>
    <cellStyle name="Normal 5 2 2 4 5 4" xfId="18693" xr:uid="{D1EBE803-3AD8-4257-AAB2-1A7C7C60704E}"/>
    <cellStyle name="Normal 5 2 2 4 5 5" xfId="27128" xr:uid="{2FFC57B1-7C2F-49A3-A9B4-B9BB0ACC4B7A}"/>
    <cellStyle name="Normal 5 2 2 4 5 6" xfId="10255" xr:uid="{49157D0D-2E59-4067-8CDB-2C0E1EE30677}"/>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25469" xr:uid="{EF1C26FA-CCC7-4101-BB90-577836290422}"/>
    <cellStyle name="Normal 5 2 2 4 6 2 2 3" xfId="33903" xr:uid="{A16DFB48-E357-4557-B893-73AF68314407}"/>
    <cellStyle name="Normal 5 2 2 4 6 2 2 4" xfId="17031" xr:uid="{45D8F959-90A6-4517-A654-5500E9406462}"/>
    <cellStyle name="Normal 5 2 2 4 6 2 3" xfId="21251" xr:uid="{576ADF9C-F692-44DB-8F10-C870400E3C94}"/>
    <cellStyle name="Normal 5 2 2 4 6 2 4" xfId="29686" xr:uid="{4777CE00-7C80-4E6B-8E4E-DA7206EB1E57}"/>
    <cellStyle name="Normal 5 2 2 4 6 2 5" xfId="12813" xr:uid="{C3C2C51B-7E0E-46A4-A206-4B961FAC1118}"/>
    <cellStyle name="Normal 5 2 2 4 6 3" xfId="6447" xr:uid="{00000000-0005-0000-0000-00000A180000}"/>
    <cellStyle name="Normal 5 2 2 4 6 3 2" xfId="23324" xr:uid="{A64E4AF8-D776-42B9-954C-0FEBA18C75BC}"/>
    <cellStyle name="Normal 5 2 2 4 6 3 3" xfId="31758" xr:uid="{8F0E34CF-3036-44CB-AA1B-6B5FDCF4E8C3}"/>
    <cellStyle name="Normal 5 2 2 4 6 3 4" xfId="14886" xr:uid="{84B80DB6-66BF-4CEA-A61D-1B27815A4733}"/>
    <cellStyle name="Normal 5 2 2 4 6 4" xfId="19106" xr:uid="{E5C28D38-19C4-44A0-84B2-BA80B4300499}"/>
    <cellStyle name="Normal 5 2 2 4 6 5" xfId="27541" xr:uid="{99114045-F26A-457F-80D9-3EE1E60168E3}"/>
    <cellStyle name="Normal 5 2 2 4 6 6" xfId="10668" xr:uid="{77AB817B-FDFD-4F7B-8D9F-18365405D8C0}"/>
    <cellStyle name="Normal 5 2 2 4 7" xfId="2576" xr:uid="{00000000-0005-0000-0000-00000B180000}"/>
    <cellStyle name="Normal 5 2 2 4 7 2" xfId="6860" xr:uid="{00000000-0005-0000-0000-00000C180000}"/>
    <cellStyle name="Normal 5 2 2 4 7 2 2" xfId="23737" xr:uid="{37A974EF-7859-42EC-8552-3CB76118D926}"/>
    <cellStyle name="Normal 5 2 2 4 7 2 3" xfId="32171" xr:uid="{0A4147A1-3583-4CD6-92F1-A26F7318F52B}"/>
    <cellStyle name="Normal 5 2 2 4 7 2 4" xfId="15299" xr:uid="{E67FCD6F-1A83-444F-BEA2-2D20FAE6505E}"/>
    <cellStyle name="Normal 5 2 2 4 7 3" xfId="19519" xr:uid="{757C51C9-9139-4867-9319-659832E6FBBB}"/>
    <cellStyle name="Normal 5 2 2 4 7 4" xfId="27954" xr:uid="{F158208A-4EFF-477F-82CE-FAC92C30112B}"/>
    <cellStyle name="Normal 5 2 2 4 7 5" xfId="11081" xr:uid="{2FBBC8CE-3D1E-4030-BF5A-AC976941A499}"/>
    <cellStyle name="Normal 5 2 2 4 8" xfId="4795" xr:uid="{00000000-0005-0000-0000-00000D180000}"/>
    <cellStyle name="Normal 5 2 2 4 8 2" xfId="21672" xr:uid="{DFBCB9AF-9F5D-4A98-BF10-44DD62A45F83}"/>
    <cellStyle name="Normal 5 2 2 4 8 3" xfId="30106" xr:uid="{B8E136D6-B871-49A3-B6F8-6B684AF93436}"/>
    <cellStyle name="Normal 5 2 2 4 8 4" xfId="13234" xr:uid="{FA328E06-7BE8-4077-A8ED-3D452A49D519}"/>
    <cellStyle name="Normal 5 2 2 4 9" xfId="17454" xr:uid="{6447123B-B59B-4D5E-AE00-6BA9A5C7CEB3}"/>
    <cellStyle name="Normal 5 2 2 5" xfId="423" xr:uid="{00000000-0005-0000-0000-00000E180000}"/>
    <cellStyle name="Normal 5 2 2 5 10" xfId="9018" xr:uid="{B5EDABFC-EDAB-4BAD-A420-51334442D0C6}"/>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24232" xr:uid="{11453D4A-0AD5-4520-9A28-E22E34997305}"/>
    <cellStyle name="Normal 5 2 2 5 2 2 2 3" xfId="32666" xr:uid="{B6E1F440-3F3C-4C6A-BC2D-FE0F4EEACDD0}"/>
    <cellStyle name="Normal 5 2 2 5 2 2 2 4" xfId="15794" xr:uid="{38C0F3BF-03B4-43D7-811F-884E22290576}"/>
    <cellStyle name="Normal 5 2 2 5 2 2 3" xfId="20014" xr:uid="{C5C997F8-0B64-4EE8-99DB-A664016CB3C2}"/>
    <cellStyle name="Normal 5 2 2 5 2 2 4" xfId="28449" xr:uid="{7F2D4054-7BFC-4866-A5EF-AF0CD0BEB7F6}"/>
    <cellStyle name="Normal 5 2 2 5 2 2 5" xfId="11576" xr:uid="{60119A4A-620D-4B0C-BBDD-D53E0AB6E2F6}"/>
    <cellStyle name="Normal 5 2 2 5 2 3" xfId="5210" xr:uid="{00000000-0005-0000-0000-000012180000}"/>
    <cellStyle name="Normal 5 2 2 5 2 3 2" xfId="22087" xr:uid="{28A7C743-C53F-4933-BADC-F1F1E532F710}"/>
    <cellStyle name="Normal 5 2 2 5 2 3 3" xfId="30521" xr:uid="{325092DB-A842-4E47-8BC8-BAE59CB6AF68}"/>
    <cellStyle name="Normal 5 2 2 5 2 3 4" xfId="13649" xr:uid="{F9EBE759-FF79-48AD-B5F4-A67BDC063D2B}"/>
    <cellStyle name="Normal 5 2 2 5 2 4" xfId="17869" xr:uid="{44FB43DF-06EE-4690-9F95-58BD34098BF4}"/>
    <cellStyle name="Normal 5 2 2 5 2 5" xfId="26304" xr:uid="{FA2F5FF4-7A19-4703-A2B7-550960945B05}"/>
    <cellStyle name="Normal 5 2 2 5 2 6" xfId="9431" xr:uid="{4990A035-32AB-4BD6-B058-27FF779BF869}"/>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24645" xr:uid="{08EA2E88-A3C3-4EA9-98EC-100A51E7BAB5}"/>
    <cellStyle name="Normal 5 2 2 5 3 2 2 3" xfId="33079" xr:uid="{F842AC00-0279-4BDB-AABB-12932AF61AE4}"/>
    <cellStyle name="Normal 5 2 2 5 3 2 2 4" xfId="16207" xr:uid="{A0B57238-D18E-4B8E-BDBD-5D1014A82948}"/>
    <cellStyle name="Normal 5 2 2 5 3 2 3" xfId="20427" xr:uid="{74766D41-1CBE-4FFF-9279-18ECD549A179}"/>
    <cellStyle name="Normal 5 2 2 5 3 2 4" xfId="28862" xr:uid="{6D9DC7CB-DDA1-4180-B314-24A6CCE30502}"/>
    <cellStyle name="Normal 5 2 2 5 3 2 5" xfId="11989" xr:uid="{AAF0C9CB-8C77-49B4-A397-06D15FB55271}"/>
    <cellStyle name="Normal 5 2 2 5 3 3" xfId="5623" xr:uid="{00000000-0005-0000-0000-000016180000}"/>
    <cellStyle name="Normal 5 2 2 5 3 3 2" xfId="22500" xr:uid="{613E211D-7A13-4142-A9F1-E85392BF546B}"/>
    <cellStyle name="Normal 5 2 2 5 3 3 3" xfId="30934" xr:uid="{C7E88AFC-A01D-4C28-AC87-51C9E48A8FBD}"/>
    <cellStyle name="Normal 5 2 2 5 3 3 4" xfId="14062" xr:uid="{598A9074-BDAF-49B9-9E50-D0314B0492D6}"/>
    <cellStyle name="Normal 5 2 2 5 3 4" xfId="18282" xr:uid="{24F06E7C-8B2E-46BD-A100-6345D0B99CDC}"/>
    <cellStyle name="Normal 5 2 2 5 3 5" xfId="26717" xr:uid="{B120DF6A-E794-4458-8221-C5A2E56AB96A}"/>
    <cellStyle name="Normal 5 2 2 5 3 6" xfId="9844" xr:uid="{0770B092-54F8-41B1-B939-371BD4C180DA}"/>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25058" xr:uid="{632EED26-2D61-48A7-BFA6-5858F7CB7977}"/>
    <cellStyle name="Normal 5 2 2 5 4 2 2 3" xfId="33492" xr:uid="{C87887E5-20C2-4D33-A3B0-F2354FE9D10E}"/>
    <cellStyle name="Normal 5 2 2 5 4 2 2 4" xfId="16620" xr:uid="{B1FD4531-112B-49C8-BA54-14F73B45032E}"/>
    <cellStyle name="Normal 5 2 2 5 4 2 3" xfId="20840" xr:uid="{D4D25387-3F97-4C76-9DF2-33A90B2617C7}"/>
    <cellStyle name="Normal 5 2 2 5 4 2 4" xfId="29275" xr:uid="{6A6A6249-45F3-48E0-B453-8E775A5F0CED}"/>
    <cellStyle name="Normal 5 2 2 5 4 2 5" xfId="12402" xr:uid="{0C08A2FF-6C76-4836-BBAC-056B88BCB394}"/>
    <cellStyle name="Normal 5 2 2 5 4 3" xfId="6036" xr:uid="{00000000-0005-0000-0000-00001A180000}"/>
    <cellStyle name="Normal 5 2 2 5 4 3 2" xfId="22913" xr:uid="{7CB7A376-9FD6-4EA5-9384-5BDE4E4EF130}"/>
    <cellStyle name="Normal 5 2 2 5 4 3 3" xfId="31347" xr:uid="{A13CE83B-03AD-4F02-A950-4D7D52FACA5F}"/>
    <cellStyle name="Normal 5 2 2 5 4 3 4" xfId="14475" xr:uid="{914965E6-0477-448A-8D5D-E51AA5C2CC06}"/>
    <cellStyle name="Normal 5 2 2 5 4 4" xfId="18695" xr:uid="{A182AEBD-6F8C-4B67-9F05-2CAFA126FD67}"/>
    <cellStyle name="Normal 5 2 2 5 4 5" xfId="27130" xr:uid="{7BDF6F56-37BF-49CE-BE16-859345FAFB75}"/>
    <cellStyle name="Normal 5 2 2 5 4 6" xfId="10257" xr:uid="{FCDB5D81-7D86-4515-AEBD-780A8830E7DF}"/>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25471" xr:uid="{1704C917-E040-4877-AB40-A9D988522684}"/>
    <cellStyle name="Normal 5 2 2 5 5 2 2 3" xfId="33905" xr:uid="{7F342868-116A-4E37-AC3B-19531300533F}"/>
    <cellStyle name="Normal 5 2 2 5 5 2 2 4" xfId="17033" xr:uid="{EF83BE5E-6DC7-4124-B4C9-52B51571BC25}"/>
    <cellStyle name="Normal 5 2 2 5 5 2 3" xfId="21253" xr:uid="{235361A3-2302-4EA3-9FA0-E283C6B8AE7F}"/>
    <cellStyle name="Normal 5 2 2 5 5 2 4" xfId="29688" xr:uid="{F23DFE38-073B-4A7E-B505-AFA6B0946354}"/>
    <cellStyle name="Normal 5 2 2 5 5 2 5" xfId="12815" xr:uid="{4A6887E5-C8F5-450A-9152-3C40579E0625}"/>
    <cellStyle name="Normal 5 2 2 5 5 3" xfId="6449" xr:uid="{00000000-0005-0000-0000-00001E180000}"/>
    <cellStyle name="Normal 5 2 2 5 5 3 2" xfId="23326" xr:uid="{C3755657-FE58-42A3-ADB2-9ED4D82DF66D}"/>
    <cellStyle name="Normal 5 2 2 5 5 3 3" xfId="31760" xr:uid="{21F321B4-62F2-4342-ACC5-6D62D67C3BC3}"/>
    <cellStyle name="Normal 5 2 2 5 5 3 4" xfId="14888" xr:uid="{2B8E924D-1981-481D-B58C-41D3B6DC922C}"/>
    <cellStyle name="Normal 5 2 2 5 5 4" xfId="19108" xr:uid="{23930E4F-ECF2-4F89-8685-D3CFC56E1912}"/>
    <cellStyle name="Normal 5 2 2 5 5 5" xfId="27543" xr:uid="{365C7432-DDC9-422D-AF92-FA933BC9F28D}"/>
    <cellStyle name="Normal 5 2 2 5 5 6" xfId="10670" xr:uid="{4CA9FCF4-DC80-4C7A-9739-275245D33684}"/>
    <cellStyle name="Normal 5 2 2 5 6" xfId="2578" xr:uid="{00000000-0005-0000-0000-00001F180000}"/>
    <cellStyle name="Normal 5 2 2 5 6 2" xfId="6862" xr:uid="{00000000-0005-0000-0000-000020180000}"/>
    <cellStyle name="Normal 5 2 2 5 6 2 2" xfId="23739" xr:uid="{BD465AE2-9FF2-4933-904D-81CB9D6A4065}"/>
    <cellStyle name="Normal 5 2 2 5 6 2 3" xfId="32173" xr:uid="{9559BEB1-E041-460D-868C-C14261EB3F86}"/>
    <cellStyle name="Normal 5 2 2 5 6 2 4" xfId="15301" xr:uid="{9A4BB7FA-E35B-4D9F-928A-0C0CE3F91F45}"/>
    <cellStyle name="Normal 5 2 2 5 6 3" xfId="19521" xr:uid="{697F4C2C-B34E-4ACE-AE98-776BDE60F415}"/>
    <cellStyle name="Normal 5 2 2 5 6 4" xfId="27956" xr:uid="{8016011E-8605-4AD3-8520-577FD4BB0E8E}"/>
    <cellStyle name="Normal 5 2 2 5 6 5" xfId="11083" xr:uid="{C3F7F4A7-32C1-4F02-8B96-DF34C3831B85}"/>
    <cellStyle name="Normal 5 2 2 5 7" xfId="4797" xr:uid="{00000000-0005-0000-0000-000021180000}"/>
    <cellStyle name="Normal 5 2 2 5 7 2" xfId="21674" xr:uid="{01E9A71B-91EF-44A3-BCF4-9AA1A1FAE26B}"/>
    <cellStyle name="Normal 5 2 2 5 7 3" xfId="30108" xr:uid="{D6BDD173-26F3-4610-B5CB-7D80EF6155E3}"/>
    <cellStyle name="Normal 5 2 2 5 7 4" xfId="13236" xr:uid="{33BC7783-0827-4380-992D-F9375F02DE8A}"/>
    <cellStyle name="Normal 5 2 2 5 8" xfId="17456" xr:uid="{75206EEA-383C-48D6-90A6-64AEC7F41644}"/>
    <cellStyle name="Normal 5 2 2 5 9" xfId="25891" xr:uid="{3059AD3B-CBC2-440D-B19A-7BF55F294795}"/>
    <cellStyle name="Normal 5 2 2 6" xfId="882" xr:uid="{00000000-0005-0000-0000-000022180000}"/>
    <cellStyle name="Normal 5 2 2 6 2" xfId="3117" xr:uid="{00000000-0005-0000-0000-000023180000}"/>
    <cellStyle name="Normal 5 2 2 6 2 2" xfId="7340" xr:uid="{00000000-0005-0000-0000-000024180000}"/>
    <cellStyle name="Normal 5 2 2 6 2 2 2" xfId="24217" xr:uid="{94C08EB9-BDE1-44DD-AFD1-72061058F33D}"/>
    <cellStyle name="Normal 5 2 2 6 2 2 3" xfId="32651" xr:uid="{6893C1E2-2B46-40E0-B2B5-F2FAA3F824DF}"/>
    <cellStyle name="Normal 5 2 2 6 2 2 4" xfId="15779" xr:uid="{5EB2B952-DA19-47D5-AC71-BA1769F81873}"/>
    <cellStyle name="Normal 5 2 2 6 2 3" xfId="19999" xr:uid="{E3F26560-61C9-4251-816B-B22E5F5AC204}"/>
    <cellStyle name="Normal 5 2 2 6 2 4" xfId="28434" xr:uid="{9C1A8F94-E8F7-4838-977A-5BC1D1A2D864}"/>
    <cellStyle name="Normal 5 2 2 6 2 5" xfId="11561" xr:uid="{6C300602-37D6-4833-B18D-3A71AEFDC486}"/>
    <cellStyle name="Normal 5 2 2 6 3" xfId="5195" xr:uid="{00000000-0005-0000-0000-000025180000}"/>
    <cellStyle name="Normal 5 2 2 6 3 2" xfId="22072" xr:uid="{964CFCA8-EDE6-4F7E-8DBE-535DE917E63B}"/>
    <cellStyle name="Normal 5 2 2 6 3 3" xfId="30506" xr:uid="{D5039323-1F5B-45B7-B16B-0CEA883EDAE3}"/>
    <cellStyle name="Normal 5 2 2 6 3 4" xfId="13634" xr:uid="{6FE5F998-4FD4-41E2-B1D5-23F07B824DD8}"/>
    <cellStyle name="Normal 5 2 2 6 4" xfId="17854" xr:uid="{F126F0AA-EF35-4E57-B16A-EAAE248891AF}"/>
    <cellStyle name="Normal 5 2 2 6 5" xfId="26289" xr:uid="{3A0F8759-DEF8-4218-9982-01DAA67FDACC}"/>
    <cellStyle name="Normal 5 2 2 6 6" xfId="9416" xr:uid="{4F42C0A2-A265-47D9-9D49-776F16D04CE8}"/>
    <cellStyle name="Normal 5 2 2 7" xfId="1300" xr:uid="{00000000-0005-0000-0000-000026180000}"/>
    <cellStyle name="Normal 5 2 2 7 2" xfId="3530" xr:uid="{00000000-0005-0000-0000-000027180000}"/>
    <cellStyle name="Normal 5 2 2 7 2 2" xfId="7753" xr:uid="{00000000-0005-0000-0000-000028180000}"/>
    <cellStyle name="Normal 5 2 2 7 2 2 2" xfId="24630" xr:uid="{8A9B4BB1-2AEB-4437-94AC-A8B660B98D67}"/>
    <cellStyle name="Normal 5 2 2 7 2 2 3" xfId="33064" xr:uid="{0FC08DD5-3A37-418D-8F88-7D8CC266A1A9}"/>
    <cellStyle name="Normal 5 2 2 7 2 2 4" xfId="16192" xr:uid="{B0FB9923-71FB-4D71-A669-C794A277775D}"/>
    <cellStyle name="Normal 5 2 2 7 2 3" xfId="20412" xr:uid="{2343946A-A0C5-4675-BCB0-045B0FBCB987}"/>
    <cellStyle name="Normal 5 2 2 7 2 4" xfId="28847" xr:uid="{358E8D86-5310-4B98-97D0-55BEE37F58EF}"/>
    <cellStyle name="Normal 5 2 2 7 2 5" xfId="11974" xr:uid="{0C4FE282-9D98-4046-AEE5-40D271F4439D}"/>
    <cellStyle name="Normal 5 2 2 7 3" xfId="5608" xr:uid="{00000000-0005-0000-0000-000029180000}"/>
    <cellStyle name="Normal 5 2 2 7 3 2" xfId="22485" xr:uid="{6AB650D4-E207-47E2-97E8-ADD1E06659FE}"/>
    <cellStyle name="Normal 5 2 2 7 3 3" xfId="30919" xr:uid="{D9187D29-8D4F-483A-A44F-0B0F563DBADD}"/>
    <cellStyle name="Normal 5 2 2 7 3 4" xfId="14047" xr:uid="{638AF1BD-BE11-4108-8A53-3A314994B301}"/>
    <cellStyle name="Normal 5 2 2 7 4" xfId="18267" xr:uid="{CBFA6C5D-17D0-4DB1-8407-49F532AE1DEB}"/>
    <cellStyle name="Normal 5 2 2 7 5" xfId="26702" xr:uid="{7217B2EF-0717-4153-A363-03FCFA346D12}"/>
    <cellStyle name="Normal 5 2 2 7 6" xfId="9829" xr:uid="{A62EC32B-1752-4224-A7DB-908FF8FA0149}"/>
    <cellStyle name="Normal 5 2 2 8" xfId="1713" xr:uid="{00000000-0005-0000-0000-00002A180000}"/>
    <cellStyle name="Normal 5 2 2 8 2" xfId="3943" xr:uid="{00000000-0005-0000-0000-00002B180000}"/>
    <cellStyle name="Normal 5 2 2 8 2 2" xfId="8166" xr:uid="{00000000-0005-0000-0000-00002C180000}"/>
    <cellStyle name="Normal 5 2 2 8 2 2 2" xfId="25043" xr:uid="{FA1D1CED-56B8-4FB7-A46A-74F94F943755}"/>
    <cellStyle name="Normal 5 2 2 8 2 2 3" xfId="33477" xr:uid="{D22C0211-381C-4DD5-9E3D-628C75E761F8}"/>
    <cellStyle name="Normal 5 2 2 8 2 2 4" xfId="16605" xr:uid="{53DB6D68-E7B5-45E0-9A31-D3CD5630901B}"/>
    <cellStyle name="Normal 5 2 2 8 2 3" xfId="20825" xr:uid="{BBD43CA0-37F4-4F19-A0F7-D20AD95253A1}"/>
    <cellStyle name="Normal 5 2 2 8 2 4" xfId="29260" xr:uid="{6504F693-5C34-485B-8908-08189BD2BF0B}"/>
    <cellStyle name="Normal 5 2 2 8 2 5" xfId="12387" xr:uid="{6AC8B4C0-BBC3-4C43-87EE-568DD3F36753}"/>
    <cellStyle name="Normal 5 2 2 8 3" xfId="6021" xr:uid="{00000000-0005-0000-0000-00002D180000}"/>
    <cellStyle name="Normal 5 2 2 8 3 2" xfId="22898" xr:uid="{062841EF-E5B8-48B0-AC9C-9FAF3E7EDB91}"/>
    <cellStyle name="Normal 5 2 2 8 3 3" xfId="31332" xr:uid="{F6897365-1B9D-4E7E-86FF-E372CD7CA31B}"/>
    <cellStyle name="Normal 5 2 2 8 3 4" xfId="14460" xr:uid="{99F7481B-0F0A-4DAD-8FC8-C7FA532A01F6}"/>
    <cellStyle name="Normal 5 2 2 8 4" xfId="18680" xr:uid="{6D9A2C22-9FD0-4867-BBBD-645C911DC556}"/>
    <cellStyle name="Normal 5 2 2 8 5" xfId="27115" xr:uid="{3C0BA285-F13E-49F9-8BDB-06FB07688713}"/>
    <cellStyle name="Normal 5 2 2 8 6" xfId="10242" xr:uid="{0A312FC2-79B4-4D72-8303-F933BDCA623C}"/>
    <cellStyle name="Normal 5 2 2 9" xfId="2127" xr:uid="{00000000-0005-0000-0000-00002E180000}"/>
    <cellStyle name="Normal 5 2 2 9 2" xfId="4356" xr:uid="{00000000-0005-0000-0000-00002F180000}"/>
    <cellStyle name="Normal 5 2 2 9 2 2" xfId="8579" xr:uid="{00000000-0005-0000-0000-000030180000}"/>
    <cellStyle name="Normal 5 2 2 9 2 2 2" xfId="25456" xr:uid="{198E8C5F-6C90-40EF-AB99-FF507139A08E}"/>
    <cellStyle name="Normal 5 2 2 9 2 2 3" xfId="33890" xr:uid="{C086AAFB-7175-49D0-94C7-4896418C4F2F}"/>
    <cellStyle name="Normal 5 2 2 9 2 2 4" xfId="17018" xr:uid="{9BEB9928-4714-45C7-9A33-2B6D2DBEB92D}"/>
    <cellStyle name="Normal 5 2 2 9 2 3" xfId="21238" xr:uid="{A88C7814-D8EA-4A83-9333-A79785F424D3}"/>
    <cellStyle name="Normal 5 2 2 9 2 4" xfId="29673" xr:uid="{31F5AB86-F046-402F-8AE1-3CAB16A2E8DD}"/>
    <cellStyle name="Normal 5 2 2 9 2 5" xfId="12800" xr:uid="{DD6D641D-8F2D-4E64-9262-8258134AE292}"/>
    <cellStyle name="Normal 5 2 2 9 3" xfId="6434" xr:uid="{00000000-0005-0000-0000-000031180000}"/>
    <cellStyle name="Normal 5 2 2 9 3 2" xfId="23311" xr:uid="{0EB6F511-061A-4618-BFF0-63C16889CDEE}"/>
    <cellStyle name="Normal 5 2 2 9 3 3" xfId="31745" xr:uid="{C0A8B0EB-6386-4333-BE5B-ECFDD4749F10}"/>
    <cellStyle name="Normal 5 2 2 9 3 4" xfId="14873" xr:uid="{7291A338-00FB-4CEF-B9C5-5A83DA7E36E9}"/>
    <cellStyle name="Normal 5 2 2 9 4" xfId="19093" xr:uid="{3951ABE9-65E9-4A46-B54F-6487B5721D5D}"/>
    <cellStyle name="Normal 5 2 2 9 5" xfId="27528" xr:uid="{D4BCF708-E575-48BD-A15C-781130E1BE6E}"/>
    <cellStyle name="Normal 5 2 2 9 6" xfId="10655" xr:uid="{206770BC-DE8C-426D-BC0D-BC9F451A99E5}"/>
    <cellStyle name="Normal 5 2 3" xfId="424" xr:uid="{00000000-0005-0000-0000-000032180000}"/>
    <cellStyle name="Normal 5 2 3 10" xfId="4798" xr:uid="{00000000-0005-0000-0000-000033180000}"/>
    <cellStyle name="Normal 5 2 3 10 2" xfId="21675" xr:uid="{747D9EEA-2A9F-4662-BA08-3B96A584FAB8}"/>
    <cellStyle name="Normal 5 2 3 10 3" xfId="30109" xr:uid="{0638C378-0DD6-4D12-BBE4-FF9DDDED9AE9}"/>
    <cellStyle name="Normal 5 2 3 10 4" xfId="13237" xr:uid="{4D445811-CA27-4CAC-8149-B0A1BB5E6E01}"/>
    <cellStyle name="Normal 5 2 3 11" xfId="17457" xr:uid="{0B10EF62-5EF3-45DD-888C-54CD3C65BF2A}"/>
    <cellStyle name="Normal 5 2 3 12" xfId="25892" xr:uid="{EF81E51F-8212-4B40-A2C8-349B3B9E8B14}"/>
    <cellStyle name="Normal 5 2 3 13" xfId="9019" xr:uid="{9C4CDEA7-9314-4E55-A7AD-FFD518B601AB}"/>
    <cellStyle name="Normal 5 2 3 2" xfId="425" xr:uid="{00000000-0005-0000-0000-000034180000}"/>
    <cellStyle name="Normal 5 2 3 2 10" xfId="17458" xr:uid="{44E7C666-B438-42A4-BE53-95F07047A6C4}"/>
    <cellStyle name="Normal 5 2 3 2 11" xfId="25893" xr:uid="{3F642310-FF2B-44BB-8E73-D00291179AB4}"/>
    <cellStyle name="Normal 5 2 3 2 12" xfId="9020" xr:uid="{8E184F36-D8C3-4403-BAB6-C608FFEF29D0}"/>
    <cellStyle name="Normal 5 2 3 2 2" xfId="426" xr:uid="{00000000-0005-0000-0000-000035180000}"/>
    <cellStyle name="Normal 5 2 3 2 2 10" xfId="25894" xr:uid="{70B04BAC-D5A1-4560-A8DC-801299585ADE}"/>
    <cellStyle name="Normal 5 2 3 2 2 11" xfId="9021" xr:uid="{A624CA2F-887E-4972-8730-2D9F083F6A91}"/>
    <cellStyle name="Normal 5 2 3 2 2 2" xfId="427" xr:uid="{00000000-0005-0000-0000-000036180000}"/>
    <cellStyle name="Normal 5 2 3 2 2 2 10" xfId="9022" xr:uid="{FFCA90C4-A9F0-4120-8770-C1FF9E0670F8}"/>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24236" xr:uid="{3F2ED5DA-BBDE-4CF6-BCFA-BA03580C0ED5}"/>
    <cellStyle name="Normal 5 2 3 2 2 2 2 2 2 3" xfId="32670" xr:uid="{A1E0194F-3A2A-41F3-B057-86E18BC40E3E}"/>
    <cellStyle name="Normal 5 2 3 2 2 2 2 2 2 4" xfId="15798" xr:uid="{B6111783-9758-49EA-B337-19FF34B16684}"/>
    <cellStyle name="Normal 5 2 3 2 2 2 2 2 3" xfId="20018" xr:uid="{2B1250A6-DC90-47B0-8F50-45E4F302A388}"/>
    <cellStyle name="Normal 5 2 3 2 2 2 2 2 4" xfId="28453" xr:uid="{69D3C4EE-08BE-4794-B6B8-B45B1DDD4C46}"/>
    <cellStyle name="Normal 5 2 3 2 2 2 2 2 5" xfId="11580" xr:uid="{9A4C9E19-F9E1-4335-AA4B-0CC9BEDE42E3}"/>
    <cellStyle name="Normal 5 2 3 2 2 2 2 3" xfId="5214" xr:uid="{00000000-0005-0000-0000-00003A180000}"/>
    <cellStyle name="Normal 5 2 3 2 2 2 2 3 2" xfId="22091" xr:uid="{D71DC5CA-8F1F-4E18-B393-8A01525D2073}"/>
    <cellStyle name="Normal 5 2 3 2 2 2 2 3 3" xfId="30525" xr:uid="{5F93A8CA-7496-4746-B6C3-DDE96169D086}"/>
    <cellStyle name="Normal 5 2 3 2 2 2 2 3 4" xfId="13653" xr:uid="{AB295729-3C04-423C-A828-03CAE92FD714}"/>
    <cellStyle name="Normal 5 2 3 2 2 2 2 4" xfId="17873" xr:uid="{D2B446E2-AE4C-4D8C-A2B9-C81CC7092026}"/>
    <cellStyle name="Normal 5 2 3 2 2 2 2 5" xfId="26308" xr:uid="{6822B0AE-1EE1-4C0B-B7E1-E9B78D523F9C}"/>
    <cellStyle name="Normal 5 2 3 2 2 2 2 6" xfId="9435" xr:uid="{A40CBD8F-DFCD-4BF7-8249-4601B8ED527A}"/>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24649" xr:uid="{9350BA25-BD34-4046-ACC1-273FCED441CD}"/>
    <cellStyle name="Normal 5 2 3 2 2 2 3 2 2 3" xfId="33083" xr:uid="{24448AFC-5D43-4365-9A7F-5ABC1DC36186}"/>
    <cellStyle name="Normal 5 2 3 2 2 2 3 2 2 4" xfId="16211" xr:uid="{F1CCEC79-4593-4F66-8FC9-736E2503ED48}"/>
    <cellStyle name="Normal 5 2 3 2 2 2 3 2 3" xfId="20431" xr:uid="{07784676-B7A2-4E05-8DDB-671848082347}"/>
    <cellStyle name="Normal 5 2 3 2 2 2 3 2 4" xfId="28866" xr:uid="{823B4BAD-21F3-4BA0-B136-8A5C57888E29}"/>
    <cellStyle name="Normal 5 2 3 2 2 2 3 2 5" xfId="11993" xr:uid="{332F32A2-6FC2-4CD9-A612-3B98F1DB520C}"/>
    <cellStyle name="Normal 5 2 3 2 2 2 3 3" xfId="5627" xr:uid="{00000000-0005-0000-0000-00003E180000}"/>
    <cellStyle name="Normal 5 2 3 2 2 2 3 3 2" xfId="22504" xr:uid="{7D178CB6-3F32-4C45-B494-A2517A3326F9}"/>
    <cellStyle name="Normal 5 2 3 2 2 2 3 3 3" xfId="30938" xr:uid="{8E974010-AE7E-4672-978A-9049412A1658}"/>
    <cellStyle name="Normal 5 2 3 2 2 2 3 3 4" xfId="14066" xr:uid="{DE2F429E-5C70-42DA-9191-3DE292F0347B}"/>
    <cellStyle name="Normal 5 2 3 2 2 2 3 4" xfId="18286" xr:uid="{115FF581-8FAA-4D33-94A7-CB03CE48E1CB}"/>
    <cellStyle name="Normal 5 2 3 2 2 2 3 5" xfId="26721" xr:uid="{B139678B-C382-4047-82F0-B7978AE1DAF4}"/>
    <cellStyle name="Normal 5 2 3 2 2 2 3 6" xfId="9848" xr:uid="{34C9EE90-226E-4179-9214-7F5BD64ED8CE}"/>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25062" xr:uid="{1D66420E-223A-4AB8-B1B6-79F1AFD9A5D9}"/>
    <cellStyle name="Normal 5 2 3 2 2 2 4 2 2 3" xfId="33496" xr:uid="{813006C6-9872-4875-88D2-7AD5244D1776}"/>
    <cellStyle name="Normal 5 2 3 2 2 2 4 2 2 4" xfId="16624" xr:uid="{8EA213D3-6F86-4567-AC16-2A1C0EFBFB55}"/>
    <cellStyle name="Normal 5 2 3 2 2 2 4 2 3" xfId="20844" xr:uid="{FD6D0D0E-34B4-4428-8291-CD1C1CF1072D}"/>
    <cellStyle name="Normal 5 2 3 2 2 2 4 2 4" xfId="29279" xr:uid="{2D6704BB-DE41-4B32-9994-530C26B3AEB9}"/>
    <cellStyle name="Normal 5 2 3 2 2 2 4 2 5" xfId="12406" xr:uid="{2E8ED110-CF24-4B45-9424-A2CC2E78CD34}"/>
    <cellStyle name="Normal 5 2 3 2 2 2 4 3" xfId="6040" xr:uid="{00000000-0005-0000-0000-000042180000}"/>
    <cellStyle name="Normal 5 2 3 2 2 2 4 3 2" xfId="22917" xr:uid="{895BFCDB-DCB6-4402-AF1B-C89053A364E0}"/>
    <cellStyle name="Normal 5 2 3 2 2 2 4 3 3" xfId="31351" xr:uid="{855B655F-8057-4D84-BF3B-0A443F7B30FE}"/>
    <cellStyle name="Normal 5 2 3 2 2 2 4 3 4" xfId="14479" xr:uid="{D24AB233-F809-4EEB-9F67-9F0AB6AA492E}"/>
    <cellStyle name="Normal 5 2 3 2 2 2 4 4" xfId="18699" xr:uid="{CB37167F-8EA3-4270-B05D-27E033865D03}"/>
    <cellStyle name="Normal 5 2 3 2 2 2 4 5" xfId="27134" xr:uid="{9ABDBCC9-F35F-4C35-809A-8269666B6234}"/>
    <cellStyle name="Normal 5 2 3 2 2 2 4 6" xfId="10261" xr:uid="{3C5301A7-6CDC-4B12-883B-2FDB1F4A1C8D}"/>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25475" xr:uid="{A8FBF10B-9D55-43BE-B3DC-78A23008FA36}"/>
    <cellStyle name="Normal 5 2 3 2 2 2 5 2 2 3" xfId="33909" xr:uid="{0EE99426-F11C-403E-ABC9-69E896D19C89}"/>
    <cellStyle name="Normal 5 2 3 2 2 2 5 2 2 4" xfId="17037" xr:uid="{1D78B4E6-3E35-4C5E-8CFF-E48C8E13C32A}"/>
    <cellStyle name="Normal 5 2 3 2 2 2 5 2 3" xfId="21257" xr:uid="{783C8375-F561-4407-84F3-C6A46A6E31BA}"/>
    <cellStyle name="Normal 5 2 3 2 2 2 5 2 4" xfId="29692" xr:uid="{89BD7CD0-565E-4F9D-851C-2E7F04845077}"/>
    <cellStyle name="Normal 5 2 3 2 2 2 5 2 5" xfId="12819" xr:uid="{89D07631-4364-4932-AD1D-A4E4F2B57042}"/>
    <cellStyle name="Normal 5 2 3 2 2 2 5 3" xfId="6453" xr:uid="{00000000-0005-0000-0000-000046180000}"/>
    <cellStyle name="Normal 5 2 3 2 2 2 5 3 2" xfId="23330" xr:uid="{F1F97175-385C-4C12-8857-56FBD8C25F09}"/>
    <cellStyle name="Normal 5 2 3 2 2 2 5 3 3" xfId="31764" xr:uid="{2632A710-5C1F-48BC-8C04-0A6E315B19FA}"/>
    <cellStyle name="Normal 5 2 3 2 2 2 5 3 4" xfId="14892" xr:uid="{E572396A-3FAF-4930-B4FC-8B3CECC0F64A}"/>
    <cellStyle name="Normal 5 2 3 2 2 2 5 4" xfId="19112" xr:uid="{C577E444-9D9B-43DF-B161-8440B29711A1}"/>
    <cellStyle name="Normal 5 2 3 2 2 2 5 5" xfId="27547" xr:uid="{E1545E69-4F6A-4F1A-A2DD-A0EEFEB04763}"/>
    <cellStyle name="Normal 5 2 3 2 2 2 5 6" xfId="10674" xr:uid="{0DBC3EFA-14D1-4B05-B0EF-8A0797A9CB94}"/>
    <cellStyle name="Normal 5 2 3 2 2 2 6" xfId="2582" xr:uid="{00000000-0005-0000-0000-000047180000}"/>
    <cellStyle name="Normal 5 2 3 2 2 2 6 2" xfId="6866" xr:uid="{00000000-0005-0000-0000-000048180000}"/>
    <cellStyle name="Normal 5 2 3 2 2 2 6 2 2" xfId="23743" xr:uid="{4D7E20E6-85D7-47F9-9D92-1AD2FDBC61EF}"/>
    <cellStyle name="Normal 5 2 3 2 2 2 6 2 3" xfId="32177" xr:uid="{F0DE7DEB-3192-4F4E-AD7A-4A807383A6F9}"/>
    <cellStyle name="Normal 5 2 3 2 2 2 6 2 4" xfId="15305" xr:uid="{F0755CAD-B45B-4860-B712-15AD30A4A01B}"/>
    <cellStyle name="Normal 5 2 3 2 2 2 6 3" xfId="19525" xr:uid="{6F4A801D-F943-4F92-8DC9-4828ED3A1FF2}"/>
    <cellStyle name="Normal 5 2 3 2 2 2 6 4" xfId="27960" xr:uid="{59C5D02F-FA8C-4A9F-8EEB-6E45FBDC61F1}"/>
    <cellStyle name="Normal 5 2 3 2 2 2 6 5" xfId="11087" xr:uid="{907D6D68-D5B3-4A8A-A34D-CFD557C4AE1F}"/>
    <cellStyle name="Normal 5 2 3 2 2 2 7" xfId="4801" xr:uid="{00000000-0005-0000-0000-000049180000}"/>
    <cellStyle name="Normal 5 2 3 2 2 2 7 2" xfId="21678" xr:uid="{1164F33B-5A74-474F-B969-2CE163168D1E}"/>
    <cellStyle name="Normal 5 2 3 2 2 2 7 3" xfId="30112" xr:uid="{B0B595B8-0A4E-4958-87FC-6FD4D5578B8C}"/>
    <cellStyle name="Normal 5 2 3 2 2 2 7 4" xfId="13240" xr:uid="{AADE9EF1-F439-4800-AEBF-F8870611DB04}"/>
    <cellStyle name="Normal 5 2 3 2 2 2 8" xfId="17460" xr:uid="{667508FE-D080-45E7-832D-39C36C7C05CD}"/>
    <cellStyle name="Normal 5 2 3 2 2 2 9" xfId="25895" xr:uid="{2FBAB153-FF1C-46A5-B8AC-49FDD6BB5649}"/>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24235" xr:uid="{4B6EB342-9CC1-42E0-A866-C8DD49542D26}"/>
    <cellStyle name="Normal 5 2 3 2 2 3 2 2 3" xfId="32669" xr:uid="{2D262BD1-4803-463E-A706-559E99AE1934}"/>
    <cellStyle name="Normal 5 2 3 2 2 3 2 2 4" xfId="15797" xr:uid="{2CE20483-A15D-4F0D-BE75-C366E46E0CD7}"/>
    <cellStyle name="Normal 5 2 3 2 2 3 2 3" xfId="20017" xr:uid="{3D884142-0CE8-477C-A40B-4DE1C1D4AC3B}"/>
    <cellStyle name="Normal 5 2 3 2 2 3 2 4" xfId="28452" xr:uid="{A8BBC841-A38A-4A25-89BC-8ED81F67A19D}"/>
    <cellStyle name="Normal 5 2 3 2 2 3 2 5" xfId="11579" xr:uid="{07ACE446-16DD-45C4-94B4-44DAA12D35E7}"/>
    <cellStyle name="Normal 5 2 3 2 2 3 3" xfId="5213" xr:uid="{00000000-0005-0000-0000-00004D180000}"/>
    <cellStyle name="Normal 5 2 3 2 2 3 3 2" xfId="22090" xr:uid="{9E334E24-0CF4-490E-86EA-B45A926E259C}"/>
    <cellStyle name="Normal 5 2 3 2 2 3 3 3" xfId="30524" xr:uid="{BEEE8ABD-4B42-4668-BF60-980E431EF944}"/>
    <cellStyle name="Normal 5 2 3 2 2 3 3 4" xfId="13652" xr:uid="{D1127013-3432-41FE-9582-9126E3750C77}"/>
    <cellStyle name="Normal 5 2 3 2 2 3 4" xfId="17872" xr:uid="{1AA6C0AC-61E3-4799-9005-C427C4B127FA}"/>
    <cellStyle name="Normal 5 2 3 2 2 3 5" xfId="26307" xr:uid="{6AA3CC85-91B1-4747-A2DC-ADE872E2B2E3}"/>
    <cellStyle name="Normal 5 2 3 2 2 3 6" xfId="9434" xr:uid="{605831D7-8F30-4B47-B095-3D2468480635}"/>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24648" xr:uid="{3341B860-CF72-48CD-B633-8720DA930E63}"/>
    <cellStyle name="Normal 5 2 3 2 2 4 2 2 3" xfId="33082" xr:uid="{5379E8E4-EB8E-4470-96A7-1E721E182E72}"/>
    <cellStyle name="Normal 5 2 3 2 2 4 2 2 4" xfId="16210" xr:uid="{453B3CD5-EB5C-48CF-83E9-A1B0DED41C68}"/>
    <cellStyle name="Normal 5 2 3 2 2 4 2 3" xfId="20430" xr:uid="{0C783C19-824C-4A4F-857F-25DB48147835}"/>
    <cellStyle name="Normal 5 2 3 2 2 4 2 4" xfId="28865" xr:uid="{EA2B3385-64B7-4D34-944D-D4407E088DEB}"/>
    <cellStyle name="Normal 5 2 3 2 2 4 2 5" xfId="11992" xr:uid="{5AD06A5B-676D-457E-A472-CE780EB7EFDF}"/>
    <cellStyle name="Normal 5 2 3 2 2 4 3" xfId="5626" xr:uid="{00000000-0005-0000-0000-000051180000}"/>
    <cellStyle name="Normal 5 2 3 2 2 4 3 2" xfId="22503" xr:uid="{E7F7D171-70B3-402E-B0F2-14A4CDD43103}"/>
    <cellStyle name="Normal 5 2 3 2 2 4 3 3" xfId="30937" xr:uid="{CB3A0071-196D-4923-90ED-5AC3C21A466C}"/>
    <cellStyle name="Normal 5 2 3 2 2 4 3 4" xfId="14065" xr:uid="{A09A99CD-BE53-4B58-A297-EB9F4F7F1E49}"/>
    <cellStyle name="Normal 5 2 3 2 2 4 4" xfId="18285" xr:uid="{9BD703EB-68EE-44ED-8F17-99C9018BFE33}"/>
    <cellStyle name="Normal 5 2 3 2 2 4 5" xfId="26720" xr:uid="{D326C6BA-B95B-4275-B69F-0F68B3420D7B}"/>
    <cellStyle name="Normal 5 2 3 2 2 4 6" xfId="9847" xr:uid="{DA824241-13CE-4006-BBDD-E24B2239EF9F}"/>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25061" xr:uid="{EC6B1E2B-2F28-4AB3-A0F3-526548FE8245}"/>
    <cellStyle name="Normal 5 2 3 2 2 5 2 2 3" xfId="33495" xr:uid="{8DF547F7-B8C4-4217-8F41-C9C7EA774119}"/>
    <cellStyle name="Normal 5 2 3 2 2 5 2 2 4" xfId="16623" xr:uid="{886CBE4E-0035-4BAD-9575-40179396E726}"/>
    <cellStyle name="Normal 5 2 3 2 2 5 2 3" xfId="20843" xr:uid="{0CD37C53-73BE-47B6-B043-7276B643C026}"/>
    <cellStyle name="Normal 5 2 3 2 2 5 2 4" xfId="29278" xr:uid="{A5DE8644-936E-47AC-AFC9-9A15CB81F0AB}"/>
    <cellStyle name="Normal 5 2 3 2 2 5 2 5" xfId="12405" xr:uid="{CFFC079E-E08C-4107-BEFA-9FD63E0AF9E3}"/>
    <cellStyle name="Normal 5 2 3 2 2 5 3" xfId="6039" xr:uid="{00000000-0005-0000-0000-000055180000}"/>
    <cellStyle name="Normal 5 2 3 2 2 5 3 2" xfId="22916" xr:uid="{CFC3FC34-314B-4275-9803-5CB968FCE7D2}"/>
    <cellStyle name="Normal 5 2 3 2 2 5 3 3" xfId="31350" xr:uid="{F4291DBA-A125-4E6D-84E3-9662B8755354}"/>
    <cellStyle name="Normal 5 2 3 2 2 5 3 4" xfId="14478" xr:uid="{C12563F4-54BC-4018-846E-3CC4646C7B61}"/>
    <cellStyle name="Normal 5 2 3 2 2 5 4" xfId="18698" xr:uid="{1543BAB6-2814-4893-9732-E424895DA09D}"/>
    <cellStyle name="Normal 5 2 3 2 2 5 5" xfId="27133" xr:uid="{5EB6D5A6-EAF5-42B9-8685-B7D9149F66EE}"/>
    <cellStyle name="Normal 5 2 3 2 2 5 6" xfId="10260" xr:uid="{A3D17F39-876F-4BA0-956A-2AEFA9C1A9C1}"/>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25474" xr:uid="{68465472-0CA1-4C2E-8AC9-9AA6BC805712}"/>
    <cellStyle name="Normal 5 2 3 2 2 6 2 2 3" xfId="33908" xr:uid="{5BA5DCAA-E2FA-4E28-A6EA-DB6953233605}"/>
    <cellStyle name="Normal 5 2 3 2 2 6 2 2 4" xfId="17036" xr:uid="{6E3FE733-F76D-47CA-B8B8-5235438F4415}"/>
    <cellStyle name="Normal 5 2 3 2 2 6 2 3" xfId="21256" xr:uid="{4C311FBA-AE58-4755-826D-FFCEE69AEB53}"/>
    <cellStyle name="Normal 5 2 3 2 2 6 2 4" xfId="29691" xr:uid="{4FA385BA-B333-4DFD-941B-08080047F598}"/>
    <cellStyle name="Normal 5 2 3 2 2 6 2 5" xfId="12818" xr:uid="{9FD82765-AF5C-4CE4-982C-E02BB3490C00}"/>
    <cellStyle name="Normal 5 2 3 2 2 6 3" xfId="6452" xr:uid="{00000000-0005-0000-0000-000059180000}"/>
    <cellStyle name="Normal 5 2 3 2 2 6 3 2" xfId="23329" xr:uid="{0C4C87F9-162C-4727-A95B-D129D44118F8}"/>
    <cellStyle name="Normal 5 2 3 2 2 6 3 3" xfId="31763" xr:uid="{EF3B611F-9491-43F6-8361-860D95CB8499}"/>
    <cellStyle name="Normal 5 2 3 2 2 6 3 4" xfId="14891" xr:uid="{4AADDDF2-6520-44B8-B161-32BD4ED740AE}"/>
    <cellStyle name="Normal 5 2 3 2 2 6 4" xfId="19111" xr:uid="{BA951459-BE1F-46F2-84F4-02DA922B7604}"/>
    <cellStyle name="Normal 5 2 3 2 2 6 5" xfId="27546" xr:uid="{85C8097F-E402-4286-BC10-3DB1FDD3FCB3}"/>
    <cellStyle name="Normal 5 2 3 2 2 6 6" xfId="10673" xr:uid="{0A9C5066-0F92-432E-932B-D5BE328D3720}"/>
    <cellStyle name="Normal 5 2 3 2 2 7" xfId="2581" xr:uid="{00000000-0005-0000-0000-00005A180000}"/>
    <cellStyle name="Normal 5 2 3 2 2 7 2" xfId="6865" xr:uid="{00000000-0005-0000-0000-00005B180000}"/>
    <cellStyle name="Normal 5 2 3 2 2 7 2 2" xfId="23742" xr:uid="{1CFE2AA6-DF0B-4649-94C3-BF6A8C859668}"/>
    <cellStyle name="Normal 5 2 3 2 2 7 2 3" xfId="32176" xr:uid="{31EC7C4E-114D-4B87-80D0-0B9FECA7D94F}"/>
    <cellStyle name="Normal 5 2 3 2 2 7 2 4" xfId="15304" xr:uid="{293A5330-0484-4CE0-8EF7-AF7B097EF6F8}"/>
    <cellStyle name="Normal 5 2 3 2 2 7 3" xfId="19524" xr:uid="{0CCF9C08-2C2B-4AD9-83A3-B47960221A52}"/>
    <cellStyle name="Normal 5 2 3 2 2 7 4" xfId="27959" xr:uid="{12677FD5-D99F-4D0E-8B58-E4853B392FE6}"/>
    <cellStyle name="Normal 5 2 3 2 2 7 5" xfId="11086" xr:uid="{07375DAB-C2B9-4DD3-9EEC-497473002D91}"/>
    <cellStyle name="Normal 5 2 3 2 2 8" xfId="4800" xr:uid="{00000000-0005-0000-0000-00005C180000}"/>
    <cellStyle name="Normal 5 2 3 2 2 8 2" xfId="21677" xr:uid="{30899040-F7BD-4D2B-9C81-C99566F16142}"/>
    <cellStyle name="Normal 5 2 3 2 2 8 3" xfId="30111" xr:uid="{E6FF77DD-F590-4638-8F7B-45D45BDA8D9D}"/>
    <cellStyle name="Normal 5 2 3 2 2 8 4" xfId="13239" xr:uid="{31D85615-73AE-4EFB-89EC-001A2B764899}"/>
    <cellStyle name="Normal 5 2 3 2 2 9" xfId="17459" xr:uid="{9D86F57F-1B4F-41E0-9CC7-295A9A19F5FA}"/>
    <cellStyle name="Normal 5 2 3 2 3" xfId="428" xr:uid="{00000000-0005-0000-0000-00005D180000}"/>
    <cellStyle name="Normal 5 2 3 2 3 10" xfId="9023" xr:uid="{A53661C0-4392-4D74-8D9A-DA729D7375BC}"/>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24237" xr:uid="{908F17DE-07C8-4437-BCBA-F1566E1F2CEE}"/>
    <cellStyle name="Normal 5 2 3 2 3 2 2 2 3" xfId="32671" xr:uid="{B8C43032-6160-4BDA-86C7-1F40EC2E06B6}"/>
    <cellStyle name="Normal 5 2 3 2 3 2 2 2 4" xfId="15799" xr:uid="{196C74DE-5335-4970-9EBC-FD86A6D7009D}"/>
    <cellStyle name="Normal 5 2 3 2 3 2 2 3" xfId="20019" xr:uid="{9BD8861E-3FEC-4873-9340-D87B03531E3C}"/>
    <cellStyle name="Normal 5 2 3 2 3 2 2 4" xfId="28454" xr:uid="{2E74BF7D-78BF-49CD-B63E-B962E0BA435C}"/>
    <cellStyle name="Normal 5 2 3 2 3 2 2 5" xfId="11581" xr:uid="{3D71A04C-0A18-46B3-8FBF-DB60A47F4C11}"/>
    <cellStyle name="Normal 5 2 3 2 3 2 3" xfId="5215" xr:uid="{00000000-0005-0000-0000-000061180000}"/>
    <cellStyle name="Normal 5 2 3 2 3 2 3 2" xfId="22092" xr:uid="{D213695F-140E-4C21-B0CF-AF54783EB064}"/>
    <cellStyle name="Normal 5 2 3 2 3 2 3 3" xfId="30526" xr:uid="{AB29ED92-44D5-450F-9929-9FB6131E7112}"/>
    <cellStyle name="Normal 5 2 3 2 3 2 3 4" xfId="13654" xr:uid="{EB9DCE2B-DBC8-42E1-995F-6AD3614E36D7}"/>
    <cellStyle name="Normal 5 2 3 2 3 2 4" xfId="17874" xr:uid="{54FDD06C-1A11-43A6-BDA2-F31A6F72451D}"/>
    <cellStyle name="Normal 5 2 3 2 3 2 5" xfId="26309" xr:uid="{6A408F89-CA6E-4F37-94D8-7587A596FD29}"/>
    <cellStyle name="Normal 5 2 3 2 3 2 6" xfId="9436" xr:uid="{7E00CF8A-C9A1-4E6D-8547-5F6CA73FBEBA}"/>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24650" xr:uid="{ECDCC5E6-BDB8-4C9B-BF66-32365A7D8AFD}"/>
    <cellStyle name="Normal 5 2 3 2 3 3 2 2 3" xfId="33084" xr:uid="{735F6727-3EED-4D93-B0F0-5DF4AEA40F04}"/>
    <cellStyle name="Normal 5 2 3 2 3 3 2 2 4" xfId="16212" xr:uid="{87781552-3A47-4E48-A080-A609C70F7AC4}"/>
    <cellStyle name="Normal 5 2 3 2 3 3 2 3" xfId="20432" xr:uid="{736A576B-4586-4C3E-A577-B4435588F580}"/>
    <cellStyle name="Normal 5 2 3 2 3 3 2 4" xfId="28867" xr:uid="{9D1BC368-176D-4FC9-90F7-D8C74ABEC367}"/>
    <cellStyle name="Normal 5 2 3 2 3 3 2 5" xfId="11994" xr:uid="{9876F317-F19B-447C-A0EE-EEEBEAF565C8}"/>
    <cellStyle name="Normal 5 2 3 2 3 3 3" xfId="5628" xr:uid="{00000000-0005-0000-0000-000065180000}"/>
    <cellStyle name="Normal 5 2 3 2 3 3 3 2" xfId="22505" xr:uid="{B67D0DD1-108D-4A23-8AC1-305E95267401}"/>
    <cellStyle name="Normal 5 2 3 2 3 3 3 3" xfId="30939" xr:uid="{3525DD7D-3229-49BD-980E-9FAA13EE131C}"/>
    <cellStyle name="Normal 5 2 3 2 3 3 3 4" xfId="14067" xr:uid="{351DD11E-2BCB-4BA9-812F-6018EB54103B}"/>
    <cellStyle name="Normal 5 2 3 2 3 3 4" xfId="18287" xr:uid="{06A831D4-BE9D-4826-9441-8276953D09E3}"/>
    <cellStyle name="Normal 5 2 3 2 3 3 5" xfId="26722" xr:uid="{1CFE9D42-93F0-43B4-ADAB-2CFB56A1F9F9}"/>
    <cellStyle name="Normal 5 2 3 2 3 3 6" xfId="9849" xr:uid="{A93EEC0C-4D44-4FEA-A280-08CA34D61D07}"/>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25063" xr:uid="{EC0DBAB5-7EAE-4E8D-B6FA-1EC13F92E8BD}"/>
    <cellStyle name="Normal 5 2 3 2 3 4 2 2 3" xfId="33497" xr:uid="{4B7108D9-080F-41DA-9577-F43B3E4AC775}"/>
    <cellStyle name="Normal 5 2 3 2 3 4 2 2 4" xfId="16625" xr:uid="{5055A6C8-59E3-4940-A4DF-4C17E4BCB5BD}"/>
    <cellStyle name="Normal 5 2 3 2 3 4 2 3" xfId="20845" xr:uid="{8D706AC5-4900-46DF-BF46-3A660549EF24}"/>
    <cellStyle name="Normal 5 2 3 2 3 4 2 4" xfId="29280" xr:uid="{0271493A-9EB4-4381-8476-3AE9FB931181}"/>
    <cellStyle name="Normal 5 2 3 2 3 4 2 5" xfId="12407" xr:uid="{07BFE79A-44AE-4DF2-9B69-D5E2493BEA86}"/>
    <cellStyle name="Normal 5 2 3 2 3 4 3" xfId="6041" xr:uid="{00000000-0005-0000-0000-000069180000}"/>
    <cellStyle name="Normal 5 2 3 2 3 4 3 2" xfId="22918" xr:uid="{CD6FB159-3289-4760-8D23-69DA0F01FC10}"/>
    <cellStyle name="Normal 5 2 3 2 3 4 3 3" xfId="31352" xr:uid="{9557F4F8-F532-420F-813B-0452775B5DD8}"/>
    <cellStyle name="Normal 5 2 3 2 3 4 3 4" xfId="14480" xr:uid="{C67C4CB1-91DC-4B02-9223-F8B8C29B6D13}"/>
    <cellStyle name="Normal 5 2 3 2 3 4 4" xfId="18700" xr:uid="{F025B976-3E89-4CD5-8921-6922909126B9}"/>
    <cellStyle name="Normal 5 2 3 2 3 4 5" xfId="27135" xr:uid="{A8A2662D-8430-478E-A432-4CD7325322E5}"/>
    <cellStyle name="Normal 5 2 3 2 3 4 6" xfId="10262" xr:uid="{4387963B-1494-4E22-A9E9-6D2833D192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25476" xr:uid="{2D9A0C7F-56A7-4FC6-AB62-B505AE80C55F}"/>
    <cellStyle name="Normal 5 2 3 2 3 5 2 2 3" xfId="33910" xr:uid="{32361AF0-2FA0-46F3-B7AF-50B331C275A5}"/>
    <cellStyle name="Normal 5 2 3 2 3 5 2 2 4" xfId="17038" xr:uid="{3534E9BB-B4F6-487A-9AC5-EC88C5C6A875}"/>
    <cellStyle name="Normal 5 2 3 2 3 5 2 3" xfId="21258" xr:uid="{E0C50827-7DDE-47DF-BA0C-54DB02695E42}"/>
    <cellStyle name="Normal 5 2 3 2 3 5 2 4" xfId="29693" xr:uid="{B2AE9577-60DC-400E-9392-24CA0B83707E}"/>
    <cellStyle name="Normal 5 2 3 2 3 5 2 5" xfId="12820" xr:uid="{2FF0E095-5F6C-4238-AC53-D31C49A27278}"/>
    <cellStyle name="Normal 5 2 3 2 3 5 3" xfId="6454" xr:uid="{00000000-0005-0000-0000-00006D180000}"/>
    <cellStyle name="Normal 5 2 3 2 3 5 3 2" xfId="23331" xr:uid="{9F401800-8152-4D59-9AAA-1ED66ECEB188}"/>
    <cellStyle name="Normal 5 2 3 2 3 5 3 3" xfId="31765" xr:uid="{AB224E4C-D611-4F04-98BF-FEF85078F2EF}"/>
    <cellStyle name="Normal 5 2 3 2 3 5 3 4" xfId="14893" xr:uid="{F0EB901D-89EE-40A2-8F30-9AB2A00C09CC}"/>
    <cellStyle name="Normal 5 2 3 2 3 5 4" xfId="19113" xr:uid="{80DCDFB6-9E38-4951-A000-B03E4AAD7218}"/>
    <cellStyle name="Normal 5 2 3 2 3 5 5" xfId="27548" xr:uid="{F8DAFB9A-29C3-4D9D-A59B-66323813F0FF}"/>
    <cellStyle name="Normal 5 2 3 2 3 5 6" xfId="10675" xr:uid="{518B92BB-D165-42EF-BCE5-3271F3685DCC}"/>
    <cellStyle name="Normal 5 2 3 2 3 6" xfId="2583" xr:uid="{00000000-0005-0000-0000-00006E180000}"/>
    <cellStyle name="Normal 5 2 3 2 3 6 2" xfId="6867" xr:uid="{00000000-0005-0000-0000-00006F180000}"/>
    <cellStyle name="Normal 5 2 3 2 3 6 2 2" xfId="23744" xr:uid="{689ACFA4-9C5B-4B82-B510-008B3B4D0EB3}"/>
    <cellStyle name="Normal 5 2 3 2 3 6 2 3" xfId="32178" xr:uid="{0A11C94B-02EE-4313-AA36-7E192AF41E6D}"/>
    <cellStyle name="Normal 5 2 3 2 3 6 2 4" xfId="15306" xr:uid="{4E456894-EB0A-46E1-928D-385C80B41E7E}"/>
    <cellStyle name="Normal 5 2 3 2 3 6 3" xfId="19526" xr:uid="{0E346AD6-CA30-4CFA-A668-4A9947447F9A}"/>
    <cellStyle name="Normal 5 2 3 2 3 6 4" xfId="27961" xr:uid="{B39BD07B-2D44-4F6E-9BDD-8888923EE05C}"/>
    <cellStyle name="Normal 5 2 3 2 3 6 5" xfId="11088" xr:uid="{0EFCBB66-C9CE-4818-BE54-02B5DAF6B5E0}"/>
    <cellStyle name="Normal 5 2 3 2 3 7" xfId="4802" xr:uid="{00000000-0005-0000-0000-000070180000}"/>
    <cellStyle name="Normal 5 2 3 2 3 7 2" xfId="21679" xr:uid="{31785943-DBA8-4246-B434-8FBEF52CCA65}"/>
    <cellStyle name="Normal 5 2 3 2 3 7 3" xfId="30113" xr:uid="{1251E216-DB55-4F46-BCC7-96BD8FADDF99}"/>
    <cellStyle name="Normal 5 2 3 2 3 7 4" xfId="13241" xr:uid="{8C035944-7A02-4976-A54B-6179418443DD}"/>
    <cellStyle name="Normal 5 2 3 2 3 8" xfId="17461" xr:uid="{BF89A0A2-B9DC-464B-B501-B640F6A94BDA}"/>
    <cellStyle name="Normal 5 2 3 2 3 9" xfId="25896" xr:uid="{6CDEC27E-BA8F-492C-B6B5-08BD9F160054}"/>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24234" xr:uid="{B04E3571-33F6-447E-A7D3-6642D515601C}"/>
    <cellStyle name="Normal 5 2 3 2 4 2 2 3" xfId="32668" xr:uid="{FF244954-84E4-48AA-A0B1-30B38157F691}"/>
    <cellStyle name="Normal 5 2 3 2 4 2 2 4" xfId="15796" xr:uid="{A531B419-EE19-473C-9F79-233E3D4BDADC}"/>
    <cellStyle name="Normal 5 2 3 2 4 2 3" xfId="20016" xr:uid="{0D1390C7-5E09-45CE-A826-B1350E32D675}"/>
    <cellStyle name="Normal 5 2 3 2 4 2 4" xfId="28451" xr:uid="{6ECEA122-C27D-4570-AAC6-43A45E1183DE}"/>
    <cellStyle name="Normal 5 2 3 2 4 2 5" xfId="11578" xr:uid="{40596CD5-009B-4B83-98C2-638F5D196013}"/>
    <cellStyle name="Normal 5 2 3 2 4 3" xfId="5212" xr:uid="{00000000-0005-0000-0000-000074180000}"/>
    <cellStyle name="Normal 5 2 3 2 4 3 2" xfId="22089" xr:uid="{89718246-9138-406D-B176-B8648F56EF99}"/>
    <cellStyle name="Normal 5 2 3 2 4 3 3" xfId="30523" xr:uid="{6AB32981-F03A-4485-B379-834F7C2897C2}"/>
    <cellStyle name="Normal 5 2 3 2 4 3 4" xfId="13651" xr:uid="{D93CBCF3-FF81-4DAA-85D0-5AAB43ABFB62}"/>
    <cellStyle name="Normal 5 2 3 2 4 4" xfId="17871" xr:uid="{1D366D49-CC5E-4B41-9F09-04E5F8BB1573}"/>
    <cellStyle name="Normal 5 2 3 2 4 5" xfId="26306" xr:uid="{286695CA-A085-4F80-A50A-FDD3007C10CD}"/>
    <cellStyle name="Normal 5 2 3 2 4 6" xfId="9433" xr:uid="{0BB0E7E1-B895-49E0-8F94-5AE0A622D103}"/>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24647" xr:uid="{F916B380-17C3-49C8-9EF6-55DDAAC94789}"/>
    <cellStyle name="Normal 5 2 3 2 5 2 2 3" xfId="33081" xr:uid="{E42EAE69-F8FE-43D0-A315-08213B24A543}"/>
    <cellStyle name="Normal 5 2 3 2 5 2 2 4" xfId="16209" xr:uid="{E2134B04-B8FE-43D9-A122-93F6511D1ED7}"/>
    <cellStyle name="Normal 5 2 3 2 5 2 3" xfId="20429" xr:uid="{45A7F08D-7A39-4822-8F98-94845EC8734E}"/>
    <cellStyle name="Normal 5 2 3 2 5 2 4" xfId="28864" xr:uid="{0551D54F-98FB-474F-AC48-965EE4B38F12}"/>
    <cellStyle name="Normal 5 2 3 2 5 2 5" xfId="11991" xr:uid="{D470284B-3010-47E8-85C0-3A41E945D97D}"/>
    <cellStyle name="Normal 5 2 3 2 5 3" xfId="5625" xr:uid="{00000000-0005-0000-0000-000078180000}"/>
    <cellStyle name="Normal 5 2 3 2 5 3 2" xfId="22502" xr:uid="{3C0F6157-9508-45AC-8B7D-BF89A54DD023}"/>
    <cellStyle name="Normal 5 2 3 2 5 3 3" xfId="30936" xr:uid="{72930135-2708-47E5-A1ED-60F0FFC6AAAF}"/>
    <cellStyle name="Normal 5 2 3 2 5 3 4" xfId="14064" xr:uid="{B11FBD5B-60CD-4AD9-82DD-C48FDDF8D0A2}"/>
    <cellStyle name="Normal 5 2 3 2 5 4" xfId="18284" xr:uid="{306C6AE6-2A28-4985-87DA-15BEBC03B03B}"/>
    <cellStyle name="Normal 5 2 3 2 5 5" xfId="26719" xr:uid="{663BCD24-92DA-46DF-B158-AA53058DCECA}"/>
    <cellStyle name="Normal 5 2 3 2 5 6" xfId="9846" xr:uid="{996767A5-6EAD-4CCF-8ADE-C589B1667D1E}"/>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25060" xr:uid="{B6685B9D-E17F-4888-8A58-CDCA054459F9}"/>
    <cellStyle name="Normal 5 2 3 2 6 2 2 3" xfId="33494" xr:uid="{27DE5C2C-3CA2-4C67-977C-3085B5C00132}"/>
    <cellStyle name="Normal 5 2 3 2 6 2 2 4" xfId="16622" xr:uid="{8FC09B0A-6C9C-47D2-B55B-16C1B3068ED3}"/>
    <cellStyle name="Normal 5 2 3 2 6 2 3" xfId="20842" xr:uid="{CFC4DA70-1F7F-4D3B-A406-918B128BC205}"/>
    <cellStyle name="Normal 5 2 3 2 6 2 4" xfId="29277" xr:uid="{1ABF830B-6801-45C4-B39D-3FACB4F44757}"/>
    <cellStyle name="Normal 5 2 3 2 6 2 5" xfId="12404" xr:uid="{299B252D-8471-4461-B257-E14FFC660D71}"/>
    <cellStyle name="Normal 5 2 3 2 6 3" xfId="6038" xr:uid="{00000000-0005-0000-0000-00007C180000}"/>
    <cellStyle name="Normal 5 2 3 2 6 3 2" xfId="22915" xr:uid="{B1260FA5-168E-4211-B6CA-176859A8C0FE}"/>
    <cellStyle name="Normal 5 2 3 2 6 3 3" xfId="31349" xr:uid="{B19B9CFA-2489-44ED-A2E6-CAC653547B5A}"/>
    <cellStyle name="Normal 5 2 3 2 6 3 4" xfId="14477" xr:uid="{19D8A490-A3C6-4538-A358-2262157830A9}"/>
    <cellStyle name="Normal 5 2 3 2 6 4" xfId="18697" xr:uid="{029F65F9-FCCE-4816-8D40-24551B35170B}"/>
    <cellStyle name="Normal 5 2 3 2 6 5" xfId="27132" xr:uid="{6B7B6792-6FCB-4C2F-B6DD-F8ECBD9DADE3}"/>
    <cellStyle name="Normal 5 2 3 2 6 6" xfId="10259" xr:uid="{912B6CF3-8F78-4968-A640-A87134E366E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25473" xr:uid="{44F7820D-4326-46A7-A3F8-4FE6F18E66A3}"/>
    <cellStyle name="Normal 5 2 3 2 7 2 2 3" xfId="33907" xr:uid="{A84CB552-FB40-4764-B4EB-26ADECDE0576}"/>
    <cellStyle name="Normal 5 2 3 2 7 2 2 4" xfId="17035" xr:uid="{200913C4-D852-49DE-B458-A4F1C30C191C}"/>
    <cellStyle name="Normal 5 2 3 2 7 2 3" xfId="21255" xr:uid="{BC89AF65-EE3A-4001-8806-C45D7E6FCF61}"/>
    <cellStyle name="Normal 5 2 3 2 7 2 4" xfId="29690" xr:uid="{D19CB584-4D5E-448E-AA98-7C4A656DF16D}"/>
    <cellStyle name="Normal 5 2 3 2 7 2 5" xfId="12817" xr:uid="{FD637555-528B-4361-BF43-87C0EBE52101}"/>
    <cellStyle name="Normal 5 2 3 2 7 3" xfId="6451" xr:uid="{00000000-0005-0000-0000-000080180000}"/>
    <cellStyle name="Normal 5 2 3 2 7 3 2" xfId="23328" xr:uid="{06EEFCC7-0593-40AB-B82F-45587DC41585}"/>
    <cellStyle name="Normal 5 2 3 2 7 3 3" xfId="31762" xr:uid="{529CD8A2-ECBE-4414-90BE-26829D01508E}"/>
    <cellStyle name="Normal 5 2 3 2 7 3 4" xfId="14890" xr:uid="{626AA808-36CD-4676-AB3A-590EA627549E}"/>
    <cellStyle name="Normal 5 2 3 2 7 4" xfId="19110" xr:uid="{A01423C3-19DD-4D54-A664-03A59E24F071}"/>
    <cellStyle name="Normal 5 2 3 2 7 5" xfId="27545" xr:uid="{E4FA8B0F-3B7B-43B5-ADFF-622645DE838F}"/>
    <cellStyle name="Normal 5 2 3 2 7 6" xfId="10672" xr:uid="{DCF22812-B1A6-4724-A67F-8C6EC656C505}"/>
    <cellStyle name="Normal 5 2 3 2 8" xfId="2580" xr:uid="{00000000-0005-0000-0000-000081180000}"/>
    <cellStyle name="Normal 5 2 3 2 8 2" xfId="6864" xr:uid="{00000000-0005-0000-0000-000082180000}"/>
    <cellStyle name="Normal 5 2 3 2 8 2 2" xfId="23741" xr:uid="{23798D46-8E87-4B36-994D-CFC1B2009BB3}"/>
    <cellStyle name="Normal 5 2 3 2 8 2 3" xfId="32175" xr:uid="{9C691A48-058C-4407-9225-F763F5DEF4D4}"/>
    <cellStyle name="Normal 5 2 3 2 8 2 4" xfId="15303" xr:uid="{217D2446-E0C0-473B-A4D5-464AF50A046D}"/>
    <cellStyle name="Normal 5 2 3 2 8 3" xfId="19523" xr:uid="{1C910626-2A81-43ED-A83C-E7EB029AE107}"/>
    <cellStyle name="Normal 5 2 3 2 8 4" xfId="27958" xr:uid="{EC08757B-B33B-4777-9004-33FC376A1394}"/>
    <cellStyle name="Normal 5 2 3 2 8 5" xfId="11085" xr:uid="{4A4C6A69-D8AA-4A78-9978-2B4FE674E180}"/>
    <cellStyle name="Normal 5 2 3 2 9" xfId="4799" xr:uid="{00000000-0005-0000-0000-000083180000}"/>
    <cellStyle name="Normal 5 2 3 2 9 2" xfId="21676" xr:uid="{9AC25372-2C0E-4644-A8E7-F31AE81F45D4}"/>
    <cellStyle name="Normal 5 2 3 2 9 3" xfId="30110" xr:uid="{BD6F40DF-28BF-4448-8796-7FB62C52ED72}"/>
    <cellStyle name="Normal 5 2 3 2 9 4" xfId="13238" xr:uid="{A604AC68-6814-4F10-B879-B445E72C95D6}"/>
    <cellStyle name="Normal 5 2 3 3" xfId="429" xr:uid="{00000000-0005-0000-0000-000084180000}"/>
    <cellStyle name="Normal 5 2 3 3 10" xfId="25897" xr:uid="{3C3C7B6F-069E-4B27-ACF3-438352D09E16}"/>
    <cellStyle name="Normal 5 2 3 3 11" xfId="9024" xr:uid="{A831A665-CD06-4FDA-866A-29FD35956F06}"/>
    <cellStyle name="Normal 5 2 3 3 2" xfId="430" xr:uid="{00000000-0005-0000-0000-000085180000}"/>
    <cellStyle name="Normal 5 2 3 3 2 10" xfId="9025" xr:uid="{86C7C4A2-C2FB-4B1D-A7C5-7CBB42080DE9}"/>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24239" xr:uid="{D14815AA-119A-481B-84A8-7E009642BEDC}"/>
    <cellStyle name="Normal 5 2 3 3 2 2 2 2 3" xfId="32673" xr:uid="{4A75CB18-8E6A-4761-8649-4F3CB21DFECB}"/>
    <cellStyle name="Normal 5 2 3 3 2 2 2 2 4" xfId="15801" xr:uid="{DAE50749-B099-49C7-AE4D-7D07AB2AA756}"/>
    <cellStyle name="Normal 5 2 3 3 2 2 2 3" xfId="20021" xr:uid="{9EA257A3-7FE0-496E-ABBD-1D319C475E4A}"/>
    <cellStyle name="Normal 5 2 3 3 2 2 2 4" xfId="28456" xr:uid="{B6753740-D4C6-45F5-B968-F3BF9B2001BE}"/>
    <cellStyle name="Normal 5 2 3 3 2 2 2 5" xfId="11583" xr:uid="{EBDD4512-A089-4DFB-8A14-719EC4638229}"/>
    <cellStyle name="Normal 5 2 3 3 2 2 3" xfId="5217" xr:uid="{00000000-0005-0000-0000-000089180000}"/>
    <cellStyle name="Normal 5 2 3 3 2 2 3 2" xfId="22094" xr:uid="{67F675FA-A30B-4C7F-99EA-7F9416A79355}"/>
    <cellStyle name="Normal 5 2 3 3 2 2 3 3" xfId="30528" xr:uid="{636AE221-CD28-404F-87C3-6676102631E4}"/>
    <cellStyle name="Normal 5 2 3 3 2 2 3 4" xfId="13656" xr:uid="{06CDAE1C-283D-4E1A-8802-440AA29A52C8}"/>
    <cellStyle name="Normal 5 2 3 3 2 2 4" xfId="17876" xr:uid="{78116029-1E22-4CFC-8D07-CABA78E196F6}"/>
    <cellStyle name="Normal 5 2 3 3 2 2 5" xfId="26311" xr:uid="{D479DDC6-9979-4ACB-8D68-70639F282E53}"/>
    <cellStyle name="Normal 5 2 3 3 2 2 6" xfId="9438" xr:uid="{5100EF9F-1220-4855-A159-0962507DA4DD}"/>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24652" xr:uid="{F48FEC61-9DB6-403D-A0C4-E8A42B31CB6A}"/>
    <cellStyle name="Normal 5 2 3 3 2 3 2 2 3" xfId="33086" xr:uid="{D5E9EBAF-C7B5-4864-BCDB-E20DB726B65B}"/>
    <cellStyle name="Normal 5 2 3 3 2 3 2 2 4" xfId="16214" xr:uid="{57790D5B-9199-41A4-8BAE-48F33C392451}"/>
    <cellStyle name="Normal 5 2 3 3 2 3 2 3" xfId="20434" xr:uid="{E7B7BED9-3781-4410-9DD3-D10F7E05F473}"/>
    <cellStyle name="Normal 5 2 3 3 2 3 2 4" xfId="28869" xr:uid="{9DE80046-E4DB-49F7-951B-4E33383DF62C}"/>
    <cellStyle name="Normal 5 2 3 3 2 3 2 5" xfId="11996" xr:uid="{9E9274B6-16DB-4EB8-9047-C944A819EA49}"/>
    <cellStyle name="Normal 5 2 3 3 2 3 3" xfId="5630" xr:uid="{00000000-0005-0000-0000-00008D180000}"/>
    <cellStyle name="Normal 5 2 3 3 2 3 3 2" xfId="22507" xr:uid="{3D5DD63C-C22F-404D-8BA0-B26D2788B00A}"/>
    <cellStyle name="Normal 5 2 3 3 2 3 3 3" xfId="30941" xr:uid="{95DDF040-7363-4698-87EC-A9F6A82250B4}"/>
    <cellStyle name="Normal 5 2 3 3 2 3 3 4" xfId="14069" xr:uid="{4C1F1BF5-7C61-4083-B799-AEA9000B2DC4}"/>
    <cellStyle name="Normal 5 2 3 3 2 3 4" xfId="18289" xr:uid="{3AB82A88-EA6F-4A46-91C4-3FF87FBA84D9}"/>
    <cellStyle name="Normal 5 2 3 3 2 3 5" xfId="26724" xr:uid="{DAE228D2-2CE1-47CE-9C61-6ABBFCB460B0}"/>
    <cellStyle name="Normal 5 2 3 3 2 3 6" xfId="9851" xr:uid="{2C95E97E-5824-4DE6-9FEB-C13CD1527BF5}"/>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25065" xr:uid="{25A300E7-0C96-4C9B-9301-934E175784E8}"/>
    <cellStyle name="Normal 5 2 3 3 2 4 2 2 3" xfId="33499" xr:uid="{B3F0AF33-6F6B-4342-9E67-3E79211AA792}"/>
    <cellStyle name="Normal 5 2 3 3 2 4 2 2 4" xfId="16627" xr:uid="{F74ADED1-7380-47F9-822D-4ABC7184DC69}"/>
    <cellStyle name="Normal 5 2 3 3 2 4 2 3" xfId="20847" xr:uid="{9FAEF27E-35CB-46E8-9EC9-23E8184B7502}"/>
    <cellStyle name="Normal 5 2 3 3 2 4 2 4" xfId="29282" xr:uid="{EBF10A8C-2856-484F-82B4-A7363DEBD108}"/>
    <cellStyle name="Normal 5 2 3 3 2 4 2 5" xfId="12409" xr:uid="{A28E785E-F583-45DE-89AF-91E73A6014A5}"/>
    <cellStyle name="Normal 5 2 3 3 2 4 3" xfId="6043" xr:uid="{00000000-0005-0000-0000-000091180000}"/>
    <cellStyle name="Normal 5 2 3 3 2 4 3 2" xfId="22920" xr:uid="{8710BFA5-777C-4526-89F9-20F817E8DD67}"/>
    <cellStyle name="Normal 5 2 3 3 2 4 3 3" xfId="31354" xr:uid="{F27BA958-1D27-483D-AD2B-E90EF74B71D8}"/>
    <cellStyle name="Normal 5 2 3 3 2 4 3 4" xfId="14482" xr:uid="{1A81E477-B269-4E58-A120-6EB45EAE0846}"/>
    <cellStyle name="Normal 5 2 3 3 2 4 4" xfId="18702" xr:uid="{8DBD15C3-6F6B-48AA-B81A-EC6D27DEA356}"/>
    <cellStyle name="Normal 5 2 3 3 2 4 5" xfId="27137" xr:uid="{8F152706-93EE-4152-959F-53EFAC5B8702}"/>
    <cellStyle name="Normal 5 2 3 3 2 4 6" xfId="10264" xr:uid="{744244A8-FFB8-4070-97BA-376F1DAE9688}"/>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25478" xr:uid="{B07A0682-B956-47E7-91EA-E00954437014}"/>
    <cellStyle name="Normal 5 2 3 3 2 5 2 2 3" xfId="33912" xr:uid="{271166A7-300D-4BCC-80B0-11F83F30D848}"/>
    <cellStyle name="Normal 5 2 3 3 2 5 2 2 4" xfId="17040" xr:uid="{44690B28-0ED5-41BF-AB53-107AACB80F4A}"/>
    <cellStyle name="Normal 5 2 3 3 2 5 2 3" xfId="21260" xr:uid="{CCC342E5-D220-4BFC-96EA-02C64F11EB2A}"/>
    <cellStyle name="Normal 5 2 3 3 2 5 2 4" xfId="29695" xr:uid="{25230278-D3B0-409D-92EA-352589FDA311}"/>
    <cellStyle name="Normal 5 2 3 3 2 5 2 5" xfId="12822" xr:uid="{E1E0B2FC-FE5E-4DC1-AF93-070FF1A12FF3}"/>
    <cellStyle name="Normal 5 2 3 3 2 5 3" xfId="6456" xr:uid="{00000000-0005-0000-0000-000095180000}"/>
    <cellStyle name="Normal 5 2 3 3 2 5 3 2" xfId="23333" xr:uid="{765A94F8-6787-42D2-B572-185DD622E49B}"/>
    <cellStyle name="Normal 5 2 3 3 2 5 3 3" xfId="31767" xr:uid="{250B6ED2-2B71-4618-BE3F-6430662E797A}"/>
    <cellStyle name="Normal 5 2 3 3 2 5 3 4" xfId="14895" xr:uid="{752777F5-1AAB-48E0-BD49-259DAA559ABF}"/>
    <cellStyle name="Normal 5 2 3 3 2 5 4" xfId="19115" xr:uid="{ECFF40A4-747A-4DFF-9A57-8D549A489BD3}"/>
    <cellStyle name="Normal 5 2 3 3 2 5 5" xfId="27550" xr:uid="{BC9C572A-2481-48C8-AEEA-4E8B6474E4B1}"/>
    <cellStyle name="Normal 5 2 3 3 2 5 6" xfId="10677" xr:uid="{50164338-83D4-4A48-825D-0852AC870DF6}"/>
    <cellStyle name="Normal 5 2 3 3 2 6" xfId="2585" xr:uid="{00000000-0005-0000-0000-000096180000}"/>
    <cellStyle name="Normal 5 2 3 3 2 6 2" xfId="6869" xr:uid="{00000000-0005-0000-0000-000097180000}"/>
    <cellStyle name="Normal 5 2 3 3 2 6 2 2" xfId="23746" xr:uid="{3CAB5230-7415-4215-AF6F-AB2EB956E5AA}"/>
    <cellStyle name="Normal 5 2 3 3 2 6 2 3" xfId="32180" xr:uid="{5E352174-568E-479F-9C75-BECE147CAD60}"/>
    <cellStyle name="Normal 5 2 3 3 2 6 2 4" xfId="15308" xr:uid="{2BC837F3-809E-4317-A289-095EA3FCD615}"/>
    <cellStyle name="Normal 5 2 3 3 2 6 3" xfId="19528" xr:uid="{DCF2D32B-7219-4A1A-91A2-DB62217A4A00}"/>
    <cellStyle name="Normal 5 2 3 3 2 6 4" xfId="27963" xr:uid="{E056D2B1-CA42-4675-BAB5-ED4AD7A47DD4}"/>
    <cellStyle name="Normal 5 2 3 3 2 6 5" xfId="11090" xr:uid="{602B3736-E519-4BCB-B457-89B6E9895B7F}"/>
    <cellStyle name="Normal 5 2 3 3 2 7" xfId="4804" xr:uid="{00000000-0005-0000-0000-000098180000}"/>
    <cellStyle name="Normal 5 2 3 3 2 7 2" xfId="21681" xr:uid="{F7F1E0A0-9A06-4846-A380-50828DF187A7}"/>
    <cellStyle name="Normal 5 2 3 3 2 7 3" xfId="30115" xr:uid="{6D8F8D3A-BBB3-4857-A9F3-A49084C61DAF}"/>
    <cellStyle name="Normal 5 2 3 3 2 7 4" xfId="13243" xr:uid="{1E90C008-6F07-40C6-AAA0-DEB646169F1E}"/>
    <cellStyle name="Normal 5 2 3 3 2 8" xfId="17463" xr:uid="{BC28D409-2E60-4C1D-A3A8-06087FAFEDE5}"/>
    <cellStyle name="Normal 5 2 3 3 2 9" xfId="25898" xr:uid="{52E10E23-CA78-4425-8C16-FF9DB2D018B3}"/>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24238" xr:uid="{1706B704-D377-4F63-A3CB-A4EB452950FC}"/>
    <cellStyle name="Normal 5 2 3 3 3 2 2 3" xfId="32672" xr:uid="{4AA47C17-3576-4130-A3D0-0840D8BB8409}"/>
    <cellStyle name="Normal 5 2 3 3 3 2 2 4" xfId="15800" xr:uid="{454BC7BA-5A63-451A-A3AE-BA4672FADE6B}"/>
    <cellStyle name="Normal 5 2 3 3 3 2 3" xfId="20020" xr:uid="{471AB1BF-C7F4-4D6A-8F4A-16018BCD1B3C}"/>
    <cellStyle name="Normal 5 2 3 3 3 2 4" xfId="28455" xr:uid="{92D4FC76-E6F4-43B8-8214-CBBE2E061D43}"/>
    <cellStyle name="Normal 5 2 3 3 3 2 5" xfId="11582" xr:uid="{CAC79EC3-6DF3-4BD7-B104-353E84C561A6}"/>
    <cellStyle name="Normal 5 2 3 3 3 3" xfId="5216" xr:uid="{00000000-0005-0000-0000-00009C180000}"/>
    <cellStyle name="Normal 5 2 3 3 3 3 2" xfId="22093" xr:uid="{E2D62893-BCCB-4BA6-8607-5E1FCF537AAB}"/>
    <cellStyle name="Normal 5 2 3 3 3 3 3" xfId="30527" xr:uid="{7BE364B7-E35C-42F5-A800-A932D3F43875}"/>
    <cellStyle name="Normal 5 2 3 3 3 3 4" xfId="13655" xr:uid="{4DE83716-AD7E-4732-983B-9B9A04E1A1B7}"/>
    <cellStyle name="Normal 5 2 3 3 3 4" xfId="17875" xr:uid="{AFF569CB-C4B0-453F-AC5F-2B41268940B9}"/>
    <cellStyle name="Normal 5 2 3 3 3 5" xfId="26310" xr:uid="{BA9B8A00-115B-40FF-A9C4-49ED482C1FAD}"/>
    <cellStyle name="Normal 5 2 3 3 3 6" xfId="9437" xr:uid="{33E77350-D9A9-4612-AC48-12ED95D554D8}"/>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24651" xr:uid="{43AD1428-E2B4-48A8-A367-C58F9A7511EE}"/>
    <cellStyle name="Normal 5 2 3 3 4 2 2 3" xfId="33085" xr:uid="{A43CE074-1A2C-4A16-9C88-1C186779E3FB}"/>
    <cellStyle name="Normal 5 2 3 3 4 2 2 4" xfId="16213" xr:uid="{B1B01A6D-984B-4EF8-B4E6-464287A2F1DC}"/>
    <cellStyle name="Normal 5 2 3 3 4 2 3" xfId="20433" xr:uid="{9AE18335-0629-433D-A0B4-B0CB75E197D7}"/>
    <cellStyle name="Normal 5 2 3 3 4 2 4" xfId="28868" xr:uid="{4879471B-088A-45A0-9340-BB4970309365}"/>
    <cellStyle name="Normal 5 2 3 3 4 2 5" xfId="11995" xr:uid="{F036F9B4-A304-4A43-8F2F-887506FD294E}"/>
    <cellStyle name="Normal 5 2 3 3 4 3" xfId="5629" xr:uid="{00000000-0005-0000-0000-0000A0180000}"/>
    <cellStyle name="Normal 5 2 3 3 4 3 2" xfId="22506" xr:uid="{E16A8CB1-6FD4-44DA-88D3-DC3554C167E1}"/>
    <cellStyle name="Normal 5 2 3 3 4 3 3" xfId="30940" xr:uid="{1C5588B6-A138-4857-99A7-0CDC666C3892}"/>
    <cellStyle name="Normal 5 2 3 3 4 3 4" xfId="14068" xr:uid="{8B4A4ACB-E612-4770-AA09-6E4BA0FC78AA}"/>
    <cellStyle name="Normal 5 2 3 3 4 4" xfId="18288" xr:uid="{A7A77159-0803-47E1-88BA-7A2D17B285D9}"/>
    <cellStyle name="Normal 5 2 3 3 4 5" xfId="26723" xr:uid="{D1DC6DAC-15DD-4574-8E83-4F3BB2D97CFF}"/>
    <cellStyle name="Normal 5 2 3 3 4 6" xfId="9850" xr:uid="{FF0B4F57-7E3C-4BC0-AAE4-27B87A988677}"/>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25064" xr:uid="{79548775-A107-4709-84DB-C9BF3B459667}"/>
    <cellStyle name="Normal 5 2 3 3 5 2 2 3" xfId="33498" xr:uid="{5FFB9885-272B-4740-801C-A262E70864ED}"/>
    <cellStyle name="Normal 5 2 3 3 5 2 2 4" xfId="16626" xr:uid="{87CDCC56-8D1C-4A41-93FF-B47109A502E7}"/>
    <cellStyle name="Normal 5 2 3 3 5 2 3" xfId="20846" xr:uid="{334063E1-EE93-4063-A003-2809F3A18EE8}"/>
    <cellStyle name="Normal 5 2 3 3 5 2 4" xfId="29281" xr:uid="{5B262C8C-493A-4B3E-BADB-35F295E734D0}"/>
    <cellStyle name="Normal 5 2 3 3 5 2 5" xfId="12408" xr:uid="{59234AD1-D51C-4494-8F19-E3647E1D9041}"/>
    <cellStyle name="Normal 5 2 3 3 5 3" xfId="6042" xr:uid="{00000000-0005-0000-0000-0000A4180000}"/>
    <cellStyle name="Normal 5 2 3 3 5 3 2" xfId="22919" xr:uid="{30709534-787C-4C84-889F-AA40A061A0F7}"/>
    <cellStyle name="Normal 5 2 3 3 5 3 3" xfId="31353" xr:uid="{9953DD90-7ECB-4949-9A06-8B10C7CC141D}"/>
    <cellStyle name="Normal 5 2 3 3 5 3 4" xfId="14481" xr:uid="{0C7E2366-5BC7-45A5-BB75-30962E779438}"/>
    <cellStyle name="Normal 5 2 3 3 5 4" xfId="18701" xr:uid="{677ED222-45BA-4B19-A679-9052DB48861F}"/>
    <cellStyle name="Normal 5 2 3 3 5 5" xfId="27136" xr:uid="{1CFF0858-9B0A-4D37-9E02-365D9FB5DF0F}"/>
    <cellStyle name="Normal 5 2 3 3 5 6" xfId="10263" xr:uid="{CC72ADCF-D5A6-4C63-8626-D87B5A5835F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25477" xr:uid="{75B0DBF0-8623-4713-850E-C2E39D1E810E}"/>
    <cellStyle name="Normal 5 2 3 3 6 2 2 3" xfId="33911" xr:uid="{6D13571A-18ED-4DAD-B3C2-5B290F0841B2}"/>
    <cellStyle name="Normal 5 2 3 3 6 2 2 4" xfId="17039" xr:uid="{EC1D7689-2983-4F1E-8CFF-BC7BD184D140}"/>
    <cellStyle name="Normal 5 2 3 3 6 2 3" xfId="21259" xr:uid="{C1EFC8FB-C1DB-47FB-BC5B-CC60BBF7DCB8}"/>
    <cellStyle name="Normal 5 2 3 3 6 2 4" xfId="29694" xr:uid="{CEC076CF-026B-4035-BC8D-58BC879D2231}"/>
    <cellStyle name="Normal 5 2 3 3 6 2 5" xfId="12821" xr:uid="{83D7C286-609A-400A-A1C1-DA4EA2266F04}"/>
    <cellStyle name="Normal 5 2 3 3 6 3" xfId="6455" xr:uid="{00000000-0005-0000-0000-0000A8180000}"/>
    <cellStyle name="Normal 5 2 3 3 6 3 2" xfId="23332" xr:uid="{5FCEB4FA-B15E-453E-A920-E6283C13B10D}"/>
    <cellStyle name="Normal 5 2 3 3 6 3 3" xfId="31766" xr:uid="{FFE963DB-2B44-4B3F-83E0-A96ECBB2456A}"/>
    <cellStyle name="Normal 5 2 3 3 6 3 4" xfId="14894" xr:uid="{C09E0F20-3771-41EC-9BC6-49BACAF4336B}"/>
    <cellStyle name="Normal 5 2 3 3 6 4" xfId="19114" xr:uid="{F9F54EC8-E459-4303-A3E9-9D27954A6EFD}"/>
    <cellStyle name="Normal 5 2 3 3 6 5" xfId="27549" xr:uid="{8C4A9800-0998-446D-8D9E-22FB8059D767}"/>
    <cellStyle name="Normal 5 2 3 3 6 6" xfId="10676" xr:uid="{AB4F4501-A89A-457F-8865-B29F51682AF6}"/>
    <cellStyle name="Normal 5 2 3 3 7" xfId="2584" xr:uid="{00000000-0005-0000-0000-0000A9180000}"/>
    <cellStyle name="Normal 5 2 3 3 7 2" xfId="6868" xr:uid="{00000000-0005-0000-0000-0000AA180000}"/>
    <cellStyle name="Normal 5 2 3 3 7 2 2" xfId="23745" xr:uid="{201550BF-7F8D-45A0-B050-4837C05DF456}"/>
    <cellStyle name="Normal 5 2 3 3 7 2 3" xfId="32179" xr:uid="{0362A2DE-A414-4D1B-9142-4E94B563930C}"/>
    <cellStyle name="Normal 5 2 3 3 7 2 4" xfId="15307" xr:uid="{57CABD27-00D9-4B8C-939A-EEF709065187}"/>
    <cellStyle name="Normal 5 2 3 3 7 3" xfId="19527" xr:uid="{7216093E-4154-484B-8071-8AE7BD14B0F6}"/>
    <cellStyle name="Normal 5 2 3 3 7 4" xfId="27962" xr:uid="{4375A26C-4DD4-4E47-B2ED-1CA530B7323F}"/>
    <cellStyle name="Normal 5 2 3 3 7 5" xfId="11089" xr:uid="{F2E05537-1DF9-4C36-B0E6-81328BE8C5AE}"/>
    <cellStyle name="Normal 5 2 3 3 8" xfId="4803" xr:uid="{00000000-0005-0000-0000-0000AB180000}"/>
    <cellStyle name="Normal 5 2 3 3 8 2" xfId="21680" xr:uid="{03C57A6D-1024-4E5A-BBC0-B300921B3C6D}"/>
    <cellStyle name="Normal 5 2 3 3 8 3" xfId="30114" xr:uid="{1C9CD774-1DD2-4B04-9876-5024E7725EED}"/>
    <cellStyle name="Normal 5 2 3 3 8 4" xfId="13242" xr:uid="{DCB42F98-382A-4AED-AFFB-92155C9C77FA}"/>
    <cellStyle name="Normal 5 2 3 3 9" xfId="17462" xr:uid="{3049708B-BA87-4043-AF46-A6031A67D7A1}"/>
    <cellStyle name="Normal 5 2 3 4" xfId="431" xr:uid="{00000000-0005-0000-0000-0000AC180000}"/>
    <cellStyle name="Normal 5 2 3 4 10" xfId="9026" xr:uid="{9F8EFAB0-B3B2-46B3-8E31-BB07F4B62A77}"/>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24240" xr:uid="{57465D50-BD73-45D1-8E43-1B8D0090A1BD}"/>
    <cellStyle name="Normal 5 2 3 4 2 2 2 3" xfId="32674" xr:uid="{208CED92-F12B-4CBD-884C-15473177D76C}"/>
    <cellStyle name="Normal 5 2 3 4 2 2 2 4" xfId="15802" xr:uid="{93E4F73B-C48A-4F94-98B6-98FFD2994E4E}"/>
    <cellStyle name="Normal 5 2 3 4 2 2 3" xfId="20022" xr:uid="{735A080A-E25A-4CF2-A03A-3B8E7A3710DD}"/>
    <cellStyle name="Normal 5 2 3 4 2 2 4" xfId="28457" xr:uid="{E51B4298-CA22-4A02-8A0F-802C67F2F53B}"/>
    <cellStyle name="Normal 5 2 3 4 2 2 5" xfId="11584" xr:uid="{28D4F36C-FD95-4DBD-BF07-4C391E23E579}"/>
    <cellStyle name="Normal 5 2 3 4 2 3" xfId="5218" xr:uid="{00000000-0005-0000-0000-0000B0180000}"/>
    <cellStyle name="Normal 5 2 3 4 2 3 2" xfId="22095" xr:uid="{AB6369A9-800A-4411-B401-C9D9EFC80B45}"/>
    <cellStyle name="Normal 5 2 3 4 2 3 3" xfId="30529" xr:uid="{420C48B5-E36C-452C-BB25-92F5DC303F62}"/>
    <cellStyle name="Normal 5 2 3 4 2 3 4" xfId="13657" xr:uid="{7F0F8951-ECD4-4EFE-8F10-0CC1B72B2B06}"/>
    <cellStyle name="Normal 5 2 3 4 2 4" xfId="17877" xr:uid="{4F0C4E26-D2C5-4D4A-AC4B-E3E5BDBCDD28}"/>
    <cellStyle name="Normal 5 2 3 4 2 5" xfId="26312" xr:uid="{75EE3AB3-46F1-435D-A949-BB801D45FF94}"/>
    <cellStyle name="Normal 5 2 3 4 2 6" xfId="9439" xr:uid="{BEA92099-DB6C-4C1C-B1BE-F15BF9B0685E}"/>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24653" xr:uid="{743443F2-28C4-467E-9141-C0F5A4F5F90C}"/>
    <cellStyle name="Normal 5 2 3 4 3 2 2 3" xfId="33087" xr:uid="{DA1B61D0-F8AC-4AF4-A6E5-C4807B7A6566}"/>
    <cellStyle name="Normal 5 2 3 4 3 2 2 4" xfId="16215" xr:uid="{49B519EF-171A-4D36-8A04-F8A29E3B0173}"/>
    <cellStyle name="Normal 5 2 3 4 3 2 3" xfId="20435" xr:uid="{625798B4-C72F-42A7-97AD-B481B7B3A896}"/>
    <cellStyle name="Normal 5 2 3 4 3 2 4" xfId="28870" xr:uid="{0AEDCA90-E362-4E51-8105-50187EDD0894}"/>
    <cellStyle name="Normal 5 2 3 4 3 2 5" xfId="11997" xr:uid="{696504B5-E472-453F-A540-2CA430465ECC}"/>
    <cellStyle name="Normal 5 2 3 4 3 3" xfId="5631" xr:uid="{00000000-0005-0000-0000-0000B4180000}"/>
    <cellStyle name="Normal 5 2 3 4 3 3 2" xfId="22508" xr:uid="{B44C18A0-3518-4E05-A61D-A9E19693FF17}"/>
    <cellStyle name="Normal 5 2 3 4 3 3 3" xfId="30942" xr:uid="{E38326B6-B70E-4801-A9F5-008A7B987799}"/>
    <cellStyle name="Normal 5 2 3 4 3 3 4" xfId="14070" xr:uid="{3A1F8E4B-D1B1-4576-B973-368F45AA4EF4}"/>
    <cellStyle name="Normal 5 2 3 4 3 4" xfId="18290" xr:uid="{F5395BF1-D9B1-41B8-9784-DE201192CEA2}"/>
    <cellStyle name="Normal 5 2 3 4 3 5" xfId="26725" xr:uid="{85EDC2E8-CF82-4A82-94B6-6FC32C533737}"/>
    <cellStyle name="Normal 5 2 3 4 3 6" xfId="9852" xr:uid="{4CB37F16-88EA-4199-8334-08878492949C}"/>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25066" xr:uid="{BB50CC56-BA27-4521-8565-64E60F32336B}"/>
    <cellStyle name="Normal 5 2 3 4 4 2 2 3" xfId="33500" xr:uid="{791E7E5A-7371-4E52-8B1A-BA392C488CC1}"/>
    <cellStyle name="Normal 5 2 3 4 4 2 2 4" xfId="16628" xr:uid="{C15C6698-999D-4495-BD7F-5B963EF4ABAA}"/>
    <cellStyle name="Normal 5 2 3 4 4 2 3" xfId="20848" xr:uid="{FA0C2DE2-9CF9-437F-A834-1EE275F49561}"/>
    <cellStyle name="Normal 5 2 3 4 4 2 4" xfId="29283" xr:uid="{821858EE-223F-430A-B701-46118C331F82}"/>
    <cellStyle name="Normal 5 2 3 4 4 2 5" xfId="12410" xr:uid="{A3D47F89-F370-4C03-B90A-1BD322B74612}"/>
    <cellStyle name="Normal 5 2 3 4 4 3" xfId="6044" xr:uid="{00000000-0005-0000-0000-0000B8180000}"/>
    <cellStyle name="Normal 5 2 3 4 4 3 2" xfId="22921" xr:uid="{66D0E868-D1F6-4610-A9B9-056A14DDF227}"/>
    <cellStyle name="Normal 5 2 3 4 4 3 3" xfId="31355" xr:uid="{EB5094A2-32DB-4B92-BF06-F47D37AFBA55}"/>
    <cellStyle name="Normal 5 2 3 4 4 3 4" xfId="14483" xr:uid="{2279CF90-E95F-4F2F-8821-2CA908517039}"/>
    <cellStyle name="Normal 5 2 3 4 4 4" xfId="18703" xr:uid="{A8C3EBFE-CC20-48D6-8142-3F2777BB1A20}"/>
    <cellStyle name="Normal 5 2 3 4 4 5" xfId="27138" xr:uid="{7F0D7B24-64AC-4669-9779-D4D950C3D877}"/>
    <cellStyle name="Normal 5 2 3 4 4 6" xfId="10265" xr:uid="{D5BF23E2-1CF0-491B-BB2A-FC85DFEC8C88}"/>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25479" xr:uid="{43DA4524-9D16-427B-B8C1-E57889D5FBEF}"/>
    <cellStyle name="Normal 5 2 3 4 5 2 2 3" xfId="33913" xr:uid="{12A2E23B-0841-4A39-8C21-B66893342C8C}"/>
    <cellStyle name="Normal 5 2 3 4 5 2 2 4" xfId="17041" xr:uid="{BCAD7363-252F-42A2-A3FA-78B505EC18E7}"/>
    <cellStyle name="Normal 5 2 3 4 5 2 3" xfId="21261" xr:uid="{42184A6A-E9E1-4B1D-BE7C-58463268CA5D}"/>
    <cellStyle name="Normal 5 2 3 4 5 2 4" xfId="29696" xr:uid="{6FDE6CF7-A8F3-4BA7-9026-E3BE76785103}"/>
    <cellStyle name="Normal 5 2 3 4 5 2 5" xfId="12823" xr:uid="{C73308CE-BB7D-4526-B747-D86E4FEE8C38}"/>
    <cellStyle name="Normal 5 2 3 4 5 3" xfId="6457" xr:uid="{00000000-0005-0000-0000-0000BC180000}"/>
    <cellStyle name="Normal 5 2 3 4 5 3 2" xfId="23334" xr:uid="{1AF07347-D001-4EB7-A3EC-851319C1DF13}"/>
    <cellStyle name="Normal 5 2 3 4 5 3 3" xfId="31768" xr:uid="{8A23F0AC-4BD5-48CB-A77B-2D1D9CAFBA54}"/>
    <cellStyle name="Normal 5 2 3 4 5 3 4" xfId="14896" xr:uid="{267A01A4-DA44-4373-8065-5784A73A34C2}"/>
    <cellStyle name="Normal 5 2 3 4 5 4" xfId="19116" xr:uid="{B9343E65-E6E7-4040-8F06-DBD125AC36F1}"/>
    <cellStyle name="Normal 5 2 3 4 5 5" xfId="27551" xr:uid="{809CC086-FDC2-4A0D-B281-B1E4DFDD925D}"/>
    <cellStyle name="Normal 5 2 3 4 5 6" xfId="10678" xr:uid="{D713153E-8718-472B-B114-50A962A1F64A}"/>
    <cellStyle name="Normal 5 2 3 4 6" xfId="2586" xr:uid="{00000000-0005-0000-0000-0000BD180000}"/>
    <cellStyle name="Normal 5 2 3 4 6 2" xfId="6870" xr:uid="{00000000-0005-0000-0000-0000BE180000}"/>
    <cellStyle name="Normal 5 2 3 4 6 2 2" xfId="23747" xr:uid="{88BF07A3-D965-417D-9C67-2C8A3F4B3065}"/>
    <cellStyle name="Normal 5 2 3 4 6 2 3" xfId="32181" xr:uid="{CBDAE621-7895-4F83-A409-DD9CBA56DD85}"/>
    <cellStyle name="Normal 5 2 3 4 6 2 4" xfId="15309" xr:uid="{FBE06F70-987A-4214-B9CB-95E0EB3F90E1}"/>
    <cellStyle name="Normal 5 2 3 4 6 3" xfId="19529" xr:uid="{31AA67E9-9D94-4C4F-8D9D-F1B3A5665350}"/>
    <cellStyle name="Normal 5 2 3 4 6 4" xfId="27964" xr:uid="{FC796E16-400E-4F5E-BCE1-8B3C5DEF2399}"/>
    <cellStyle name="Normal 5 2 3 4 6 5" xfId="11091" xr:uid="{2B9150E1-C7C3-4FC8-87E3-EFB5AE43B750}"/>
    <cellStyle name="Normal 5 2 3 4 7" xfId="4805" xr:uid="{00000000-0005-0000-0000-0000BF180000}"/>
    <cellStyle name="Normal 5 2 3 4 7 2" xfId="21682" xr:uid="{91447717-4034-4C42-9828-44B06BDAABAA}"/>
    <cellStyle name="Normal 5 2 3 4 7 3" xfId="30116" xr:uid="{F2472EB0-C70E-4D92-A882-DCF3CC63D6F5}"/>
    <cellStyle name="Normal 5 2 3 4 7 4" xfId="13244" xr:uid="{905B3219-78A7-487B-BB0E-626C0C09884B}"/>
    <cellStyle name="Normal 5 2 3 4 8" xfId="17464" xr:uid="{5AB05ECC-4080-4CB1-9F40-B87C6710D47C}"/>
    <cellStyle name="Normal 5 2 3 4 9" xfId="25899" xr:uid="{D02B7988-13A3-4219-BA42-DA312FC386DD}"/>
    <cellStyle name="Normal 5 2 3 5" xfId="898" xr:uid="{00000000-0005-0000-0000-0000C0180000}"/>
    <cellStyle name="Normal 5 2 3 5 2" xfId="3133" xr:uid="{00000000-0005-0000-0000-0000C1180000}"/>
    <cellStyle name="Normal 5 2 3 5 2 2" xfId="7356" xr:uid="{00000000-0005-0000-0000-0000C2180000}"/>
    <cellStyle name="Normal 5 2 3 5 2 2 2" xfId="24233" xr:uid="{075E4554-7468-4E6D-99AD-A408145E47CA}"/>
    <cellStyle name="Normal 5 2 3 5 2 2 3" xfId="32667" xr:uid="{396B1296-E832-44F1-994B-6E6EB656AF25}"/>
    <cellStyle name="Normal 5 2 3 5 2 2 4" xfId="15795" xr:uid="{CED4F1A0-6677-4760-A367-28EFE5FD9B10}"/>
    <cellStyle name="Normal 5 2 3 5 2 3" xfId="20015" xr:uid="{51149B90-3B0D-4286-BD4D-00C6BB14A8A9}"/>
    <cellStyle name="Normal 5 2 3 5 2 4" xfId="28450" xr:uid="{878D0416-818E-4781-AEFB-52CCFC90A82F}"/>
    <cellStyle name="Normal 5 2 3 5 2 5" xfId="11577" xr:uid="{86FB00D5-5142-446F-BEC4-85C17A8287DD}"/>
    <cellStyle name="Normal 5 2 3 5 3" xfId="5211" xr:uid="{00000000-0005-0000-0000-0000C3180000}"/>
    <cellStyle name="Normal 5 2 3 5 3 2" xfId="22088" xr:uid="{33ED6056-4243-4EF3-9D6E-48E3DBF80FFF}"/>
    <cellStyle name="Normal 5 2 3 5 3 3" xfId="30522" xr:uid="{FDF50054-010B-4360-8246-CD077D27A3DF}"/>
    <cellStyle name="Normal 5 2 3 5 3 4" xfId="13650" xr:uid="{C79F4212-9DC3-4E15-9B7A-4F63A8ED4F96}"/>
    <cellStyle name="Normal 5 2 3 5 4" xfId="17870" xr:uid="{D1C2488E-14BA-4742-837F-3403E4029C28}"/>
    <cellStyle name="Normal 5 2 3 5 5" xfId="26305" xr:uid="{31FBB6EC-FF2D-45FB-9CFD-22F9C17F2A2B}"/>
    <cellStyle name="Normal 5 2 3 5 6" xfId="9432" xr:uid="{8B9236D4-EDB6-4FAF-A954-0CC493EBAE96}"/>
    <cellStyle name="Normal 5 2 3 6" xfId="1316" xr:uid="{00000000-0005-0000-0000-0000C4180000}"/>
    <cellStyle name="Normal 5 2 3 6 2" xfId="3546" xr:uid="{00000000-0005-0000-0000-0000C5180000}"/>
    <cellStyle name="Normal 5 2 3 6 2 2" xfId="7769" xr:uid="{00000000-0005-0000-0000-0000C6180000}"/>
    <cellStyle name="Normal 5 2 3 6 2 2 2" xfId="24646" xr:uid="{46F97866-6D62-478D-82AA-140889E22294}"/>
    <cellStyle name="Normal 5 2 3 6 2 2 3" xfId="33080" xr:uid="{B9185813-788E-447E-A92F-8EFA7F427B7C}"/>
    <cellStyle name="Normal 5 2 3 6 2 2 4" xfId="16208" xr:uid="{2487D468-6C12-4AF4-819A-0DFDD048384C}"/>
    <cellStyle name="Normal 5 2 3 6 2 3" xfId="20428" xr:uid="{88A41CEF-2B19-435C-A86C-F0DE33ED6BD8}"/>
    <cellStyle name="Normal 5 2 3 6 2 4" xfId="28863" xr:uid="{71EEA2CC-50F1-45FC-9C32-3F3CA45E4EA7}"/>
    <cellStyle name="Normal 5 2 3 6 2 5" xfId="11990" xr:uid="{C915A61A-EA37-4071-BE13-2877210CDF6B}"/>
    <cellStyle name="Normal 5 2 3 6 3" xfId="5624" xr:uid="{00000000-0005-0000-0000-0000C7180000}"/>
    <cellStyle name="Normal 5 2 3 6 3 2" xfId="22501" xr:uid="{C2C187B7-AB85-441D-A24A-58253E1AD79A}"/>
    <cellStyle name="Normal 5 2 3 6 3 3" xfId="30935" xr:uid="{0B986CA2-0D91-40CC-89CD-566FB986DB40}"/>
    <cellStyle name="Normal 5 2 3 6 3 4" xfId="14063" xr:uid="{0D53F3D6-D62C-4355-B984-17DC94A4E1A2}"/>
    <cellStyle name="Normal 5 2 3 6 4" xfId="18283" xr:uid="{A3115EDB-A2BA-40BF-A80A-3971756C6B8E}"/>
    <cellStyle name="Normal 5 2 3 6 5" xfId="26718" xr:uid="{33536158-F099-455E-AC83-5AD3BEBBFDEA}"/>
    <cellStyle name="Normal 5 2 3 6 6" xfId="9845" xr:uid="{B27CE6E9-7F74-44C1-A35B-A847362A9F89}"/>
    <cellStyle name="Normal 5 2 3 7" xfId="1729" xr:uid="{00000000-0005-0000-0000-0000C8180000}"/>
    <cellStyle name="Normal 5 2 3 7 2" xfId="3959" xr:uid="{00000000-0005-0000-0000-0000C9180000}"/>
    <cellStyle name="Normal 5 2 3 7 2 2" xfId="8182" xr:uid="{00000000-0005-0000-0000-0000CA180000}"/>
    <cellStyle name="Normal 5 2 3 7 2 2 2" xfId="25059" xr:uid="{043118DF-46B0-4612-B812-1D9217AC9BDD}"/>
    <cellStyle name="Normal 5 2 3 7 2 2 3" xfId="33493" xr:uid="{4A070A2E-2515-410A-BADB-17618E3F4B2A}"/>
    <cellStyle name="Normal 5 2 3 7 2 2 4" xfId="16621" xr:uid="{39F90207-8F19-4F8D-9D06-34026EA78D2A}"/>
    <cellStyle name="Normal 5 2 3 7 2 3" xfId="20841" xr:uid="{70D32875-2171-4315-B055-6DFC8A6A6398}"/>
    <cellStyle name="Normal 5 2 3 7 2 4" xfId="29276" xr:uid="{0A4A7E86-B4FF-4A29-B053-6C48AC4C802A}"/>
    <cellStyle name="Normal 5 2 3 7 2 5" xfId="12403" xr:uid="{571AC933-1A4E-48BA-962B-2792D5B54F77}"/>
    <cellStyle name="Normal 5 2 3 7 3" xfId="6037" xr:uid="{00000000-0005-0000-0000-0000CB180000}"/>
    <cellStyle name="Normal 5 2 3 7 3 2" xfId="22914" xr:uid="{B8225342-C5F3-4B29-98F5-204380B8112E}"/>
    <cellStyle name="Normal 5 2 3 7 3 3" xfId="31348" xr:uid="{07B5FCE8-D409-4756-A24F-E8DD059B21F0}"/>
    <cellStyle name="Normal 5 2 3 7 3 4" xfId="14476" xr:uid="{C5DEFE4E-8EB9-4808-A6B3-521771CA28AC}"/>
    <cellStyle name="Normal 5 2 3 7 4" xfId="18696" xr:uid="{DFA44AFD-7A56-48FB-B529-1CAAA612A1C3}"/>
    <cellStyle name="Normal 5 2 3 7 5" xfId="27131" xr:uid="{74979808-9F18-4B9E-A180-DD7343F0C77B}"/>
    <cellStyle name="Normal 5 2 3 7 6" xfId="10258" xr:uid="{8F7E7F1C-00F8-448B-BB53-CB44EEB57807}"/>
    <cellStyle name="Normal 5 2 3 8" xfId="2143" xr:uid="{00000000-0005-0000-0000-0000CC180000}"/>
    <cellStyle name="Normal 5 2 3 8 2" xfId="4372" xr:uid="{00000000-0005-0000-0000-0000CD180000}"/>
    <cellStyle name="Normal 5 2 3 8 2 2" xfId="8595" xr:uid="{00000000-0005-0000-0000-0000CE180000}"/>
    <cellStyle name="Normal 5 2 3 8 2 2 2" xfId="25472" xr:uid="{857C158F-B8CF-419E-8F02-FE81EFEF9552}"/>
    <cellStyle name="Normal 5 2 3 8 2 2 3" xfId="33906" xr:uid="{C625BEA0-7CA1-482F-95D7-127F164A2418}"/>
    <cellStyle name="Normal 5 2 3 8 2 2 4" xfId="17034" xr:uid="{87350F64-8887-4A6D-AE2B-31CBF69ABF34}"/>
    <cellStyle name="Normal 5 2 3 8 2 3" xfId="21254" xr:uid="{2CD3B7EA-9E8E-47AD-BBD4-92BF31B1DB50}"/>
    <cellStyle name="Normal 5 2 3 8 2 4" xfId="29689" xr:uid="{5E96DB16-F1F8-43F8-A812-960487349D4E}"/>
    <cellStyle name="Normal 5 2 3 8 2 5" xfId="12816" xr:uid="{555AA4DF-6F81-4F1C-9C61-702C6B65ED47}"/>
    <cellStyle name="Normal 5 2 3 8 3" xfId="6450" xr:uid="{00000000-0005-0000-0000-0000CF180000}"/>
    <cellStyle name="Normal 5 2 3 8 3 2" xfId="23327" xr:uid="{94AC4906-F42A-40AD-A3F9-E70B96B00018}"/>
    <cellStyle name="Normal 5 2 3 8 3 3" xfId="31761" xr:uid="{3A4CC083-E031-42C7-947D-D86A97C4065C}"/>
    <cellStyle name="Normal 5 2 3 8 3 4" xfId="14889" xr:uid="{C28AA5C3-F5C8-488B-B55B-F64307189FAE}"/>
    <cellStyle name="Normal 5 2 3 8 4" xfId="19109" xr:uid="{CA494193-2630-482E-BC6D-C084046ACC40}"/>
    <cellStyle name="Normal 5 2 3 8 5" xfId="27544" xr:uid="{15343BAC-5AA8-4BD8-B8E8-E536C4C2356B}"/>
    <cellStyle name="Normal 5 2 3 8 6" xfId="10671" xr:uid="{F6DCB84E-93E4-481C-A5F1-318EB3BB0F21}"/>
    <cellStyle name="Normal 5 2 3 9" xfId="2579" xr:uid="{00000000-0005-0000-0000-0000D0180000}"/>
    <cellStyle name="Normal 5 2 3 9 2" xfId="6863" xr:uid="{00000000-0005-0000-0000-0000D1180000}"/>
    <cellStyle name="Normal 5 2 3 9 2 2" xfId="23740" xr:uid="{05CA2705-0A72-4E29-8710-3DDAE0F4808D}"/>
    <cellStyle name="Normal 5 2 3 9 2 3" xfId="32174" xr:uid="{6D2096FB-03C1-4F92-8AD2-97F3F722BD39}"/>
    <cellStyle name="Normal 5 2 3 9 2 4" xfId="15302" xr:uid="{341929D9-9ED6-4A54-924E-173342D21361}"/>
    <cellStyle name="Normal 5 2 3 9 3" xfId="19522" xr:uid="{80EDD37E-70E5-48B1-AA9F-C813294EBF76}"/>
    <cellStyle name="Normal 5 2 3 9 4" xfId="27957" xr:uid="{2485595C-003E-44F3-A7AC-EA4BF0CCD0BA}"/>
    <cellStyle name="Normal 5 2 3 9 5" xfId="11084" xr:uid="{1146C2AE-E1CE-43E0-AF28-A251DA1CC8CA}"/>
    <cellStyle name="Normal 5 2 4" xfId="432" xr:uid="{00000000-0005-0000-0000-0000D2180000}"/>
    <cellStyle name="Normal 5 2 4 10" xfId="17465" xr:uid="{52C53E72-FD23-4D9C-9D4C-5828F8189C24}"/>
    <cellStyle name="Normal 5 2 4 11" xfId="25900" xr:uid="{293BC44A-301B-4240-B180-79FA6A8AB88D}"/>
    <cellStyle name="Normal 5 2 4 12" xfId="9027" xr:uid="{ADE5E6D4-E6B4-4B23-A329-33E8B04E2AF0}"/>
    <cellStyle name="Normal 5 2 4 2" xfId="433" xr:uid="{00000000-0005-0000-0000-0000D3180000}"/>
    <cellStyle name="Normal 5 2 4 2 10" xfId="25901" xr:uid="{3D311520-5FA7-47A1-8E3E-A24AD5D9F3E8}"/>
    <cellStyle name="Normal 5 2 4 2 11" xfId="9028" xr:uid="{04385667-B4C9-4883-A5CF-071B21450960}"/>
    <cellStyle name="Normal 5 2 4 2 2" xfId="434" xr:uid="{00000000-0005-0000-0000-0000D4180000}"/>
    <cellStyle name="Normal 5 2 4 2 2 10" xfId="9029" xr:uid="{E807D36C-6205-4ADC-9FC9-DD58C4E78638}"/>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24243" xr:uid="{E96E47A2-2BFE-4F1E-A057-927028725643}"/>
    <cellStyle name="Normal 5 2 4 2 2 2 2 2 3" xfId="32677" xr:uid="{AE3D60B3-376A-48B4-BAC8-313DC6E9F055}"/>
    <cellStyle name="Normal 5 2 4 2 2 2 2 2 4" xfId="15805" xr:uid="{35DB4FCC-48FC-4AF2-AEC7-22B32F3F696A}"/>
    <cellStyle name="Normal 5 2 4 2 2 2 2 3" xfId="20025" xr:uid="{ADA62AF7-67EB-462A-A990-C3B12FB18B74}"/>
    <cellStyle name="Normal 5 2 4 2 2 2 2 4" xfId="28460" xr:uid="{F1500CD0-1180-46CA-B0E7-C69945CC198E}"/>
    <cellStyle name="Normal 5 2 4 2 2 2 2 5" xfId="11587" xr:uid="{EA65B0EE-90F7-4E02-B443-FA06F85E999A}"/>
    <cellStyle name="Normal 5 2 4 2 2 2 3" xfId="5221" xr:uid="{00000000-0005-0000-0000-0000D8180000}"/>
    <cellStyle name="Normal 5 2 4 2 2 2 3 2" xfId="22098" xr:uid="{F339502D-BEBD-40DF-ABD3-207040BBAFDD}"/>
    <cellStyle name="Normal 5 2 4 2 2 2 3 3" xfId="30532" xr:uid="{69C5017E-D526-4140-8A9D-97D8C08464DA}"/>
    <cellStyle name="Normal 5 2 4 2 2 2 3 4" xfId="13660" xr:uid="{61F93FDE-1171-4D30-9F24-61E29E6F38F0}"/>
    <cellStyle name="Normal 5 2 4 2 2 2 4" xfId="17880" xr:uid="{96F483E9-93DF-408F-B6CB-B874B4BA55F5}"/>
    <cellStyle name="Normal 5 2 4 2 2 2 5" xfId="26315" xr:uid="{3C12CD85-A206-4BA7-B7C1-4E61C5303904}"/>
    <cellStyle name="Normal 5 2 4 2 2 2 6" xfId="9442" xr:uid="{4184C785-FE7C-493E-A664-4E90A42A4727}"/>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24656" xr:uid="{74E83E6E-B9D5-40D2-91CB-0838CFD91D3D}"/>
    <cellStyle name="Normal 5 2 4 2 2 3 2 2 3" xfId="33090" xr:uid="{E13DDA1C-1044-42A7-A861-CBAB3DF187B9}"/>
    <cellStyle name="Normal 5 2 4 2 2 3 2 2 4" xfId="16218" xr:uid="{9EA3419C-8E95-46F6-8DB2-05D5B7CDA59C}"/>
    <cellStyle name="Normal 5 2 4 2 2 3 2 3" xfId="20438" xr:uid="{AD1A9478-A719-42F8-929B-0CE0B5BC4F56}"/>
    <cellStyle name="Normal 5 2 4 2 2 3 2 4" xfId="28873" xr:uid="{127AD0E2-625C-46AD-B759-712A5F5D528A}"/>
    <cellStyle name="Normal 5 2 4 2 2 3 2 5" xfId="12000" xr:uid="{C5DFDC03-CE4E-47E0-9051-3FF7DC937363}"/>
    <cellStyle name="Normal 5 2 4 2 2 3 3" xfId="5634" xr:uid="{00000000-0005-0000-0000-0000DC180000}"/>
    <cellStyle name="Normal 5 2 4 2 2 3 3 2" xfId="22511" xr:uid="{3420F240-2106-4C60-8C5B-5A0AA51DE159}"/>
    <cellStyle name="Normal 5 2 4 2 2 3 3 3" xfId="30945" xr:uid="{6A90F3B7-302E-4501-8728-FEB7054E861F}"/>
    <cellStyle name="Normal 5 2 4 2 2 3 3 4" xfId="14073" xr:uid="{0D4D9277-E9DB-4036-A79A-F2D7B868714D}"/>
    <cellStyle name="Normal 5 2 4 2 2 3 4" xfId="18293" xr:uid="{51B3881D-6332-43CA-B7A5-4F7CCFCC996B}"/>
    <cellStyle name="Normal 5 2 4 2 2 3 5" xfId="26728" xr:uid="{2A0034E8-3CB8-4B3E-BB32-78DA837C1078}"/>
    <cellStyle name="Normal 5 2 4 2 2 3 6" xfId="9855" xr:uid="{48A77AE8-0478-401F-BBE9-36314BB5E695}"/>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25069" xr:uid="{3E2D7F11-4D8F-4CD0-A601-BCE706863329}"/>
    <cellStyle name="Normal 5 2 4 2 2 4 2 2 3" xfId="33503" xr:uid="{A663815D-F6E5-45A4-B7B6-0AC7F0E37824}"/>
    <cellStyle name="Normal 5 2 4 2 2 4 2 2 4" xfId="16631" xr:uid="{F337ACA4-D0B3-4E8A-8552-9F42C40E9D49}"/>
    <cellStyle name="Normal 5 2 4 2 2 4 2 3" xfId="20851" xr:uid="{96D0A6CD-7041-46CC-B052-100514B2ED37}"/>
    <cellStyle name="Normal 5 2 4 2 2 4 2 4" xfId="29286" xr:uid="{E51B95E8-6CC2-41B7-B8DA-F8AA76FA2338}"/>
    <cellStyle name="Normal 5 2 4 2 2 4 2 5" xfId="12413" xr:uid="{621A080F-C157-450D-ADEA-D21E8576F235}"/>
    <cellStyle name="Normal 5 2 4 2 2 4 3" xfId="6047" xr:uid="{00000000-0005-0000-0000-0000E0180000}"/>
    <cellStyle name="Normal 5 2 4 2 2 4 3 2" xfId="22924" xr:uid="{708D4FB5-3A21-4792-8959-E5F800E3ADCE}"/>
    <cellStyle name="Normal 5 2 4 2 2 4 3 3" xfId="31358" xr:uid="{2713FE0E-A4F8-40E6-9534-A717CE2D2154}"/>
    <cellStyle name="Normal 5 2 4 2 2 4 3 4" xfId="14486" xr:uid="{306DF95A-A0E5-481D-8447-4E6E1365A286}"/>
    <cellStyle name="Normal 5 2 4 2 2 4 4" xfId="18706" xr:uid="{C0B52C6C-A309-4CD6-9157-4301D3DCB130}"/>
    <cellStyle name="Normal 5 2 4 2 2 4 5" xfId="27141" xr:uid="{DC5A0870-DEAA-4506-BA93-D4C7CEFFBFE4}"/>
    <cellStyle name="Normal 5 2 4 2 2 4 6" xfId="10268" xr:uid="{09FFC209-08BC-4983-9214-56E5103FDF66}"/>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25482" xr:uid="{F3733421-8DB2-4630-B3B5-14639A05407F}"/>
    <cellStyle name="Normal 5 2 4 2 2 5 2 2 3" xfId="33916" xr:uid="{D4123871-1073-485F-B00B-FAFED144AC18}"/>
    <cellStyle name="Normal 5 2 4 2 2 5 2 2 4" xfId="17044" xr:uid="{D8863662-6D02-489D-BE74-255E2448494F}"/>
    <cellStyle name="Normal 5 2 4 2 2 5 2 3" xfId="21264" xr:uid="{C1950297-69FD-4A47-9FEE-71AB6A269285}"/>
    <cellStyle name="Normal 5 2 4 2 2 5 2 4" xfId="29699" xr:uid="{B8B21335-00DF-4070-AB23-8845C060A3E6}"/>
    <cellStyle name="Normal 5 2 4 2 2 5 2 5" xfId="12826" xr:uid="{A29CB2BB-0361-43CF-8104-7E524B21722A}"/>
    <cellStyle name="Normal 5 2 4 2 2 5 3" xfId="6460" xr:uid="{00000000-0005-0000-0000-0000E4180000}"/>
    <cellStyle name="Normal 5 2 4 2 2 5 3 2" xfId="23337" xr:uid="{AE2B35EA-5DEC-4562-BD6D-AF865C5D8E76}"/>
    <cellStyle name="Normal 5 2 4 2 2 5 3 3" xfId="31771" xr:uid="{EFBC21B2-9409-4659-9DC9-88449ED9F155}"/>
    <cellStyle name="Normal 5 2 4 2 2 5 3 4" xfId="14899" xr:uid="{63F22E80-8AAE-4A36-B64D-8AA41B42E279}"/>
    <cellStyle name="Normal 5 2 4 2 2 5 4" xfId="19119" xr:uid="{D1C0B8B9-D2E5-4C6C-8D76-FC89908EE50D}"/>
    <cellStyle name="Normal 5 2 4 2 2 5 5" xfId="27554" xr:uid="{7E2C7D9D-BAE5-4608-BCD0-695F017D7CC0}"/>
    <cellStyle name="Normal 5 2 4 2 2 5 6" xfId="10681" xr:uid="{1F76BE48-4F42-490F-A1AA-6A410189B30F}"/>
    <cellStyle name="Normal 5 2 4 2 2 6" xfId="2589" xr:uid="{00000000-0005-0000-0000-0000E5180000}"/>
    <cellStyle name="Normal 5 2 4 2 2 6 2" xfId="6873" xr:uid="{00000000-0005-0000-0000-0000E6180000}"/>
    <cellStyle name="Normal 5 2 4 2 2 6 2 2" xfId="23750" xr:uid="{08E67164-8776-4588-9E62-E6C76E1A7F4F}"/>
    <cellStyle name="Normal 5 2 4 2 2 6 2 3" xfId="32184" xr:uid="{81D9CEAC-65AC-441B-BCFA-71BC5CA28BA0}"/>
    <cellStyle name="Normal 5 2 4 2 2 6 2 4" xfId="15312" xr:uid="{0500FE60-5807-4E53-BC44-1B0BC8FD2A8E}"/>
    <cellStyle name="Normal 5 2 4 2 2 6 3" xfId="19532" xr:uid="{CB067542-2DC7-47C5-BCB8-3991A9D86B15}"/>
    <cellStyle name="Normal 5 2 4 2 2 6 4" xfId="27967" xr:uid="{6CEABFEE-3545-4D56-A714-FB35202DDD5E}"/>
    <cellStyle name="Normal 5 2 4 2 2 6 5" xfId="11094" xr:uid="{119FA64A-13CE-43FB-85B6-D9BE8A421FA9}"/>
    <cellStyle name="Normal 5 2 4 2 2 7" xfId="4808" xr:uid="{00000000-0005-0000-0000-0000E7180000}"/>
    <cellStyle name="Normal 5 2 4 2 2 7 2" xfId="21685" xr:uid="{AEC08989-FC09-4068-B8BB-BDCB92E9E93C}"/>
    <cellStyle name="Normal 5 2 4 2 2 7 3" xfId="30119" xr:uid="{D47C309E-EE60-4821-82D6-ADDA3C05607E}"/>
    <cellStyle name="Normal 5 2 4 2 2 7 4" xfId="13247" xr:uid="{F2E66E24-CCB8-4482-A46A-896500C9BD00}"/>
    <cellStyle name="Normal 5 2 4 2 2 8" xfId="17467" xr:uid="{72EF5947-5747-4D38-84CF-D67C9EAEBE49}"/>
    <cellStyle name="Normal 5 2 4 2 2 9" xfId="25902" xr:uid="{263F035A-F302-4EC2-9468-9A06A30CA002}"/>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24242" xr:uid="{4ECB7788-B384-44EB-9E22-F0C7C53B630A}"/>
    <cellStyle name="Normal 5 2 4 2 3 2 2 3" xfId="32676" xr:uid="{639F96AA-7C45-4E58-8F87-9AA3E782D9CD}"/>
    <cellStyle name="Normal 5 2 4 2 3 2 2 4" xfId="15804" xr:uid="{03C67A8C-5656-4BDA-A452-7FE2BF221871}"/>
    <cellStyle name="Normal 5 2 4 2 3 2 3" xfId="20024" xr:uid="{BC6455FD-FD84-4D4B-BBF6-483631E1C124}"/>
    <cellStyle name="Normal 5 2 4 2 3 2 4" xfId="28459" xr:uid="{29E2C44A-6241-4560-8035-866AC03DD15A}"/>
    <cellStyle name="Normal 5 2 4 2 3 2 5" xfId="11586" xr:uid="{0E930A6E-FD8A-400D-A5EA-C03CB9E0978B}"/>
    <cellStyle name="Normal 5 2 4 2 3 3" xfId="5220" xr:uid="{00000000-0005-0000-0000-0000EB180000}"/>
    <cellStyle name="Normal 5 2 4 2 3 3 2" xfId="22097" xr:uid="{455B6423-DA6F-484F-BF44-D76BCA473F23}"/>
    <cellStyle name="Normal 5 2 4 2 3 3 3" xfId="30531" xr:uid="{03276D12-1903-4BCF-9E47-B3E869D2A668}"/>
    <cellStyle name="Normal 5 2 4 2 3 3 4" xfId="13659" xr:uid="{D4F2103D-13A6-4084-AD29-1FFA83D5A2E2}"/>
    <cellStyle name="Normal 5 2 4 2 3 4" xfId="17879" xr:uid="{31A389C1-98EA-4C49-A017-F564D55C72EC}"/>
    <cellStyle name="Normal 5 2 4 2 3 5" xfId="26314" xr:uid="{3B7DC253-8A26-46D8-AB4C-F4AEA1EA8A1A}"/>
    <cellStyle name="Normal 5 2 4 2 3 6" xfId="9441" xr:uid="{9975B0A8-8E2E-4DDB-981E-39AE933A0DB7}"/>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24655" xr:uid="{F3ECB6B3-DEEF-44D0-9DED-7E3C71AA5492}"/>
    <cellStyle name="Normal 5 2 4 2 4 2 2 3" xfId="33089" xr:uid="{8F067E13-62A0-4ECD-B4C0-BC532A06F01B}"/>
    <cellStyle name="Normal 5 2 4 2 4 2 2 4" xfId="16217" xr:uid="{8815E330-D0A0-459D-8CE7-9CD80F0B7875}"/>
    <cellStyle name="Normal 5 2 4 2 4 2 3" xfId="20437" xr:uid="{7C6E9D6E-FD2E-43A0-B269-F3134F56D538}"/>
    <cellStyle name="Normal 5 2 4 2 4 2 4" xfId="28872" xr:uid="{6ED61735-E185-4E67-A094-B1F7D339E16F}"/>
    <cellStyle name="Normal 5 2 4 2 4 2 5" xfId="11999" xr:uid="{EE7147B5-C306-467B-895F-0D1406349008}"/>
    <cellStyle name="Normal 5 2 4 2 4 3" xfId="5633" xr:uid="{00000000-0005-0000-0000-0000EF180000}"/>
    <cellStyle name="Normal 5 2 4 2 4 3 2" xfId="22510" xr:uid="{0CD247E2-D347-49C9-A756-DC84F2D29E2C}"/>
    <cellStyle name="Normal 5 2 4 2 4 3 3" xfId="30944" xr:uid="{07038BA9-8348-4884-A97C-46935F30A152}"/>
    <cellStyle name="Normal 5 2 4 2 4 3 4" xfId="14072" xr:uid="{6FAC5EC7-2A15-46CB-9FE7-CC47F2627583}"/>
    <cellStyle name="Normal 5 2 4 2 4 4" xfId="18292" xr:uid="{26A3927A-BFB4-46EF-862F-EAE611C49144}"/>
    <cellStyle name="Normal 5 2 4 2 4 5" xfId="26727" xr:uid="{D2E7F276-90F7-4139-ABE3-926898FD34A5}"/>
    <cellStyle name="Normal 5 2 4 2 4 6" xfId="9854" xr:uid="{21BE3736-DE65-42DA-90C5-DE408B217A1C}"/>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25068" xr:uid="{757DF8ED-EB46-44F7-886A-0A93B75860F3}"/>
    <cellStyle name="Normal 5 2 4 2 5 2 2 3" xfId="33502" xr:uid="{B07D5F54-85E1-4A7B-AFEE-BD062EE6FB77}"/>
    <cellStyle name="Normal 5 2 4 2 5 2 2 4" xfId="16630" xr:uid="{D9F7B9C5-9F51-4ECE-AADA-EB0877AA17D5}"/>
    <cellStyle name="Normal 5 2 4 2 5 2 3" xfId="20850" xr:uid="{10403D42-2FC6-4F3D-827D-E4D8499F42BD}"/>
    <cellStyle name="Normal 5 2 4 2 5 2 4" xfId="29285" xr:uid="{5DF21063-BA00-4512-9EF3-284E5E037F29}"/>
    <cellStyle name="Normal 5 2 4 2 5 2 5" xfId="12412" xr:uid="{86830B14-C326-4EB4-945C-31B448438163}"/>
    <cellStyle name="Normal 5 2 4 2 5 3" xfId="6046" xr:uid="{00000000-0005-0000-0000-0000F3180000}"/>
    <cellStyle name="Normal 5 2 4 2 5 3 2" xfId="22923" xr:uid="{26F7D31F-4659-4B69-9C7F-E1D27AEF2AB0}"/>
    <cellStyle name="Normal 5 2 4 2 5 3 3" xfId="31357" xr:uid="{C7BA3014-5D7D-487B-B496-BF702F2E1C94}"/>
    <cellStyle name="Normal 5 2 4 2 5 3 4" xfId="14485" xr:uid="{AD0D6D22-88B0-42A3-A3CA-2F3A76FA14D6}"/>
    <cellStyle name="Normal 5 2 4 2 5 4" xfId="18705" xr:uid="{B1C9668B-0DCB-48C5-AF6E-AAE6DE781965}"/>
    <cellStyle name="Normal 5 2 4 2 5 5" xfId="27140" xr:uid="{48B7BCA9-D6AD-4CD4-B83B-5EB53F79A6CD}"/>
    <cellStyle name="Normal 5 2 4 2 5 6" xfId="10267" xr:uid="{15505759-5329-45C2-91FA-7840ECF81A0F}"/>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25481" xr:uid="{CE8188C0-96DE-48DA-9223-A0A548DCD484}"/>
    <cellStyle name="Normal 5 2 4 2 6 2 2 3" xfId="33915" xr:uid="{6E56EAB8-FAE6-4924-B2E3-CE3A6B8BF099}"/>
    <cellStyle name="Normal 5 2 4 2 6 2 2 4" xfId="17043" xr:uid="{7A5C49A7-B013-4A7D-BBEA-3DD11B0E8D3C}"/>
    <cellStyle name="Normal 5 2 4 2 6 2 3" xfId="21263" xr:uid="{6DB70429-614F-4DEF-9A25-DC7B92493268}"/>
    <cellStyle name="Normal 5 2 4 2 6 2 4" xfId="29698" xr:uid="{F25DE28A-7C6A-4A72-AC45-318FE46738E0}"/>
    <cellStyle name="Normal 5 2 4 2 6 2 5" xfId="12825" xr:uid="{2C80B5B1-7E4C-48DB-8B2B-407DEAF5A4B4}"/>
    <cellStyle name="Normal 5 2 4 2 6 3" xfId="6459" xr:uid="{00000000-0005-0000-0000-0000F7180000}"/>
    <cellStyle name="Normal 5 2 4 2 6 3 2" xfId="23336" xr:uid="{327DF66A-8EE0-4352-9E4B-B39EB5F80634}"/>
    <cellStyle name="Normal 5 2 4 2 6 3 3" xfId="31770" xr:uid="{2ECDD74B-519C-463F-8633-E7592C2E5BA3}"/>
    <cellStyle name="Normal 5 2 4 2 6 3 4" xfId="14898" xr:uid="{C717C0F6-8DCD-43B4-8F7F-DCB71974CD49}"/>
    <cellStyle name="Normal 5 2 4 2 6 4" xfId="19118" xr:uid="{36A82638-9BD6-4C2F-97A9-59B1E1206C2E}"/>
    <cellStyle name="Normal 5 2 4 2 6 5" xfId="27553" xr:uid="{F1277A43-81C9-4C20-9410-2EE737077CC6}"/>
    <cellStyle name="Normal 5 2 4 2 6 6" xfId="10680" xr:uid="{C11AAE90-0B2B-4700-A3BB-593557B7C04F}"/>
    <cellStyle name="Normal 5 2 4 2 7" xfId="2588" xr:uid="{00000000-0005-0000-0000-0000F8180000}"/>
    <cellStyle name="Normal 5 2 4 2 7 2" xfId="6872" xr:uid="{00000000-0005-0000-0000-0000F9180000}"/>
    <cellStyle name="Normal 5 2 4 2 7 2 2" xfId="23749" xr:uid="{CBAFC5C0-4D17-42B3-BBA8-CB6D94E93718}"/>
    <cellStyle name="Normal 5 2 4 2 7 2 3" xfId="32183" xr:uid="{202B3EA9-81BD-4E99-B027-984FE2C58DC2}"/>
    <cellStyle name="Normal 5 2 4 2 7 2 4" xfId="15311" xr:uid="{388F0654-7B1F-43C3-8997-8E84DF76B750}"/>
    <cellStyle name="Normal 5 2 4 2 7 3" xfId="19531" xr:uid="{5B18CF6C-85D6-46B0-AEB4-0F8D0CF0BC4C}"/>
    <cellStyle name="Normal 5 2 4 2 7 4" xfId="27966" xr:uid="{0216E40B-552F-48D3-B7D6-A3FA44EB927F}"/>
    <cellStyle name="Normal 5 2 4 2 7 5" xfId="11093" xr:uid="{CA7A8DA6-7B0E-4F33-8F86-2DB9B4F6A0CD}"/>
    <cellStyle name="Normal 5 2 4 2 8" xfId="4807" xr:uid="{00000000-0005-0000-0000-0000FA180000}"/>
    <cellStyle name="Normal 5 2 4 2 8 2" xfId="21684" xr:uid="{7DEC7FD3-A6D5-4E82-8432-A7446A78CA6E}"/>
    <cellStyle name="Normal 5 2 4 2 8 3" xfId="30118" xr:uid="{3D240E20-9689-4467-95BE-C0BA34BC76D7}"/>
    <cellStyle name="Normal 5 2 4 2 8 4" xfId="13246" xr:uid="{9E8684A3-6391-4B59-B32B-A2FB18D26186}"/>
    <cellStyle name="Normal 5 2 4 2 9" xfId="17466" xr:uid="{CDEB9A27-EA84-49D9-A510-13FEBB9FC4E1}"/>
    <cellStyle name="Normal 5 2 4 3" xfId="435" xr:uid="{00000000-0005-0000-0000-0000FB180000}"/>
    <cellStyle name="Normal 5 2 4 3 10" xfId="9030" xr:uid="{BE3EA2F1-0266-4340-8196-9DCFA5F9ED92}"/>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24244" xr:uid="{90D485FF-8431-4ECC-9756-E2796CFDD71F}"/>
    <cellStyle name="Normal 5 2 4 3 2 2 2 3" xfId="32678" xr:uid="{2B8C9E5F-515E-4C8A-AE06-EB84D4DA5FFF}"/>
    <cellStyle name="Normal 5 2 4 3 2 2 2 4" xfId="15806" xr:uid="{7AA88B50-59F0-4E3F-AE79-26A9C4FEA042}"/>
    <cellStyle name="Normal 5 2 4 3 2 2 3" xfId="20026" xr:uid="{179A793D-9EC1-4DFD-B89A-10CAC1B4B18B}"/>
    <cellStyle name="Normal 5 2 4 3 2 2 4" xfId="28461" xr:uid="{BAB15CB5-8AA8-491A-BA16-52AC00AD93CD}"/>
    <cellStyle name="Normal 5 2 4 3 2 2 5" xfId="11588" xr:uid="{4645173C-939F-4832-BE18-79A63E53E7F7}"/>
    <cellStyle name="Normal 5 2 4 3 2 3" xfId="5222" xr:uid="{00000000-0005-0000-0000-0000FF180000}"/>
    <cellStyle name="Normal 5 2 4 3 2 3 2" xfId="22099" xr:uid="{D58D91D7-071C-41D9-AB42-2A7CECD6E6E0}"/>
    <cellStyle name="Normal 5 2 4 3 2 3 3" xfId="30533" xr:uid="{4F7432F3-F8EA-4D33-B914-FBC3B15B241A}"/>
    <cellStyle name="Normal 5 2 4 3 2 3 4" xfId="13661" xr:uid="{66BAA77C-A728-444D-AAAC-E152B2924FAE}"/>
    <cellStyle name="Normal 5 2 4 3 2 4" xfId="17881" xr:uid="{FABCFD1F-0BFD-45D6-82BC-0CE1C8BD13B1}"/>
    <cellStyle name="Normal 5 2 4 3 2 5" xfId="26316" xr:uid="{C8B0FA38-31A2-4C6B-93BD-19F1B1912A9C}"/>
    <cellStyle name="Normal 5 2 4 3 2 6" xfId="9443" xr:uid="{E49F6391-DAEC-41F4-84EC-32956E68CF92}"/>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24657" xr:uid="{13684147-D5F6-488A-BC3D-5F294DAD690F}"/>
    <cellStyle name="Normal 5 2 4 3 3 2 2 3" xfId="33091" xr:uid="{6AA8621A-991D-443D-AD86-B9FFC8923C19}"/>
    <cellStyle name="Normal 5 2 4 3 3 2 2 4" xfId="16219" xr:uid="{12F3EE8F-0F62-4304-9F5C-C7E5B836FC94}"/>
    <cellStyle name="Normal 5 2 4 3 3 2 3" xfId="20439" xr:uid="{E296F14F-A9EC-4CFA-BE93-42B4F2E32D85}"/>
    <cellStyle name="Normal 5 2 4 3 3 2 4" xfId="28874" xr:uid="{12BE303A-4D0B-4D8C-A033-82681A544088}"/>
    <cellStyle name="Normal 5 2 4 3 3 2 5" xfId="12001" xr:uid="{8C065E4D-D15E-4247-A94C-A2DD52C45AB8}"/>
    <cellStyle name="Normal 5 2 4 3 3 3" xfId="5635" xr:uid="{00000000-0005-0000-0000-000003190000}"/>
    <cellStyle name="Normal 5 2 4 3 3 3 2" xfId="22512" xr:uid="{C76C58E4-5429-49BD-AAB5-95CF6446AEEA}"/>
    <cellStyle name="Normal 5 2 4 3 3 3 3" xfId="30946" xr:uid="{BCCACCD3-AC4A-4CEE-8850-FD89FEE2E55D}"/>
    <cellStyle name="Normal 5 2 4 3 3 3 4" xfId="14074" xr:uid="{558B2435-139D-42FC-BF5A-1F95B5D9AB74}"/>
    <cellStyle name="Normal 5 2 4 3 3 4" xfId="18294" xr:uid="{91598955-032B-4EF4-A871-972A3192DC69}"/>
    <cellStyle name="Normal 5 2 4 3 3 5" xfId="26729" xr:uid="{C0278F5D-E754-4FB4-9013-72E552361675}"/>
    <cellStyle name="Normal 5 2 4 3 3 6" xfId="9856" xr:uid="{5A76001D-6A82-4EA3-BF54-11C847A942B7}"/>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25070" xr:uid="{AE16ACD2-122A-4136-9A47-0F02ED27AA19}"/>
    <cellStyle name="Normal 5 2 4 3 4 2 2 3" xfId="33504" xr:uid="{FC8339CC-7197-4C23-9CD4-C1F652DE465B}"/>
    <cellStyle name="Normal 5 2 4 3 4 2 2 4" xfId="16632" xr:uid="{DFB8353B-60D5-4EF6-AD9C-9A7BE0E89F8F}"/>
    <cellStyle name="Normal 5 2 4 3 4 2 3" xfId="20852" xr:uid="{A76069A5-C8B3-4A30-B93D-26BAD2909495}"/>
    <cellStyle name="Normal 5 2 4 3 4 2 4" xfId="29287" xr:uid="{71635A8B-A857-418A-9EA1-7656C8246361}"/>
    <cellStyle name="Normal 5 2 4 3 4 2 5" xfId="12414" xr:uid="{B9F978FC-5D11-40FD-B38C-71FB60DD6B06}"/>
    <cellStyle name="Normal 5 2 4 3 4 3" xfId="6048" xr:uid="{00000000-0005-0000-0000-000007190000}"/>
    <cellStyle name="Normal 5 2 4 3 4 3 2" xfId="22925" xr:uid="{36C2D3BD-521C-4B74-B0AE-9EE14D56FB3D}"/>
    <cellStyle name="Normal 5 2 4 3 4 3 3" xfId="31359" xr:uid="{AE563296-0893-4A95-A4A2-DCA501D45C4B}"/>
    <cellStyle name="Normal 5 2 4 3 4 3 4" xfId="14487" xr:uid="{B2C6CCB5-AB47-49B5-A141-73BC14C6C560}"/>
    <cellStyle name="Normal 5 2 4 3 4 4" xfId="18707" xr:uid="{1A0D0411-6D76-4806-948A-0E6F112CD894}"/>
    <cellStyle name="Normal 5 2 4 3 4 5" xfId="27142" xr:uid="{0F3FACC2-710D-4196-B5AE-F3D4CC91651D}"/>
    <cellStyle name="Normal 5 2 4 3 4 6" xfId="10269" xr:uid="{F6B1F854-E1E0-42CD-AE91-26D2BAE73C38}"/>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25483" xr:uid="{30B2E4EE-8022-4D91-81CD-9CADF14ECFAD}"/>
    <cellStyle name="Normal 5 2 4 3 5 2 2 3" xfId="33917" xr:uid="{D7DDAF8D-DAB2-4487-AB7F-420AEC10F3EA}"/>
    <cellStyle name="Normal 5 2 4 3 5 2 2 4" xfId="17045" xr:uid="{8F801A7C-0217-48CA-93B7-789CF86428A5}"/>
    <cellStyle name="Normal 5 2 4 3 5 2 3" xfId="21265" xr:uid="{25113605-9C1D-4C77-AD2D-F024C950D45A}"/>
    <cellStyle name="Normal 5 2 4 3 5 2 4" xfId="29700" xr:uid="{1F5FCF9F-27F7-451B-88B5-C52F1A6EAD7F}"/>
    <cellStyle name="Normal 5 2 4 3 5 2 5" xfId="12827" xr:uid="{46F3135E-585B-41A1-AB0F-654AA21F711C}"/>
    <cellStyle name="Normal 5 2 4 3 5 3" xfId="6461" xr:uid="{00000000-0005-0000-0000-00000B190000}"/>
    <cellStyle name="Normal 5 2 4 3 5 3 2" xfId="23338" xr:uid="{32E1CD7F-CC5E-40C7-BAA1-F322EF05CF63}"/>
    <cellStyle name="Normal 5 2 4 3 5 3 3" xfId="31772" xr:uid="{7FB8E9D6-5490-4DE6-8B51-4F9B1AF024C7}"/>
    <cellStyle name="Normal 5 2 4 3 5 3 4" xfId="14900" xr:uid="{035B867B-A86B-40A4-9374-91DC4CCF0A99}"/>
    <cellStyle name="Normal 5 2 4 3 5 4" xfId="19120" xr:uid="{F600A590-53A2-4A2C-B907-07A49E5C101E}"/>
    <cellStyle name="Normal 5 2 4 3 5 5" xfId="27555" xr:uid="{C083866E-52E3-4287-8919-B4C2695B3081}"/>
    <cellStyle name="Normal 5 2 4 3 5 6" xfId="10682" xr:uid="{D50D36A6-1A6C-4087-B760-31DF218163DD}"/>
    <cellStyle name="Normal 5 2 4 3 6" xfId="2590" xr:uid="{00000000-0005-0000-0000-00000C190000}"/>
    <cellStyle name="Normal 5 2 4 3 6 2" xfId="6874" xr:uid="{00000000-0005-0000-0000-00000D190000}"/>
    <cellStyle name="Normal 5 2 4 3 6 2 2" xfId="23751" xr:uid="{095F4248-A6B2-466D-845A-D74C8FCD7086}"/>
    <cellStyle name="Normal 5 2 4 3 6 2 3" xfId="32185" xr:uid="{4A7B0B9C-B8A5-4E55-AFE8-C1D318F2E6FE}"/>
    <cellStyle name="Normal 5 2 4 3 6 2 4" xfId="15313" xr:uid="{2B3D7ECA-7A6C-4F86-BDB4-3D6701DD45A4}"/>
    <cellStyle name="Normal 5 2 4 3 6 3" xfId="19533" xr:uid="{17C41BE6-EB1B-4BEE-8BCE-E03D8C9F1D0F}"/>
    <cellStyle name="Normal 5 2 4 3 6 4" xfId="27968" xr:uid="{C67F46C7-DA06-40C9-9922-B05F747C4B74}"/>
    <cellStyle name="Normal 5 2 4 3 6 5" xfId="11095" xr:uid="{44C04AB1-203C-467E-B69B-D21BA08B4F46}"/>
    <cellStyle name="Normal 5 2 4 3 7" xfId="4809" xr:uid="{00000000-0005-0000-0000-00000E190000}"/>
    <cellStyle name="Normal 5 2 4 3 7 2" xfId="21686" xr:uid="{5C735BDE-2E16-4356-A5CB-184591665A0E}"/>
    <cellStyle name="Normal 5 2 4 3 7 3" xfId="30120" xr:uid="{EEA493F5-EDCD-4168-8268-E28C3E68110F}"/>
    <cellStyle name="Normal 5 2 4 3 7 4" xfId="13248" xr:uid="{D4B657C6-591F-4E6A-BBF1-C30B85C7C090}"/>
    <cellStyle name="Normal 5 2 4 3 8" xfId="17468" xr:uid="{0E341850-6762-42F2-9C01-B0AAB0122767}"/>
    <cellStyle name="Normal 5 2 4 3 9" xfId="25903" xr:uid="{F39A972F-A613-40FD-AEB4-B59EF357931A}"/>
    <cellStyle name="Normal 5 2 4 4" xfId="906" xr:uid="{00000000-0005-0000-0000-00000F190000}"/>
    <cellStyle name="Normal 5 2 4 4 2" xfId="3141" xr:uid="{00000000-0005-0000-0000-000010190000}"/>
    <cellStyle name="Normal 5 2 4 4 2 2" xfId="7364" xr:uid="{00000000-0005-0000-0000-000011190000}"/>
    <cellStyle name="Normal 5 2 4 4 2 2 2" xfId="24241" xr:uid="{2A16D244-F3C8-490D-BD8E-539BC7E2F01A}"/>
    <cellStyle name="Normal 5 2 4 4 2 2 3" xfId="32675" xr:uid="{EBFB3A28-B4C7-4E75-BFCE-D4A4BD9CF0F5}"/>
    <cellStyle name="Normal 5 2 4 4 2 2 4" xfId="15803" xr:uid="{54192155-C2F3-4D40-A7E7-ABBAD08F42F9}"/>
    <cellStyle name="Normal 5 2 4 4 2 3" xfId="20023" xr:uid="{87421945-5B30-4146-8993-73D53052FA01}"/>
    <cellStyle name="Normal 5 2 4 4 2 4" xfId="28458" xr:uid="{3B6FC1E5-84C1-451C-857D-3C61DE9F0463}"/>
    <cellStyle name="Normal 5 2 4 4 2 5" xfId="11585" xr:uid="{2B6E17E0-933E-40D0-9034-AD37AB1F336E}"/>
    <cellStyle name="Normal 5 2 4 4 3" xfId="5219" xr:uid="{00000000-0005-0000-0000-000012190000}"/>
    <cellStyle name="Normal 5 2 4 4 3 2" xfId="22096" xr:uid="{57F1512C-5AFC-45B6-98D9-76CA2C302817}"/>
    <cellStyle name="Normal 5 2 4 4 3 3" xfId="30530" xr:uid="{786583D5-D447-457B-9A81-A9A626C26054}"/>
    <cellStyle name="Normal 5 2 4 4 3 4" xfId="13658" xr:uid="{556B2A44-6AB4-47A8-8131-9C319BAA310E}"/>
    <cellStyle name="Normal 5 2 4 4 4" xfId="17878" xr:uid="{521B3E3D-A93D-4F32-BD3C-FB04260137D2}"/>
    <cellStyle name="Normal 5 2 4 4 5" xfId="26313" xr:uid="{2578F19F-36E9-41B8-8380-2E5FBD7CE917}"/>
    <cellStyle name="Normal 5 2 4 4 6" xfId="9440" xr:uid="{4203D59B-8EEF-486A-B61D-65885FAFE480}"/>
    <cellStyle name="Normal 5 2 4 5" xfId="1324" xr:uid="{00000000-0005-0000-0000-000013190000}"/>
    <cellStyle name="Normal 5 2 4 5 2" xfId="3554" xr:uid="{00000000-0005-0000-0000-000014190000}"/>
    <cellStyle name="Normal 5 2 4 5 2 2" xfId="7777" xr:uid="{00000000-0005-0000-0000-000015190000}"/>
    <cellStyle name="Normal 5 2 4 5 2 2 2" xfId="24654" xr:uid="{058BB3AA-9650-4B0D-BD30-908411D8BCD9}"/>
    <cellStyle name="Normal 5 2 4 5 2 2 3" xfId="33088" xr:uid="{4D8E6A8B-AF9E-4ED8-B290-29B6AEFF31ED}"/>
    <cellStyle name="Normal 5 2 4 5 2 2 4" xfId="16216" xr:uid="{41509C73-CF5C-40A3-81CE-34B4F80BDCB0}"/>
    <cellStyle name="Normal 5 2 4 5 2 3" xfId="20436" xr:uid="{A9F09961-4549-4438-8BE3-55D3D4DFF265}"/>
    <cellStyle name="Normal 5 2 4 5 2 4" xfId="28871" xr:uid="{4F539D6A-5640-4D92-9D92-5B362429D3EE}"/>
    <cellStyle name="Normal 5 2 4 5 2 5" xfId="11998" xr:uid="{8B3FD6FD-CF07-4311-A692-790E5F9654EE}"/>
    <cellStyle name="Normal 5 2 4 5 3" xfId="5632" xr:uid="{00000000-0005-0000-0000-000016190000}"/>
    <cellStyle name="Normal 5 2 4 5 3 2" xfId="22509" xr:uid="{96299E4A-7133-41FF-AFEC-C0A86F9FC3EF}"/>
    <cellStyle name="Normal 5 2 4 5 3 3" xfId="30943" xr:uid="{512F11DE-E0B7-40AC-9662-97F06C94D0B3}"/>
    <cellStyle name="Normal 5 2 4 5 3 4" xfId="14071" xr:uid="{0A436895-A234-4D9A-B1A1-C7D64517AE36}"/>
    <cellStyle name="Normal 5 2 4 5 4" xfId="18291" xr:uid="{43721844-A3A6-4F77-B9AE-FA1022347027}"/>
    <cellStyle name="Normal 5 2 4 5 5" xfId="26726" xr:uid="{B5AF159A-081A-487E-92BB-215030EAB479}"/>
    <cellStyle name="Normal 5 2 4 5 6" xfId="9853" xr:uid="{4BCB4537-3257-4598-A750-4A9747B72F91}"/>
    <cellStyle name="Normal 5 2 4 6" xfId="1737" xr:uid="{00000000-0005-0000-0000-000017190000}"/>
    <cellStyle name="Normal 5 2 4 6 2" xfId="3967" xr:uid="{00000000-0005-0000-0000-000018190000}"/>
    <cellStyle name="Normal 5 2 4 6 2 2" xfId="8190" xr:uid="{00000000-0005-0000-0000-000019190000}"/>
    <cellStyle name="Normal 5 2 4 6 2 2 2" xfId="25067" xr:uid="{C833D25D-B338-4F0C-BECA-F0F4DCBB71ED}"/>
    <cellStyle name="Normal 5 2 4 6 2 2 3" xfId="33501" xr:uid="{40AE47FE-FD85-4ED9-88A2-CDBE64E18835}"/>
    <cellStyle name="Normal 5 2 4 6 2 2 4" xfId="16629" xr:uid="{822B5FBB-9C75-4D15-B45E-3C3009D75F8B}"/>
    <cellStyle name="Normal 5 2 4 6 2 3" xfId="20849" xr:uid="{B89163A5-4B18-4E5E-AECF-E04EC57E07BA}"/>
    <cellStyle name="Normal 5 2 4 6 2 4" xfId="29284" xr:uid="{667FFD2C-5DB8-40EB-A751-F09B70B0469E}"/>
    <cellStyle name="Normal 5 2 4 6 2 5" xfId="12411" xr:uid="{C37D8441-5CF0-4F75-94B7-19AB5C6D8843}"/>
    <cellStyle name="Normal 5 2 4 6 3" xfId="6045" xr:uid="{00000000-0005-0000-0000-00001A190000}"/>
    <cellStyle name="Normal 5 2 4 6 3 2" xfId="22922" xr:uid="{7C382C60-2D19-4780-A1C1-E5D19D64CC1B}"/>
    <cellStyle name="Normal 5 2 4 6 3 3" xfId="31356" xr:uid="{59C76016-FA8F-4197-BC5B-D433DD90FB42}"/>
    <cellStyle name="Normal 5 2 4 6 3 4" xfId="14484" xr:uid="{B5567C30-114A-4C7A-9B64-633AD37D0AE3}"/>
    <cellStyle name="Normal 5 2 4 6 4" xfId="18704" xr:uid="{D6AD9098-893B-4CB7-A68B-A335CEE86D7C}"/>
    <cellStyle name="Normal 5 2 4 6 5" xfId="27139" xr:uid="{BC9AC0F9-FE55-40D7-B9D3-3DFDB07097CC}"/>
    <cellStyle name="Normal 5 2 4 6 6" xfId="10266" xr:uid="{6B8AA4AE-578E-4A0E-91F3-CE71D01A19AC}"/>
    <cellStyle name="Normal 5 2 4 7" xfId="2151" xr:uid="{00000000-0005-0000-0000-00001B190000}"/>
    <cellStyle name="Normal 5 2 4 7 2" xfId="4380" xr:uid="{00000000-0005-0000-0000-00001C190000}"/>
    <cellStyle name="Normal 5 2 4 7 2 2" xfId="8603" xr:uid="{00000000-0005-0000-0000-00001D190000}"/>
    <cellStyle name="Normal 5 2 4 7 2 2 2" xfId="25480" xr:uid="{5E1BED8D-E294-4DD7-89EB-1FB451FEE8C1}"/>
    <cellStyle name="Normal 5 2 4 7 2 2 3" xfId="33914" xr:uid="{BCF9EBB0-C820-4F4C-B8E9-2D3828EB1AF4}"/>
    <cellStyle name="Normal 5 2 4 7 2 2 4" xfId="17042" xr:uid="{23B32B61-44B0-457B-BBBF-CDAD7DF40B3F}"/>
    <cellStyle name="Normal 5 2 4 7 2 3" xfId="21262" xr:uid="{BFBD58EC-819C-430F-9ED1-9521B8373564}"/>
    <cellStyle name="Normal 5 2 4 7 2 4" xfId="29697" xr:uid="{152F1200-8182-4D46-B4E7-15DFDA76C489}"/>
    <cellStyle name="Normal 5 2 4 7 2 5" xfId="12824" xr:uid="{2A219B90-574F-49FD-AED2-80E36B063662}"/>
    <cellStyle name="Normal 5 2 4 7 3" xfId="6458" xr:uid="{00000000-0005-0000-0000-00001E190000}"/>
    <cellStyle name="Normal 5 2 4 7 3 2" xfId="23335" xr:uid="{35560A47-221A-4EE1-BA25-BB47AB52D4D7}"/>
    <cellStyle name="Normal 5 2 4 7 3 3" xfId="31769" xr:uid="{3C6C8AF1-21D6-4804-B12B-13D7D471ED2E}"/>
    <cellStyle name="Normal 5 2 4 7 3 4" xfId="14897" xr:uid="{9F4A786D-0261-4D95-BC55-86CD4402D2AF}"/>
    <cellStyle name="Normal 5 2 4 7 4" xfId="19117" xr:uid="{505518E1-A057-4F89-8398-0136808C18A2}"/>
    <cellStyle name="Normal 5 2 4 7 5" xfId="27552" xr:uid="{475AC017-F1F3-4805-8549-3CAD9B53A370}"/>
    <cellStyle name="Normal 5 2 4 7 6" xfId="10679" xr:uid="{5E4CC5B8-D7C7-41D8-94F2-126AEA49446F}"/>
    <cellStyle name="Normal 5 2 4 8" xfId="2587" xr:uid="{00000000-0005-0000-0000-00001F190000}"/>
    <cellStyle name="Normal 5 2 4 8 2" xfId="6871" xr:uid="{00000000-0005-0000-0000-000020190000}"/>
    <cellStyle name="Normal 5 2 4 8 2 2" xfId="23748" xr:uid="{59EAC42A-33FB-4FE8-A87F-3BF18E2E501F}"/>
    <cellStyle name="Normal 5 2 4 8 2 3" xfId="32182" xr:uid="{E7B42FEF-F4B2-4AE8-BAEF-1D3CA38F6B24}"/>
    <cellStyle name="Normal 5 2 4 8 2 4" xfId="15310" xr:uid="{C8FF513F-C6D0-44FC-80D1-6E7CBC7A6038}"/>
    <cellStyle name="Normal 5 2 4 8 3" xfId="19530" xr:uid="{C53CA440-F7AD-4C6B-A934-BC824141F687}"/>
    <cellStyle name="Normal 5 2 4 8 4" xfId="27965" xr:uid="{6D723666-3EE2-4CE5-B2C1-2107B47D4C92}"/>
    <cellStyle name="Normal 5 2 4 8 5" xfId="11092" xr:uid="{9D2F8089-BF3B-4312-823B-9D56A03F151F}"/>
    <cellStyle name="Normal 5 2 4 9" xfId="4806" xr:uid="{00000000-0005-0000-0000-000021190000}"/>
    <cellStyle name="Normal 5 2 4 9 2" xfId="21683" xr:uid="{C3456D41-BD2E-4091-9233-EADB3E498A46}"/>
    <cellStyle name="Normal 5 2 4 9 3" xfId="30117" xr:uid="{BC30F0F4-056F-4CC8-8600-12D950861ECC}"/>
    <cellStyle name="Normal 5 2 4 9 4" xfId="13245" xr:uid="{E72EE86B-E504-4ADC-96C6-7337FA1AC91B}"/>
    <cellStyle name="Normal 5 2 5" xfId="436" xr:uid="{00000000-0005-0000-0000-000022190000}"/>
    <cellStyle name="Normal 5 2 5 10" xfId="25904" xr:uid="{0D08EDDA-A4F1-44D2-986C-C41F29EFBCEB}"/>
    <cellStyle name="Normal 5 2 5 11" xfId="9031" xr:uid="{4642DE5C-BE8F-4D78-BAD3-0DCE96D7BD4A}"/>
    <cellStyle name="Normal 5 2 5 2" xfId="437" xr:uid="{00000000-0005-0000-0000-000023190000}"/>
    <cellStyle name="Normal 5 2 5 2 10" xfId="9032" xr:uid="{633CB879-8C10-4900-9FE2-9A752C22C70B}"/>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24246" xr:uid="{152006E3-DAC7-45C2-A011-CFACB9034B7E}"/>
    <cellStyle name="Normal 5 2 5 2 2 2 2 3" xfId="32680" xr:uid="{6E39A63E-5AB8-43C2-8584-985E99CD6C30}"/>
    <cellStyle name="Normal 5 2 5 2 2 2 2 4" xfId="15808" xr:uid="{2610D266-30A9-4CE6-9AE4-3B9AA3767F44}"/>
    <cellStyle name="Normal 5 2 5 2 2 2 3" xfId="20028" xr:uid="{74A53923-0D24-4C2E-8401-307A60760EDA}"/>
    <cellStyle name="Normal 5 2 5 2 2 2 4" xfId="28463" xr:uid="{3EFBD102-5FA9-4F34-B02C-57DF34124123}"/>
    <cellStyle name="Normal 5 2 5 2 2 2 5" xfId="11590" xr:uid="{B286FD3A-7771-45B1-9108-97EFCF9CAEFD}"/>
    <cellStyle name="Normal 5 2 5 2 2 3" xfId="5224" xr:uid="{00000000-0005-0000-0000-000027190000}"/>
    <cellStyle name="Normal 5 2 5 2 2 3 2" xfId="22101" xr:uid="{611DDE36-B732-4484-A259-4E6AC3108A88}"/>
    <cellStyle name="Normal 5 2 5 2 2 3 3" xfId="30535" xr:uid="{127D655B-72B9-45AB-BC34-1C246528AA50}"/>
    <cellStyle name="Normal 5 2 5 2 2 3 4" xfId="13663" xr:uid="{54C4FAA2-A34F-406E-B22A-A12547379A72}"/>
    <cellStyle name="Normal 5 2 5 2 2 4" xfId="17883" xr:uid="{09EA8CF7-78B0-49A2-A261-5EA5EE2EA8B5}"/>
    <cellStyle name="Normal 5 2 5 2 2 5" xfId="26318" xr:uid="{3BCFC6B3-BE20-4BDA-8FB7-78977EBBE175}"/>
    <cellStyle name="Normal 5 2 5 2 2 6" xfId="9445" xr:uid="{4F52EC01-F82F-4AEB-BF14-F560704B78F3}"/>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24659" xr:uid="{650B3F13-27AA-4C5D-9344-FC416C460C0D}"/>
    <cellStyle name="Normal 5 2 5 2 3 2 2 3" xfId="33093" xr:uid="{113487CF-8849-4B62-AF89-954F921DDD7B}"/>
    <cellStyle name="Normal 5 2 5 2 3 2 2 4" xfId="16221" xr:uid="{A7CFF8D4-8B7E-4BC4-9E00-56BB88DF3714}"/>
    <cellStyle name="Normal 5 2 5 2 3 2 3" xfId="20441" xr:uid="{38DC4F59-9F35-4A03-A314-77B23A09C060}"/>
    <cellStyle name="Normal 5 2 5 2 3 2 4" xfId="28876" xr:uid="{F3548043-A968-4F51-A548-12D02497009D}"/>
    <cellStyle name="Normal 5 2 5 2 3 2 5" xfId="12003" xr:uid="{BECFA3DB-3674-4223-8F9B-8F28CE5E34E8}"/>
    <cellStyle name="Normal 5 2 5 2 3 3" xfId="5637" xr:uid="{00000000-0005-0000-0000-00002B190000}"/>
    <cellStyle name="Normal 5 2 5 2 3 3 2" xfId="22514" xr:uid="{B2592E88-D2A3-4E6F-8642-9C3E3B1E5CAF}"/>
    <cellStyle name="Normal 5 2 5 2 3 3 3" xfId="30948" xr:uid="{17CE64D9-BCC0-4C0A-978D-E1C30728532E}"/>
    <cellStyle name="Normal 5 2 5 2 3 3 4" xfId="14076" xr:uid="{8A768190-43D1-4788-8EE5-A8F24F91B1B7}"/>
    <cellStyle name="Normal 5 2 5 2 3 4" xfId="18296" xr:uid="{06EDDB36-54DC-4E26-BB78-0A8AEDB7E2D1}"/>
    <cellStyle name="Normal 5 2 5 2 3 5" xfId="26731" xr:uid="{E117C257-9D23-4898-A0B0-76B5534921E1}"/>
    <cellStyle name="Normal 5 2 5 2 3 6" xfId="9858" xr:uid="{BDF2D12C-3D73-482C-843E-7E97CC4AFC1A}"/>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25072" xr:uid="{CEA0545E-CF3E-467C-918D-066FDA387E0B}"/>
    <cellStyle name="Normal 5 2 5 2 4 2 2 3" xfId="33506" xr:uid="{C77488F2-7648-448C-8ADF-DD18A1E9A2C8}"/>
    <cellStyle name="Normal 5 2 5 2 4 2 2 4" xfId="16634" xr:uid="{F594FBDB-302F-46EC-B9F7-A4F7EC51B1C9}"/>
    <cellStyle name="Normal 5 2 5 2 4 2 3" xfId="20854" xr:uid="{3DAD14AE-DE32-48CE-8A52-234E3E0C6226}"/>
    <cellStyle name="Normal 5 2 5 2 4 2 4" xfId="29289" xr:uid="{9865EE0C-5BAA-4AAA-A59C-EEDE9E7A0836}"/>
    <cellStyle name="Normal 5 2 5 2 4 2 5" xfId="12416" xr:uid="{02FE979C-00F9-440E-A9AF-EF8B99EACBB0}"/>
    <cellStyle name="Normal 5 2 5 2 4 3" xfId="6050" xr:uid="{00000000-0005-0000-0000-00002F190000}"/>
    <cellStyle name="Normal 5 2 5 2 4 3 2" xfId="22927" xr:uid="{AF3FD1C4-6586-4715-B2C8-324BDF69F635}"/>
    <cellStyle name="Normal 5 2 5 2 4 3 3" xfId="31361" xr:uid="{A87908BF-F68D-4AD3-BA03-D6E6416D1DB6}"/>
    <cellStyle name="Normal 5 2 5 2 4 3 4" xfId="14489" xr:uid="{820C51B2-75D3-4095-AEF0-086347AAC9DE}"/>
    <cellStyle name="Normal 5 2 5 2 4 4" xfId="18709" xr:uid="{0540C867-BE70-4228-A788-D3DEB4C19656}"/>
    <cellStyle name="Normal 5 2 5 2 4 5" xfId="27144" xr:uid="{7C3475AC-82E9-43F4-BD0C-52709E74F7F0}"/>
    <cellStyle name="Normal 5 2 5 2 4 6" xfId="10271" xr:uid="{6F028161-F4FA-47B8-9DA6-424055468FB2}"/>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25485" xr:uid="{F3A4F5AC-4C1E-4D8A-A96D-2AFCB6446306}"/>
    <cellStyle name="Normal 5 2 5 2 5 2 2 3" xfId="33919" xr:uid="{0DEFE001-8745-4F01-BC17-34C28ED6B5D8}"/>
    <cellStyle name="Normal 5 2 5 2 5 2 2 4" xfId="17047" xr:uid="{54B1BDCE-3C57-4024-ADFE-AF54B31F7425}"/>
    <cellStyle name="Normal 5 2 5 2 5 2 3" xfId="21267" xr:uid="{ABB8F547-B216-49F7-B5F6-72AB85CD4F84}"/>
    <cellStyle name="Normal 5 2 5 2 5 2 4" xfId="29702" xr:uid="{3087FFBE-C4A9-4194-AF73-E7A79D5939AC}"/>
    <cellStyle name="Normal 5 2 5 2 5 2 5" xfId="12829" xr:uid="{99084882-E6D5-447D-956D-10454631BA0F}"/>
    <cellStyle name="Normal 5 2 5 2 5 3" xfId="6463" xr:uid="{00000000-0005-0000-0000-000033190000}"/>
    <cellStyle name="Normal 5 2 5 2 5 3 2" xfId="23340" xr:uid="{ACA77DC6-E1AE-4A88-B4F3-54FF0B6DC080}"/>
    <cellStyle name="Normal 5 2 5 2 5 3 3" xfId="31774" xr:uid="{00A71B19-AFC0-4124-90EE-5D0F3EBB5BC6}"/>
    <cellStyle name="Normal 5 2 5 2 5 3 4" xfId="14902" xr:uid="{D024DEB4-E00B-41F9-8236-3E3B658008EB}"/>
    <cellStyle name="Normal 5 2 5 2 5 4" xfId="19122" xr:uid="{E2662D29-E68B-439F-9069-E547FA8C8540}"/>
    <cellStyle name="Normal 5 2 5 2 5 5" xfId="27557" xr:uid="{25A9E050-8145-417E-BF0B-FD1B313D6B1F}"/>
    <cellStyle name="Normal 5 2 5 2 5 6" xfId="10684" xr:uid="{976B5BFE-29A8-48FC-9FE3-A161766FA838}"/>
    <cellStyle name="Normal 5 2 5 2 6" xfId="2592" xr:uid="{00000000-0005-0000-0000-000034190000}"/>
    <cellStyle name="Normal 5 2 5 2 6 2" xfId="6876" xr:uid="{00000000-0005-0000-0000-000035190000}"/>
    <cellStyle name="Normal 5 2 5 2 6 2 2" xfId="23753" xr:uid="{C38515B0-F26E-4B29-83BB-5F13139E2B58}"/>
    <cellStyle name="Normal 5 2 5 2 6 2 3" xfId="32187" xr:uid="{6AE2F490-243B-4A9E-8ACD-9FD2C63E9E62}"/>
    <cellStyle name="Normal 5 2 5 2 6 2 4" xfId="15315" xr:uid="{751926E0-3D4E-4CE4-B6F1-DB8DA5442913}"/>
    <cellStyle name="Normal 5 2 5 2 6 3" xfId="19535" xr:uid="{5E3ACAD9-AD7D-479E-AA70-75A977332467}"/>
    <cellStyle name="Normal 5 2 5 2 6 4" xfId="27970" xr:uid="{B43B3161-B692-4ECA-93FD-EECFB64B3444}"/>
    <cellStyle name="Normal 5 2 5 2 6 5" xfId="11097" xr:uid="{71D0BFD5-BAA2-4F2E-BAEB-E339005B15ED}"/>
    <cellStyle name="Normal 5 2 5 2 7" xfId="4811" xr:uid="{00000000-0005-0000-0000-000036190000}"/>
    <cellStyle name="Normal 5 2 5 2 7 2" xfId="21688" xr:uid="{F4E3DC11-BB61-4AC2-99DF-D5EC56F62D82}"/>
    <cellStyle name="Normal 5 2 5 2 7 3" xfId="30122" xr:uid="{569FF1C9-F4DD-45E6-B553-1E31A3FEA1F5}"/>
    <cellStyle name="Normal 5 2 5 2 7 4" xfId="13250" xr:uid="{5083DA38-33C9-452F-BAA0-8568CAE76B3B}"/>
    <cellStyle name="Normal 5 2 5 2 8" xfId="17470" xr:uid="{899151BE-9D5B-4B77-B8CF-A16334BD94CF}"/>
    <cellStyle name="Normal 5 2 5 2 9" xfId="25905" xr:uid="{9AF7B922-B9C1-444F-810F-3E181ACD10B8}"/>
    <cellStyle name="Normal 5 2 5 3" xfId="910" xr:uid="{00000000-0005-0000-0000-000037190000}"/>
    <cellStyle name="Normal 5 2 5 3 2" xfId="3145" xr:uid="{00000000-0005-0000-0000-000038190000}"/>
    <cellStyle name="Normal 5 2 5 3 2 2" xfId="7368" xr:uid="{00000000-0005-0000-0000-000039190000}"/>
    <cellStyle name="Normal 5 2 5 3 2 2 2" xfId="24245" xr:uid="{EDE21631-7ABA-43D9-9D8C-B1E26D9CF37A}"/>
    <cellStyle name="Normal 5 2 5 3 2 2 3" xfId="32679" xr:uid="{2B714B2D-4695-4D88-9F8C-9972DC55EE39}"/>
    <cellStyle name="Normal 5 2 5 3 2 2 4" xfId="15807" xr:uid="{9E6F67C2-47D5-4258-A4C3-7B5B4C830041}"/>
    <cellStyle name="Normal 5 2 5 3 2 3" xfId="20027" xr:uid="{F1DF1451-4B14-4523-8510-A51485082E0E}"/>
    <cellStyle name="Normal 5 2 5 3 2 4" xfId="28462" xr:uid="{41D4567A-64E5-4F0F-9053-2A7A49E35782}"/>
    <cellStyle name="Normal 5 2 5 3 2 5" xfId="11589" xr:uid="{4811478E-7393-4C06-8C25-A77B72F16DDF}"/>
    <cellStyle name="Normal 5 2 5 3 3" xfId="5223" xr:uid="{00000000-0005-0000-0000-00003A190000}"/>
    <cellStyle name="Normal 5 2 5 3 3 2" xfId="22100" xr:uid="{5799422D-E06F-469F-8FC0-CBBF99334737}"/>
    <cellStyle name="Normal 5 2 5 3 3 3" xfId="30534" xr:uid="{039D0795-A600-4CB2-A346-1F3A83232DED}"/>
    <cellStyle name="Normal 5 2 5 3 3 4" xfId="13662" xr:uid="{D30CBED0-6E40-46D2-BBF5-C0AE73D8E486}"/>
    <cellStyle name="Normal 5 2 5 3 4" xfId="17882" xr:uid="{F843A8DF-93FC-4AEA-97D4-0DFBB4DD15F1}"/>
    <cellStyle name="Normal 5 2 5 3 5" xfId="26317" xr:uid="{CD539A74-D572-43FD-BC05-B1EAE977F186}"/>
    <cellStyle name="Normal 5 2 5 3 6" xfId="9444" xr:uid="{A1ECB965-2556-47EE-A2BF-F84B2B3DE34D}"/>
    <cellStyle name="Normal 5 2 5 4" xfId="1328" xr:uid="{00000000-0005-0000-0000-00003B190000}"/>
    <cellStyle name="Normal 5 2 5 4 2" xfId="3558" xr:uid="{00000000-0005-0000-0000-00003C190000}"/>
    <cellStyle name="Normal 5 2 5 4 2 2" xfId="7781" xr:uid="{00000000-0005-0000-0000-00003D190000}"/>
    <cellStyle name="Normal 5 2 5 4 2 2 2" xfId="24658" xr:uid="{7A0834DF-EF0D-4A35-841D-15B3EAB6E749}"/>
    <cellStyle name="Normal 5 2 5 4 2 2 3" xfId="33092" xr:uid="{9BCE5602-D65F-475F-A203-231E687DBBF8}"/>
    <cellStyle name="Normal 5 2 5 4 2 2 4" xfId="16220" xr:uid="{D495077E-318C-4790-B5FC-77C3D5EE2D91}"/>
    <cellStyle name="Normal 5 2 5 4 2 3" xfId="20440" xr:uid="{C5439D07-2D8A-42CC-B7E8-FE7E8D1736C5}"/>
    <cellStyle name="Normal 5 2 5 4 2 4" xfId="28875" xr:uid="{8D14A9CD-4F5F-4A87-AFDB-2FEDCC3D4F78}"/>
    <cellStyle name="Normal 5 2 5 4 2 5" xfId="12002" xr:uid="{54470729-34BD-4A88-A8B0-CEDC54F4B604}"/>
    <cellStyle name="Normal 5 2 5 4 3" xfId="5636" xr:uid="{00000000-0005-0000-0000-00003E190000}"/>
    <cellStyle name="Normal 5 2 5 4 3 2" xfId="22513" xr:uid="{2351A965-2999-4F08-BEC1-2887145D93F8}"/>
    <cellStyle name="Normal 5 2 5 4 3 3" xfId="30947" xr:uid="{FED1ACC2-622B-45F2-90B7-0AD6B4564662}"/>
    <cellStyle name="Normal 5 2 5 4 3 4" xfId="14075" xr:uid="{6983669F-D831-40AF-AA61-5BBB12DADDAC}"/>
    <cellStyle name="Normal 5 2 5 4 4" xfId="18295" xr:uid="{58848C78-3329-4C76-BA8A-E91831D41FFA}"/>
    <cellStyle name="Normal 5 2 5 4 5" xfId="26730" xr:uid="{FACE45CC-B618-4995-9953-25572BBC660A}"/>
    <cellStyle name="Normal 5 2 5 4 6" xfId="9857" xr:uid="{BD876F93-2C8F-425A-AECD-10455C154892}"/>
    <cellStyle name="Normal 5 2 5 5" xfId="1741" xr:uid="{00000000-0005-0000-0000-00003F190000}"/>
    <cellStyle name="Normal 5 2 5 5 2" xfId="3971" xr:uid="{00000000-0005-0000-0000-000040190000}"/>
    <cellStyle name="Normal 5 2 5 5 2 2" xfId="8194" xr:uid="{00000000-0005-0000-0000-000041190000}"/>
    <cellStyle name="Normal 5 2 5 5 2 2 2" xfId="25071" xr:uid="{7DBF806C-C6CB-4930-B0B7-390501DA11C3}"/>
    <cellStyle name="Normal 5 2 5 5 2 2 3" xfId="33505" xr:uid="{30199D0B-5CB3-4365-98E6-E56DAE9CA84B}"/>
    <cellStyle name="Normal 5 2 5 5 2 2 4" xfId="16633" xr:uid="{84A704A1-01A8-474C-9FBB-ADAF348AF485}"/>
    <cellStyle name="Normal 5 2 5 5 2 3" xfId="20853" xr:uid="{8E011018-D989-4555-9A4D-CADC449F2655}"/>
    <cellStyle name="Normal 5 2 5 5 2 4" xfId="29288" xr:uid="{0265BD7C-C6B7-4E6C-AAB2-13A0D23017D5}"/>
    <cellStyle name="Normal 5 2 5 5 2 5" xfId="12415" xr:uid="{83376118-7270-43F2-9B89-C9C4F4012906}"/>
    <cellStyle name="Normal 5 2 5 5 3" xfId="6049" xr:uid="{00000000-0005-0000-0000-000042190000}"/>
    <cellStyle name="Normal 5 2 5 5 3 2" xfId="22926" xr:uid="{B81ECA64-340C-4C14-861C-701202A84E46}"/>
    <cellStyle name="Normal 5 2 5 5 3 3" xfId="31360" xr:uid="{0C2A8A38-816A-4EFA-ADB9-B3FFDCE981AC}"/>
    <cellStyle name="Normal 5 2 5 5 3 4" xfId="14488" xr:uid="{5187BD94-EE99-42E6-82A2-5BC295A67A7E}"/>
    <cellStyle name="Normal 5 2 5 5 4" xfId="18708" xr:uid="{97F21618-6270-4934-8223-F636CBAC7172}"/>
    <cellStyle name="Normal 5 2 5 5 5" xfId="27143" xr:uid="{70245DF8-85F6-4CB5-93A8-99AA839D1303}"/>
    <cellStyle name="Normal 5 2 5 5 6" xfId="10270" xr:uid="{ED490D7A-55A2-41EF-98E9-7915E32F735F}"/>
    <cellStyle name="Normal 5 2 5 6" xfId="2155" xr:uid="{00000000-0005-0000-0000-000043190000}"/>
    <cellStyle name="Normal 5 2 5 6 2" xfId="4384" xr:uid="{00000000-0005-0000-0000-000044190000}"/>
    <cellStyle name="Normal 5 2 5 6 2 2" xfId="8607" xr:uid="{00000000-0005-0000-0000-000045190000}"/>
    <cellStyle name="Normal 5 2 5 6 2 2 2" xfId="25484" xr:uid="{933C5297-D369-4767-9EB0-4E79FD885C29}"/>
    <cellStyle name="Normal 5 2 5 6 2 2 3" xfId="33918" xr:uid="{2A34703D-25A6-497A-B60B-83C2C2F259BB}"/>
    <cellStyle name="Normal 5 2 5 6 2 2 4" xfId="17046" xr:uid="{8DE093E5-C51F-4F85-AF22-08D34DF0CDDC}"/>
    <cellStyle name="Normal 5 2 5 6 2 3" xfId="21266" xr:uid="{35BF1481-9E33-40C8-8C45-C24EFCEA76B7}"/>
    <cellStyle name="Normal 5 2 5 6 2 4" xfId="29701" xr:uid="{293E9151-FED5-4EFB-8DB5-DD47ADE77C0C}"/>
    <cellStyle name="Normal 5 2 5 6 2 5" xfId="12828" xr:uid="{D33F93A7-F6C6-4A1F-9C0F-AD920CEE0619}"/>
    <cellStyle name="Normal 5 2 5 6 3" xfId="6462" xr:uid="{00000000-0005-0000-0000-000046190000}"/>
    <cellStyle name="Normal 5 2 5 6 3 2" xfId="23339" xr:uid="{F84BF74A-7C29-4E67-BBB8-E3DA9E3AAE95}"/>
    <cellStyle name="Normal 5 2 5 6 3 3" xfId="31773" xr:uid="{F98112B0-A99E-4DD4-A6E6-4B78C40FE12F}"/>
    <cellStyle name="Normal 5 2 5 6 3 4" xfId="14901" xr:uid="{A38F8B44-E770-49A1-B83C-E73AA71339F1}"/>
    <cellStyle name="Normal 5 2 5 6 4" xfId="19121" xr:uid="{CE386B35-B11A-498B-B647-87A96CFD5754}"/>
    <cellStyle name="Normal 5 2 5 6 5" xfId="27556" xr:uid="{9B6736EF-A42A-418C-9E39-6AEF8145F9B2}"/>
    <cellStyle name="Normal 5 2 5 6 6" xfId="10683" xr:uid="{29BFAE26-0C7E-4B69-95AD-7508058B3A5E}"/>
    <cellStyle name="Normal 5 2 5 7" xfId="2591" xr:uid="{00000000-0005-0000-0000-000047190000}"/>
    <cellStyle name="Normal 5 2 5 7 2" xfId="6875" xr:uid="{00000000-0005-0000-0000-000048190000}"/>
    <cellStyle name="Normal 5 2 5 7 2 2" xfId="23752" xr:uid="{9C4A2FB6-68BD-403D-A649-AA46FA21FA16}"/>
    <cellStyle name="Normal 5 2 5 7 2 3" xfId="32186" xr:uid="{18139EC3-411A-41FE-AB9F-C3988D5F6B40}"/>
    <cellStyle name="Normal 5 2 5 7 2 4" xfId="15314" xr:uid="{BB5F71BE-C989-4588-BD43-8228D8E9A021}"/>
    <cellStyle name="Normal 5 2 5 7 3" xfId="19534" xr:uid="{9147AA59-4CD5-440A-8012-EBC55FEB5D52}"/>
    <cellStyle name="Normal 5 2 5 7 4" xfId="27969" xr:uid="{823DCEA9-434D-41B6-9826-6E07DC1DCF55}"/>
    <cellStyle name="Normal 5 2 5 7 5" xfId="11096" xr:uid="{70B6DB81-A70D-4D30-BCDA-F2AF5BE7BB1A}"/>
    <cellStyle name="Normal 5 2 5 8" xfId="4810" xr:uid="{00000000-0005-0000-0000-000049190000}"/>
    <cellStyle name="Normal 5 2 5 8 2" xfId="21687" xr:uid="{A128F83B-8FB5-4D6B-B14C-ECDB8EB0A465}"/>
    <cellStyle name="Normal 5 2 5 8 3" xfId="30121" xr:uid="{DBCAC3CD-75E6-4231-B333-D5F4405F9183}"/>
    <cellStyle name="Normal 5 2 5 8 4" xfId="13249" xr:uid="{9832B3D7-175D-43C6-836A-1C926AF17D8D}"/>
    <cellStyle name="Normal 5 2 5 9" xfId="17469" xr:uid="{2A6C03C1-54ED-4B2B-AED0-94156B11B7AF}"/>
    <cellStyle name="Normal 5 2 6" xfId="438" xr:uid="{00000000-0005-0000-0000-00004A190000}"/>
    <cellStyle name="Normal 5 2 6 10" xfId="9033" xr:uid="{DA7754AC-7823-4545-A41F-FD03924AF23E}"/>
    <cellStyle name="Normal 5 2 6 2" xfId="912" xr:uid="{00000000-0005-0000-0000-00004B190000}"/>
    <cellStyle name="Normal 5 2 6 2 2" xfId="3147" xr:uid="{00000000-0005-0000-0000-00004C190000}"/>
    <cellStyle name="Normal 5 2 6 2 2 2" xfId="7370" xr:uid="{00000000-0005-0000-0000-00004D190000}"/>
    <cellStyle name="Normal 5 2 6 2 2 2 2" xfId="24247" xr:uid="{8D15500F-C0AA-40D9-B5CF-91D7B571C9A8}"/>
    <cellStyle name="Normal 5 2 6 2 2 2 3" xfId="32681" xr:uid="{11195B71-0393-40DA-9092-EA97178D48A3}"/>
    <cellStyle name="Normal 5 2 6 2 2 2 4" xfId="15809" xr:uid="{FDE2084B-9B1F-4E81-8C50-1D74F1C3460B}"/>
    <cellStyle name="Normal 5 2 6 2 2 3" xfId="20029" xr:uid="{B7D52DEB-3C8A-4C84-96F3-56D2492CCC62}"/>
    <cellStyle name="Normal 5 2 6 2 2 4" xfId="28464" xr:uid="{6D0BAC85-DE8A-4FEB-B9F4-11114CD1EF95}"/>
    <cellStyle name="Normal 5 2 6 2 2 5" xfId="11591" xr:uid="{1AF8F004-EDD1-4111-A1BD-A89184DEE8D1}"/>
    <cellStyle name="Normal 5 2 6 2 3" xfId="5225" xr:uid="{00000000-0005-0000-0000-00004E190000}"/>
    <cellStyle name="Normal 5 2 6 2 3 2" xfId="22102" xr:uid="{4A217DC0-F0DA-421B-AC1D-D1036678F420}"/>
    <cellStyle name="Normal 5 2 6 2 3 3" xfId="30536" xr:uid="{5F79ED07-7729-4691-9456-A00CE3EBFF85}"/>
    <cellStyle name="Normal 5 2 6 2 3 4" xfId="13664" xr:uid="{39D6F06E-8CD7-4846-862E-232E07374D6B}"/>
    <cellStyle name="Normal 5 2 6 2 4" xfId="17884" xr:uid="{6F6DFD48-DD56-4658-939F-8F073F16E7EB}"/>
    <cellStyle name="Normal 5 2 6 2 5" xfId="26319" xr:uid="{E252CAA0-1063-46F2-B3D8-B4AFF1D7DFC4}"/>
    <cellStyle name="Normal 5 2 6 2 6" xfId="9446" xr:uid="{A4B6E63F-7480-4FEA-BF82-E2D8A0314148}"/>
    <cellStyle name="Normal 5 2 6 3" xfId="1330" xr:uid="{00000000-0005-0000-0000-00004F190000}"/>
    <cellStyle name="Normal 5 2 6 3 2" xfId="3560" xr:uid="{00000000-0005-0000-0000-000050190000}"/>
    <cellStyle name="Normal 5 2 6 3 2 2" xfId="7783" xr:uid="{00000000-0005-0000-0000-000051190000}"/>
    <cellStyle name="Normal 5 2 6 3 2 2 2" xfId="24660" xr:uid="{1F3C1B40-3BAB-42A2-9867-161F9B37F413}"/>
    <cellStyle name="Normal 5 2 6 3 2 2 3" xfId="33094" xr:uid="{DBEFFCDE-624A-4D35-9DD1-70C34AC2AE9B}"/>
    <cellStyle name="Normal 5 2 6 3 2 2 4" xfId="16222" xr:uid="{2AADFB2B-AD1C-4D51-B921-C92470F89634}"/>
    <cellStyle name="Normal 5 2 6 3 2 3" xfId="20442" xr:uid="{D86D861A-53E7-4C8D-9FEA-0202774C6855}"/>
    <cellStyle name="Normal 5 2 6 3 2 4" xfId="28877" xr:uid="{8E0BC6E1-6AA7-45B2-A947-F10599448A33}"/>
    <cellStyle name="Normal 5 2 6 3 2 5" xfId="12004" xr:uid="{D2B96ED7-BF63-4627-AC69-D802BEB37E6B}"/>
    <cellStyle name="Normal 5 2 6 3 3" xfId="5638" xr:uid="{00000000-0005-0000-0000-000052190000}"/>
    <cellStyle name="Normal 5 2 6 3 3 2" xfId="22515" xr:uid="{EE0E3C51-82F7-47B3-A14D-AABD2E18772F}"/>
    <cellStyle name="Normal 5 2 6 3 3 3" xfId="30949" xr:uid="{A3366897-E647-48CB-B955-B247E798DE4E}"/>
    <cellStyle name="Normal 5 2 6 3 3 4" xfId="14077" xr:uid="{322A1D6D-41E2-4B98-A0CE-D31646037542}"/>
    <cellStyle name="Normal 5 2 6 3 4" xfId="18297" xr:uid="{E96C2F19-9D11-4303-A41A-69745AD259BE}"/>
    <cellStyle name="Normal 5 2 6 3 5" xfId="26732" xr:uid="{4A50A7B4-97EF-434B-83CB-7480D9BC4128}"/>
    <cellStyle name="Normal 5 2 6 3 6" xfId="9859" xr:uid="{8304D117-DB74-4ED2-9AA5-C1780F6FA8C9}"/>
    <cellStyle name="Normal 5 2 6 4" xfId="1743" xr:uid="{00000000-0005-0000-0000-000053190000}"/>
    <cellStyle name="Normal 5 2 6 4 2" xfId="3973" xr:uid="{00000000-0005-0000-0000-000054190000}"/>
    <cellStyle name="Normal 5 2 6 4 2 2" xfId="8196" xr:uid="{00000000-0005-0000-0000-000055190000}"/>
    <cellStyle name="Normal 5 2 6 4 2 2 2" xfId="25073" xr:uid="{5BCC1BA2-58A7-4517-A0B4-7947A346765F}"/>
    <cellStyle name="Normal 5 2 6 4 2 2 3" xfId="33507" xr:uid="{71DDFA42-E35B-445F-B1B5-F9DA854375DD}"/>
    <cellStyle name="Normal 5 2 6 4 2 2 4" xfId="16635" xr:uid="{DF1EDCF6-5BDC-4E48-93FA-3101B4B7356A}"/>
    <cellStyle name="Normal 5 2 6 4 2 3" xfId="20855" xr:uid="{D6A5F4C5-9A68-4B3D-AB59-60548E0A0809}"/>
    <cellStyle name="Normal 5 2 6 4 2 4" xfId="29290" xr:uid="{7307063C-FDE7-4BB4-87B9-755573B1CE0B}"/>
    <cellStyle name="Normal 5 2 6 4 2 5" xfId="12417" xr:uid="{9DA98881-4747-43E5-ABD9-6C7AB5C3812A}"/>
    <cellStyle name="Normal 5 2 6 4 3" xfId="6051" xr:uid="{00000000-0005-0000-0000-000056190000}"/>
    <cellStyle name="Normal 5 2 6 4 3 2" xfId="22928" xr:uid="{4C8DB4DA-11CE-4836-BD99-5E816F8CB58B}"/>
    <cellStyle name="Normal 5 2 6 4 3 3" xfId="31362" xr:uid="{39CDDD95-D85D-4CB9-87C9-86E70E30E21A}"/>
    <cellStyle name="Normal 5 2 6 4 3 4" xfId="14490" xr:uid="{D34032F1-1B8C-4F51-9200-994043E3119B}"/>
    <cellStyle name="Normal 5 2 6 4 4" xfId="18710" xr:uid="{D23580EF-EB50-43F4-9913-6A9CBADA6E3E}"/>
    <cellStyle name="Normal 5 2 6 4 5" xfId="27145" xr:uid="{F3D84526-2F7F-46A7-BE0F-AF6F5D40A9F9}"/>
    <cellStyle name="Normal 5 2 6 4 6" xfId="10272" xr:uid="{5DF28E3F-D65F-48E4-948D-CE9CF502E767}"/>
    <cellStyle name="Normal 5 2 6 5" xfId="2157" xr:uid="{00000000-0005-0000-0000-000057190000}"/>
    <cellStyle name="Normal 5 2 6 5 2" xfId="4386" xr:uid="{00000000-0005-0000-0000-000058190000}"/>
    <cellStyle name="Normal 5 2 6 5 2 2" xfId="8609" xr:uid="{00000000-0005-0000-0000-000059190000}"/>
    <cellStyle name="Normal 5 2 6 5 2 2 2" xfId="25486" xr:uid="{0376FE18-C179-4759-B742-5229C94479E4}"/>
    <cellStyle name="Normal 5 2 6 5 2 2 3" xfId="33920" xr:uid="{087A8493-9017-4C63-A998-7356366A626D}"/>
    <cellStyle name="Normal 5 2 6 5 2 2 4" xfId="17048" xr:uid="{10E9F9DA-A5D7-42A2-89A2-818149AE3D06}"/>
    <cellStyle name="Normal 5 2 6 5 2 3" xfId="21268" xr:uid="{C129CC4E-11B8-4697-8310-8F461B9654AC}"/>
    <cellStyle name="Normal 5 2 6 5 2 4" xfId="29703" xr:uid="{E2FBA51C-9788-409C-BBEB-47D20A2E42FE}"/>
    <cellStyle name="Normal 5 2 6 5 2 5" xfId="12830" xr:uid="{2EE534FD-BDF8-4DB1-920D-6675913159C4}"/>
    <cellStyle name="Normal 5 2 6 5 3" xfId="6464" xr:uid="{00000000-0005-0000-0000-00005A190000}"/>
    <cellStyle name="Normal 5 2 6 5 3 2" xfId="23341" xr:uid="{54E25C12-2D75-4F25-B3FF-DB9EE7CE11A4}"/>
    <cellStyle name="Normal 5 2 6 5 3 3" xfId="31775" xr:uid="{A3563A42-D6C7-40B0-B57C-16271379902F}"/>
    <cellStyle name="Normal 5 2 6 5 3 4" xfId="14903" xr:uid="{519DB74D-8EF2-4F97-A1AC-0CDD37B8F1B2}"/>
    <cellStyle name="Normal 5 2 6 5 4" xfId="19123" xr:uid="{B1825C2C-5B6A-440D-B2A3-1A6DE76E4B36}"/>
    <cellStyle name="Normal 5 2 6 5 5" xfId="27558" xr:uid="{DAC90756-65D5-41D0-9778-402B75D4DF12}"/>
    <cellStyle name="Normal 5 2 6 5 6" xfId="10685" xr:uid="{7B6930FD-8875-4BAB-978E-D12196983710}"/>
    <cellStyle name="Normal 5 2 6 6" xfId="2593" xr:uid="{00000000-0005-0000-0000-00005B190000}"/>
    <cellStyle name="Normal 5 2 6 6 2" xfId="6877" xr:uid="{00000000-0005-0000-0000-00005C190000}"/>
    <cellStyle name="Normal 5 2 6 6 2 2" xfId="23754" xr:uid="{0BE61CC3-6705-4B89-96D5-7D03E9C6D033}"/>
    <cellStyle name="Normal 5 2 6 6 2 3" xfId="32188" xr:uid="{0ED55DDC-BD04-4912-8816-B8A7FA1B670C}"/>
    <cellStyle name="Normal 5 2 6 6 2 4" xfId="15316" xr:uid="{63B12962-59EB-4652-8CB1-09E250DE9949}"/>
    <cellStyle name="Normal 5 2 6 6 3" xfId="19536" xr:uid="{078CD33D-754F-4B45-AAE1-6CAAAC96266F}"/>
    <cellStyle name="Normal 5 2 6 6 4" xfId="27971" xr:uid="{4D08FE60-913B-45CC-B432-8D5A6F5154BA}"/>
    <cellStyle name="Normal 5 2 6 6 5" xfId="11098" xr:uid="{E1119F00-7F2C-46FD-99F2-D07F074E6B5D}"/>
    <cellStyle name="Normal 5 2 6 7" xfId="4812" xr:uid="{00000000-0005-0000-0000-00005D190000}"/>
    <cellStyle name="Normal 5 2 6 7 2" xfId="21689" xr:uid="{F9C6DCDC-F319-4267-9E32-0B2FA76E57E0}"/>
    <cellStyle name="Normal 5 2 6 7 3" xfId="30123" xr:uid="{0E4A6B26-6E7F-4820-AB74-13E6557312F6}"/>
    <cellStyle name="Normal 5 2 6 7 4" xfId="13251" xr:uid="{F07A920D-F5CC-4F1B-8CCE-8CD7E0C74A9E}"/>
    <cellStyle name="Normal 5 2 6 8" xfId="17471" xr:uid="{9DCE6828-28D1-4E97-A3C4-5BB0CDC9A953}"/>
    <cellStyle name="Normal 5 2 6 9" xfId="25906" xr:uid="{D8625634-F8CD-4D05-B3C0-CE44186E5198}"/>
    <cellStyle name="Normal 5 2 7" xfId="881" xr:uid="{00000000-0005-0000-0000-00005E190000}"/>
    <cellStyle name="Normal 5 2 7 2" xfId="3116" xr:uid="{00000000-0005-0000-0000-00005F190000}"/>
    <cellStyle name="Normal 5 2 7 2 2" xfId="7339" xr:uid="{00000000-0005-0000-0000-000060190000}"/>
    <cellStyle name="Normal 5 2 7 2 2 2" xfId="24216" xr:uid="{529AF8BB-D4CF-43E9-994A-B11B519BAC5A}"/>
    <cellStyle name="Normal 5 2 7 2 2 3" xfId="32650" xr:uid="{D2D980F2-C44B-4716-BB33-E09EF2C06C56}"/>
    <cellStyle name="Normal 5 2 7 2 2 4" xfId="15778" xr:uid="{619E1C8C-41AB-48A0-B9C7-A37382154B3C}"/>
    <cellStyle name="Normal 5 2 7 2 3" xfId="19998" xr:uid="{564E5D5D-C8BE-4F1B-8206-A6D740E14130}"/>
    <cellStyle name="Normal 5 2 7 2 4" xfId="28433" xr:uid="{17C13ACE-CE48-4399-BBC0-A39F450A9E6D}"/>
    <cellStyle name="Normal 5 2 7 2 5" xfId="11560" xr:uid="{713DD925-2178-4338-B5FD-BC27616B68AB}"/>
    <cellStyle name="Normal 5 2 7 3" xfId="5194" xr:uid="{00000000-0005-0000-0000-000061190000}"/>
    <cellStyle name="Normal 5 2 7 3 2" xfId="22071" xr:uid="{8212A648-9766-42D5-8113-4546878B3ED4}"/>
    <cellStyle name="Normal 5 2 7 3 3" xfId="30505" xr:uid="{AAF9983A-C918-4B7D-A0A7-A4C1C966B33D}"/>
    <cellStyle name="Normal 5 2 7 3 4" xfId="13633" xr:uid="{957B312F-0D40-45C1-A40D-27191BD7F523}"/>
    <cellStyle name="Normal 5 2 7 4" xfId="17853" xr:uid="{4F22B6C2-8458-43B9-A4CF-6F57221120B5}"/>
    <cellStyle name="Normal 5 2 7 5" xfId="26288" xr:uid="{B3C4593B-065B-4D52-B508-6C1D87EAF7C7}"/>
    <cellStyle name="Normal 5 2 7 6" xfId="9415" xr:uid="{DF1A31EB-9DAE-4AC9-A159-5A1D355C0BBD}"/>
    <cellStyle name="Normal 5 2 8" xfId="1299" xr:uid="{00000000-0005-0000-0000-000062190000}"/>
    <cellStyle name="Normal 5 2 8 2" xfId="3529" xr:uid="{00000000-0005-0000-0000-000063190000}"/>
    <cellStyle name="Normal 5 2 8 2 2" xfId="7752" xr:uid="{00000000-0005-0000-0000-000064190000}"/>
    <cellStyle name="Normal 5 2 8 2 2 2" xfId="24629" xr:uid="{C33E580F-9D81-412C-B97A-91655D7E7438}"/>
    <cellStyle name="Normal 5 2 8 2 2 3" xfId="33063" xr:uid="{57E24085-A0BC-40A5-A9F1-8F9F53670D40}"/>
    <cellStyle name="Normal 5 2 8 2 2 4" xfId="16191" xr:uid="{F236D205-C41A-45E5-9B7C-8F25066F9256}"/>
    <cellStyle name="Normal 5 2 8 2 3" xfId="20411" xr:uid="{13428E90-8B4C-4FD2-8441-9ACDBC3B89F5}"/>
    <cellStyle name="Normal 5 2 8 2 4" xfId="28846" xr:uid="{E3D85FDE-9286-478E-927D-D9EEC134BCB8}"/>
    <cellStyle name="Normal 5 2 8 2 5" xfId="11973" xr:uid="{33732DE9-A5DC-454D-AC4A-C4FFCCBC69B0}"/>
    <cellStyle name="Normal 5 2 8 3" xfId="5607" xr:uid="{00000000-0005-0000-0000-000065190000}"/>
    <cellStyle name="Normal 5 2 8 3 2" xfId="22484" xr:uid="{A9ED0350-48AB-4D5A-84CF-4385929F4743}"/>
    <cellStyle name="Normal 5 2 8 3 3" xfId="30918" xr:uid="{7C6B6CD0-FA45-4B24-B78E-4D9731F4F3DD}"/>
    <cellStyle name="Normal 5 2 8 3 4" xfId="14046" xr:uid="{DD270B84-F479-4DAA-9304-6880C25A9AC5}"/>
    <cellStyle name="Normal 5 2 8 4" xfId="18266" xr:uid="{D2BDC921-AEAA-483D-94D0-8F8CFCB88348}"/>
    <cellStyle name="Normal 5 2 8 5" xfId="26701" xr:uid="{77128314-AA89-43F8-A25F-402F4FA7C664}"/>
    <cellStyle name="Normal 5 2 8 6" xfId="9828" xr:uid="{A1F6E95D-E7B8-42C5-94DE-A1223E7FFF38}"/>
    <cellStyle name="Normal 5 2 9" xfId="1712" xr:uid="{00000000-0005-0000-0000-000066190000}"/>
    <cellStyle name="Normal 5 2 9 2" xfId="3942" xr:uid="{00000000-0005-0000-0000-000067190000}"/>
    <cellStyle name="Normal 5 2 9 2 2" xfId="8165" xr:uid="{00000000-0005-0000-0000-000068190000}"/>
    <cellStyle name="Normal 5 2 9 2 2 2" xfId="25042" xr:uid="{06B9583F-BC6E-4691-96D8-BACF9A8E02A1}"/>
    <cellStyle name="Normal 5 2 9 2 2 3" xfId="33476" xr:uid="{4A93C3F7-A289-4BBE-BD06-FD7D5762EC75}"/>
    <cellStyle name="Normal 5 2 9 2 2 4" xfId="16604" xr:uid="{74BFF514-669C-45B6-A809-9418153FFEA8}"/>
    <cellStyle name="Normal 5 2 9 2 3" xfId="20824" xr:uid="{365AAAF5-5977-402E-AB4E-5A90FA9700EC}"/>
    <cellStyle name="Normal 5 2 9 2 4" xfId="29259" xr:uid="{F47DE787-7CF6-46DB-BB52-D17037FC1599}"/>
    <cellStyle name="Normal 5 2 9 2 5" xfId="12386" xr:uid="{DFC8B660-BD2E-4923-9836-34E5AC0B400E}"/>
    <cellStyle name="Normal 5 2 9 3" xfId="6020" xr:uid="{00000000-0005-0000-0000-000069190000}"/>
    <cellStyle name="Normal 5 2 9 3 2" xfId="22897" xr:uid="{E01E0F6C-0EBE-4B6F-82CC-9ACE2CF26E3E}"/>
    <cellStyle name="Normal 5 2 9 3 3" xfId="31331" xr:uid="{6D75FD95-B1B7-4182-98E8-48DA8BD2853E}"/>
    <cellStyle name="Normal 5 2 9 3 4" xfId="14459" xr:uid="{911C152E-CC50-4520-98CA-9B3BF4D29207}"/>
    <cellStyle name="Normal 5 2 9 4" xfId="18679" xr:uid="{8D40003E-EC63-4D1C-AFB8-00C51F78DE52}"/>
    <cellStyle name="Normal 5 2 9 5" xfId="27114" xr:uid="{5F15CD26-0342-4EE2-A58F-A0E40BB6A089}"/>
    <cellStyle name="Normal 5 2 9 6" xfId="10241" xr:uid="{ED65086B-2BA4-411D-8B72-86BB6175C91E}"/>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25487" xr:uid="{F48B691E-B8B1-48AF-993F-FFB23961CED9}"/>
    <cellStyle name="Normal 5 3 10 2 2 3" xfId="33921" xr:uid="{418610E8-3955-47E8-A472-0268F8DB8B27}"/>
    <cellStyle name="Normal 5 3 10 2 2 4" xfId="17049" xr:uid="{216F50FB-27D3-4EEA-8DEE-874838FAA610}"/>
    <cellStyle name="Normal 5 3 10 2 3" xfId="21269" xr:uid="{BC210F36-88EF-42D0-8DF0-51FA6F334D85}"/>
    <cellStyle name="Normal 5 3 10 2 4" xfId="29704" xr:uid="{926AB829-3B08-4210-8787-3268DC8CE630}"/>
    <cellStyle name="Normal 5 3 10 2 5" xfId="12831" xr:uid="{F21C27B5-C8A8-4F1F-AFA1-EBDA2413FC46}"/>
    <cellStyle name="Normal 5 3 10 3" xfId="6465" xr:uid="{00000000-0005-0000-0000-00006E190000}"/>
    <cellStyle name="Normal 5 3 10 3 2" xfId="23342" xr:uid="{C00A6EE9-5C97-4AEB-8ACB-0690642D5AE8}"/>
    <cellStyle name="Normal 5 3 10 3 3" xfId="31776" xr:uid="{CFB5F9DC-521E-4633-93CE-0C009E597619}"/>
    <cellStyle name="Normal 5 3 10 3 4" xfId="14904" xr:uid="{C604684A-ADAF-4945-BC82-021487E0266F}"/>
    <cellStyle name="Normal 5 3 10 4" xfId="19124" xr:uid="{BB784D4D-ED8B-4394-A9B3-85F7FC312866}"/>
    <cellStyle name="Normal 5 3 10 5" xfId="27559" xr:uid="{4BB738B2-24DE-4FD4-88F3-EF2290811F92}"/>
    <cellStyle name="Normal 5 3 10 6" xfId="10686" xr:uid="{78699B0F-04BA-45E5-A875-C9820A030773}"/>
    <cellStyle name="Normal 5 3 11" xfId="2594" xr:uid="{00000000-0005-0000-0000-00006F190000}"/>
    <cellStyle name="Normal 5 3 11 2" xfId="6878" xr:uid="{00000000-0005-0000-0000-000070190000}"/>
    <cellStyle name="Normal 5 3 11 2 2" xfId="23755" xr:uid="{26DA5BF7-9E1D-449D-9BD6-8EF1063DFB0E}"/>
    <cellStyle name="Normal 5 3 11 2 3" xfId="32189" xr:uid="{22493350-C5A9-4A06-8084-750CD65ED36A}"/>
    <cellStyle name="Normal 5 3 11 2 4" xfId="15317" xr:uid="{0111C242-85E5-4C90-9BA1-0D2AA550A517}"/>
    <cellStyle name="Normal 5 3 11 3" xfId="19537" xr:uid="{2F6BFB19-7094-4B4A-94A7-04EB0936A7C6}"/>
    <cellStyle name="Normal 5 3 11 4" xfId="27972" xr:uid="{2B9A0228-AD5C-4BC6-BA7C-2DB166DF6BBB}"/>
    <cellStyle name="Normal 5 3 11 5" xfId="11099" xr:uid="{D312D46C-0B2B-469E-AA95-2A808FA92F3B}"/>
    <cellStyle name="Normal 5 3 12" xfId="4813" xr:uid="{00000000-0005-0000-0000-000071190000}"/>
    <cellStyle name="Normal 5 3 12 2" xfId="21690" xr:uid="{0AD0539E-0DE8-4FE2-A6CD-F0981B1E7BA7}"/>
    <cellStyle name="Normal 5 3 12 3" xfId="30124" xr:uid="{FF966D6A-FEEB-4AD3-9000-2B715AF22BB2}"/>
    <cellStyle name="Normal 5 3 12 4" xfId="13252" xr:uid="{1BFBDBED-6BC9-4ABE-8AE9-DA13FC9BE819}"/>
    <cellStyle name="Normal 5 3 13" xfId="17472" xr:uid="{BF2BEF12-C818-4802-9FE1-30264A450BAA}"/>
    <cellStyle name="Normal 5 3 14" xfId="25907" xr:uid="{FF722614-5455-482D-8468-F53736661718}"/>
    <cellStyle name="Normal 5 3 15" xfId="9034" xr:uid="{DE90C630-CC9C-4A0C-8A19-D6464CF7E80B}"/>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21691" xr:uid="{CA357EDA-C42B-4F6D-B29C-E6A674817702}"/>
    <cellStyle name="Normal 5 3 3 10 3" xfId="30125" xr:uid="{55E9CC7B-B195-4CA9-A7C2-75485A8D105E}"/>
    <cellStyle name="Normal 5 3 3 10 4" xfId="13253" xr:uid="{D9EF6C2D-210F-4AE8-AFF5-E4238125FE1A}"/>
    <cellStyle name="Normal 5 3 3 11" xfId="17473" xr:uid="{B7F958B4-852D-45AE-96BC-869C0330D7DF}"/>
    <cellStyle name="Normal 5 3 3 12" xfId="25908" xr:uid="{6F0F89A1-40C1-4578-89BD-BE87AFAF1C5A}"/>
    <cellStyle name="Normal 5 3 3 13" xfId="9035" xr:uid="{62B1D2CA-5B95-42B8-B9DE-384FF0BBD1DC}"/>
    <cellStyle name="Normal 5 3 3 2" xfId="442" xr:uid="{00000000-0005-0000-0000-000076190000}"/>
    <cellStyle name="Normal 5 3 3 2 10" xfId="17474" xr:uid="{07D620AA-469F-4547-A521-8C6E41EB5A16}"/>
    <cellStyle name="Normal 5 3 3 2 11" xfId="25909" xr:uid="{563B8C9E-2D43-4E46-A9F6-B1564026D7BC}"/>
    <cellStyle name="Normal 5 3 3 2 12" xfId="9036" xr:uid="{82D7CEA0-D28C-48D5-9069-4FB1A12F580C}"/>
    <cellStyle name="Normal 5 3 3 2 2" xfId="443" xr:uid="{00000000-0005-0000-0000-000077190000}"/>
    <cellStyle name="Normal 5 3 3 2 2 10" xfId="25910" xr:uid="{56AA6FAA-89E0-4F07-8166-700DAD20103F}"/>
    <cellStyle name="Normal 5 3 3 2 2 11" xfId="9037" xr:uid="{99310FA8-8C00-4F43-ADE0-3E09C69A8308}"/>
    <cellStyle name="Normal 5 3 3 2 2 2" xfId="444" xr:uid="{00000000-0005-0000-0000-000078190000}"/>
    <cellStyle name="Normal 5 3 3 2 2 2 10" xfId="9038" xr:uid="{1B98650F-51C1-4201-A725-EEAE4B276FC2}"/>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24252" xr:uid="{1C6FD6E8-DB4B-4213-9C23-E9D05C923052}"/>
    <cellStyle name="Normal 5 3 3 2 2 2 2 2 2 3" xfId="32686" xr:uid="{6E795F4F-8A56-4ABC-80F4-173C9E1C1241}"/>
    <cellStyle name="Normal 5 3 3 2 2 2 2 2 2 4" xfId="15814" xr:uid="{1572BCC6-F68D-4680-AD79-2A5F5E2B196F}"/>
    <cellStyle name="Normal 5 3 3 2 2 2 2 2 3" xfId="20034" xr:uid="{30F90D01-B5F9-490A-B473-7AAC713980A6}"/>
    <cellStyle name="Normal 5 3 3 2 2 2 2 2 4" xfId="28469" xr:uid="{09F196F8-63DE-4D9A-94F0-ADF008600D29}"/>
    <cellStyle name="Normal 5 3 3 2 2 2 2 2 5" xfId="11596" xr:uid="{2AFEF113-B8E5-4D05-A14E-5A7ABE326DA0}"/>
    <cellStyle name="Normal 5 3 3 2 2 2 2 3" xfId="5230" xr:uid="{00000000-0005-0000-0000-00007C190000}"/>
    <cellStyle name="Normal 5 3 3 2 2 2 2 3 2" xfId="22107" xr:uid="{BA9FB4E3-6EB8-4166-9902-38511F77BF62}"/>
    <cellStyle name="Normal 5 3 3 2 2 2 2 3 3" xfId="30541" xr:uid="{3EFC12A3-9CEC-467B-B9AB-AE27AD605322}"/>
    <cellStyle name="Normal 5 3 3 2 2 2 2 3 4" xfId="13669" xr:uid="{70FAE9F0-2FBE-4D8E-9BC3-8F330E3551C3}"/>
    <cellStyle name="Normal 5 3 3 2 2 2 2 4" xfId="17889" xr:uid="{90A587A3-5DEA-4E83-AA8E-E9D62D45E2ED}"/>
    <cellStyle name="Normal 5 3 3 2 2 2 2 5" xfId="26324" xr:uid="{B01E3B1F-DF20-41BF-B10C-DC6B84F7CEAD}"/>
    <cellStyle name="Normal 5 3 3 2 2 2 2 6" xfId="9451" xr:uid="{01F23F85-4166-4A4A-87C4-89F80CC05B88}"/>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24665" xr:uid="{A1E29F74-4498-4B8F-B954-FA8F95382C31}"/>
    <cellStyle name="Normal 5 3 3 2 2 2 3 2 2 3" xfId="33099" xr:uid="{1D8C1F8F-A3C3-441F-B606-207D083C86F5}"/>
    <cellStyle name="Normal 5 3 3 2 2 2 3 2 2 4" xfId="16227" xr:uid="{43CEBAB7-82C7-4946-9C2A-01C9036A40C3}"/>
    <cellStyle name="Normal 5 3 3 2 2 2 3 2 3" xfId="20447" xr:uid="{7C8A1599-D567-4268-9DFA-99662EB0902A}"/>
    <cellStyle name="Normal 5 3 3 2 2 2 3 2 4" xfId="28882" xr:uid="{CA2D2366-64D4-48E4-814E-89EDDB2D8A8D}"/>
    <cellStyle name="Normal 5 3 3 2 2 2 3 2 5" xfId="12009" xr:uid="{B48111FE-A22B-4263-BA3C-C1DD557BD2D3}"/>
    <cellStyle name="Normal 5 3 3 2 2 2 3 3" xfId="5643" xr:uid="{00000000-0005-0000-0000-000080190000}"/>
    <cellStyle name="Normal 5 3 3 2 2 2 3 3 2" xfId="22520" xr:uid="{99594EE6-5D8E-4614-91A9-4DFE17D50D8B}"/>
    <cellStyle name="Normal 5 3 3 2 2 2 3 3 3" xfId="30954" xr:uid="{97A50394-152F-4950-8E3B-56E89B605A97}"/>
    <cellStyle name="Normal 5 3 3 2 2 2 3 3 4" xfId="14082" xr:uid="{552BD9B9-C9FD-4F82-843F-A7A8EEB2DA5A}"/>
    <cellStyle name="Normal 5 3 3 2 2 2 3 4" xfId="18302" xr:uid="{3CFA4541-AF7A-4689-8D31-A3D63D69CF1B}"/>
    <cellStyle name="Normal 5 3 3 2 2 2 3 5" xfId="26737" xr:uid="{64F3EA36-B232-443B-A9AE-291E50DE6DCE}"/>
    <cellStyle name="Normal 5 3 3 2 2 2 3 6" xfId="9864" xr:uid="{3CCED8CB-D765-49B1-8ADE-04C20059CEE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25078" xr:uid="{95FE0AC4-ADD8-4C1D-AD0E-43A3B89081D6}"/>
    <cellStyle name="Normal 5 3 3 2 2 2 4 2 2 3" xfId="33512" xr:uid="{A5FA6B2F-96DD-4FCA-8703-3A7380C0B509}"/>
    <cellStyle name="Normal 5 3 3 2 2 2 4 2 2 4" xfId="16640" xr:uid="{26B47911-20D6-4E52-8B20-6364C57D0398}"/>
    <cellStyle name="Normal 5 3 3 2 2 2 4 2 3" xfId="20860" xr:uid="{DB9477B1-5328-4320-91A0-42720E968A0B}"/>
    <cellStyle name="Normal 5 3 3 2 2 2 4 2 4" xfId="29295" xr:uid="{7CF4ED79-E87D-4F42-900E-5EF58CD675D2}"/>
    <cellStyle name="Normal 5 3 3 2 2 2 4 2 5" xfId="12422" xr:uid="{500932E3-7005-4FA5-9DD7-009C5B97A1B8}"/>
    <cellStyle name="Normal 5 3 3 2 2 2 4 3" xfId="6056" xr:uid="{00000000-0005-0000-0000-000084190000}"/>
    <cellStyle name="Normal 5 3 3 2 2 2 4 3 2" xfId="22933" xr:uid="{171C9DDB-82E1-4C85-99E4-CFDC310D1762}"/>
    <cellStyle name="Normal 5 3 3 2 2 2 4 3 3" xfId="31367" xr:uid="{D497D8BA-1B72-4A48-B930-29FEC2207565}"/>
    <cellStyle name="Normal 5 3 3 2 2 2 4 3 4" xfId="14495" xr:uid="{324719A9-3F11-4EA2-96CE-ED9A037F12C5}"/>
    <cellStyle name="Normal 5 3 3 2 2 2 4 4" xfId="18715" xr:uid="{3DE2ADCB-F59D-4B74-910B-95EE1E38FB31}"/>
    <cellStyle name="Normal 5 3 3 2 2 2 4 5" xfId="27150" xr:uid="{9EA2CCB3-FAF5-4E99-8405-D346EC1EF3BC}"/>
    <cellStyle name="Normal 5 3 3 2 2 2 4 6" xfId="10277" xr:uid="{2168D03F-4431-43E6-9534-6C3E5342DF98}"/>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25491" xr:uid="{CA2C6952-9FC8-4130-A158-46262DAA2509}"/>
    <cellStyle name="Normal 5 3 3 2 2 2 5 2 2 3" xfId="33925" xr:uid="{401877B8-FF1A-48F8-9279-D10A13A9FE8E}"/>
    <cellStyle name="Normal 5 3 3 2 2 2 5 2 2 4" xfId="17053" xr:uid="{C419EC9E-8291-4B70-8986-CA3DA35AE795}"/>
    <cellStyle name="Normal 5 3 3 2 2 2 5 2 3" xfId="21273" xr:uid="{1F1B491C-C536-4E4A-9FFA-0A8D5523B42C}"/>
    <cellStyle name="Normal 5 3 3 2 2 2 5 2 4" xfId="29708" xr:uid="{48CFA8DC-44A7-4D1D-BDE3-A96DE80BD79B}"/>
    <cellStyle name="Normal 5 3 3 2 2 2 5 2 5" xfId="12835" xr:uid="{7595F04E-05ED-4DD0-B03D-FEBEE26542A3}"/>
    <cellStyle name="Normal 5 3 3 2 2 2 5 3" xfId="6469" xr:uid="{00000000-0005-0000-0000-000088190000}"/>
    <cellStyle name="Normal 5 3 3 2 2 2 5 3 2" xfId="23346" xr:uid="{6F2A591A-7A23-4AE4-A841-27E1A50FA408}"/>
    <cellStyle name="Normal 5 3 3 2 2 2 5 3 3" xfId="31780" xr:uid="{FA3A3C6C-F8FF-40CE-89BB-69E00D4D76C4}"/>
    <cellStyle name="Normal 5 3 3 2 2 2 5 3 4" xfId="14908" xr:uid="{9B553B57-F668-4BD4-938E-D36F69CBFA46}"/>
    <cellStyle name="Normal 5 3 3 2 2 2 5 4" xfId="19128" xr:uid="{E32D563C-1E84-4DE8-85AC-BB43F2380946}"/>
    <cellStyle name="Normal 5 3 3 2 2 2 5 5" xfId="27563" xr:uid="{6FCFDFFF-9CF9-4BA9-BD5A-B1D7F1B8EFC6}"/>
    <cellStyle name="Normal 5 3 3 2 2 2 5 6" xfId="10690" xr:uid="{A73E5498-A042-4427-8B07-6C6DA8256C70}"/>
    <cellStyle name="Normal 5 3 3 2 2 2 6" xfId="2598" xr:uid="{00000000-0005-0000-0000-000089190000}"/>
    <cellStyle name="Normal 5 3 3 2 2 2 6 2" xfId="6882" xr:uid="{00000000-0005-0000-0000-00008A190000}"/>
    <cellStyle name="Normal 5 3 3 2 2 2 6 2 2" xfId="23759" xr:uid="{DB6ADBBB-DD72-4ED3-A6C2-0685FBA508E3}"/>
    <cellStyle name="Normal 5 3 3 2 2 2 6 2 3" xfId="32193" xr:uid="{B2DFDE9E-73F9-4A7C-B3D0-5A03DDC1BDB7}"/>
    <cellStyle name="Normal 5 3 3 2 2 2 6 2 4" xfId="15321" xr:uid="{C9697861-4C61-48B0-87F6-46ABB5345F8C}"/>
    <cellStyle name="Normal 5 3 3 2 2 2 6 3" xfId="19541" xr:uid="{7188335D-4C35-4472-BC01-2B10CB2184A2}"/>
    <cellStyle name="Normal 5 3 3 2 2 2 6 4" xfId="27976" xr:uid="{A497BBCA-6E56-4535-8D23-327C39DBA37A}"/>
    <cellStyle name="Normal 5 3 3 2 2 2 6 5" xfId="11103" xr:uid="{A8327CB3-3195-4FD0-8EE4-1F33FBB77440}"/>
    <cellStyle name="Normal 5 3 3 2 2 2 7" xfId="4817" xr:uid="{00000000-0005-0000-0000-00008B190000}"/>
    <cellStyle name="Normal 5 3 3 2 2 2 7 2" xfId="21694" xr:uid="{3F1D378A-CCCD-41BA-9412-14A0B722557B}"/>
    <cellStyle name="Normal 5 3 3 2 2 2 7 3" xfId="30128" xr:uid="{E0E38F33-DA8F-4DA1-A157-05DF8D7F4CD1}"/>
    <cellStyle name="Normal 5 3 3 2 2 2 7 4" xfId="13256" xr:uid="{6F494808-DDC4-4144-BA04-CC4BF056DA5E}"/>
    <cellStyle name="Normal 5 3 3 2 2 2 8" xfId="17476" xr:uid="{79A5D63D-A56C-4F3B-B54E-D0F00D8D5908}"/>
    <cellStyle name="Normal 5 3 3 2 2 2 9" xfId="25911" xr:uid="{AE5CFDF9-329B-4613-A42F-507F9363E5F2}"/>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24251" xr:uid="{47D3E100-8143-46C6-9636-43D4839C8EDE}"/>
    <cellStyle name="Normal 5 3 3 2 2 3 2 2 3" xfId="32685" xr:uid="{533B5796-4514-4889-8115-4E3C63037817}"/>
    <cellStyle name="Normal 5 3 3 2 2 3 2 2 4" xfId="15813" xr:uid="{28227F6D-0FAF-4949-BCEE-33549BAB5DF5}"/>
    <cellStyle name="Normal 5 3 3 2 2 3 2 3" xfId="20033" xr:uid="{2199F122-58F4-4472-9468-8FF62DFB4F18}"/>
    <cellStyle name="Normal 5 3 3 2 2 3 2 4" xfId="28468" xr:uid="{130005DE-FECD-4ADF-A8C5-93FB3742544E}"/>
    <cellStyle name="Normal 5 3 3 2 2 3 2 5" xfId="11595" xr:uid="{2376431E-33F1-4CD5-840E-B390B13D844B}"/>
    <cellStyle name="Normal 5 3 3 2 2 3 3" xfId="5229" xr:uid="{00000000-0005-0000-0000-00008F190000}"/>
    <cellStyle name="Normal 5 3 3 2 2 3 3 2" xfId="22106" xr:uid="{F6AE6203-87CC-4D30-80D7-93B1ED80AF7A}"/>
    <cellStyle name="Normal 5 3 3 2 2 3 3 3" xfId="30540" xr:uid="{87F14991-AD21-4071-AFA9-FE3A350D0556}"/>
    <cellStyle name="Normal 5 3 3 2 2 3 3 4" xfId="13668" xr:uid="{91E0A010-4CEF-4002-8CF2-9C95933FEEA6}"/>
    <cellStyle name="Normal 5 3 3 2 2 3 4" xfId="17888" xr:uid="{EA8E16CA-09CD-427E-B6FC-1581FB543987}"/>
    <cellStyle name="Normal 5 3 3 2 2 3 5" xfId="26323" xr:uid="{2E879E7D-3561-4A0C-8AC0-5A0A0EE97EB1}"/>
    <cellStyle name="Normal 5 3 3 2 2 3 6" xfId="9450" xr:uid="{E249A7CC-B846-4B2A-87BB-6B829678DE5C}"/>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24664" xr:uid="{6FBF177A-262C-4532-A18F-90E0A09E0866}"/>
    <cellStyle name="Normal 5 3 3 2 2 4 2 2 3" xfId="33098" xr:uid="{065FB059-6FBE-4661-A50F-C239F8615FEA}"/>
    <cellStyle name="Normal 5 3 3 2 2 4 2 2 4" xfId="16226" xr:uid="{5A85A694-3F13-45E5-A5F7-4CB36901645A}"/>
    <cellStyle name="Normal 5 3 3 2 2 4 2 3" xfId="20446" xr:uid="{7A7FCE03-7460-451E-A5BC-995F433DAD0F}"/>
    <cellStyle name="Normal 5 3 3 2 2 4 2 4" xfId="28881" xr:uid="{C83A472A-B9B8-494F-9FC2-2E69E6F7E127}"/>
    <cellStyle name="Normal 5 3 3 2 2 4 2 5" xfId="12008" xr:uid="{D0691CCC-6B62-435C-9F0E-D1E5D1A3FFD2}"/>
    <cellStyle name="Normal 5 3 3 2 2 4 3" xfId="5642" xr:uid="{00000000-0005-0000-0000-000093190000}"/>
    <cellStyle name="Normal 5 3 3 2 2 4 3 2" xfId="22519" xr:uid="{411F341A-8196-4221-95E2-7C25DB772787}"/>
    <cellStyle name="Normal 5 3 3 2 2 4 3 3" xfId="30953" xr:uid="{7E3FD19A-9589-4CC1-8AB5-1515F5AFE3CC}"/>
    <cellStyle name="Normal 5 3 3 2 2 4 3 4" xfId="14081" xr:uid="{99B1C39D-A0C4-47B4-9B2C-7D720DFC8121}"/>
    <cellStyle name="Normal 5 3 3 2 2 4 4" xfId="18301" xr:uid="{985977D8-7175-4A2E-B664-5B5224BE2586}"/>
    <cellStyle name="Normal 5 3 3 2 2 4 5" xfId="26736" xr:uid="{2BD87A34-518D-4EE5-BC88-2E1519558281}"/>
    <cellStyle name="Normal 5 3 3 2 2 4 6" xfId="9863" xr:uid="{505081B3-0F9C-41CD-9FA1-C76A904A25BF}"/>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25077" xr:uid="{67F9785D-1F95-4F9A-8F3A-4A1F30320921}"/>
    <cellStyle name="Normal 5 3 3 2 2 5 2 2 3" xfId="33511" xr:uid="{64DC0C0F-1893-4D49-A135-DEB5C2D8E5BA}"/>
    <cellStyle name="Normal 5 3 3 2 2 5 2 2 4" xfId="16639" xr:uid="{9B702B0A-22C3-4F29-B121-84FCF82033CB}"/>
    <cellStyle name="Normal 5 3 3 2 2 5 2 3" xfId="20859" xr:uid="{C0760813-592D-4320-9B6E-73C4D5AC6915}"/>
    <cellStyle name="Normal 5 3 3 2 2 5 2 4" xfId="29294" xr:uid="{616FAF5E-112D-414B-B7E1-3C597F17E3D4}"/>
    <cellStyle name="Normal 5 3 3 2 2 5 2 5" xfId="12421" xr:uid="{2777C6A8-D499-4A16-9BD0-C69BF37670C2}"/>
    <cellStyle name="Normal 5 3 3 2 2 5 3" xfId="6055" xr:uid="{00000000-0005-0000-0000-000097190000}"/>
    <cellStyle name="Normal 5 3 3 2 2 5 3 2" xfId="22932" xr:uid="{B419C282-8B91-46EB-8BD9-203DB860DAFC}"/>
    <cellStyle name="Normal 5 3 3 2 2 5 3 3" xfId="31366" xr:uid="{20534377-8295-4411-A0DD-86A201E4E649}"/>
    <cellStyle name="Normal 5 3 3 2 2 5 3 4" xfId="14494" xr:uid="{B984E065-AA4C-468B-8027-D8E9EB194C87}"/>
    <cellStyle name="Normal 5 3 3 2 2 5 4" xfId="18714" xr:uid="{E18B4415-2974-4300-95CE-3841482FA8A2}"/>
    <cellStyle name="Normal 5 3 3 2 2 5 5" xfId="27149" xr:uid="{39391CB3-2FFD-44C7-8697-76086339E447}"/>
    <cellStyle name="Normal 5 3 3 2 2 5 6" xfId="10276" xr:uid="{E1CA69EC-69E2-4F4F-AE0C-D701A689FE31}"/>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25490" xr:uid="{151F940D-8ED7-446B-8DCB-D7CAC0CE1F7D}"/>
    <cellStyle name="Normal 5 3 3 2 2 6 2 2 3" xfId="33924" xr:uid="{F52626DC-F539-454D-9A83-891E8A94F3A3}"/>
    <cellStyle name="Normal 5 3 3 2 2 6 2 2 4" xfId="17052" xr:uid="{92B42A32-0B06-4EBF-9010-57DBB5980400}"/>
    <cellStyle name="Normal 5 3 3 2 2 6 2 3" xfId="21272" xr:uid="{013FBF3D-CBF1-4552-90B6-298BD5584F86}"/>
    <cellStyle name="Normal 5 3 3 2 2 6 2 4" xfId="29707" xr:uid="{54AF1603-330C-49F2-A6CE-E3C56FBA057B}"/>
    <cellStyle name="Normal 5 3 3 2 2 6 2 5" xfId="12834" xr:uid="{EB6DC222-DA1A-4C08-8763-946688F9D0AB}"/>
    <cellStyle name="Normal 5 3 3 2 2 6 3" xfId="6468" xr:uid="{00000000-0005-0000-0000-00009B190000}"/>
    <cellStyle name="Normal 5 3 3 2 2 6 3 2" xfId="23345" xr:uid="{87A648B5-7F07-459A-BC6C-42EC64C6A100}"/>
    <cellStyle name="Normal 5 3 3 2 2 6 3 3" xfId="31779" xr:uid="{3475D698-3C14-47F7-B6C9-5F451E87D5F9}"/>
    <cellStyle name="Normal 5 3 3 2 2 6 3 4" xfId="14907" xr:uid="{B1819404-B5AB-4F0F-A820-46041F206FB5}"/>
    <cellStyle name="Normal 5 3 3 2 2 6 4" xfId="19127" xr:uid="{07F7CAF2-0F94-4897-96EB-3303A7753C60}"/>
    <cellStyle name="Normal 5 3 3 2 2 6 5" xfId="27562" xr:uid="{A2675749-CFBB-4FCC-BACA-444BFBAF79F5}"/>
    <cellStyle name="Normal 5 3 3 2 2 6 6" xfId="10689" xr:uid="{367E9C1B-1942-4EF7-ADC9-EB55733A7DCB}"/>
    <cellStyle name="Normal 5 3 3 2 2 7" xfId="2597" xr:uid="{00000000-0005-0000-0000-00009C190000}"/>
    <cellStyle name="Normal 5 3 3 2 2 7 2" xfId="6881" xr:uid="{00000000-0005-0000-0000-00009D190000}"/>
    <cellStyle name="Normal 5 3 3 2 2 7 2 2" xfId="23758" xr:uid="{7D9ED857-8EF6-4A96-B888-0C57798EB9A2}"/>
    <cellStyle name="Normal 5 3 3 2 2 7 2 3" xfId="32192" xr:uid="{E10EB2FD-1264-477D-B259-0CF7934E1AB9}"/>
    <cellStyle name="Normal 5 3 3 2 2 7 2 4" xfId="15320" xr:uid="{3B4B357C-60C3-45B7-83AF-D80DE803CA20}"/>
    <cellStyle name="Normal 5 3 3 2 2 7 3" xfId="19540" xr:uid="{DBA6D5F8-D113-407E-AFA3-F17FC22FF47F}"/>
    <cellStyle name="Normal 5 3 3 2 2 7 4" xfId="27975" xr:uid="{3322F3EC-C9AD-46E3-9F9F-D4ECEB307AB3}"/>
    <cellStyle name="Normal 5 3 3 2 2 7 5" xfId="11102" xr:uid="{3A464B5B-D9CC-4E99-A8D8-753AA5670A06}"/>
    <cellStyle name="Normal 5 3 3 2 2 8" xfId="4816" xr:uid="{00000000-0005-0000-0000-00009E190000}"/>
    <cellStyle name="Normal 5 3 3 2 2 8 2" xfId="21693" xr:uid="{5C74AA74-8A8F-4B71-91B1-D324E6835BD7}"/>
    <cellStyle name="Normal 5 3 3 2 2 8 3" xfId="30127" xr:uid="{1C190960-48B2-470F-9985-551FF61E1A8E}"/>
    <cellStyle name="Normal 5 3 3 2 2 8 4" xfId="13255" xr:uid="{DCCD4BDC-B912-4160-8F65-CBFA658A071D}"/>
    <cellStyle name="Normal 5 3 3 2 2 9" xfId="17475" xr:uid="{405FE25B-BF2D-442E-A5BA-0A58B1A4953B}"/>
    <cellStyle name="Normal 5 3 3 2 3" xfId="445" xr:uid="{00000000-0005-0000-0000-00009F190000}"/>
    <cellStyle name="Normal 5 3 3 2 3 10" xfId="9039" xr:uid="{06834DE6-ED94-4CA3-9064-8BCBCD8D616F}"/>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24253" xr:uid="{2516E178-C2A9-427F-B6D4-DAC7D8258B28}"/>
    <cellStyle name="Normal 5 3 3 2 3 2 2 2 3" xfId="32687" xr:uid="{DBEF5758-13FB-4EFE-8D30-950237F26CC3}"/>
    <cellStyle name="Normal 5 3 3 2 3 2 2 2 4" xfId="15815" xr:uid="{78B83218-B409-40AD-A687-295DE2CFC72E}"/>
    <cellStyle name="Normal 5 3 3 2 3 2 2 3" xfId="20035" xr:uid="{3EA19DFA-BF8E-4D0F-8845-21418C6703A3}"/>
    <cellStyle name="Normal 5 3 3 2 3 2 2 4" xfId="28470" xr:uid="{2F60103C-9EF1-4EB4-BAB6-D85BA14A12EB}"/>
    <cellStyle name="Normal 5 3 3 2 3 2 2 5" xfId="11597" xr:uid="{EC60F020-ED50-4B59-8DEF-300603A6FDED}"/>
    <cellStyle name="Normal 5 3 3 2 3 2 3" xfId="5231" xr:uid="{00000000-0005-0000-0000-0000A3190000}"/>
    <cellStyle name="Normal 5 3 3 2 3 2 3 2" xfId="22108" xr:uid="{5DBCF8E7-91C7-414B-A859-7CA7E354ACF1}"/>
    <cellStyle name="Normal 5 3 3 2 3 2 3 3" xfId="30542" xr:uid="{7E7242CF-BDD7-49FB-B65F-6D98C3E53BB8}"/>
    <cellStyle name="Normal 5 3 3 2 3 2 3 4" xfId="13670" xr:uid="{AB7606CC-56D4-4BA6-BED8-9C7804F4DFC7}"/>
    <cellStyle name="Normal 5 3 3 2 3 2 4" xfId="17890" xr:uid="{C85B1DF0-58E0-412B-8DF5-46BA0DA2167B}"/>
    <cellStyle name="Normal 5 3 3 2 3 2 5" xfId="26325" xr:uid="{0AB60CCC-9289-474B-98E6-218669B01DD5}"/>
    <cellStyle name="Normal 5 3 3 2 3 2 6" xfId="9452" xr:uid="{3E86E7C8-ED23-4797-B3BF-6D38B0E92AF2}"/>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24666" xr:uid="{846955D9-8C1A-4E76-94E5-2978F741180B}"/>
    <cellStyle name="Normal 5 3 3 2 3 3 2 2 3" xfId="33100" xr:uid="{A343E7BD-A2A6-4078-BA93-8B6D501D2574}"/>
    <cellStyle name="Normal 5 3 3 2 3 3 2 2 4" xfId="16228" xr:uid="{C5E89CFB-5D59-4B15-AC66-BB38F470E0CB}"/>
    <cellStyle name="Normal 5 3 3 2 3 3 2 3" xfId="20448" xr:uid="{11C27A0B-6F16-408C-9819-BB59AC83026B}"/>
    <cellStyle name="Normal 5 3 3 2 3 3 2 4" xfId="28883" xr:uid="{B0A549C4-6BE7-4EBE-B47B-3B4C687390DF}"/>
    <cellStyle name="Normal 5 3 3 2 3 3 2 5" xfId="12010" xr:uid="{1AF175C9-35B1-4E2A-ABBB-7C0CFFCB18C6}"/>
    <cellStyle name="Normal 5 3 3 2 3 3 3" xfId="5644" xr:uid="{00000000-0005-0000-0000-0000A7190000}"/>
    <cellStyle name="Normal 5 3 3 2 3 3 3 2" xfId="22521" xr:uid="{A2570169-EC5A-4B9B-9D39-382BE5AA2BFB}"/>
    <cellStyle name="Normal 5 3 3 2 3 3 3 3" xfId="30955" xr:uid="{E34363E8-9235-428B-8BA3-751311FF519A}"/>
    <cellStyle name="Normal 5 3 3 2 3 3 3 4" xfId="14083" xr:uid="{24E611C3-4C69-402D-9CB3-A08BA94FAB05}"/>
    <cellStyle name="Normal 5 3 3 2 3 3 4" xfId="18303" xr:uid="{A10BD15E-9D89-4309-ACA2-F5B7B16C6A41}"/>
    <cellStyle name="Normal 5 3 3 2 3 3 5" xfId="26738" xr:uid="{B8FD0110-C275-4F2C-B8FA-FFA16BEB8DF2}"/>
    <cellStyle name="Normal 5 3 3 2 3 3 6" xfId="9865" xr:uid="{6D973B56-D156-4400-A1F4-5D11E1C90937}"/>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25079" xr:uid="{E33C22A7-9051-4671-8576-A67C17400E87}"/>
    <cellStyle name="Normal 5 3 3 2 3 4 2 2 3" xfId="33513" xr:uid="{E2BC8CB5-F6C3-4F41-8074-BFB3CAD5A44B}"/>
    <cellStyle name="Normal 5 3 3 2 3 4 2 2 4" xfId="16641" xr:uid="{C55ABBBC-782E-449E-B88E-A7DE1DBC5E9B}"/>
    <cellStyle name="Normal 5 3 3 2 3 4 2 3" xfId="20861" xr:uid="{563F7284-619F-4C05-9559-BBEEEF4571A9}"/>
    <cellStyle name="Normal 5 3 3 2 3 4 2 4" xfId="29296" xr:uid="{F37A80EF-A3A7-4A19-8F6C-56E3E2FE4C55}"/>
    <cellStyle name="Normal 5 3 3 2 3 4 2 5" xfId="12423" xr:uid="{99594603-8D5D-4472-9FCC-78360D0206D4}"/>
    <cellStyle name="Normal 5 3 3 2 3 4 3" xfId="6057" xr:uid="{00000000-0005-0000-0000-0000AB190000}"/>
    <cellStyle name="Normal 5 3 3 2 3 4 3 2" xfId="22934" xr:uid="{23C1FA28-613D-48E7-9F49-D9C1033F135B}"/>
    <cellStyle name="Normal 5 3 3 2 3 4 3 3" xfId="31368" xr:uid="{5016A838-D9FB-4341-A2C3-16E6B25B8424}"/>
    <cellStyle name="Normal 5 3 3 2 3 4 3 4" xfId="14496" xr:uid="{4AF4D5F4-297B-4924-850C-9476A4E471AD}"/>
    <cellStyle name="Normal 5 3 3 2 3 4 4" xfId="18716" xr:uid="{89C19879-CD84-49AA-8FB6-1EE9AAB8620C}"/>
    <cellStyle name="Normal 5 3 3 2 3 4 5" xfId="27151" xr:uid="{40E41FA1-43C4-4DC3-A093-1F5A86F258DF}"/>
    <cellStyle name="Normal 5 3 3 2 3 4 6" xfId="10278" xr:uid="{641362B0-977D-4644-9B2A-6267E16994AE}"/>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25492" xr:uid="{A605B611-62A5-4A28-B4D2-8F97A9B9513D}"/>
    <cellStyle name="Normal 5 3 3 2 3 5 2 2 3" xfId="33926" xr:uid="{024F51F3-B45F-4B00-BC88-D16F42E8F974}"/>
    <cellStyle name="Normal 5 3 3 2 3 5 2 2 4" xfId="17054" xr:uid="{A0B83549-B544-42FF-A25F-F17ED6389A3C}"/>
    <cellStyle name="Normal 5 3 3 2 3 5 2 3" xfId="21274" xr:uid="{BB59CFAF-9215-4F7E-A341-D5A944AF74AD}"/>
    <cellStyle name="Normal 5 3 3 2 3 5 2 4" xfId="29709" xr:uid="{C847B098-412C-49D0-87CB-5FA39898641F}"/>
    <cellStyle name="Normal 5 3 3 2 3 5 2 5" xfId="12836" xr:uid="{FECA46FF-9A03-4CED-B6C0-24046B192180}"/>
    <cellStyle name="Normal 5 3 3 2 3 5 3" xfId="6470" xr:uid="{00000000-0005-0000-0000-0000AF190000}"/>
    <cellStyle name="Normal 5 3 3 2 3 5 3 2" xfId="23347" xr:uid="{387AB35A-6C3B-4006-A91B-36BA2523DFF4}"/>
    <cellStyle name="Normal 5 3 3 2 3 5 3 3" xfId="31781" xr:uid="{87976A17-17DB-45BF-A1E1-71E342F1FD0A}"/>
    <cellStyle name="Normal 5 3 3 2 3 5 3 4" xfId="14909" xr:uid="{DCEDA277-3909-4E87-9567-86990622502D}"/>
    <cellStyle name="Normal 5 3 3 2 3 5 4" xfId="19129" xr:uid="{BE21719E-7B03-40FE-88FD-D5005D043295}"/>
    <cellStyle name="Normal 5 3 3 2 3 5 5" xfId="27564" xr:uid="{99B07BEE-31EA-4C16-9884-55F5073E37FC}"/>
    <cellStyle name="Normal 5 3 3 2 3 5 6" xfId="10691" xr:uid="{7FB2AF25-0C41-4E68-A44A-B77B9A625D60}"/>
    <cellStyle name="Normal 5 3 3 2 3 6" xfId="2599" xr:uid="{00000000-0005-0000-0000-0000B0190000}"/>
    <cellStyle name="Normal 5 3 3 2 3 6 2" xfId="6883" xr:uid="{00000000-0005-0000-0000-0000B1190000}"/>
    <cellStyle name="Normal 5 3 3 2 3 6 2 2" xfId="23760" xr:uid="{6C1FF6EA-0665-4227-AD14-8EA87BC855F7}"/>
    <cellStyle name="Normal 5 3 3 2 3 6 2 3" xfId="32194" xr:uid="{96516BE5-972E-4F35-A0B9-DCE360201372}"/>
    <cellStyle name="Normal 5 3 3 2 3 6 2 4" xfId="15322" xr:uid="{15198F80-3A08-4A85-9C05-D5CD6055DC32}"/>
    <cellStyle name="Normal 5 3 3 2 3 6 3" xfId="19542" xr:uid="{ED2E2AD5-CE9D-4FB8-864B-C48E9023FF3B}"/>
    <cellStyle name="Normal 5 3 3 2 3 6 4" xfId="27977" xr:uid="{7C859934-0BDB-4354-9FE1-83766E8C4F95}"/>
    <cellStyle name="Normal 5 3 3 2 3 6 5" xfId="11104" xr:uid="{D202EF3C-28D8-4F7A-840E-D54D2CB45FA7}"/>
    <cellStyle name="Normal 5 3 3 2 3 7" xfId="4818" xr:uid="{00000000-0005-0000-0000-0000B2190000}"/>
    <cellStyle name="Normal 5 3 3 2 3 7 2" xfId="21695" xr:uid="{D3BFE478-A068-4ABF-B4FF-44BB9C0C207B}"/>
    <cellStyle name="Normal 5 3 3 2 3 7 3" xfId="30129" xr:uid="{736F7D62-E8AE-4692-9861-826923131FC3}"/>
    <cellStyle name="Normal 5 3 3 2 3 7 4" xfId="13257" xr:uid="{8E934E23-1A77-4990-A482-0B1BF8D2EF6C}"/>
    <cellStyle name="Normal 5 3 3 2 3 8" xfId="17477" xr:uid="{21F5DBDF-72EA-4EE1-A4B7-F7116ECD6DEB}"/>
    <cellStyle name="Normal 5 3 3 2 3 9" xfId="25912" xr:uid="{9E4CD12E-EDD3-46B4-8174-DBC9BB260917}"/>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24250" xr:uid="{41AF18C3-0384-452D-AD35-8AA583BCBDB5}"/>
    <cellStyle name="Normal 5 3 3 2 4 2 2 3" xfId="32684" xr:uid="{87F9BB45-F198-4A5C-B3B2-8313F62A3CF4}"/>
    <cellStyle name="Normal 5 3 3 2 4 2 2 4" xfId="15812" xr:uid="{B7354770-ED0D-46CF-99A8-955CBF102E3C}"/>
    <cellStyle name="Normal 5 3 3 2 4 2 3" xfId="20032" xr:uid="{4B674BB5-0B4E-4CBF-8446-479A767DAB52}"/>
    <cellStyle name="Normal 5 3 3 2 4 2 4" xfId="28467" xr:uid="{A1D857ED-FB9F-4E91-9236-C89B2836600D}"/>
    <cellStyle name="Normal 5 3 3 2 4 2 5" xfId="11594" xr:uid="{F79DDAEC-B974-4756-A351-FE532D2EB74D}"/>
    <cellStyle name="Normal 5 3 3 2 4 3" xfId="5228" xr:uid="{00000000-0005-0000-0000-0000B6190000}"/>
    <cellStyle name="Normal 5 3 3 2 4 3 2" xfId="22105" xr:uid="{E1952A34-7AB6-4A60-8DB2-8D5FD27192A5}"/>
    <cellStyle name="Normal 5 3 3 2 4 3 3" xfId="30539" xr:uid="{DA736F26-5736-4B72-A572-00C4C9CA40A1}"/>
    <cellStyle name="Normal 5 3 3 2 4 3 4" xfId="13667" xr:uid="{BD13DEBE-58F7-4560-8240-C31C8D35802C}"/>
    <cellStyle name="Normal 5 3 3 2 4 4" xfId="17887" xr:uid="{0C709677-EDEE-4BA5-AE29-12DFE357CC64}"/>
    <cellStyle name="Normal 5 3 3 2 4 5" xfId="26322" xr:uid="{29BA8259-6D6C-4B93-9BAD-0F77A6B3A514}"/>
    <cellStyle name="Normal 5 3 3 2 4 6" xfId="9449" xr:uid="{80A5D9FA-26E9-49FA-A2A9-4AD8EFF472A5}"/>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24663" xr:uid="{DC51E2E4-A0F3-4C5C-9DEF-348F02BF808F}"/>
    <cellStyle name="Normal 5 3 3 2 5 2 2 3" xfId="33097" xr:uid="{160777C9-A550-4F52-9428-A0989881F0F3}"/>
    <cellStyle name="Normal 5 3 3 2 5 2 2 4" xfId="16225" xr:uid="{B16637EB-0895-4516-B323-A1E615592884}"/>
    <cellStyle name="Normal 5 3 3 2 5 2 3" xfId="20445" xr:uid="{ED07424D-4078-48E5-A266-29CE3C136C8A}"/>
    <cellStyle name="Normal 5 3 3 2 5 2 4" xfId="28880" xr:uid="{FFDED770-8F93-4975-8F47-8F83AB344EDB}"/>
    <cellStyle name="Normal 5 3 3 2 5 2 5" xfId="12007" xr:uid="{90C2790E-BB6C-4B52-83CD-313CE989CB1F}"/>
    <cellStyle name="Normal 5 3 3 2 5 3" xfId="5641" xr:uid="{00000000-0005-0000-0000-0000BA190000}"/>
    <cellStyle name="Normal 5 3 3 2 5 3 2" xfId="22518" xr:uid="{03EA32AB-37F3-4E55-BA6F-537916C5811C}"/>
    <cellStyle name="Normal 5 3 3 2 5 3 3" xfId="30952" xr:uid="{5A73449C-87B1-486F-81E4-527ACBBC622C}"/>
    <cellStyle name="Normal 5 3 3 2 5 3 4" xfId="14080" xr:uid="{66DA1A92-B3C2-4F4B-A645-04C105E5302D}"/>
    <cellStyle name="Normal 5 3 3 2 5 4" xfId="18300" xr:uid="{89217208-3D16-4D61-8E35-F996C1D76C81}"/>
    <cellStyle name="Normal 5 3 3 2 5 5" xfId="26735" xr:uid="{855B7978-4434-4681-88EA-AF0280B9E474}"/>
    <cellStyle name="Normal 5 3 3 2 5 6" xfId="9862" xr:uid="{1EDC9D2F-581B-48B0-B197-4F9AC1F9B490}"/>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25076" xr:uid="{45481D77-9120-43E4-90D8-DC321A01BD15}"/>
    <cellStyle name="Normal 5 3 3 2 6 2 2 3" xfId="33510" xr:uid="{35F76A2F-8B2B-4E5B-931D-D47D00C79191}"/>
    <cellStyle name="Normal 5 3 3 2 6 2 2 4" xfId="16638" xr:uid="{91CD5D3A-A30E-4A40-BCCD-3504BBB9FCF8}"/>
    <cellStyle name="Normal 5 3 3 2 6 2 3" xfId="20858" xr:uid="{938CD90C-0016-4997-90B0-1361AD3DF6AF}"/>
    <cellStyle name="Normal 5 3 3 2 6 2 4" xfId="29293" xr:uid="{BC5CA6E5-E1B9-4871-BBAD-FAC74F3CC928}"/>
    <cellStyle name="Normal 5 3 3 2 6 2 5" xfId="12420" xr:uid="{BA8E3A78-AEE9-4340-8C2B-E54ACE5BDBA3}"/>
    <cellStyle name="Normal 5 3 3 2 6 3" xfId="6054" xr:uid="{00000000-0005-0000-0000-0000BE190000}"/>
    <cellStyle name="Normal 5 3 3 2 6 3 2" xfId="22931" xr:uid="{D7099CB6-12AF-491D-AC84-0395F0C4D0E7}"/>
    <cellStyle name="Normal 5 3 3 2 6 3 3" xfId="31365" xr:uid="{CB95F65B-A0C5-4928-B5AB-DBF33115222F}"/>
    <cellStyle name="Normal 5 3 3 2 6 3 4" xfId="14493" xr:uid="{FDE1D2C4-718A-4C55-BD65-3C9D1A0521B6}"/>
    <cellStyle name="Normal 5 3 3 2 6 4" xfId="18713" xr:uid="{80154F2F-76C1-45FD-9E06-9F8D7DBD9AA2}"/>
    <cellStyle name="Normal 5 3 3 2 6 5" xfId="27148" xr:uid="{2FFFBC0E-7A53-4171-B4D6-FB8AF7C9F03B}"/>
    <cellStyle name="Normal 5 3 3 2 6 6" xfId="10275" xr:uid="{AA801C1F-802B-4370-AD7A-3669B8269066}"/>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25489" xr:uid="{6C14AD85-AE13-4518-8EDA-7C5EEB3A4D00}"/>
    <cellStyle name="Normal 5 3 3 2 7 2 2 3" xfId="33923" xr:uid="{E60ECF93-24FB-499D-B2FE-92BD84BB7574}"/>
    <cellStyle name="Normal 5 3 3 2 7 2 2 4" xfId="17051" xr:uid="{AA986941-50AF-4EAA-8527-8B56BDEAE477}"/>
    <cellStyle name="Normal 5 3 3 2 7 2 3" xfId="21271" xr:uid="{2841A54D-3F8B-4E18-9FE5-354A68CD5734}"/>
    <cellStyle name="Normal 5 3 3 2 7 2 4" xfId="29706" xr:uid="{28AD2E56-0615-4C60-8928-9193675D48B4}"/>
    <cellStyle name="Normal 5 3 3 2 7 2 5" xfId="12833" xr:uid="{A82F2AEA-50CB-4ECE-96E9-0F15506DAFBD}"/>
    <cellStyle name="Normal 5 3 3 2 7 3" xfId="6467" xr:uid="{00000000-0005-0000-0000-0000C2190000}"/>
    <cellStyle name="Normal 5 3 3 2 7 3 2" xfId="23344" xr:uid="{1A06D83E-FE2E-41DF-8B88-32024E10F28C}"/>
    <cellStyle name="Normal 5 3 3 2 7 3 3" xfId="31778" xr:uid="{F725E741-FC94-460C-8EAB-DDF58401F8D5}"/>
    <cellStyle name="Normal 5 3 3 2 7 3 4" xfId="14906" xr:uid="{7B5736DD-18B2-4D7C-A67B-5DE809950CCC}"/>
    <cellStyle name="Normal 5 3 3 2 7 4" xfId="19126" xr:uid="{72EF3D99-8CED-4AA5-B196-0994E1BB498A}"/>
    <cellStyle name="Normal 5 3 3 2 7 5" xfId="27561" xr:uid="{634A5C8D-65F1-4B93-89E3-D728DDA6029A}"/>
    <cellStyle name="Normal 5 3 3 2 7 6" xfId="10688" xr:uid="{7E383A74-7A06-4287-B036-AD8E8BF99E73}"/>
    <cellStyle name="Normal 5 3 3 2 8" xfId="2596" xr:uid="{00000000-0005-0000-0000-0000C3190000}"/>
    <cellStyle name="Normal 5 3 3 2 8 2" xfId="6880" xr:uid="{00000000-0005-0000-0000-0000C4190000}"/>
    <cellStyle name="Normal 5 3 3 2 8 2 2" xfId="23757" xr:uid="{A4FB916F-8152-48E8-80C5-8F948CC9C9B1}"/>
    <cellStyle name="Normal 5 3 3 2 8 2 3" xfId="32191" xr:uid="{C0282518-4B9F-4C80-8670-28FD7DB54B34}"/>
    <cellStyle name="Normal 5 3 3 2 8 2 4" xfId="15319" xr:uid="{A04108BC-127C-4AB8-A884-08AF7475CFAC}"/>
    <cellStyle name="Normal 5 3 3 2 8 3" xfId="19539" xr:uid="{AD578F25-C657-4F9E-98A4-0FB30519F70F}"/>
    <cellStyle name="Normal 5 3 3 2 8 4" xfId="27974" xr:uid="{B1278077-F34C-4C4F-880F-B020E9F2C63D}"/>
    <cellStyle name="Normal 5 3 3 2 8 5" xfId="11101" xr:uid="{FFE28BB9-6BC4-4AE1-A28B-0199DFAAEA78}"/>
    <cellStyle name="Normal 5 3 3 2 9" xfId="4815" xr:uid="{00000000-0005-0000-0000-0000C5190000}"/>
    <cellStyle name="Normal 5 3 3 2 9 2" xfId="21692" xr:uid="{7306B43B-359C-4341-A710-B893C045B9DC}"/>
    <cellStyle name="Normal 5 3 3 2 9 3" xfId="30126" xr:uid="{5A40B5B9-5EDE-477E-9381-87E305396E51}"/>
    <cellStyle name="Normal 5 3 3 2 9 4" xfId="13254" xr:uid="{13F315B0-2429-4F2C-BD5A-D9C98B689F47}"/>
    <cellStyle name="Normal 5 3 3 3" xfId="446" xr:uid="{00000000-0005-0000-0000-0000C6190000}"/>
    <cellStyle name="Normal 5 3 3 3 10" xfId="25913" xr:uid="{EE2E81D7-89AE-438B-AF83-FC3B7FC0E97E}"/>
    <cellStyle name="Normal 5 3 3 3 11" xfId="9040" xr:uid="{16CCA719-E86B-45B4-B772-910844F68271}"/>
    <cellStyle name="Normal 5 3 3 3 2" xfId="447" xr:uid="{00000000-0005-0000-0000-0000C7190000}"/>
    <cellStyle name="Normal 5 3 3 3 2 10" xfId="9041" xr:uid="{16F24F27-8564-4424-8047-93B44E029A5A}"/>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24255" xr:uid="{934B67E1-3C1D-4C53-8C86-1B9A53E49CAC}"/>
    <cellStyle name="Normal 5 3 3 3 2 2 2 2 3" xfId="32689" xr:uid="{1EFA0887-F8A6-467B-9DB6-C772FD9F0981}"/>
    <cellStyle name="Normal 5 3 3 3 2 2 2 2 4" xfId="15817" xr:uid="{B63746CF-A3AF-4331-A8B6-18443858C749}"/>
    <cellStyle name="Normal 5 3 3 3 2 2 2 3" xfId="20037" xr:uid="{636CF5CF-F129-4738-89B8-C1E5356C80DA}"/>
    <cellStyle name="Normal 5 3 3 3 2 2 2 4" xfId="28472" xr:uid="{C4A61C12-E51A-48BB-9BA7-6BF5EDA1ABE3}"/>
    <cellStyle name="Normal 5 3 3 3 2 2 2 5" xfId="11599" xr:uid="{002EEABA-8DE4-4B38-B451-481753C9FE89}"/>
    <cellStyle name="Normal 5 3 3 3 2 2 3" xfId="5233" xr:uid="{00000000-0005-0000-0000-0000CB190000}"/>
    <cellStyle name="Normal 5 3 3 3 2 2 3 2" xfId="22110" xr:uid="{62ECA999-E970-4FBA-ABBA-075711BD99CE}"/>
    <cellStyle name="Normal 5 3 3 3 2 2 3 3" xfId="30544" xr:uid="{2A6B471C-E51E-4023-92CB-95BE1FEA72B4}"/>
    <cellStyle name="Normal 5 3 3 3 2 2 3 4" xfId="13672" xr:uid="{3075891A-5F68-4725-B424-0C8346E8ADD1}"/>
    <cellStyle name="Normal 5 3 3 3 2 2 4" xfId="17892" xr:uid="{8D2A4D42-B6CD-45F7-AA1D-A9A17D6994D5}"/>
    <cellStyle name="Normal 5 3 3 3 2 2 5" xfId="26327" xr:uid="{B32B31E0-9AE1-4640-81F7-FF9A2CBFA60C}"/>
    <cellStyle name="Normal 5 3 3 3 2 2 6" xfId="9454" xr:uid="{55A4E933-6EEE-4454-8743-C4DFA26A00B3}"/>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24668" xr:uid="{6F1E4572-BDC3-4DB9-BB5E-1DD706CADAE7}"/>
    <cellStyle name="Normal 5 3 3 3 2 3 2 2 3" xfId="33102" xr:uid="{309EC7BE-10EF-4C91-A8DB-5BC9997310FB}"/>
    <cellStyle name="Normal 5 3 3 3 2 3 2 2 4" xfId="16230" xr:uid="{6D8D8840-26AD-4BDC-BDBA-898220485D67}"/>
    <cellStyle name="Normal 5 3 3 3 2 3 2 3" xfId="20450" xr:uid="{F69D7A9E-DCA5-4D5D-B5E1-FE8930A86D6C}"/>
    <cellStyle name="Normal 5 3 3 3 2 3 2 4" xfId="28885" xr:uid="{40602D4B-3F67-4085-93D5-A6ACA2B19FFE}"/>
    <cellStyle name="Normal 5 3 3 3 2 3 2 5" xfId="12012" xr:uid="{C8330893-8838-4A9E-BD60-ACBEA32D6B69}"/>
    <cellStyle name="Normal 5 3 3 3 2 3 3" xfId="5646" xr:uid="{00000000-0005-0000-0000-0000CF190000}"/>
    <cellStyle name="Normal 5 3 3 3 2 3 3 2" xfId="22523" xr:uid="{D304DF51-3037-4D99-B482-2B55BB97602F}"/>
    <cellStyle name="Normal 5 3 3 3 2 3 3 3" xfId="30957" xr:uid="{9AA4C67E-4474-4601-B840-AAACCF9024FC}"/>
    <cellStyle name="Normal 5 3 3 3 2 3 3 4" xfId="14085" xr:uid="{5ECC4B55-14E7-45E0-9610-166A4D576801}"/>
    <cellStyle name="Normal 5 3 3 3 2 3 4" xfId="18305" xr:uid="{29895D49-9F27-4C28-8DFD-623CC062B20A}"/>
    <cellStyle name="Normal 5 3 3 3 2 3 5" xfId="26740" xr:uid="{E9587558-F4D3-41E4-8AC3-15F9A7B30E56}"/>
    <cellStyle name="Normal 5 3 3 3 2 3 6" xfId="9867" xr:uid="{EB91C2CA-5DB4-46F8-9E38-565762279B69}"/>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25081" xr:uid="{29E5C516-2EA6-46C9-B6AD-0D83A23F5A43}"/>
    <cellStyle name="Normal 5 3 3 3 2 4 2 2 3" xfId="33515" xr:uid="{2BA5F416-FD26-43AA-A2C7-4E8CB09A983C}"/>
    <cellStyle name="Normal 5 3 3 3 2 4 2 2 4" xfId="16643" xr:uid="{A2C97C27-BE15-4426-9091-20882FBB0F71}"/>
    <cellStyle name="Normal 5 3 3 3 2 4 2 3" xfId="20863" xr:uid="{5C214C35-EE7B-446E-9E02-6CE02D42D329}"/>
    <cellStyle name="Normal 5 3 3 3 2 4 2 4" xfId="29298" xr:uid="{6394375A-1BB3-4991-97E4-4ADF1DE8F3EB}"/>
    <cellStyle name="Normal 5 3 3 3 2 4 2 5" xfId="12425" xr:uid="{FDB0B3B5-0179-4561-BF98-2246BF984F3E}"/>
    <cellStyle name="Normal 5 3 3 3 2 4 3" xfId="6059" xr:uid="{00000000-0005-0000-0000-0000D3190000}"/>
    <cellStyle name="Normal 5 3 3 3 2 4 3 2" xfId="22936" xr:uid="{3F6D5A62-F54D-4683-BEBF-F9FE713CDC49}"/>
    <cellStyle name="Normal 5 3 3 3 2 4 3 3" xfId="31370" xr:uid="{BCAA7574-ECD6-4684-837B-23E1462D3ADB}"/>
    <cellStyle name="Normal 5 3 3 3 2 4 3 4" xfId="14498" xr:uid="{63872EC0-60A6-4D34-A4FC-3E32E99F846E}"/>
    <cellStyle name="Normal 5 3 3 3 2 4 4" xfId="18718" xr:uid="{9F7FAC5D-1CBC-46AF-9A0F-87E058BF0218}"/>
    <cellStyle name="Normal 5 3 3 3 2 4 5" xfId="27153" xr:uid="{5BF202D4-49B8-49DE-ABF3-348FB03D795F}"/>
    <cellStyle name="Normal 5 3 3 3 2 4 6" xfId="10280" xr:uid="{43DEE725-B833-43D3-B0AC-E7CB1AB17438}"/>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25494" xr:uid="{1D9E830D-541A-4328-BE0E-7D883E6EED2B}"/>
    <cellStyle name="Normal 5 3 3 3 2 5 2 2 3" xfId="33928" xr:uid="{88E4DEF3-D8A1-4283-8A9C-B8E9CC9CBE0A}"/>
    <cellStyle name="Normal 5 3 3 3 2 5 2 2 4" xfId="17056" xr:uid="{E5EE84EE-9796-437C-B450-3219CB109763}"/>
    <cellStyle name="Normal 5 3 3 3 2 5 2 3" xfId="21276" xr:uid="{81523FF8-68BB-4E71-8D27-952A5723632B}"/>
    <cellStyle name="Normal 5 3 3 3 2 5 2 4" xfId="29711" xr:uid="{87ABE26C-A63B-47DD-AFCB-BEFDEBAE971B}"/>
    <cellStyle name="Normal 5 3 3 3 2 5 2 5" xfId="12838" xr:uid="{D2042C95-70E6-4753-9CC5-429AC41914A5}"/>
    <cellStyle name="Normal 5 3 3 3 2 5 3" xfId="6472" xr:uid="{00000000-0005-0000-0000-0000D7190000}"/>
    <cellStyle name="Normal 5 3 3 3 2 5 3 2" xfId="23349" xr:uid="{C4306610-A646-46BB-BC59-DAC08C094209}"/>
    <cellStyle name="Normal 5 3 3 3 2 5 3 3" xfId="31783" xr:uid="{B5BA6796-49EC-4BEF-AB7A-F800FD813453}"/>
    <cellStyle name="Normal 5 3 3 3 2 5 3 4" xfId="14911" xr:uid="{0525D07A-29BA-4B7D-82D6-6E769EDEB312}"/>
    <cellStyle name="Normal 5 3 3 3 2 5 4" xfId="19131" xr:uid="{E76B62E1-60FF-4F3B-90CE-8C09A17504D6}"/>
    <cellStyle name="Normal 5 3 3 3 2 5 5" xfId="27566" xr:uid="{091B3884-4BBF-4DE2-AE28-5CCBD6C67A81}"/>
    <cellStyle name="Normal 5 3 3 3 2 5 6" xfId="10693" xr:uid="{30026184-1924-44D2-8746-BCC400C6760B}"/>
    <cellStyle name="Normal 5 3 3 3 2 6" xfId="2601" xr:uid="{00000000-0005-0000-0000-0000D8190000}"/>
    <cellStyle name="Normal 5 3 3 3 2 6 2" xfId="6885" xr:uid="{00000000-0005-0000-0000-0000D9190000}"/>
    <cellStyle name="Normal 5 3 3 3 2 6 2 2" xfId="23762" xr:uid="{75D959AF-CF33-4599-8F3E-261050866D92}"/>
    <cellStyle name="Normal 5 3 3 3 2 6 2 3" xfId="32196" xr:uid="{8BAEDFE3-F096-43C6-8722-64FF141909A3}"/>
    <cellStyle name="Normal 5 3 3 3 2 6 2 4" xfId="15324" xr:uid="{9D0AD8D2-08F7-44E0-A2FA-1C4F1CA44ADD}"/>
    <cellStyle name="Normal 5 3 3 3 2 6 3" xfId="19544" xr:uid="{B29C26DA-5BE7-40DA-B08A-1E1A952D6C25}"/>
    <cellStyle name="Normal 5 3 3 3 2 6 4" xfId="27979" xr:uid="{326CF8D7-7448-4558-9812-434D5CD4EBC6}"/>
    <cellStyle name="Normal 5 3 3 3 2 6 5" xfId="11106" xr:uid="{87A9F9E5-1944-41EA-BD7A-4065C6C18653}"/>
    <cellStyle name="Normal 5 3 3 3 2 7" xfId="4820" xr:uid="{00000000-0005-0000-0000-0000DA190000}"/>
    <cellStyle name="Normal 5 3 3 3 2 7 2" xfId="21697" xr:uid="{158BEB62-0E5F-4FC6-B038-3516C499FA7E}"/>
    <cellStyle name="Normal 5 3 3 3 2 7 3" xfId="30131" xr:uid="{13FE680E-309C-48E9-887A-AC192A81F267}"/>
    <cellStyle name="Normal 5 3 3 3 2 7 4" xfId="13259" xr:uid="{8A9FDCC8-108D-40F2-9D2A-CD11391A1F7D}"/>
    <cellStyle name="Normal 5 3 3 3 2 8" xfId="17479" xr:uid="{A62983F6-ECAD-40FD-98BC-F739317E1C86}"/>
    <cellStyle name="Normal 5 3 3 3 2 9" xfId="25914" xr:uid="{97A64434-D40B-4E2D-85F2-83C9C64B9B94}"/>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24254" xr:uid="{30DA3725-5843-47A5-9389-1764FB06B426}"/>
    <cellStyle name="Normal 5 3 3 3 3 2 2 3" xfId="32688" xr:uid="{8030A2AF-43DA-4BC4-BDA2-A08BFE07E427}"/>
    <cellStyle name="Normal 5 3 3 3 3 2 2 4" xfId="15816" xr:uid="{B9EEFC5A-9FCF-4CCF-9031-DD086FF55291}"/>
    <cellStyle name="Normal 5 3 3 3 3 2 3" xfId="20036" xr:uid="{CC1BAE51-75E9-411C-A49C-FBDDB76FDBDA}"/>
    <cellStyle name="Normal 5 3 3 3 3 2 4" xfId="28471" xr:uid="{27E45EFF-5162-41CE-A529-A7210F6AE3F1}"/>
    <cellStyle name="Normal 5 3 3 3 3 2 5" xfId="11598" xr:uid="{9F679593-C9CF-4C5D-88EE-5049B1D9B230}"/>
    <cellStyle name="Normal 5 3 3 3 3 3" xfId="5232" xr:uid="{00000000-0005-0000-0000-0000DE190000}"/>
    <cellStyle name="Normal 5 3 3 3 3 3 2" xfId="22109" xr:uid="{DE75B0EB-3729-4E51-B9FF-AA7AB2A5F759}"/>
    <cellStyle name="Normal 5 3 3 3 3 3 3" xfId="30543" xr:uid="{936BE2F7-88CA-451F-A577-7CAE417A8852}"/>
    <cellStyle name="Normal 5 3 3 3 3 3 4" xfId="13671" xr:uid="{6FBB5313-9342-4BA4-9BBE-3757A8FA5F87}"/>
    <cellStyle name="Normal 5 3 3 3 3 4" xfId="17891" xr:uid="{030C75E2-FD25-4CBF-A9B3-77B6042E5BA2}"/>
    <cellStyle name="Normal 5 3 3 3 3 5" xfId="26326" xr:uid="{C89BA864-D1BA-45E9-9907-D5DA1D21D802}"/>
    <cellStyle name="Normal 5 3 3 3 3 6" xfId="9453" xr:uid="{0797FA55-6291-46DA-9522-1D049FD28121}"/>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24667" xr:uid="{FD5EAEA6-5C65-4345-8F9E-46D2FD93549B}"/>
    <cellStyle name="Normal 5 3 3 3 4 2 2 3" xfId="33101" xr:uid="{4BD4BAD3-89E3-4BE3-9B28-8CF2C92E6700}"/>
    <cellStyle name="Normal 5 3 3 3 4 2 2 4" xfId="16229" xr:uid="{A9ACF0CE-A34A-4411-BE1A-B0F4F8A7F04F}"/>
    <cellStyle name="Normal 5 3 3 3 4 2 3" xfId="20449" xr:uid="{AAD7CCCF-B03E-4D9F-BAAC-66C808459224}"/>
    <cellStyle name="Normal 5 3 3 3 4 2 4" xfId="28884" xr:uid="{8A981B6C-0FB1-4331-BF23-11F079D61CED}"/>
    <cellStyle name="Normal 5 3 3 3 4 2 5" xfId="12011" xr:uid="{734CB2EC-AA31-46A5-884A-BB1148AF109A}"/>
    <cellStyle name="Normal 5 3 3 3 4 3" xfId="5645" xr:uid="{00000000-0005-0000-0000-0000E2190000}"/>
    <cellStyle name="Normal 5 3 3 3 4 3 2" xfId="22522" xr:uid="{92C65932-C0DC-4D39-9515-202B38BD740F}"/>
    <cellStyle name="Normal 5 3 3 3 4 3 3" xfId="30956" xr:uid="{6B40EBE4-4EFA-4514-AC9E-AC534615A6D3}"/>
    <cellStyle name="Normal 5 3 3 3 4 3 4" xfId="14084" xr:uid="{A781D654-E5EC-4A5A-ADE5-9D5706C22309}"/>
    <cellStyle name="Normal 5 3 3 3 4 4" xfId="18304" xr:uid="{2520AF24-1D31-48A9-8DB9-16786FAE0052}"/>
    <cellStyle name="Normal 5 3 3 3 4 5" xfId="26739" xr:uid="{AC5E1EB2-2577-4020-AB32-3D0543F7E507}"/>
    <cellStyle name="Normal 5 3 3 3 4 6" xfId="9866" xr:uid="{A8276A20-64C1-40B6-88E0-C43BC3C1A3BA}"/>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25080" xr:uid="{65CB090D-BE8F-42D5-A3C0-0CF994D76A9E}"/>
    <cellStyle name="Normal 5 3 3 3 5 2 2 3" xfId="33514" xr:uid="{1EF96B08-3E72-43E5-8CF2-19F690D9CB0E}"/>
    <cellStyle name="Normal 5 3 3 3 5 2 2 4" xfId="16642" xr:uid="{9B4C83BC-8769-48E7-95F4-2EA4BAA83AB3}"/>
    <cellStyle name="Normal 5 3 3 3 5 2 3" xfId="20862" xr:uid="{507E29AB-E740-4558-903D-7E6F740CCF37}"/>
    <cellStyle name="Normal 5 3 3 3 5 2 4" xfId="29297" xr:uid="{CDC1BA37-F520-4E56-BBCC-E34ADDFDD292}"/>
    <cellStyle name="Normal 5 3 3 3 5 2 5" xfId="12424" xr:uid="{75ADC4DA-108B-4AEA-81A1-33D036305713}"/>
    <cellStyle name="Normal 5 3 3 3 5 3" xfId="6058" xr:uid="{00000000-0005-0000-0000-0000E6190000}"/>
    <cellStyle name="Normal 5 3 3 3 5 3 2" xfId="22935" xr:uid="{0787BF0E-C17B-4B48-9E31-A7693CD38888}"/>
    <cellStyle name="Normal 5 3 3 3 5 3 3" xfId="31369" xr:uid="{37B1DEC8-EF9D-455A-9EF6-E67DD1151770}"/>
    <cellStyle name="Normal 5 3 3 3 5 3 4" xfId="14497" xr:uid="{E0C4BAE0-D42B-4C09-9655-810289C17FC9}"/>
    <cellStyle name="Normal 5 3 3 3 5 4" xfId="18717" xr:uid="{C77B11D9-4E52-4F77-97E3-91F96BAB5B8E}"/>
    <cellStyle name="Normal 5 3 3 3 5 5" xfId="27152" xr:uid="{59ED293B-56E3-413D-9BBE-08DCF43B5EBD}"/>
    <cellStyle name="Normal 5 3 3 3 5 6" xfId="10279" xr:uid="{3E7481E0-1152-460F-913C-E7C893803B33}"/>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25493" xr:uid="{E79B38C3-2762-4FF6-9BD6-533D15B35CC0}"/>
    <cellStyle name="Normal 5 3 3 3 6 2 2 3" xfId="33927" xr:uid="{366D99CA-19F1-4568-B874-D2E0B3D237F8}"/>
    <cellStyle name="Normal 5 3 3 3 6 2 2 4" xfId="17055" xr:uid="{9B5801F6-EAFD-4A6F-90A9-EA96C347B304}"/>
    <cellStyle name="Normal 5 3 3 3 6 2 3" xfId="21275" xr:uid="{72AA07DA-238A-41A3-8E10-1800756EBB53}"/>
    <cellStyle name="Normal 5 3 3 3 6 2 4" xfId="29710" xr:uid="{B32D1932-FF5D-4381-8D91-38B609A12CB2}"/>
    <cellStyle name="Normal 5 3 3 3 6 2 5" xfId="12837" xr:uid="{B3488C58-C791-4547-AADB-EC09FEE0DADD}"/>
    <cellStyle name="Normal 5 3 3 3 6 3" xfId="6471" xr:uid="{00000000-0005-0000-0000-0000EA190000}"/>
    <cellStyle name="Normal 5 3 3 3 6 3 2" xfId="23348" xr:uid="{7A731EFC-2C94-4A76-8CCD-6BB5B045A158}"/>
    <cellStyle name="Normal 5 3 3 3 6 3 3" xfId="31782" xr:uid="{E532D9BB-0BAA-4C17-B7C9-48B2DF19DDC0}"/>
    <cellStyle name="Normal 5 3 3 3 6 3 4" xfId="14910" xr:uid="{4B10A560-4AD2-42DD-A61D-D5DFFDB4101B}"/>
    <cellStyle name="Normal 5 3 3 3 6 4" xfId="19130" xr:uid="{C6DACEF0-D567-41BD-BC5A-FF31A5FAA5DA}"/>
    <cellStyle name="Normal 5 3 3 3 6 5" xfId="27565" xr:uid="{E1528CAD-4A35-4CA5-B10E-E6BBC44176A6}"/>
    <cellStyle name="Normal 5 3 3 3 6 6" xfId="10692" xr:uid="{1E97196A-F634-4352-8195-8E8C35783BB7}"/>
    <cellStyle name="Normal 5 3 3 3 7" xfId="2600" xr:uid="{00000000-0005-0000-0000-0000EB190000}"/>
    <cellStyle name="Normal 5 3 3 3 7 2" xfId="6884" xr:uid="{00000000-0005-0000-0000-0000EC190000}"/>
    <cellStyle name="Normal 5 3 3 3 7 2 2" xfId="23761" xr:uid="{597CDC71-FF9F-4DC0-98C7-BFED88576558}"/>
    <cellStyle name="Normal 5 3 3 3 7 2 3" xfId="32195" xr:uid="{CBB2FD23-2310-4B4C-A136-1360498694FA}"/>
    <cellStyle name="Normal 5 3 3 3 7 2 4" xfId="15323" xr:uid="{F2F6286F-6614-4FE2-856D-5D4D5CDB8AED}"/>
    <cellStyle name="Normal 5 3 3 3 7 3" xfId="19543" xr:uid="{044F431E-29E3-4F0A-A091-FAEB866728FA}"/>
    <cellStyle name="Normal 5 3 3 3 7 4" xfId="27978" xr:uid="{A730F439-EA63-4126-A262-D1F546D0533A}"/>
    <cellStyle name="Normal 5 3 3 3 7 5" xfId="11105" xr:uid="{7E8222FA-DFA8-44E8-8EE7-3164FE7D7EB8}"/>
    <cellStyle name="Normal 5 3 3 3 8" xfId="4819" xr:uid="{00000000-0005-0000-0000-0000ED190000}"/>
    <cellStyle name="Normal 5 3 3 3 8 2" xfId="21696" xr:uid="{0ABF066F-719C-4A39-8AED-A9720CE7811F}"/>
    <cellStyle name="Normal 5 3 3 3 8 3" xfId="30130" xr:uid="{74EA9125-3668-4832-9ABE-A49566B57FEC}"/>
    <cellStyle name="Normal 5 3 3 3 8 4" xfId="13258" xr:uid="{C37D4691-E492-400B-B44B-BB6B2DC003B7}"/>
    <cellStyle name="Normal 5 3 3 3 9" xfId="17478" xr:uid="{A88C7A07-E4DB-4B0B-9FBC-6C225F76830D}"/>
    <cellStyle name="Normal 5 3 3 4" xfId="448" xr:uid="{00000000-0005-0000-0000-0000EE190000}"/>
    <cellStyle name="Normal 5 3 3 4 10" xfId="9042" xr:uid="{CC2D08E9-E5B5-44C6-A05B-4C893D81F1ED}"/>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24256" xr:uid="{1192A8C9-8747-4C38-9A1D-D5B5CF0377C2}"/>
    <cellStyle name="Normal 5 3 3 4 2 2 2 3" xfId="32690" xr:uid="{BA26845F-5A5F-4EDE-89C5-EE09D6AAEB04}"/>
    <cellStyle name="Normal 5 3 3 4 2 2 2 4" xfId="15818" xr:uid="{E02FD982-ED3C-4F29-942B-454397B9666C}"/>
    <cellStyle name="Normal 5 3 3 4 2 2 3" xfId="20038" xr:uid="{36808800-DED8-46D5-A1EE-5E0431119AE6}"/>
    <cellStyle name="Normal 5 3 3 4 2 2 4" xfId="28473" xr:uid="{09CEBA1A-B7FC-4322-8B46-1B3019EF5472}"/>
    <cellStyle name="Normal 5 3 3 4 2 2 5" xfId="11600" xr:uid="{1420976F-9D89-4EF1-98D0-727D1A9FD84A}"/>
    <cellStyle name="Normal 5 3 3 4 2 3" xfId="5234" xr:uid="{00000000-0005-0000-0000-0000F2190000}"/>
    <cellStyle name="Normal 5 3 3 4 2 3 2" xfId="22111" xr:uid="{8179B709-8AE0-4BAE-87B5-07B31977D5EE}"/>
    <cellStyle name="Normal 5 3 3 4 2 3 3" xfId="30545" xr:uid="{2CBC1707-9EE2-4B69-8C83-065E3E788D5B}"/>
    <cellStyle name="Normal 5 3 3 4 2 3 4" xfId="13673" xr:uid="{ED5FD516-DADB-40DD-A41C-193C81DF533A}"/>
    <cellStyle name="Normal 5 3 3 4 2 4" xfId="17893" xr:uid="{8C4BBA80-AA36-4646-BBA8-53FA684322BD}"/>
    <cellStyle name="Normal 5 3 3 4 2 5" xfId="26328" xr:uid="{7E09B4F4-C511-4408-A801-A95E4FF64EC4}"/>
    <cellStyle name="Normal 5 3 3 4 2 6" xfId="9455" xr:uid="{4F030AE2-3CEB-4C57-A818-5F1030D18A9E}"/>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24669" xr:uid="{783D563D-4BD9-4D39-B788-F3B713FC9506}"/>
    <cellStyle name="Normal 5 3 3 4 3 2 2 3" xfId="33103" xr:uid="{72E1A07A-57A5-4B16-95A9-DEEDB8A911DA}"/>
    <cellStyle name="Normal 5 3 3 4 3 2 2 4" xfId="16231" xr:uid="{51859104-A4B0-48E8-9FF4-6EC25A064551}"/>
    <cellStyle name="Normal 5 3 3 4 3 2 3" xfId="20451" xr:uid="{FDF57325-C69F-4F26-B3AC-49E61D511F49}"/>
    <cellStyle name="Normal 5 3 3 4 3 2 4" xfId="28886" xr:uid="{BFE14562-5159-487D-8C11-FB42620B487C}"/>
    <cellStyle name="Normal 5 3 3 4 3 2 5" xfId="12013" xr:uid="{BE9311F6-E7C0-47ED-AF5C-B23E0CC3CDBE}"/>
    <cellStyle name="Normal 5 3 3 4 3 3" xfId="5647" xr:uid="{00000000-0005-0000-0000-0000F6190000}"/>
    <cellStyle name="Normal 5 3 3 4 3 3 2" xfId="22524" xr:uid="{D316B5D1-0226-4DFE-8D96-30ED16D1541A}"/>
    <cellStyle name="Normal 5 3 3 4 3 3 3" xfId="30958" xr:uid="{319D024C-B7CC-42D0-9B44-040C532A8D40}"/>
    <cellStyle name="Normal 5 3 3 4 3 3 4" xfId="14086" xr:uid="{4EC3D1D4-6205-4A4D-8FCB-A5CB66523DDF}"/>
    <cellStyle name="Normal 5 3 3 4 3 4" xfId="18306" xr:uid="{BC050746-20B4-4EEC-AF22-2918FA261F15}"/>
    <cellStyle name="Normal 5 3 3 4 3 5" xfId="26741" xr:uid="{D2468DC2-07B8-4050-8431-01A49228409C}"/>
    <cellStyle name="Normal 5 3 3 4 3 6" xfId="9868" xr:uid="{3A538A59-2AA7-4A29-B77F-9DFF1C1E9E7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25082" xr:uid="{D92ABE01-AA4F-42D5-8D10-EF33C02C92B7}"/>
    <cellStyle name="Normal 5 3 3 4 4 2 2 3" xfId="33516" xr:uid="{0A20CD74-8D87-46AF-BEA4-BC833BC9E7DE}"/>
    <cellStyle name="Normal 5 3 3 4 4 2 2 4" xfId="16644" xr:uid="{E5427F3E-5F8D-4718-9CD2-EEB0C1788699}"/>
    <cellStyle name="Normal 5 3 3 4 4 2 3" xfId="20864" xr:uid="{83677C4E-CA2B-4401-8B29-3504C98192B8}"/>
    <cellStyle name="Normal 5 3 3 4 4 2 4" xfId="29299" xr:uid="{707E8008-3C69-41E9-B649-E23F65B19551}"/>
    <cellStyle name="Normal 5 3 3 4 4 2 5" xfId="12426" xr:uid="{830B7C7B-A7DF-45B6-BD7F-DC5DB9D732FF}"/>
    <cellStyle name="Normal 5 3 3 4 4 3" xfId="6060" xr:uid="{00000000-0005-0000-0000-0000FA190000}"/>
    <cellStyle name="Normal 5 3 3 4 4 3 2" xfId="22937" xr:uid="{9FE3B8A9-AE28-48CA-9274-A7E4BA93482E}"/>
    <cellStyle name="Normal 5 3 3 4 4 3 3" xfId="31371" xr:uid="{6D376DFF-A3E6-444C-9EA7-183511A6D4B2}"/>
    <cellStyle name="Normal 5 3 3 4 4 3 4" xfId="14499" xr:uid="{3C15B36C-C167-4536-93B0-014F4ED7498E}"/>
    <cellStyle name="Normal 5 3 3 4 4 4" xfId="18719" xr:uid="{5146D93C-BF4E-4E74-9226-A43A0F072846}"/>
    <cellStyle name="Normal 5 3 3 4 4 5" xfId="27154" xr:uid="{8DC4CE96-6C06-4E1F-80BB-678A3396A18D}"/>
    <cellStyle name="Normal 5 3 3 4 4 6" xfId="10281" xr:uid="{ED46EC32-D8D7-49F8-9160-71C618B33187}"/>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25495" xr:uid="{461C9C4B-762F-43AE-987E-58FC1E27BEB4}"/>
    <cellStyle name="Normal 5 3 3 4 5 2 2 3" xfId="33929" xr:uid="{01E8D03E-C830-4467-8E0B-EDAF73FC6401}"/>
    <cellStyle name="Normal 5 3 3 4 5 2 2 4" xfId="17057" xr:uid="{2B7ADEDE-9ED0-41DC-A0EE-C0C29D9D99C4}"/>
    <cellStyle name="Normal 5 3 3 4 5 2 3" xfId="21277" xr:uid="{F737F6B0-63D6-4970-80CA-FD6376AAEB98}"/>
    <cellStyle name="Normal 5 3 3 4 5 2 4" xfId="29712" xr:uid="{8F113F9E-91DD-4B18-8698-67F23BD8AB85}"/>
    <cellStyle name="Normal 5 3 3 4 5 2 5" xfId="12839" xr:uid="{A4EF2D2D-4B82-4971-A9D1-1F86FD0AF931}"/>
    <cellStyle name="Normal 5 3 3 4 5 3" xfId="6473" xr:uid="{00000000-0005-0000-0000-0000FE190000}"/>
    <cellStyle name="Normal 5 3 3 4 5 3 2" xfId="23350" xr:uid="{F0F57682-8296-4EF6-847C-78ED720AA313}"/>
    <cellStyle name="Normal 5 3 3 4 5 3 3" xfId="31784" xr:uid="{778F305E-4388-4A7E-A3A2-B4913F985F1E}"/>
    <cellStyle name="Normal 5 3 3 4 5 3 4" xfId="14912" xr:uid="{F06DCD08-4B8E-4ADE-A660-C61DD7BC994F}"/>
    <cellStyle name="Normal 5 3 3 4 5 4" xfId="19132" xr:uid="{1945F6DF-2687-450A-B751-834F90E6CB5D}"/>
    <cellStyle name="Normal 5 3 3 4 5 5" xfId="27567" xr:uid="{DD8E1725-CEA8-40D2-96D1-A36358376C2A}"/>
    <cellStyle name="Normal 5 3 3 4 5 6" xfId="10694" xr:uid="{9ACF43AA-21E3-4A8A-868A-CB1433429033}"/>
    <cellStyle name="Normal 5 3 3 4 6" xfId="2602" xr:uid="{00000000-0005-0000-0000-0000FF190000}"/>
    <cellStyle name="Normal 5 3 3 4 6 2" xfId="6886" xr:uid="{00000000-0005-0000-0000-0000001A0000}"/>
    <cellStyle name="Normal 5 3 3 4 6 2 2" xfId="23763" xr:uid="{BE5493CF-3E6E-4141-A5B6-F83D3C0EF4A8}"/>
    <cellStyle name="Normal 5 3 3 4 6 2 3" xfId="32197" xr:uid="{5746E2F3-8EA5-4DE8-AF65-A70AF8179286}"/>
    <cellStyle name="Normal 5 3 3 4 6 2 4" xfId="15325" xr:uid="{1A27F654-A2B0-4A25-8866-0DBC98421F86}"/>
    <cellStyle name="Normal 5 3 3 4 6 3" xfId="19545" xr:uid="{C9CFF5C3-7F13-4D6C-AD67-00A9EAB45AC3}"/>
    <cellStyle name="Normal 5 3 3 4 6 4" xfId="27980" xr:uid="{CC4F9368-046F-4B42-94A7-02EE32397FFF}"/>
    <cellStyle name="Normal 5 3 3 4 6 5" xfId="11107" xr:uid="{A51FEB47-0E01-41B6-ACEC-0BB555597162}"/>
    <cellStyle name="Normal 5 3 3 4 7" xfId="4821" xr:uid="{00000000-0005-0000-0000-0000011A0000}"/>
    <cellStyle name="Normal 5 3 3 4 7 2" xfId="21698" xr:uid="{12BB9F0B-922A-49CE-91C8-8565D0BDB848}"/>
    <cellStyle name="Normal 5 3 3 4 7 3" xfId="30132" xr:uid="{E0FE6568-38EC-4F2C-A5D0-F20F6C87B868}"/>
    <cellStyle name="Normal 5 3 3 4 7 4" xfId="13260" xr:uid="{629613F3-9528-42C4-A3A4-3E698F0E83BF}"/>
    <cellStyle name="Normal 5 3 3 4 8" xfId="17480" xr:uid="{B503914E-2D27-434D-A836-249FA72170F8}"/>
    <cellStyle name="Normal 5 3 3 4 9" xfId="25915" xr:uid="{114CA638-3921-4A18-83B2-06EFEB301DDB}"/>
    <cellStyle name="Normal 5 3 3 5" xfId="915" xr:uid="{00000000-0005-0000-0000-0000021A0000}"/>
    <cellStyle name="Normal 5 3 3 5 2" xfId="3149" xr:uid="{00000000-0005-0000-0000-0000031A0000}"/>
    <cellStyle name="Normal 5 3 3 5 2 2" xfId="7372" xr:uid="{00000000-0005-0000-0000-0000041A0000}"/>
    <cellStyle name="Normal 5 3 3 5 2 2 2" xfId="24249" xr:uid="{894B43D4-6796-4183-9C74-858F859E26C1}"/>
    <cellStyle name="Normal 5 3 3 5 2 2 3" xfId="32683" xr:uid="{B93B9A4E-591D-4DBA-8E44-F218131A9BE5}"/>
    <cellStyle name="Normal 5 3 3 5 2 2 4" xfId="15811" xr:uid="{3DD9294F-6AE9-4198-8C4D-20D682D340D2}"/>
    <cellStyle name="Normal 5 3 3 5 2 3" xfId="20031" xr:uid="{D55146A3-AA38-4C9D-9B78-AB7F01A6330B}"/>
    <cellStyle name="Normal 5 3 3 5 2 4" xfId="28466" xr:uid="{9FEB1456-C2F2-4866-93E1-23D688DC0B9F}"/>
    <cellStyle name="Normal 5 3 3 5 2 5" xfId="11593" xr:uid="{3A5452E0-12FF-47A9-B702-FDA34F069B31}"/>
    <cellStyle name="Normal 5 3 3 5 3" xfId="5227" xr:uid="{00000000-0005-0000-0000-0000051A0000}"/>
    <cellStyle name="Normal 5 3 3 5 3 2" xfId="22104" xr:uid="{45088E5F-17A0-4B27-92ED-C5AC2BACAA8B}"/>
    <cellStyle name="Normal 5 3 3 5 3 3" xfId="30538" xr:uid="{EEA9AF45-77F5-4C90-AE5C-16A54701DBD7}"/>
    <cellStyle name="Normal 5 3 3 5 3 4" xfId="13666" xr:uid="{34F64601-B64F-4E07-94FD-CD091FC13D41}"/>
    <cellStyle name="Normal 5 3 3 5 4" xfId="17886" xr:uid="{0987169C-5735-47AC-A808-D1592218646C}"/>
    <cellStyle name="Normal 5 3 3 5 5" xfId="26321" xr:uid="{8AB97605-24EB-45FB-ADD8-EB76191A37D2}"/>
    <cellStyle name="Normal 5 3 3 5 6" xfId="9448" xr:uid="{8C354479-F9B8-4AC7-8A41-CA20AF21FA23}"/>
    <cellStyle name="Normal 5 3 3 6" xfId="1332" xr:uid="{00000000-0005-0000-0000-0000061A0000}"/>
    <cellStyle name="Normal 5 3 3 6 2" xfId="3562" xr:uid="{00000000-0005-0000-0000-0000071A0000}"/>
    <cellStyle name="Normal 5 3 3 6 2 2" xfId="7785" xr:uid="{00000000-0005-0000-0000-0000081A0000}"/>
    <cellStyle name="Normal 5 3 3 6 2 2 2" xfId="24662" xr:uid="{1A7550B9-20C8-4BF2-AECB-7C7E8471ECD4}"/>
    <cellStyle name="Normal 5 3 3 6 2 2 3" xfId="33096" xr:uid="{65E362DF-D3DB-4C23-8234-E880B3A5EAAA}"/>
    <cellStyle name="Normal 5 3 3 6 2 2 4" xfId="16224" xr:uid="{B38DE5A9-3B96-4A26-AC5D-6DEFF487EB17}"/>
    <cellStyle name="Normal 5 3 3 6 2 3" xfId="20444" xr:uid="{2460CD81-D90F-49D5-95D9-EA2AB3FFA400}"/>
    <cellStyle name="Normal 5 3 3 6 2 4" xfId="28879" xr:uid="{3AE7B1EB-B09B-4E3F-B1EF-6FB718A62A76}"/>
    <cellStyle name="Normal 5 3 3 6 2 5" xfId="12006" xr:uid="{97E32223-920A-4A2B-A366-09B763E86D87}"/>
    <cellStyle name="Normal 5 3 3 6 3" xfId="5640" xr:uid="{00000000-0005-0000-0000-0000091A0000}"/>
    <cellStyle name="Normal 5 3 3 6 3 2" xfId="22517" xr:uid="{227FE7FB-4532-4D55-B371-374D79E555AE}"/>
    <cellStyle name="Normal 5 3 3 6 3 3" xfId="30951" xr:uid="{5EA15A58-CEFF-4938-B565-52DB8B0E6B6E}"/>
    <cellStyle name="Normal 5 3 3 6 3 4" xfId="14079" xr:uid="{CADE102D-E0E4-4B5F-B49A-864A4FB0634C}"/>
    <cellStyle name="Normal 5 3 3 6 4" xfId="18299" xr:uid="{5C2F9291-F52D-42E8-B59D-5E8B421F5F72}"/>
    <cellStyle name="Normal 5 3 3 6 5" xfId="26734" xr:uid="{4D8973C9-39B7-41D7-B88A-E34648F3797D}"/>
    <cellStyle name="Normal 5 3 3 6 6" xfId="9861" xr:uid="{01CF1E3F-F8ED-418D-9E0F-2AA840175A69}"/>
    <cellStyle name="Normal 5 3 3 7" xfId="1745" xr:uid="{00000000-0005-0000-0000-00000A1A0000}"/>
    <cellStyle name="Normal 5 3 3 7 2" xfId="3975" xr:uid="{00000000-0005-0000-0000-00000B1A0000}"/>
    <cellStyle name="Normal 5 3 3 7 2 2" xfId="8198" xr:uid="{00000000-0005-0000-0000-00000C1A0000}"/>
    <cellStyle name="Normal 5 3 3 7 2 2 2" xfId="25075" xr:uid="{EADD3409-2035-4043-A470-8C6849163AD7}"/>
    <cellStyle name="Normal 5 3 3 7 2 2 3" xfId="33509" xr:uid="{CB588767-7DF7-4F76-A56D-6820DFFFF7EF}"/>
    <cellStyle name="Normal 5 3 3 7 2 2 4" xfId="16637" xr:uid="{1AA97B2F-2447-400E-B6B1-551A70E45B80}"/>
    <cellStyle name="Normal 5 3 3 7 2 3" xfId="20857" xr:uid="{FD917991-E724-44E4-A6D6-D10EE43F97FA}"/>
    <cellStyle name="Normal 5 3 3 7 2 4" xfId="29292" xr:uid="{241B73BB-2FE8-45CA-AACA-13712B456DFC}"/>
    <cellStyle name="Normal 5 3 3 7 2 5" xfId="12419" xr:uid="{8462CCE1-0B39-43E9-976F-B924BB3A3EDB}"/>
    <cellStyle name="Normal 5 3 3 7 3" xfId="6053" xr:uid="{00000000-0005-0000-0000-00000D1A0000}"/>
    <cellStyle name="Normal 5 3 3 7 3 2" xfId="22930" xr:uid="{7FCA0F0F-077F-4546-9ABE-2CC254F73830}"/>
    <cellStyle name="Normal 5 3 3 7 3 3" xfId="31364" xr:uid="{91E498E2-4134-4BFF-B3B7-A8A82A03785F}"/>
    <cellStyle name="Normal 5 3 3 7 3 4" xfId="14492" xr:uid="{91F7C2EC-36D3-4911-B819-BDC33A64A611}"/>
    <cellStyle name="Normal 5 3 3 7 4" xfId="18712" xr:uid="{4965EE4F-3AE9-44E1-BADC-30BBE860CE80}"/>
    <cellStyle name="Normal 5 3 3 7 5" xfId="27147" xr:uid="{21A6979F-CA58-4890-8C28-46D8A009C464}"/>
    <cellStyle name="Normal 5 3 3 7 6" xfId="10274" xr:uid="{7D339292-F77F-4055-9955-E276CAB5886F}"/>
    <cellStyle name="Normal 5 3 3 8" xfId="2159" xr:uid="{00000000-0005-0000-0000-00000E1A0000}"/>
    <cellStyle name="Normal 5 3 3 8 2" xfId="4388" xr:uid="{00000000-0005-0000-0000-00000F1A0000}"/>
    <cellStyle name="Normal 5 3 3 8 2 2" xfId="8611" xr:uid="{00000000-0005-0000-0000-0000101A0000}"/>
    <cellStyle name="Normal 5 3 3 8 2 2 2" xfId="25488" xr:uid="{1388494C-09E4-44AF-86B4-CA64C2280E5E}"/>
    <cellStyle name="Normal 5 3 3 8 2 2 3" xfId="33922" xr:uid="{5801E55D-BF8A-4CD7-BDF1-C1D2E64DA7CC}"/>
    <cellStyle name="Normal 5 3 3 8 2 2 4" xfId="17050" xr:uid="{85937DAC-A7BC-4534-B200-441A236E6C26}"/>
    <cellStyle name="Normal 5 3 3 8 2 3" xfId="21270" xr:uid="{4DB816A3-2230-4775-8310-F6AEC1B5827F}"/>
    <cellStyle name="Normal 5 3 3 8 2 4" xfId="29705" xr:uid="{0A3D5985-0FCC-4262-BFDF-CED44E76A9C5}"/>
    <cellStyle name="Normal 5 3 3 8 2 5" xfId="12832" xr:uid="{57E55043-A0D0-45F6-B742-4E894BA52A64}"/>
    <cellStyle name="Normal 5 3 3 8 3" xfId="6466" xr:uid="{00000000-0005-0000-0000-0000111A0000}"/>
    <cellStyle name="Normal 5 3 3 8 3 2" xfId="23343" xr:uid="{F2562FFE-350D-43E5-9A82-11129EC095D8}"/>
    <cellStyle name="Normal 5 3 3 8 3 3" xfId="31777" xr:uid="{91C62FDA-BD82-4483-83D6-71ECC475E8A1}"/>
    <cellStyle name="Normal 5 3 3 8 3 4" xfId="14905" xr:uid="{381171FD-3A8D-4B48-A6C6-ABF3A9DCDDA7}"/>
    <cellStyle name="Normal 5 3 3 8 4" xfId="19125" xr:uid="{B352ABC6-FCEC-40B1-97D9-33E0F136DF92}"/>
    <cellStyle name="Normal 5 3 3 8 5" xfId="27560" xr:uid="{3C2F3F71-21A9-4DD9-A844-64A7FFE6152A}"/>
    <cellStyle name="Normal 5 3 3 8 6" xfId="10687" xr:uid="{A8EB5A42-2015-4C3C-AF14-64EB27B18953}"/>
    <cellStyle name="Normal 5 3 3 9" xfId="2595" xr:uid="{00000000-0005-0000-0000-0000121A0000}"/>
    <cellStyle name="Normal 5 3 3 9 2" xfId="6879" xr:uid="{00000000-0005-0000-0000-0000131A0000}"/>
    <cellStyle name="Normal 5 3 3 9 2 2" xfId="23756" xr:uid="{B4FB75ED-AF9E-41E8-A803-42A5085CA9EF}"/>
    <cellStyle name="Normal 5 3 3 9 2 3" xfId="32190" xr:uid="{F3FA3322-6353-4BAF-AFEB-BD61718D688D}"/>
    <cellStyle name="Normal 5 3 3 9 2 4" xfId="15318" xr:uid="{7099B0FE-FB67-4014-B4DA-5DA34514D1CA}"/>
    <cellStyle name="Normal 5 3 3 9 3" xfId="19538" xr:uid="{B9CAB1FF-0DD0-46AC-B711-65FD3825CA12}"/>
    <cellStyle name="Normal 5 3 3 9 4" xfId="27973" xr:uid="{FC549795-088D-40BB-A4B7-05AF93342841}"/>
    <cellStyle name="Normal 5 3 3 9 5" xfId="11100" xr:uid="{27847B71-50FA-4108-ACDF-0DD15B7399B7}"/>
    <cellStyle name="Normal 5 3 4" xfId="449" xr:uid="{00000000-0005-0000-0000-0000141A0000}"/>
    <cellStyle name="Normal 5 3 4 10" xfId="17481" xr:uid="{5BA3181A-B2A0-4205-8E06-55128BEBCB4F}"/>
    <cellStyle name="Normal 5 3 4 11" xfId="25916" xr:uid="{7279AD0A-897E-4D37-8910-252B971B530B}"/>
    <cellStyle name="Normal 5 3 4 12" xfId="9043" xr:uid="{3B5D500B-5E9D-4399-9742-B34D2EB20072}"/>
    <cellStyle name="Normal 5 3 4 2" xfId="450" xr:uid="{00000000-0005-0000-0000-0000151A0000}"/>
    <cellStyle name="Normal 5 3 4 2 10" xfId="25917" xr:uid="{82A09698-A96A-4551-8A0E-4D0A2D79F651}"/>
    <cellStyle name="Normal 5 3 4 2 11" xfId="9044" xr:uid="{E3514DC0-BBC9-4308-88C2-CE4B3B754BE0}"/>
    <cellStyle name="Normal 5 3 4 2 2" xfId="451" xr:uid="{00000000-0005-0000-0000-0000161A0000}"/>
    <cellStyle name="Normal 5 3 4 2 2 10" xfId="9045" xr:uid="{DC8D0556-C63F-4589-BFBB-77127E3F2062}"/>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24259" xr:uid="{E1130A5A-1B5B-44C2-848B-216035CF8DC1}"/>
    <cellStyle name="Normal 5 3 4 2 2 2 2 2 3" xfId="32693" xr:uid="{745C6128-A57E-4059-83C8-0EAE0AC2751C}"/>
    <cellStyle name="Normal 5 3 4 2 2 2 2 2 4" xfId="15821" xr:uid="{906B6476-2073-49C2-9D1D-F4B2503E1CB4}"/>
    <cellStyle name="Normal 5 3 4 2 2 2 2 3" xfId="20041" xr:uid="{BF3C9D35-D4F7-4889-9F36-384D635422CB}"/>
    <cellStyle name="Normal 5 3 4 2 2 2 2 4" xfId="28476" xr:uid="{02A82E4A-7DBB-43BA-BD5A-586D35D964ED}"/>
    <cellStyle name="Normal 5 3 4 2 2 2 2 5" xfId="11603" xr:uid="{0C056BFB-9BBD-49EC-B4AC-F8F940C76099}"/>
    <cellStyle name="Normal 5 3 4 2 2 2 3" xfId="5237" xr:uid="{00000000-0005-0000-0000-00001A1A0000}"/>
    <cellStyle name="Normal 5 3 4 2 2 2 3 2" xfId="22114" xr:uid="{5E62277B-6162-4F51-9DB6-A8EF21CF8BE7}"/>
    <cellStyle name="Normal 5 3 4 2 2 2 3 3" xfId="30548" xr:uid="{CCAEEAB6-CB12-417A-B0DB-35F8CD2C0AEB}"/>
    <cellStyle name="Normal 5 3 4 2 2 2 3 4" xfId="13676" xr:uid="{855C35CF-F84A-44B9-8818-014565974274}"/>
    <cellStyle name="Normal 5 3 4 2 2 2 4" xfId="17896" xr:uid="{3B1F5B7F-F77C-47E3-B50A-05801C0B12AA}"/>
    <cellStyle name="Normal 5 3 4 2 2 2 5" xfId="26331" xr:uid="{0708DE27-098F-45D1-BBEC-8BF5D80FE91C}"/>
    <cellStyle name="Normal 5 3 4 2 2 2 6" xfId="9458" xr:uid="{DA5B07D2-49F3-4080-BCB1-75E6AC268B57}"/>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24672" xr:uid="{35FF6B79-1714-4AE1-A026-DC8C7F6B9E73}"/>
    <cellStyle name="Normal 5 3 4 2 2 3 2 2 3" xfId="33106" xr:uid="{458B74BB-B368-4739-8D46-3648C344517A}"/>
    <cellStyle name="Normal 5 3 4 2 2 3 2 2 4" xfId="16234" xr:uid="{2F91282C-E98D-4017-B129-641499D74B04}"/>
    <cellStyle name="Normal 5 3 4 2 2 3 2 3" xfId="20454" xr:uid="{961C2A65-CDBF-4D90-A6FA-C17124129745}"/>
    <cellStyle name="Normal 5 3 4 2 2 3 2 4" xfId="28889" xr:uid="{B74827C9-E004-4B7D-B7C7-9DE799E14E34}"/>
    <cellStyle name="Normal 5 3 4 2 2 3 2 5" xfId="12016" xr:uid="{C8FB1C29-C017-4DB6-8D79-47ED82400402}"/>
    <cellStyle name="Normal 5 3 4 2 2 3 3" xfId="5650" xr:uid="{00000000-0005-0000-0000-00001E1A0000}"/>
    <cellStyle name="Normal 5 3 4 2 2 3 3 2" xfId="22527" xr:uid="{51B7F874-73AC-4D7D-8A35-300F1EB4A8C6}"/>
    <cellStyle name="Normal 5 3 4 2 2 3 3 3" xfId="30961" xr:uid="{A1A7C520-1513-4228-8A1B-F2508FB41A75}"/>
    <cellStyle name="Normal 5 3 4 2 2 3 3 4" xfId="14089" xr:uid="{C3650943-A5E8-4EAE-9134-78DCB5096DCC}"/>
    <cellStyle name="Normal 5 3 4 2 2 3 4" xfId="18309" xr:uid="{74E9BA55-D9D0-4520-9503-1411F5E53F87}"/>
    <cellStyle name="Normal 5 3 4 2 2 3 5" xfId="26744" xr:uid="{1FDE2C76-B090-43C9-965A-406BD0580B2F}"/>
    <cellStyle name="Normal 5 3 4 2 2 3 6" xfId="9871" xr:uid="{167639C8-E5BF-4CB3-B691-99CBDC01A095}"/>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25085" xr:uid="{5C79B6F5-87E2-4A4E-9C17-3DBC8872DEA2}"/>
    <cellStyle name="Normal 5 3 4 2 2 4 2 2 3" xfId="33519" xr:uid="{CFFADE3B-9A20-4663-8E73-D4AE76CF66E4}"/>
    <cellStyle name="Normal 5 3 4 2 2 4 2 2 4" xfId="16647" xr:uid="{06D65564-8A04-44CD-ADC0-4FE52D9D55A9}"/>
    <cellStyle name="Normal 5 3 4 2 2 4 2 3" xfId="20867" xr:uid="{806FE879-E2FE-420F-8BE7-E6D642860CDF}"/>
    <cellStyle name="Normal 5 3 4 2 2 4 2 4" xfId="29302" xr:uid="{6E834A65-1B5B-4280-BC56-3B635CC1C41F}"/>
    <cellStyle name="Normal 5 3 4 2 2 4 2 5" xfId="12429" xr:uid="{FCB3475A-452C-4832-BE29-DD2E3DC79E0B}"/>
    <cellStyle name="Normal 5 3 4 2 2 4 3" xfId="6063" xr:uid="{00000000-0005-0000-0000-0000221A0000}"/>
    <cellStyle name="Normal 5 3 4 2 2 4 3 2" xfId="22940" xr:uid="{D7652C4D-08BA-4786-9B37-500934620A2B}"/>
    <cellStyle name="Normal 5 3 4 2 2 4 3 3" xfId="31374" xr:uid="{EFD37BC6-7F78-4974-8139-9592F6D9B4BA}"/>
    <cellStyle name="Normal 5 3 4 2 2 4 3 4" xfId="14502" xr:uid="{A1BDE6A6-DBA9-4712-9FA9-5586D1119B6F}"/>
    <cellStyle name="Normal 5 3 4 2 2 4 4" xfId="18722" xr:uid="{7AB57E44-8E20-47D8-AB95-00A503123999}"/>
    <cellStyle name="Normal 5 3 4 2 2 4 5" xfId="27157" xr:uid="{464CBB64-E153-48CC-BED4-1D455C817B0B}"/>
    <cellStyle name="Normal 5 3 4 2 2 4 6" xfId="10284" xr:uid="{30F349B5-7E41-46E6-8B33-918265A82AA7}"/>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25498" xr:uid="{F89838A6-32E4-4849-B005-2F5D7902AED6}"/>
    <cellStyle name="Normal 5 3 4 2 2 5 2 2 3" xfId="33932" xr:uid="{052F7450-961A-4858-A077-114B933ADC5C}"/>
    <cellStyle name="Normal 5 3 4 2 2 5 2 2 4" xfId="17060" xr:uid="{2864B903-C58F-44BD-88AF-35C180526A53}"/>
    <cellStyle name="Normal 5 3 4 2 2 5 2 3" xfId="21280" xr:uid="{A4AC2539-E2B4-4E83-B9E9-0C56FF2BD8FA}"/>
    <cellStyle name="Normal 5 3 4 2 2 5 2 4" xfId="29715" xr:uid="{3A6B0702-56B6-42E1-A629-E5BA5763C7D7}"/>
    <cellStyle name="Normal 5 3 4 2 2 5 2 5" xfId="12842" xr:uid="{951031B9-AD72-4479-A652-F294AE63F009}"/>
    <cellStyle name="Normal 5 3 4 2 2 5 3" xfId="6476" xr:uid="{00000000-0005-0000-0000-0000261A0000}"/>
    <cellStyle name="Normal 5 3 4 2 2 5 3 2" xfId="23353" xr:uid="{3E3057CF-2A7B-4C35-82DA-64DF7EEC1ECC}"/>
    <cellStyle name="Normal 5 3 4 2 2 5 3 3" xfId="31787" xr:uid="{DAC89189-1BFE-4609-8D7D-A711884E886F}"/>
    <cellStyle name="Normal 5 3 4 2 2 5 3 4" xfId="14915" xr:uid="{6DAE4321-F591-40D9-9C72-EED758C425C4}"/>
    <cellStyle name="Normal 5 3 4 2 2 5 4" xfId="19135" xr:uid="{76CA5625-8D56-4392-B86E-7F83988A8CB3}"/>
    <cellStyle name="Normal 5 3 4 2 2 5 5" xfId="27570" xr:uid="{7692B907-242B-49AF-B7C9-D77F6EC1EBE8}"/>
    <cellStyle name="Normal 5 3 4 2 2 5 6" xfId="10697" xr:uid="{97C45866-B9AB-4976-89BD-EEF92FD9DB0C}"/>
    <cellStyle name="Normal 5 3 4 2 2 6" xfId="2605" xr:uid="{00000000-0005-0000-0000-0000271A0000}"/>
    <cellStyle name="Normal 5 3 4 2 2 6 2" xfId="6889" xr:uid="{00000000-0005-0000-0000-0000281A0000}"/>
    <cellStyle name="Normal 5 3 4 2 2 6 2 2" xfId="23766" xr:uid="{DD83D8C2-E65D-49D6-9E03-887678638CC5}"/>
    <cellStyle name="Normal 5 3 4 2 2 6 2 3" xfId="32200" xr:uid="{B0449AAA-8D11-4C83-BC0B-6734AB359DBA}"/>
    <cellStyle name="Normal 5 3 4 2 2 6 2 4" xfId="15328" xr:uid="{A46D396E-1F45-455C-B4A6-2B7C3BD6149A}"/>
    <cellStyle name="Normal 5 3 4 2 2 6 3" xfId="19548" xr:uid="{B8A1FFFC-8641-421D-ABA0-DC58EFED2362}"/>
    <cellStyle name="Normal 5 3 4 2 2 6 4" xfId="27983" xr:uid="{3AB0EB60-1047-4749-AFCD-A549393112A4}"/>
    <cellStyle name="Normal 5 3 4 2 2 6 5" xfId="11110" xr:uid="{E551CF71-B2D2-4CF4-97B3-7AB539C5AB93}"/>
    <cellStyle name="Normal 5 3 4 2 2 7" xfId="4824" xr:uid="{00000000-0005-0000-0000-0000291A0000}"/>
    <cellStyle name="Normal 5 3 4 2 2 7 2" xfId="21701" xr:uid="{BA4A9383-7F3B-45E5-839B-218D604FD42C}"/>
    <cellStyle name="Normal 5 3 4 2 2 7 3" xfId="30135" xr:uid="{126850B2-655E-4691-9688-E11C16446203}"/>
    <cellStyle name="Normal 5 3 4 2 2 7 4" xfId="13263" xr:uid="{15F6F2D2-A6B3-4C5E-ABA5-7CD27897A005}"/>
    <cellStyle name="Normal 5 3 4 2 2 8" xfId="17483" xr:uid="{2DB35E69-5CD1-481E-8E47-CFC16F225357}"/>
    <cellStyle name="Normal 5 3 4 2 2 9" xfId="25918" xr:uid="{330FC365-B159-4A31-BD74-A5097E539E22}"/>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24258" xr:uid="{01DF6077-BCF4-4122-90CA-9D846EFEDF3B}"/>
    <cellStyle name="Normal 5 3 4 2 3 2 2 3" xfId="32692" xr:uid="{78B21A8C-C9AB-4AEF-8900-28E39D15EE6E}"/>
    <cellStyle name="Normal 5 3 4 2 3 2 2 4" xfId="15820" xr:uid="{33CA05D6-66BA-4C63-BEB2-E1F663DA2D57}"/>
    <cellStyle name="Normal 5 3 4 2 3 2 3" xfId="20040" xr:uid="{F3BA2FCE-EE2E-4BD9-88D4-D75A69E341F5}"/>
    <cellStyle name="Normal 5 3 4 2 3 2 4" xfId="28475" xr:uid="{7F9317D4-6AD0-4570-9C7D-61FB1F299D2D}"/>
    <cellStyle name="Normal 5 3 4 2 3 2 5" xfId="11602" xr:uid="{63014272-BD5E-4A0F-88E9-78CC02C676CB}"/>
    <cellStyle name="Normal 5 3 4 2 3 3" xfId="5236" xr:uid="{00000000-0005-0000-0000-00002D1A0000}"/>
    <cellStyle name="Normal 5 3 4 2 3 3 2" xfId="22113" xr:uid="{28E13FBD-7C79-4D0F-9091-D894FFBD03E8}"/>
    <cellStyle name="Normal 5 3 4 2 3 3 3" xfId="30547" xr:uid="{C38D8944-9811-44F0-95B6-CFDE01ACAAD7}"/>
    <cellStyle name="Normal 5 3 4 2 3 3 4" xfId="13675" xr:uid="{17C3B4D2-4E02-4C38-B229-29F972C17B15}"/>
    <cellStyle name="Normal 5 3 4 2 3 4" xfId="17895" xr:uid="{95983AEA-F3CC-48EB-A0A2-12437B5EEB97}"/>
    <cellStyle name="Normal 5 3 4 2 3 5" xfId="26330" xr:uid="{814B3569-4475-4981-ABE0-705E8DB0E91C}"/>
    <cellStyle name="Normal 5 3 4 2 3 6" xfId="9457" xr:uid="{2E004576-E85B-424C-B1E9-6BDE63363032}"/>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24671" xr:uid="{5376B4DC-5A2B-435C-B210-1272E1568E35}"/>
    <cellStyle name="Normal 5 3 4 2 4 2 2 3" xfId="33105" xr:uid="{09EC3C55-88EC-4C0A-92DA-7D7EA27B6B47}"/>
    <cellStyle name="Normal 5 3 4 2 4 2 2 4" xfId="16233" xr:uid="{35DF9AFF-39BE-40EE-8ED8-E8439775735A}"/>
    <cellStyle name="Normal 5 3 4 2 4 2 3" xfId="20453" xr:uid="{392AAA97-C69E-46FB-AE93-879C73CA31DE}"/>
    <cellStyle name="Normal 5 3 4 2 4 2 4" xfId="28888" xr:uid="{C21A5718-5429-46A4-A3D7-D199FCE2D7AF}"/>
    <cellStyle name="Normal 5 3 4 2 4 2 5" xfId="12015" xr:uid="{F98FD0FF-BAE9-4CF7-B972-B71DFCA12309}"/>
    <cellStyle name="Normal 5 3 4 2 4 3" xfId="5649" xr:uid="{00000000-0005-0000-0000-0000311A0000}"/>
    <cellStyle name="Normal 5 3 4 2 4 3 2" xfId="22526" xr:uid="{2CCB7065-7693-40A6-AF4C-650D8877FEB4}"/>
    <cellStyle name="Normal 5 3 4 2 4 3 3" xfId="30960" xr:uid="{5C40D5E5-19A1-4E20-9616-DA1CC81E44FC}"/>
    <cellStyle name="Normal 5 3 4 2 4 3 4" xfId="14088" xr:uid="{342B70BF-58E5-406F-B0AC-732F7700B745}"/>
    <cellStyle name="Normal 5 3 4 2 4 4" xfId="18308" xr:uid="{80BE6B2A-1E1A-494C-B673-5DB989E658E2}"/>
    <cellStyle name="Normal 5 3 4 2 4 5" xfId="26743" xr:uid="{34044998-24BA-4402-A010-AFFBC2642E0B}"/>
    <cellStyle name="Normal 5 3 4 2 4 6" xfId="9870" xr:uid="{050CB051-672E-4129-B8BF-341ACA8CA187}"/>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25084" xr:uid="{A236A925-1C0F-4077-A067-883B36EA6C27}"/>
    <cellStyle name="Normal 5 3 4 2 5 2 2 3" xfId="33518" xr:uid="{A673B05F-F85C-474C-8D93-59A6EACE8830}"/>
    <cellStyle name="Normal 5 3 4 2 5 2 2 4" xfId="16646" xr:uid="{367CF523-39B9-477D-9402-ECCCA79135EA}"/>
    <cellStyle name="Normal 5 3 4 2 5 2 3" xfId="20866" xr:uid="{615064CB-00D6-45B8-8E69-C987FBBA2EF7}"/>
    <cellStyle name="Normal 5 3 4 2 5 2 4" xfId="29301" xr:uid="{84585A83-6C2F-4C5D-A0CA-9DA5A9B50B30}"/>
    <cellStyle name="Normal 5 3 4 2 5 2 5" xfId="12428" xr:uid="{27F99F44-770D-4038-884E-5BF6ECA51B39}"/>
    <cellStyle name="Normal 5 3 4 2 5 3" xfId="6062" xr:uid="{00000000-0005-0000-0000-0000351A0000}"/>
    <cellStyle name="Normal 5 3 4 2 5 3 2" xfId="22939" xr:uid="{B969A124-9DF7-4440-ADEC-0F3C14FCC31C}"/>
    <cellStyle name="Normal 5 3 4 2 5 3 3" xfId="31373" xr:uid="{8F27023F-AF4D-4609-B9CE-C7DD3373F935}"/>
    <cellStyle name="Normal 5 3 4 2 5 3 4" xfId="14501" xr:uid="{21E3894F-AEFE-4F2D-897E-166231F9951A}"/>
    <cellStyle name="Normal 5 3 4 2 5 4" xfId="18721" xr:uid="{CDBF7F34-BF7F-46B9-8163-EEF1DC5D15C7}"/>
    <cellStyle name="Normal 5 3 4 2 5 5" xfId="27156" xr:uid="{2EC09677-6719-4855-9567-63AE50FE7B20}"/>
    <cellStyle name="Normal 5 3 4 2 5 6" xfId="10283" xr:uid="{36FB4B61-7B56-4DE4-ACD0-856A10D9170E}"/>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25497" xr:uid="{33B0673D-50C6-4E60-90C0-6D462E3914DE}"/>
    <cellStyle name="Normal 5 3 4 2 6 2 2 3" xfId="33931" xr:uid="{095395C6-73B8-4F94-9FB1-AB2C6C47728C}"/>
    <cellStyle name="Normal 5 3 4 2 6 2 2 4" xfId="17059" xr:uid="{B52B7927-CDB1-4676-9CB4-200190EB3144}"/>
    <cellStyle name="Normal 5 3 4 2 6 2 3" xfId="21279" xr:uid="{3F0A1688-2EE4-4732-A523-9D3A04F2956D}"/>
    <cellStyle name="Normal 5 3 4 2 6 2 4" xfId="29714" xr:uid="{9D781709-8B5A-4204-B145-50F3971118BC}"/>
    <cellStyle name="Normal 5 3 4 2 6 2 5" xfId="12841" xr:uid="{136C64C6-FC17-430A-9357-78FC948FC8A8}"/>
    <cellStyle name="Normal 5 3 4 2 6 3" xfId="6475" xr:uid="{00000000-0005-0000-0000-0000391A0000}"/>
    <cellStyle name="Normal 5 3 4 2 6 3 2" xfId="23352" xr:uid="{47F0D6DF-C5DF-49F9-A6A2-4DC510A471E4}"/>
    <cellStyle name="Normal 5 3 4 2 6 3 3" xfId="31786" xr:uid="{5AE11D51-A9F3-4D90-A0A0-7625964CCE7A}"/>
    <cellStyle name="Normal 5 3 4 2 6 3 4" xfId="14914" xr:uid="{E9350D99-E954-49D0-B46D-453E5051ABA7}"/>
    <cellStyle name="Normal 5 3 4 2 6 4" xfId="19134" xr:uid="{5F4448D1-9EB3-4A9C-9794-C8A442672506}"/>
    <cellStyle name="Normal 5 3 4 2 6 5" xfId="27569" xr:uid="{7BDEFA27-D325-4A89-B75C-C4812D4A4225}"/>
    <cellStyle name="Normal 5 3 4 2 6 6" xfId="10696" xr:uid="{2F2D2288-167A-4AAE-B7A5-4BEE7195FE71}"/>
    <cellStyle name="Normal 5 3 4 2 7" xfId="2604" xr:uid="{00000000-0005-0000-0000-00003A1A0000}"/>
    <cellStyle name="Normal 5 3 4 2 7 2" xfId="6888" xr:uid="{00000000-0005-0000-0000-00003B1A0000}"/>
    <cellStyle name="Normal 5 3 4 2 7 2 2" xfId="23765" xr:uid="{6DF3FF7C-BBA1-463C-9840-4B3DF2F4110F}"/>
    <cellStyle name="Normal 5 3 4 2 7 2 3" xfId="32199" xr:uid="{82166230-D375-4762-AC48-E753FB3E1266}"/>
    <cellStyle name="Normal 5 3 4 2 7 2 4" xfId="15327" xr:uid="{982E7D0B-B519-4821-9895-1866779C05DB}"/>
    <cellStyle name="Normal 5 3 4 2 7 3" xfId="19547" xr:uid="{F030AA90-8D24-43A2-A0E3-02615A100E4D}"/>
    <cellStyle name="Normal 5 3 4 2 7 4" xfId="27982" xr:uid="{687B79D0-D5B0-4FBE-BCE5-9189CB9B96B1}"/>
    <cellStyle name="Normal 5 3 4 2 7 5" xfId="11109" xr:uid="{B1632960-4E3F-4C13-8628-F3D85735B754}"/>
    <cellStyle name="Normal 5 3 4 2 8" xfId="4823" xr:uid="{00000000-0005-0000-0000-00003C1A0000}"/>
    <cellStyle name="Normal 5 3 4 2 8 2" xfId="21700" xr:uid="{6D00FA1A-98D7-4C9A-BB3A-F52E446A8927}"/>
    <cellStyle name="Normal 5 3 4 2 8 3" xfId="30134" xr:uid="{4B814DE4-6D49-4402-9628-0EB7C02FC17D}"/>
    <cellStyle name="Normal 5 3 4 2 8 4" xfId="13262" xr:uid="{F936E77B-08AF-46E0-A22B-53784EBD31D7}"/>
    <cellStyle name="Normal 5 3 4 2 9" xfId="17482" xr:uid="{3DC58003-9E0F-417E-ADEC-A6252FE56319}"/>
    <cellStyle name="Normal 5 3 4 3" xfId="452" xr:uid="{00000000-0005-0000-0000-00003D1A0000}"/>
    <cellStyle name="Normal 5 3 4 3 10" xfId="9046" xr:uid="{C2689CF1-117D-40CC-AA9E-98458FBD5E78}"/>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24260" xr:uid="{754CEEA1-6A87-4E5C-B2BB-BF75C6EEF460}"/>
    <cellStyle name="Normal 5 3 4 3 2 2 2 3" xfId="32694" xr:uid="{C544C051-42FB-4AB3-925C-BA7655762BD6}"/>
    <cellStyle name="Normal 5 3 4 3 2 2 2 4" xfId="15822" xr:uid="{AD9BB8C0-47C1-4816-917C-73B47100BFF5}"/>
    <cellStyle name="Normal 5 3 4 3 2 2 3" xfId="20042" xr:uid="{5DBA166A-6778-4C37-BFFA-18230B10ED97}"/>
    <cellStyle name="Normal 5 3 4 3 2 2 4" xfId="28477" xr:uid="{EA09DF1B-4BDB-4BC9-B679-B25734C41D51}"/>
    <cellStyle name="Normal 5 3 4 3 2 2 5" xfId="11604" xr:uid="{10B2EE8C-4FF0-4CCC-87B7-395E2C810B24}"/>
    <cellStyle name="Normal 5 3 4 3 2 3" xfId="5238" xr:uid="{00000000-0005-0000-0000-0000411A0000}"/>
    <cellStyle name="Normal 5 3 4 3 2 3 2" xfId="22115" xr:uid="{CF0EEB07-96BC-4935-9A07-E597DF9ABBA5}"/>
    <cellStyle name="Normal 5 3 4 3 2 3 3" xfId="30549" xr:uid="{242D0957-1A69-4E43-9D88-71C02AF19501}"/>
    <cellStyle name="Normal 5 3 4 3 2 3 4" xfId="13677" xr:uid="{1B1F0CF0-E623-4BA4-ADBB-2B71759E6143}"/>
    <cellStyle name="Normal 5 3 4 3 2 4" xfId="17897" xr:uid="{2566BF4B-0889-48F5-A1A5-8BE8B94D3DDA}"/>
    <cellStyle name="Normal 5 3 4 3 2 5" xfId="26332" xr:uid="{B95F48E5-EA20-47B6-AF04-FB2CD063D51F}"/>
    <cellStyle name="Normal 5 3 4 3 2 6" xfId="9459" xr:uid="{789BAB6F-19AD-4C09-941C-2A5DE4057362}"/>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24673" xr:uid="{1AA699D7-34A4-4AF1-B569-0FDDEC86BFA3}"/>
    <cellStyle name="Normal 5 3 4 3 3 2 2 3" xfId="33107" xr:uid="{C53EDF25-637D-42D6-8488-60618165C2FA}"/>
    <cellStyle name="Normal 5 3 4 3 3 2 2 4" xfId="16235" xr:uid="{E1ACC5F1-FA75-4B06-8E6A-51246EB702FC}"/>
    <cellStyle name="Normal 5 3 4 3 3 2 3" xfId="20455" xr:uid="{D40C6095-F9C4-418B-B9B9-7A9BB1F75EB0}"/>
    <cellStyle name="Normal 5 3 4 3 3 2 4" xfId="28890" xr:uid="{3762CA49-C7F8-4BE6-A326-B3CA35B88471}"/>
    <cellStyle name="Normal 5 3 4 3 3 2 5" xfId="12017" xr:uid="{C47A6DFA-E0B5-4741-BF46-F734CAD2C60A}"/>
    <cellStyle name="Normal 5 3 4 3 3 3" xfId="5651" xr:uid="{00000000-0005-0000-0000-0000451A0000}"/>
    <cellStyle name="Normal 5 3 4 3 3 3 2" xfId="22528" xr:uid="{BBE070D0-1DE1-4842-95B2-65143E5A31AA}"/>
    <cellStyle name="Normal 5 3 4 3 3 3 3" xfId="30962" xr:uid="{BB70F1A4-10E8-4744-943E-F7EFFF60BA00}"/>
    <cellStyle name="Normal 5 3 4 3 3 3 4" xfId="14090" xr:uid="{39F598C7-778B-44FA-8754-C30DD3E9A6A8}"/>
    <cellStyle name="Normal 5 3 4 3 3 4" xfId="18310" xr:uid="{961CAD6C-F0ED-43BA-A62C-70CBF15615E3}"/>
    <cellStyle name="Normal 5 3 4 3 3 5" xfId="26745" xr:uid="{24854CEE-53C9-42D2-806F-C38E466AC635}"/>
    <cellStyle name="Normal 5 3 4 3 3 6" xfId="9872" xr:uid="{BCB1ACF3-57C3-4ABB-9567-F1EEE7006704}"/>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25086" xr:uid="{6E754AE6-EF1D-4691-9350-991885E766C9}"/>
    <cellStyle name="Normal 5 3 4 3 4 2 2 3" xfId="33520" xr:uid="{BB785C00-9C48-4103-A978-C2310F7C5281}"/>
    <cellStyle name="Normal 5 3 4 3 4 2 2 4" xfId="16648" xr:uid="{8F1E6381-9404-434E-B18C-8AE328D7CD99}"/>
    <cellStyle name="Normal 5 3 4 3 4 2 3" xfId="20868" xr:uid="{002E2163-6E45-4E0C-8C40-66A29D74707D}"/>
    <cellStyle name="Normal 5 3 4 3 4 2 4" xfId="29303" xr:uid="{B97601A3-9F18-427B-B12D-D010121DC02A}"/>
    <cellStyle name="Normal 5 3 4 3 4 2 5" xfId="12430" xr:uid="{32F2A9F3-E289-4B29-B920-503D8EF0E506}"/>
    <cellStyle name="Normal 5 3 4 3 4 3" xfId="6064" xr:uid="{00000000-0005-0000-0000-0000491A0000}"/>
    <cellStyle name="Normal 5 3 4 3 4 3 2" xfId="22941" xr:uid="{D81367A4-597E-400F-9C9B-13BF54038C47}"/>
    <cellStyle name="Normal 5 3 4 3 4 3 3" xfId="31375" xr:uid="{921F5A7C-5AB0-41F1-9ECD-C6B6961F7B0E}"/>
    <cellStyle name="Normal 5 3 4 3 4 3 4" xfId="14503" xr:uid="{8ED26CD2-CC3C-4E34-9A45-7C4A36F97027}"/>
    <cellStyle name="Normal 5 3 4 3 4 4" xfId="18723" xr:uid="{37547D31-D0C5-4B1E-ADA2-889AD13BEEF8}"/>
    <cellStyle name="Normal 5 3 4 3 4 5" xfId="27158" xr:uid="{C3108EFB-4796-4406-A95B-92C9E94AB29D}"/>
    <cellStyle name="Normal 5 3 4 3 4 6" xfId="10285" xr:uid="{C7AA59FF-EC5E-43D7-BED8-E598E4C20807}"/>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25499" xr:uid="{F1260F07-8E9E-4A04-855F-F865FD14436B}"/>
    <cellStyle name="Normal 5 3 4 3 5 2 2 3" xfId="33933" xr:uid="{0569EE77-C508-4D90-8B49-FDFBA92E9B00}"/>
    <cellStyle name="Normal 5 3 4 3 5 2 2 4" xfId="17061" xr:uid="{EEB410F8-4351-48CD-8CE3-617377BC3CA7}"/>
    <cellStyle name="Normal 5 3 4 3 5 2 3" xfId="21281" xr:uid="{60186A98-01D5-48AC-927F-DBA84FAE29D4}"/>
    <cellStyle name="Normal 5 3 4 3 5 2 4" xfId="29716" xr:uid="{B713872A-5695-444A-A9CB-8AB71815F306}"/>
    <cellStyle name="Normal 5 3 4 3 5 2 5" xfId="12843" xr:uid="{FBA742E9-DD3E-4543-8ECC-28F99DB28620}"/>
    <cellStyle name="Normal 5 3 4 3 5 3" xfId="6477" xr:uid="{00000000-0005-0000-0000-00004D1A0000}"/>
    <cellStyle name="Normal 5 3 4 3 5 3 2" xfId="23354" xr:uid="{E319CB54-57C4-47CE-909C-4E102E18DA69}"/>
    <cellStyle name="Normal 5 3 4 3 5 3 3" xfId="31788" xr:uid="{A203F48B-5555-4D02-BBC1-915DDBA3FEFE}"/>
    <cellStyle name="Normal 5 3 4 3 5 3 4" xfId="14916" xr:uid="{49683820-DD32-43A3-82FD-B11BC7FE6407}"/>
    <cellStyle name="Normal 5 3 4 3 5 4" xfId="19136" xr:uid="{32A735E6-C215-4D49-975A-153498EEBB5B}"/>
    <cellStyle name="Normal 5 3 4 3 5 5" xfId="27571" xr:uid="{F79D228E-3227-4D1A-B21B-56DB869F054D}"/>
    <cellStyle name="Normal 5 3 4 3 5 6" xfId="10698" xr:uid="{E02AFAED-0644-4224-B10E-54CE9AFFD5DC}"/>
    <cellStyle name="Normal 5 3 4 3 6" xfId="2606" xr:uid="{00000000-0005-0000-0000-00004E1A0000}"/>
    <cellStyle name="Normal 5 3 4 3 6 2" xfId="6890" xr:uid="{00000000-0005-0000-0000-00004F1A0000}"/>
    <cellStyle name="Normal 5 3 4 3 6 2 2" xfId="23767" xr:uid="{9CA834D2-7380-4272-8C55-C06BAA19ADBB}"/>
    <cellStyle name="Normal 5 3 4 3 6 2 3" xfId="32201" xr:uid="{83D4E8F0-CE2F-439C-8329-FD297A507813}"/>
    <cellStyle name="Normal 5 3 4 3 6 2 4" xfId="15329" xr:uid="{F8BC9533-CD07-4AC0-B433-6BEB294550AB}"/>
    <cellStyle name="Normal 5 3 4 3 6 3" xfId="19549" xr:uid="{C03A8BBE-E818-4536-9A0C-E6C898544837}"/>
    <cellStyle name="Normal 5 3 4 3 6 4" xfId="27984" xr:uid="{F957282C-FBEC-4C55-AC96-4C0352907F65}"/>
    <cellStyle name="Normal 5 3 4 3 6 5" xfId="11111" xr:uid="{5E798582-0296-4F70-9597-F1827C20D54F}"/>
    <cellStyle name="Normal 5 3 4 3 7" xfId="4825" xr:uid="{00000000-0005-0000-0000-0000501A0000}"/>
    <cellStyle name="Normal 5 3 4 3 7 2" xfId="21702" xr:uid="{06CB6F85-22C8-44E8-9172-7AF3C9BAD443}"/>
    <cellStyle name="Normal 5 3 4 3 7 3" xfId="30136" xr:uid="{2BF97937-0673-4537-BF28-2F5187CC4AF8}"/>
    <cellStyle name="Normal 5 3 4 3 7 4" xfId="13264" xr:uid="{D96E1A45-063C-4405-9E0C-DEF5E17C5F2A}"/>
    <cellStyle name="Normal 5 3 4 3 8" xfId="17484" xr:uid="{EBA477E1-1D90-4851-A5B1-320EBAD8ED93}"/>
    <cellStyle name="Normal 5 3 4 3 9" xfId="25919" xr:uid="{BBAB404D-883F-407F-9315-1AB054784D76}"/>
    <cellStyle name="Normal 5 3 4 4" xfId="923" xr:uid="{00000000-0005-0000-0000-0000511A0000}"/>
    <cellStyle name="Normal 5 3 4 4 2" xfId="3157" xr:uid="{00000000-0005-0000-0000-0000521A0000}"/>
    <cellStyle name="Normal 5 3 4 4 2 2" xfId="7380" xr:uid="{00000000-0005-0000-0000-0000531A0000}"/>
    <cellStyle name="Normal 5 3 4 4 2 2 2" xfId="24257" xr:uid="{2BE26C82-133B-4289-B162-81B18EA10E96}"/>
    <cellStyle name="Normal 5 3 4 4 2 2 3" xfId="32691" xr:uid="{8B11D6F4-6125-42B1-AF39-A65B2713A9E1}"/>
    <cellStyle name="Normal 5 3 4 4 2 2 4" xfId="15819" xr:uid="{AED9DF2B-059B-4898-A43E-DF3ED21188BC}"/>
    <cellStyle name="Normal 5 3 4 4 2 3" xfId="20039" xr:uid="{58ECCD2A-769F-4B4E-ABED-FC6850FAF08F}"/>
    <cellStyle name="Normal 5 3 4 4 2 4" xfId="28474" xr:uid="{8695507D-C3AA-4139-9505-705EC2E3704B}"/>
    <cellStyle name="Normal 5 3 4 4 2 5" xfId="11601" xr:uid="{005F91F6-A00A-4359-83A4-EB1DC0119443}"/>
    <cellStyle name="Normal 5 3 4 4 3" xfId="5235" xr:uid="{00000000-0005-0000-0000-0000541A0000}"/>
    <cellStyle name="Normal 5 3 4 4 3 2" xfId="22112" xr:uid="{5D17831E-D65E-4C01-A257-48804C666295}"/>
    <cellStyle name="Normal 5 3 4 4 3 3" xfId="30546" xr:uid="{EE66140D-8856-4EB9-9957-732E1D975283}"/>
    <cellStyle name="Normal 5 3 4 4 3 4" xfId="13674" xr:uid="{4670B378-0C12-4B22-A4CB-BC560B7CD9B6}"/>
    <cellStyle name="Normal 5 3 4 4 4" xfId="17894" xr:uid="{6FD0F82A-B2E7-4758-997F-D4E623C034E2}"/>
    <cellStyle name="Normal 5 3 4 4 5" xfId="26329" xr:uid="{6FCB84AA-36E1-4FDB-8C15-AF2AF3578649}"/>
    <cellStyle name="Normal 5 3 4 4 6" xfId="9456" xr:uid="{C9ED64ED-A76E-441E-BCD1-0F5E24A63CE5}"/>
    <cellStyle name="Normal 5 3 4 5" xfId="1340" xr:uid="{00000000-0005-0000-0000-0000551A0000}"/>
    <cellStyle name="Normal 5 3 4 5 2" xfId="3570" xr:uid="{00000000-0005-0000-0000-0000561A0000}"/>
    <cellStyle name="Normal 5 3 4 5 2 2" xfId="7793" xr:uid="{00000000-0005-0000-0000-0000571A0000}"/>
    <cellStyle name="Normal 5 3 4 5 2 2 2" xfId="24670" xr:uid="{DADB0DE3-0C2B-494C-A6E8-C212425E4018}"/>
    <cellStyle name="Normal 5 3 4 5 2 2 3" xfId="33104" xr:uid="{1CA456B4-DC59-4B05-96D0-FF739AC2EE8D}"/>
    <cellStyle name="Normal 5 3 4 5 2 2 4" xfId="16232" xr:uid="{DD74EB89-560E-4945-B415-B4CF1D0A3B2B}"/>
    <cellStyle name="Normal 5 3 4 5 2 3" xfId="20452" xr:uid="{644A6E57-4BB2-4974-8ABC-F6150512C704}"/>
    <cellStyle name="Normal 5 3 4 5 2 4" xfId="28887" xr:uid="{4C2E427A-ADE3-4016-B2CA-9CB263CD9B55}"/>
    <cellStyle name="Normal 5 3 4 5 2 5" xfId="12014" xr:uid="{3A700B77-22D0-4848-B27D-939C8499F979}"/>
    <cellStyle name="Normal 5 3 4 5 3" xfId="5648" xr:uid="{00000000-0005-0000-0000-0000581A0000}"/>
    <cellStyle name="Normal 5 3 4 5 3 2" xfId="22525" xr:uid="{EA50DE3F-09EC-4710-B2FA-DFE9C5684ED3}"/>
    <cellStyle name="Normal 5 3 4 5 3 3" xfId="30959" xr:uid="{3C13298E-614E-4306-BD49-EE1F4C5B64CF}"/>
    <cellStyle name="Normal 5 3 4 5 3 4" xfId="14087" xr:uid="{F72E26B0-5178-4460-83C0-3199AB096EA0}"/>
    <cellStyle name="Normal 5 3 4 5 4" xfId="18307" xr:uid="{274BA53C-BE7F-4E18-A9CF-0D2C5343FF58}"/>
    <cellStyle name="Normal 5 3 4 5 5" xfId="26742" xr:uid="{281699CF-17A4-4618-BC3B-071647C5B07E}"/>
    <cellStyle name="Normal 5 3 4 5 6" xfId="9869" xr:uid="{D2A6C50D-CBB5-463D-919D-0DD5B76B7EFE}"/>
    <cellStyle name="Normal 5 3 4 6" xfId="1753" xr:uid="{00000000-0005-0000-0000-0000591A0000}"/>
    <cellStyle name="Normal 5 3 4 6 2" xfId="3983" xr:uid="{00000000-0005-0000-0000-00005A1A0000}"/>
    <cellStyle name="Normal 5 3 4 6 2 2" xfId="8206" xr:uid="{00000000-0005-0000-0000-00005B1A0000}"/>
    <cellStyle name="Normal 5 3 4 6 2 2 2" xfId="25083" xr:uid="{BD3ACEE4-D418-4B16-8C87-6614A86474DC}"/>
    <cellStyle name="Normal 5 3 4 6 2 2 3" xfId="33517" xr:uid="{42EF35C8-3F2A-41A1-98D7-382B3983AD4E}"/>
    <cellStyle name="Normal 5 3 4 6 2 2 4" xfId="16645" xr:uid="{70F00553-9313-4182-AC07-BCC65A46707F}"/>
    <cellStyle name="Normal 5 3 4 6 2 3" xfId="20865" xr:uid="{96AC0172-FA60-4115-90E4-C71AE0CD1AF9}"/>
    <cellStyle name="Normal 5 3 4 6 2 4" xfId="29300" xr:uid="{480B05B8-9BDD-4443-87BC-854E4A5C0C01}"/>
    <cellStyle name="Normal 5 3 4 6 2 5" xfId="12427" xr:uid="{68436706-A69C-447E-B99B-8CE4A53716BC}"/>
    <cellStyle name="Normal 5 3 4 6 3" xfId="6061" xr:uid="{00000000-0005-0000-0000-00005C1A0000}"/>
    <cellStyle name="Normal 5 3 4 6 3 2" xfId="22938" xr:uid="{A23E8AE3-C8C8-4DFE-932F-ACCD50731582}"/>
    <cellStyle name="Normal 5 3 4 6 3 3" xfId="31372" xr:uid="{E231E3B2-5B73-4F03-9658-79F11D8BC672}"/>
    <cellStyle name="Normal 5 3 4 6 3 4" xfId="14500" xr:uid="{3356185E-5490-4006-88BA-AC2178A0A0CA}"/>
    <cellStyle name="Normal 5 3 4 6 4" xfId="18720" xr:uid="{C075DF0C-C56F-4652-A897-AE64C414D86B}"/>
    <cellStyle name="Normal 5 3 4 6 5" xfId="27155" xr:uid="{2655034A-9E81-4D62-9788-421551DAA790}"/>
    <cellStyle name="Normal 5 3 4 6 6" xfId="10282" xr:uid="{18F13C2D-A804-4F27-86DF-A9F18E7F90D0}"/>
    <cellStyle name="Normal 5 3 4 7" xfId="2167" xr:uid="{00000000-0005-0000-0000-00005D1A0000}"/>
    <cellStyle name="Normal 5 3 4 7 2" xfId="4396" xr:uid="{00000000-0005-0000-0000-00005E1A0000}"/>
    <cellStyle name="Normal 5 3 4 7 2 2" xfId="8619" xr:uid="{00000000-0005-0000-0000-00005F1A0000}"/>
    <cellStyle name="Normal 5 3 4 7 2 2 2" xfId="25496" xr:uid="{69540A0D-2A1A-45E2-86CC-81CFB3ABD33E}"/>
    <cellStyle name="Normal 5 3 4 7 2 2 3" xfId="33930" xr:uid="{86C9F29F-9FF7-4258-8E2B-7DD2DCCB344E}"/>
    <cellStyle name="Normal 5 3 4 7 2 2 4" xfId="17058" xr:uid="{51CB7578-8878-4F53-AC97-E8E7A2DEABFE}"/>
    <cellStyle name="Normal 5 3 4 7 2 3" xfId="21278" xr:uid="{7CA3C2F6-13E3-4E8A-84D4-BA37D108F22F}"/>
    <cellStyle name="Normal 5 3 4 7 2 4" xfId="29713" xr:uid="{FA99D2BB-417A-4A67-9B9D-1F1D9017A159}"/>
    <cellStyle name="Normal 5 3 4 7 2 5" xfId="12840" xr:uid="{E6D05BE0-8125-461F-B487-D41E1D38F45C}"/>
    <cellStyle name="Normal 5 3 4 7 3" xfId="6474" xr:uid="{00000000-0005-0000-0000-0000601A0000}"/>
    <cellStyle name="Normal 5 3 4 7 3 2" xfId="23351" xr:uid="{8CDC6FA3-9DA0-4234-BE3E-6E54E1D8A641}"/>
    <cellStyle name="Normal 5 3 4 7 3 3" xfId="31785" xr:uid="{A7F983E6-24D7-4A00-A276-97D8DD227E1C}"/>
    <cellStyle name="Normal 5 3 4 7 3 4" xfId="14913" xr:uid="{8F922A55-3240-46E4-8CBB-AE15F442BC46}"/>
    <cellStyle name="Normal 5 3 4 7 4" xfId="19133" xr:uid="{B195AA1D-A80E-414F-9AEE-06E22CEB7834}"/>
    <cellStyle name="Normal 5 3 4 7 5" xfId="27568" xr:uid="{23BBA0F1-144F-401E-919E-1DAEF0D2E3A3}"/>
    <cellStyle name="Normal 5 3 4 7 6" xfId="10695" xr:uid="{5122ED44-885A-4DAD-B335-BF17D6F65510}"/>
    <cellStyle name="Normal 5 3 4 8" xfId="2603" xr:uid="{00000000-0005-0000-0000-0000611A0000}"/>
    <cellStyle name="Normal 5 3 4 8 2" xfId="6887" xr:uid="{00000000-0005-0000-0000-0000621A0000}"/>
    <cellStyle name="Normal 5 3 4 8 2 2" xfId="23764" xr:uid="{C24F1B71-1F59-4C98-987C-F6727256F6BE}"/>
    <cellStyle name="Normal 5 3 4 8 2 3" xfId="32198" xr:uid="{9BAC6C5E-BD1A-499B-97BD-5C3D7EDB34E9}"/>
    <cellStyle name="Normal 5 3 4 8 2 4" xfId="15326" xr:uid="{FFD1BAB3-176B-403D-87CB-4AFFB9225C26}"/>
    <cellStyle name="Normal 5 3 4 8 3" xfId="19546" xr:uid="{835D5A4E-C61A-4FA9-9CF1-D7B42AD3C5B4}"/>
    <cellStyle name="Normal 5 3 4 8 4" xfId="27981" xr:uid="{813C581E-2257-41F2-BA32-040AF87B139D}"/>
    <cellStyle name="Normal 5 3 4 8 5" xfId="11108" xr:uid="{99B5A0A9-6C0D-4247-933C-6AF9EA7353BF}"/>
    <cellStyle name="Normal 5 3 4 9" xfId="4822" xr:uid="{00000000-0005-0000-0000-0000631A0000}"/>
    <cellStyle name="Normal 5 3 4 9 2" xfId="21699" xr:uid="{3E9F396F-40BC-4D30-A202-AE267BCC8FB3}"/>
    <cellStyle name="Normal 5 3 4 9 3" xfId="30133" xr:uid="{2877D779-76B2-46F3-B76D-389718558107}"/>
    <cellStyle name="Normal 5 3 4 9 4" xfId="13261" xr:uid="{F90AA4B7-5F5E-4C11-9A97-7F0F58639348}"/>
    <cellStyle name="Normal 5 3 5" xfId="453" xr:uid="{00000000-0005-0000-0000-0000641A0000}"/>
    <cellStyle name="Normal 5 3 5 10" xfId="25920" xr:uid="{12BB1EA9-0882-4DDB-840D-260282A49FC9}"/>
    <cellStyle name="Normal 5 3 5 11" xfId="9047" xr:uid="{874D992E-0F56-4ACA-ACC1-53A9D22F6F07}"/>
    <cellStyle name="Normal 5 3 5 2" xfId="454" xr:uid="{00000000-0005-0000-0000-0000651A0000}"/>
    <cellStyle name="Normal 5 3 5 2 10" xfId="9048" xr:uid="{6BDD5830-2EF7-4DC5-9011-F4CF7CF65D95}"/>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24262" xr:uid="{70F144D0-46DC-400A-B36D-546B6DC5DFE8}"/>
    <cellStyle name="Normal 5 3 5 2 2 2 2 3" xfId="32696" xr:uid="{7789ADA4-F2A2-4C08-A6F6-6651C3B70975}"/>
    <cellStyle name="Normal 5 3 5 2 2 2 2 4" xfId="15824" xr:uid="{742A33D1-3F0A-44D4-B6FF-9862D99210E9}"/>
    <cellStyle name="Normal 5 3 5 2 2 2 3" xfId="20044" xr:uid="{02BD1B83-574F-438D-8075-6C20B4969867}"/>
    <cellStyle name="Normal 5 3 5 2 2 2 4" xfId="28479" xr:uid="{14D5690E-F629-4E76-9F19-9472BF67FDEA}"/>
    <cellStyle name="Normal 5 3 5 2 2 2 5" xfId="11606" xr:uid="{995CAD11-1B5D-45F7-A177-27A71B07B92B}"/>
    <cellStyle name="Normal 5 3 5 2 2 3" xfId="5240" xr:uid="{00000000-0005-0000-0000-0000691A0000}"/>
    <cellStyle name="Normal 5 3 5 2 2 3 2" xfId="22117" xr:uid="{2557CDC2-5F19-4C10-90C7-5A4993CB3D0B}"/>
    <cellStyle name="Normal 5 3 5 2 2 3 3" xfId="30551" xr:uid="{3355AE13-130A-4EED-94AE-E5D39545A638}"/>
    <cellStyle name="Normal 5 3 5 2 2 3 4" xfId="13679" xr:uid="{90D4E958-99D1-4C2A-9913-BC107A27CF6B}"/>
    <cellStyle name="Normal 5 3 5 2 2 4" xfId="17899" xr:uid="{F28D10F3-62BC-4B26-9A22-39AE387FDED0}"/>
    <cellStyle name="Normal 5 3 5 2 2 5" xfId="26334" xr:uid="{538D261F-509B-46FC-A624-909BC1E5D1C1}"/>
    <cellStyle name="Normal 5 3 5 2 2 6" xfId="9461" xr:uid="{63024234-6B18-40AF-A5FE-2D03FAC20819}"/>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24675" xr:uid="{72F78319-CF61-4A8F-8F22-997E4E96F3BA}"/>
    <cellStyle name="Normal 5 3 5 2 3 2 2 3" xfId="33109" xr:uid="{94BD84AA-15CC-481E-A2EF-314DD76E6FBA}"/>
    <cellStyle name="Normal 5 3 5 2 3 2 2 4" xfId="16237" xr:uid="{BE9E30E7-ED5F-4DAA-871E-C9EAF7A6B77A}"/>
    <cellStyle name="Normal 5 3 5 2 3 2 3" xfId="20457" xr:uid="{7286CA97-A16B-4005-BBEB-5487774AED5F}"/>
    <cellStyle name="Normal 5 3 5 2 3 2 4" xfId="28892" xr:uid="{E202591D-2076-4467-844A-8D6A4941A37D}"/>
    <cellStyle name="Normal 5 3 5 2 3 2 5" xfId="12019" xr:uid="{A1ED49B5-ABAB-4510-99DE-AEB7AAC941F4}"/>
    <cellStyle name="Normal 5 3 5 2 3 3" xfId="5653" xr:uid="{00000000-0005-0000-0000-00006D1A0000}"/>
    <cellStyle name="Normal 5 3 5 2 3 3 2" xfId="22530" xr:uid="{8ED3D881-6582-4381-B7A5-5002323EBF55}"/>
    <cellStyle name="Normal 5 3 5 2 3 3 3" xfId="30964" xr:uid="{C348E539-EE98-4CD9-8774-205B2424DAB7}"/>
    <cellStyle name="Normal 5 3 5 2 3 3 4" xfId="14092" xr:uid="{F6AC163F-D109-48DD-A704-AEF462A904F6}"/>
    <cellStyle name="Normal 5 3 5 2 3 4" xfId="18312" xr:uid="{6CA2A7B8-B1CA-4F2B-A402-022FED0C2AA7}"/>
    <cellStyle name="Normal 5 3 5 2 3 5" xfId="26747" xr:uid="{A075F67F-7C86-4498-93B8-76EE93875E7C}"/>
    <cellStyle name="Normal 5 3 5 2 3 6" xfId="9874" xr:uid="{5BB3AE6F-1C9F-4A27-8B53-742C50E2B9E4}"/>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25088" xr:uid="{8793A55F-8E9C-41B7-AB34-99790E554CA5}"/>
    <cellStyle name="Normal 5 3 5 2 4 2 2 3" xfId="33522" xr:uid="{5252AF9B-DBD5-4219-A05B-06963DCB78B4}"/>
    <cellStyle name="Normal 5 3 5 2 4 2 2 4" xfId="16650" xr:uid="{9FA1ED33-B070-4BBB-8F9D-EF69B45A34FE}"/>
    <cellStyle name="Normal 5 3 5 2 4 2 3" xfId="20870" xr:uid="{F6093EF1-ABDB-4E63-8E0B-7F5AA4F1CD05}"/>
    <cellStyle name="Normal 5 3 5 2 4 2 4" xfId="29305" xr:uid="{F175757D-3B76-4DF6-B5E2-CD0CDCB1257F}"/>
    <cellStyle name="Normal 5 3 5 2 4 2 5" xfId="12432" xr:uid="{B2BE702C-FBC1-48A3-8DE1-8C2B07E26BF7}"/>
    <cellStyle name="Normal 5 3 5 2 4 3" xfId="6066" xr:uid="{00000000-0005-0000-0000-0000711A0000}"/>
    <cellStyle name="Normal 5 3 5 2 4 3 2" xfId="22943" xr:uid="{98ACB190-3488-4B22-BA5A-74721E39AC05}"/>
    <cellStyle name="Normal 5 3 5 2 4 3 3" xfId="31377" xr:uid="{D19DACFE-E68C-4F88-BC17-FED9099C0EE5}"/>
    <cellStyle name="Normal 5 3 5 2 4 3 4" xfId="14505" xr:uid="{6132CA4C-048C-4E73-BFD9-6DB640824E48}"/>
    <cellStyle name="Normal 5 3 5 2 4 4" xfId="18725" xr:uid="{2891C641-C900-4D93-88EC-B544EA6CA1D9}"/>
    <cellStyle name="Normal 5 3 5 2 4 5" xfId="27160" xr:uid="{38B6A0FC-579D-4A6C-BFB2-737B9303FEFD}"/>
    <cellStyle name="Normal 5 3 5 2 4 6" xfId="10287" xr:uid="{622EF74B-EEEB-4424-80E3-F4D8CEA76707}"/>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25501" xr:uid="{6321B3E0-4090-4BE4-9339-6E2841C36758}"/>
    <cellStyle name="Normal 5 3 5 2 5 2 2 3" xfId="33935" xr:uid="{BD19AB45-E763-43A0-9850-998A185EA952}"/>
    <cellStyle name="Normal 5 3 5 2 5 2 2 4" xfId="17063" xr:uid="{D2AD51B7-72C6-4451-8C1E-FEED8201A5AF}"/>
    <cellStyle name="Normal 5 3 5 2 5 2 3" xfId="21283" xr:uid="{E2FDCD82-2281-45E1-A8BB-79A40AB9897C}"/>
    <cellStyle name="Normal 5 3 5 2 5 2 4" xfId="29718" xr:uid="{4CFC9DF8-7080-4BF3-BE4D-BA11AB37CEC2}"/>
    <cellStyle name="Normal 5 3 5 2 5 2 5" xfId="12845" xr:uid="{FBFA6C85-A881-46D2-BBF8-A2607135113B}"/>
    <cellStyle name="Normal 5 3 5 2 5 3" xfId="6479" xr:uid="{00000000-0005-0000-0000-0000751A0000}"/>
    <cellStyle name="Normal 5 3 5 2 5 3 2" xfId="23356" xr:uid="{87B3EC4C-0568-4942-9FDB-E5054DB03063}"/>
    <cellStyle name="Normal 5 3 5 2 5 3 3" xfId="31790" xr:uid="{FA65C63E-9AC3-4AE8-BDE1-0A0D9DD93261}"/>
    <cellStyle name="Normal 5 3 5 2 5 3 4" xfId="14918" xr:uid="{F7F8520A-598F-49ED-817B-AEA4CDFA870F}"/>
    <cellStyle name="Normal 5 3 5 2 5 4" xfId="19138" xr:uid="{7DAD63E0-AD63-4E15-A6D8-35CB7F44B79A}"/>
    <cellStyle name="Normal 5 3 5 2 5 5" xfId="27573" xr:uid="{140513E6-9472-4223-92BB-50EE9FCB9773}"/>
    <cellStyle name="Normal 5 3 5 2 5 6" xfId="10700" xr:uid="{7FA36AC9-51AA-4566-91BF-416A06926BFD}"/>
    <cellStyle name="Normal 5 3 5 2 6" xfId="2608" xr:uid="{00000000-0005-0000-0000-0000761A0000}"/>
    <cellStyle name="Normal 5 3 5 2 6 2" xfId="6892" xr:uid="{00000000-0005-0000-0000-0000771A0000}"/>
    <cellStyle name="Normal 5 3 5 2 6 2 2" xfId="23769" xr:uid="{24FF586A-EBCD-473B-AA43-3F3D09D59D6B}"/>
    <cellStyle name="Normal 5 3 5 2 6 2 3" xfId="32203" xr:uid="{0CD5D03B-9DDB-4877-B6C5-D90E8624AE2F}"/>
    <cellStyle name="Normal 5 3 5 2 6 2 4" xfId="15331" xr:uid="{FE3E5D90-96F4-4183-86BD-98ABDC6A9D0D}"/>
    <cellStyle name="Normal 5 3 5 2 6 3" xfId="19551" xr:uid="{F118DAE9-8305-45DF-8C76-D1045909E284}"/>
    <cellStyle name="Normal 5 3 5 2 6 4" xfId="27986" xr:uid="{DBDCEE38-79FC-4A89-9D12-B6B27E370567}"/>
    <cellStyle name="Normal 5 3 5 2 6 5" xfId="11113" xr:uid="{275F9791-21AD-41A8-8BF5-02DC31F26B58}"/>
    <cellStyle name="Normal 5 3 5 2 7" xfId="4827" xr:uid="{00000000-0005-0000-0000-0000781A0000}"/>
    <cellStyle name="Normal 5 3 5 2 7 2" xfId="21704" xr:uid="{F956CFD0-F0D2-48A6-AAD0-BEE90CE2545F}"/>
    <cellStyle name="Normal 5 3 5 2 7 3" xfId="30138" xr:uid="{0C716B93-F62A-4E5C-AB5E-6B6837CE26B4}"/>
    <cellStyle name="Normal 5 3 5 2 7 4" xfId="13266" xr:uid="{76A3849B-E27C-4EEE-8940-AD2D0233DCBC}"/>
    <cellStyle name="Normal 5 3 5 2 8" xfId="17486" xr:uid="{F41E2992-5F1C-4AC4-9BCF-D53274551979}"/>
    <cellStyle name="Normal 5 3 5 2 9" xfId="25921" xr:uid="{D8626307-9085-4013-9E5D-CCAA5006E901}"/>
    <cellStyle name="Normal 5 3 5 3" xfId="927" xr:uid="{00000000-0005-0000-0000-0000791A0000}"/>
    <cellStyle name="Normal 5 3 5 3 2" xfId="3161" xr:uid="{00000000-0005-0000-0000-00007A1A0000}"/>
    <cellStyle name="Normal 5 3 5 3 2 2" xfId="7384" xr:uid="{00000000-0005-0000-0000-00007B1A0000}"/>
    <cellStyle name="Normal 5 3 5 3 2 2 2" xfId="24261" xr:uid="{5EB0E2A0-93BE-44DE-9FBA-8C26377579C4}"/>
    <cellStyle name="Normal 5 3 5 3 2 2 3" xfId="32695" xr:uid="{D694C216-0BE8-47FE-8D80-8CC632EFC12B}"/>
    <cellStyle name="Normal 5 3 5 3 2 2 4" xfId="15823" xr:uid="{C51F1932-7ECE-455E-B2E9-97E4B8477297}"/>
    <cellStyle name="Normal 5 3 5 3 2 3" xfId="20043" xr:uid="{DF9129D8-D29D-4B98-B06A-C639D4455CED}"/>
    <cellStyle name="Normal 5 3 5 3 2 4" xfId="28478" xr:uid="{D5EAEA09-D5F6-444C-8596-7EB28842F9C4}"/>
    <cellStyle name="Normal 5 3 5 3 2 5" xfId="11605" xr:uid="{32ACB9BB-4731-4F17-B451-C19B3B82352C}"/>
    <cellStyle name="Normal 5 3 5 3 3" xfId="5239" xr:uid="{00000000-0005-0000-0000-00007C1A0000}"/>
    <cellStyle name="Normal 5 3 5 3 3 2" xfId="22116" xr:uid="{47873555-6F9C-45A3-954D-17F7EE0FAB77}"/>
    <cellStyle name="Normal 5 3 5 3 3 3" xfId="30550" xr:uid="{15E41C55-BFBC-41A6-B682-96317E9902CA}"/>
    <cellStyle name="Normal 5 3 5 3 3 4" xfId="13678" xr:uid="{C45834A4-354A-4B5C-889B-CAFC058F0612}"/>
    <cellStyle name="Normal 5 3 5 3 4" xfId="17898" xr:uid="{9ACCFE0F-FF36-4C6A-B927-88EDEFD2518C}"/>
    <cellStyle name="Normal 5 3 5 3 5" xfId="26333" xr:uid="{3BAD8DAF-BA4E-4275-BA24-FC90A8554541}"/>
    <cellStyle name="Normal 5 3 5 3 6" xfId="9460" xr:uid="{D91F0E58-2568-4FC4-B1EE-56942E4A39AB}"/>
    <cellStyle name="Normal 5 3 5 4" xfId="1344" xr:uid="{00000000-0005-0000-0000-00007D1A0000}"/>
    <cellStyle name="Normal 5 3 5 4 2" xfId="3574" xr:uid="{00000000-0005-0000-0000-00007E1A0000}"/>
    <cellStyle name="Normal 5 3 5 4 2 2" xfId="7797" xr:uid="{00000000-0005-0000-0000-00007F1A0000}"/>
    <cellStyle name="Normal 5 3 5 4 2 2 2" xfId="24674" xr:uid="{8BED7EE0-905D-4B4F-AAF2-F79DDB05CCAC}"/>
    <cellStyle name="Normal 5 3 5 4 2 2 3" xfId="33108" xr:uid="{A483714E-2EF9-4819-903E-790B6AC4AFE8}"/>
    <cellStyle name="Normal 5 3 5 4 2 2 4" xfId="16236" xr:uid="{6BE54857-3BFB-4E2B-96B9-FC1F5FA47D21}"/>
    <cellStyle name="Normal 5 3 5 4 2 3" xfId="20456" xr:uid="{78D05A4C-3B14-411D-AA5C-D634B8A8B9FE}"/>
    <cellStyle name="Normal 5 3 5 4 2 4" xfId="28891" xr:uid="{22637971-7F13-420A-9A35-3F9F97533ACE}"/>
    <cellStyle name="Normal 5 3 5 4 2 5" xfId="12018" xr:uid="{378D910D-759F-449C-BA63-E6B8DA2D70F9}"/>
    <cellStyle name="Normal 5 3 5 4 3" xfId="5652" xr:uid="{00000000-0005-0000-0000-0000801A0000}"/>
    <cellStyle name="Normal 5 3 5 4 3 2" xfId="22529" xr:uid="{55C425AF-9060-4CD3-941E-4BAE5B806F3A}"/>
    <cellStyle name="Normal 5 3 5 4 3 3" xfId="30963" xr:uid="{7AED2F08-4DE6-411E-960D-4E2F93096172}"/>
    <cellStyle name="Normal 5 3 5 4 3 4" xfId="14091" xr:uid="{426254DB-6CBC-4CEC-92A1-C79FA85809C3}"/>
    <cellStyle name="Normal 5 3 5 4 4" xfId="18311" xr:uid="{AFF6594F-A2C6-4D6C-812C-443CD74BBDA4}"/>
    <cellStyle name="Normal 5 3 5 4 5" xfId="26746" xr:uid="{8FF89D43-724F-4C80-8D1E-B79532E5A238}"/>
    <cellStyle name="Normal 5 3 5 4 6" xfId="9873" xr:uid="{CA1DD28B-31A2-4E11-9C6C-D985287770D0}"/>
    <cellStyle name="Normal 5 3 5 5" xfId="1757" xr:uid="{00000000-0005-0000-0000-0000811A0000}"/>
    <cellStyle name="Normal 5 3 5 5 2" xfId="3987" xr:uid="{00000000-0005-0000-0000-0000821A0000}"/>
    <cellStyle name="Normal 5 3 5 5 2 2" xfId="8210" xr:uid="{00000000-0005-0000-0000-0000831A0000}"/>
    <cellStyle name="Normal 5 3 5 5 2 2 2" xfId="25087" xr:uid="{9323580F-EF67-4EA3-B1D3-FF18A5BA3450}"/>
    <cellStyle name="Normal 5 3 5 5 2 2 3" xfId="33521" xr:uid="{88D24F5B-18A9-4157-B441-E9B541DEF49C}"/>
    <cellStyle name="Normal 5 3 5 5 2 2 4" xfId="16649" xr:uid="{09D800F0-34FF-4164-8BF3-241080510632}"/>
    <cellStyle name="Normal 5 3 5 5 2 3" xfId="20869" xr:uid="{E5D54D5E-3837-4358-BEBC-21D182D3044A}"/>
    <cellStyle name="Normal 5 3 5 5 2 4" xfId="29304" xr:uid="{F8B6304B-AAE7-4EE7-BA69-B616F9E135F6}"/>
    <cellStyle name="Normal 5 3 5 5 2 5" xfId="12431" xr:uid="{5D973271-6190-4393-9644-2926238A6B7F}"/>
    <cellStyle name="Normal 5 3 5 5 3" xfId="6065" xr:uid="{00000000-0005-0000-0000-0000841A0000}"/>
    <cellStyle name="Normal 5 3 5 5 3 2" xfId="22942" xr:uid="{E6FA8B2E-4159-45D2-B415-46B085B486F2}"/>
    <cellStyle name="Normal 5 3 5 5 3 3" xfId="31376" xr:uid="{48038016-4829-4C30-8434-F97CEAEED334}"/>
    <cellStyle name="Normal 5 3 5 5 3 4" xfId="14504" xr:uid="{3150560B-3080-4C77-8B47-210F7DBC22BD}"/>
    <cellStyle name="Normal 5 3 5 5 4" xfId="18724" xr:uid="{067AD6BC-54DD-422D-AE2D-5D46F895D636}"/>
    <cellStyle name="Normal 5 3 5 5 5" xfId="27159" xr:uid="{BFB8FD24-7232-4B4E-AC40-E39B5149A3D9}"/>
    <cellStyle name="Normal 5 3 5 5 6" xfId="10286" xr:uid="{6C6A0DCA-32D0-421C-97F1-B203DAB0398B}"/>
    <cellStyle name="Normal 5 3 5 6" xfId="2171" xr:uid="{00000000-0005-0000-0000-0000851A0000}"/>
    <cellStyle name="Normal 5 3 5 6 2" xfId="4400" xr:uid="{00000000-0005-0000-0000-0000861A0000}"/>
    <cellStyle name="Normal 5 3 5 6 2 2" xfId="8623" xr:uid="{00000000-0005-0000-0000-0000871A0000}"/>
    <cellStyle name="Normal 5 3 5 6 2 2 2" xfId="25500" xr:uid="{AA7050B6-32AD-4474-9810-1ED00EC2C4C4}"/>
    <cellStyle name="Normal 5 3 5 6 2 2 3" xfId="33934" xr:uid="{AD5BAD0E-81AB-411B-81F9-D614C2B4CF2D}"/>
    <cellStyle name="Normal 5 3 5 6 2 2 4" xfId="17062" xr:uid="{F46EBC61-6C5B-4054-8150-AB13184A89F5}"/>
    <cellStyle name="Normal 5 3 5 6 2 3" xfId="21282" xr:uid="{E8DC11CC-590B-443D-A2DB-F232F66415CB}"/>
    <cellStyle name="Normal 5 3 5 6 2 4" xfId="29717" xr:uid="{FBE9A84A-F09A-4819-B660-6A00204A6C1F}"/>
    <cellStyle name="Normal 5 3 5 6 2 5" xfId="12844" xr:uid="{86E3200C-B9D5-4E63-84BE-A28F36C38FE9}"/>
    <cellStyle name="Normal 5 3 5 6 3" xfId="6478" xr:uid="{00000000-0005-0000-0000-0000881A0000}"/>
    <cellStyle name="Normal 5 3 5 6 3 2" xfId="23355" xr:uid="{705EF4ED-43FE-424D-B932-82D674FF93B1}"/>
    <cellStyle name="Normal 5 3 5 6 3 3" xfId="31789" xr:uid="{A0A555D6-F384-4F8C-B07B-5988121AE837}"/>
    <cellStyle name="Normal 5 3 5 6 3 4" xfId="14917" xr:uid="{D6B79C89-3F0A-407B-9A3F-B53D525ADBDB}"/>
    <cellStyle name="Normal 5 3 5 6 4" xfId="19137" xr:uid="{9DE9934B-5B00-49C4-B326-C451E9088B87}"/>
    <cellStyle name="Normal 5 3 5 6 5" xfId="27572" xr:uid="{957167D9-355F-43AE-BCBE-618D9D8B5142}"/>
    <cellStyle name="Normal 5 3 5 6 6" xfId="10699" xr:uid="{B2263D48-7CB8-40ED-AF1F-1A6BB5CC5196}"/>
    <cellStyle name="Normal 5 3 5 7" xfId="2607" xr:uid="{00000000-0005-0000-0000-0000891A0000}"/>
    <cellStyle name="Normal 5 3 5 7 2" xfId="6891" xr:uid="{00000000-0005-0000-0000-00008A1A0000}"/>
    <cellStyle name="Normal 5 3 5 7 2 2" xfId="23768" xr:uid="{569DB79B-932C-4BAB-807A-4F858F538CCD}"/>
    <cellStyle name="Normal 5 3 5 7 2 3" xfId="32202" xr:uid="{5998FAF2-94DA-4289-A46A-D80462926F86}"/>
    <cellStyle name="Normal 5 3 5 7 2 4" xfId="15330" xr:uid="{AA4A210A-9074-41E6-AD0E-67A1C2C311E3}"/>
    <cellStyle name="Normal 5 3 5 7 3" xfId="19550" xr:uid="{6B0110AF-E5FB-4671-9B6F-F470F28FD068}"/>
    <cellStyle name="Normal 5 3 5 7 4" xfId="27985" xr:uid="{9E0D0BB2-296E-4AB8-9572-0D5D28584222}"/>
    <cellStyle name="Normal 5 3 5 7 5" xfId="11112" xr:uid="{421C17D9-2004-4C83-87A5-5AC61797A6F7}"/>
    <cellStyle name="Normal 5 3 5 8" xfId="4826" xr:uid="{00000000-0005-0000-0000-00008B1A0000}"/>
    <cellStyle name="Normal 5 3 5 8 2" xfId="21703" xr:uid="{402EAFA5-F6BF-4FB5-B751-DA2DE8C50456}"/>
    <cellStyle name="Normal 5 3 5 8 3" xfId="30137" xr:uid="{8B5A3622-694B-41DC-82A1-3AEBD76E8991}"/>
    <cellStyle name="Normal 5 3 5 8 4" xfId="13265" xr:uid="{29E89351-15E0-4251-9EEC-9D0078D1BF1D}"/>
    <cellStyle name="Normal 5 3 5 9" xfId="17485" xr:uid="{F971B998-C7CA-451D-90EC-D465F6DD3E45}"/>
    <cellStyle name="Normal 5 3 6" xfId="455" xr:uid="{00000000-0005-0000-0000-00008C1A0000}"/>
    <cellStyle name="Normal 5 3 6 10" xfId="9049" xr:uid="{1B12966B-5F88-4B90-91CC-55DF6ED61A71}"/>
    <cellStyle name="Normal 5 3 6 2" xfId="929" xr:uid="{00000000-0005-0000-0000-00008D1A0000}"/>
    <cellStyle name="Normal 5 3 6 2 2" xfId="3163" xr:uid="{00000000-0005-0000-0000-00008E1A0000}"/>
    <cellStyle name="Normal 5 3 6 2 2 2" xfId="7386" xr:uid="{00000000-0005-0000-0000-00008F1A0000}"/>
    <cellStyle name="Normal 5 3 6 2 2 2 2" xfId="24263" xr:uid="{50D277E0-6331-4FDF-AA99-55834A035422}"/>
    <cellStyle name="Normal 5 3 6 2 2 2 3" xfId="32697" xr:uid="{5ECD0B10-07BF-424E-9E03-D05434A4721F}"/>
    <cellStyle name="Normal 5 3 6 2 2 2 4" xfId="15825" xr:uid="{DEE440FC-4493-4ABF-A5E0-629A0B6FDE78}"/>
    <cellStyle name="Normal 5 3 6 2 2 3" xfId="20045" xr:uid="{6903D3CD-2EF5-4D25-B2C9-3323F8EC48E3}"/>
    <cellStyle name="Normal 5 3 6 2 2 4" xfId="28480" xr:uid="{24B4DA5E-2128-48AE-A6BA-A0F160FF176B}"/>
    <cellStyle name="Normal 5 3 6 2 2 5" xfId="11607" xr:uid="{1AD3099A-01B5-45B4-A93F-E8E84B317A07}"/>
    <cellStyle name="Normal 5 3 6 2 3" xfId="5241" xr:uid="{00000000-0005-0000-0000-0000901A0000}"/>
    <cellStyle name="Normal 5 3 6 2 3 2" xfId="22118" xr:uid="{B5CA5A93-608C-4692-9770-AEBD5CA99368}"/>
    <cellStyle name="Normal 5 3 6 2 3 3" xfId="30552" xr:uid="{FD148C6C-BE20-4CE2-BBA0-3D802E6ED2C7}"/>
    <cellStyle name="Normal 5 3 6 2 3 4" xfId="13680" xr:uid="{8467325F-9B12-4A2C-990D-54BDA30650AE}"/>
    <cellStyle name="Normal 5 3 6 2 4" xfId="17900" xr:uid="{598A7A0D-1730-4477-8B66-3802A1FF94F9}"/>
    <cellStyle name="Normal 5 3 6 2 5" xfId="26335" xr:uid="{ADF7DB07-A882-4D4C-8757-89E54DDDB6C4}"/>
    <cellStyle name="Normal 5 3 6 2 6" xfId="9462" xr:uid="{18B30848-DD77-4375-AB17-BBEDEB19289F}"/>
    <cellStyle name="Normal 5 3 6 3" xfId="1346" xr:uid="{00000000-0005-0000-0000-0000911A0000}"/>
    <cellStyle name="Normal 5 3 6 3 2" xfId="3576" xr:uid="{00000000-0005-0000-0000-0000921A0000}"/>
    <cellStyle name="Normal 5 3 6 3 2 2" xfId="7799" xr:uid="{00000000-0005-0000-0000-0000931A0000}"/>
    <cellStyle name="Normal 5 3 6 3 2 2 2" xfId="24676" xr:uid="{15B7DC1C-9324-432D-9CC8-68BA9223B7A1}"/>
    <cellStyle name="Normal 5 3 6 3 2 2 3" xfId="33110" xr:uid="{09E076AC-C86E-45B3-B3AF-152DA0378E50}"/>
    <cellStyle name="Normal 5 3 6 3 2 2 4" xfId="16238" xr:uid="{16F19857-2B6E-4440-8678-259C4F1BB094}"/>
    <cellStyle name="Normal 5 3 6 3 2 3" xfId="20458" xr:uid="{B140AF66-23BB-4615-B581-F813AF28BCB7}"/>
    <cellStyle name="Normal 5 3 6 3 2 4" xfId="28893" xr:uid="{D37D4289-663D-4086-BE58-966C0FDE1E8E}"/>
    <cellStyle name="Normal 5 3 6 3 2 5" xfId="12020" xr:uid="{DEB8EB85-CC72-4FD2-B457-873DF7127899}"/>
    <cellStyle name="Normal 5 3 6 3 3" xfId="5654" xr:uid="{00000000-0005-0000-0000-0000941A0000}"/>
    <cellStyle name="Normal 5 3 6 3 3 2" xfId="22531" xr:uid="{7B3FCBC1-17DD-4CA5-BCEE-CC19E17D5E7A}"/>
    <cellStyle name="Normal 5 3 6 3 3 3" xfId="30965" xr:uid="{9684CD2D-6E8E-4176-A81E-4BB60E82D924}"/>
    <cellStyle name="Normal 5 3 6 3 3 4" xfId="14093" xr:uid="{64102A67-FA82-4D88-9DAE-7DA803E12A82}"/>
    <cellStyle name="Normal 5 3 6 3 4" xfId="18313" xr:uid="{7CC280D3-A7A6-4C8E-A54D-FA2A202B4D8A}"/>
    <cellStyle name="Normal 5 3 6 3 5" xfId="26748" xr:uid="{625F031E-FD8E-4501-B813-B013042F3403}"/>
    <cellStyle name="Normal 5 3 6 3 6" xfId="9875" xr:uid="{8087DBAC-3F37-4066-8575-5E52F6A500B5}"/>
    <cellStyle name="Normal 5 3 6 4" xfId="1759" xr:uid="{00000000-0005-0000-0000-0000951A0000}"/>
    <cellStyle name="Normal 5 3 6 4 2" xfId="3989" xr:uid="{00000000-0005-0000-0000-0000961A0000}"/>
    <cellStyle name="Normal 5 3 6 4 2 2" xfId="8212" xr:uid="{00000000-0005-0000-0000-0000971A0000}"/>
    <cellStyle name="Normal 5 3 6 4 2 2 2" xfId="25089" xr:uid="{2DE034BE-2C08-4068-A12C-92E03AE0A160}"/>
    <cellStyle name="Normal 5 3 6 4 2 2 3" xfId="33523" xr:uid="{897D0251-31FD-43CF-BE69-E3717AAAA749}"/>
    <cellStyle name="Normal 5 3 6 4 2 2 4" xfId="16651" xr:uid="{3F2DE58F-552A-4037-92A0-66DF2D790127}"/>
    <cellStyle name="Normal 5 3 6 4 2 3" xfId="20871" xr:uid="{18CE6322-25CB-47D0-9DC1-5BE873D97DB9}"/>
    <cellStyle name="Normal 5 3 6 4 2 4" xfId="29306" xr:uid="{0B2DE145-B128-4851-AC4E-160A951CFF96}"/>
    <cellStyle name="Normal 5 3 6 4 2 5" xfId="12433" xr:uid="{F3462DFB-C77B-492F-AE4A-DF5B87407A8F}"/>
    <cellStyle name="Normal 5 3 6 4 3" xfId="6067" xr:uid="{00000000-0005-0000-0000-0000981A0000}"/>
    <cellStyle name="Normal 5 3 6 4 3 2" xfId="22944" xr:uid="{559820A4-194C-4D72-81AD-D4776DCC45FF}"/>
    <cellStyle name="Normal 5 3 6 4 3 3" xfId="31378" xr:uid="{493588DA-C9DB-4994-A2F6-FB0E01316D9B}"/>
    <cellStyle name="Normal 5 3 6 4 3 4" xfId="14506" xr:uid="{1F42C693-BAF7-4E0F-89BC-1DA59B6932CC}"/>
    <cellStyle name="Normal 5 3 6 4 4" xfId="18726" xr:uid="{B431EDFA-770B-4B65-9AF3-DC9E3E242F54}"/>
    <cellStyle name="Normal 5 3 6 4 5" xfId="27161" xr:uid="{728596B7-E74E-4B15-B815-30C67706F2D7}"/>
    <cellStyle name="Normal 5 3 6 4 6" xfId="10288" xr:uid="{313DA863-1AB4-46F5-B5A9-2CFD3DB38CD1}"/>
    <cellStyle name="Normal 5 3 6 5" xfId="2173" xr:uid="{00000000-0005-0000-0000-0000991A0000}"/>
    <cellStyle name="Normal 5 3 6 5 2" xfId="4402" xr:uid="{00000000-0005-0000-0000-00009A1A0000}"/>
    <cellStyle name="Normal 5 3 6 5 2 2" xfId="8625" xr:uid="{00000000-0005-0000-0000-00009B1A0000}"/>
    <cellStyle name="Normal 5 3 6 5 2 2 2" xfId="25502" xr:uid="{D72DBAC4-BCF8-415A-A60F-42B4FAC936E3}"/>
    <cellStyle name="Normal 5 3 6 5 2 2 3" xfId="33936" xr:uid="{C4CC9F3B-7797-4C90-B931-4ECFD12A97AA}"/>
    <cellStyle name="Normal 5 3 6 5 2 2 4" xfId="17064" xr:uid="{836AD7EA-7BD5-4C25-ACC1-01B9169DC00B}"/>
    <cellStyle name="Normal 5 3 6 5 2 3" xfId="21284" xr:uid="{BB10DF6F-A697-445D-8753-29219EFFFDCE}"/>
    <cellStyle name="Normal 5 3 6 5 2 4" xfId="29719" xr:uid="{716CC130-9D45-4CC6-80E5-F610F555799C}"/>
    <cellStyle name="Normal 5 3 6 5 2 5" xfId="12846" xr:uid="{E2712F31-41AB-4429-A121-CE6CA51D504D}"/>
    <cellStyle name="Normal 5 3 6 5 3" xfId="6480" xr:uid="{00000000-0005-0000-0000-00009C1A0000}"/>
    <cellStyle name="Normal 5 3 6 5 3 2" xfId="23357" xr:uid="{AB97022D-F7ED-4548-B267-5E639FEACAA8}"/>
    <cellStyle name="Normal 5 3 6 5 3 3" xfId="31791" xr:uid="{DB6A46F8-BBE5-42FE-ABA1-93C56B254764}"/>
    <cellStyle name="Normal 5 3 6 5 3 4" xfId="14919" xr:uid="{932483D1-9AC0-489C-81A4-45C8A38407E1}"/>
    <cellStyle name="Normal 5 3 6 5 4" xfId="19139" xr:uid="{76C99524-ED34-4935-90E1-683124D750F8}"/>
    <cellStyle name="Normal 5 3 6 5 5" xfId="27574" xr:uid="{E5F38C50-A631-41BA-825D-43DAD4C30EFE}"/>
    <cellStyle name="Normal 5 3 6 5 6" xfId="10701" xr:uid="{6204ECC3-D73E-4645-A15E-24334FFF82D6}"/>
    <cellStyle name="Normal 5 3 6 6" xfId="2609" xr:uid="{00000000-0005-0000-0000-00009D1A0000}"/>
    <cellStyle name="Normal 5 3 6 6 2" xfId="6893" xr:uid="{00000000-0005-0000-0000-00009E1A0000}"/>
    <cellStyle name="Normal 5 3 6 6 2 2" xfId="23770" xr:uid="{BB494AE1-D4BA-4304-B2BF-61F13C01E3B9}"/>
    <cellStyle name="Normal 5 3 6 6 2 3" xfId="32204" xr:uid="{2D0CCA86-C39D-413E-A1A3-9824F8DFDD11}"/>
    <cellStyle name="Normal 5 3 6 6 2 4" xfId="15332" xr:uid="{74AE7C1C-13D2-41A7-80FB-30859E92AB7F}"/>
    <cellStyle name="Normal 5 3 6 6 3" xfId="19552" xr:uid="{D395BC61-5669-4CA5-84EA-AE51D6C20E3B}"/>
    <cellStyle name="Normal 5 3 6 6 4" xfId="27987" xr:uid="{D4447887-0757-469E-BB9D-E9E9CC000DBE}"/>
    <cellStyle name="Normal 5 3 6 6 5" xfId="11114" xr:uid="{5C2F4B8E-6F21-42A0-B3FC-685FD7D970FF}"/>
    <cellStyle name="Normal 5 3 6 7" xfId="4828" xr:uid="{00000000-0005-0000-0000-00009F1A0000}"/>
    <cellStyle name="Normal 5 3 6 7 2" xfId="21705" xr:uid="{F2061BBA-735B-4F13-94ED-70983F903E01}"/>
    <cellStyle name="Normal 5 3 6 7 3" xfId="30139" xr:uid="{35F02B7D-EAFB-486C-9610-CE7382CA2F3B}"/>
    <cellStyle name="Normal 5 3 6 7 4" xfId="13267" xr:uid="{3950C891-50B7-429C-8645-12B3B2DCEF7D}"/>
    <cellStyle name="Normal 5 3 6 8" xfId="17487" xr:uid="{A3688BD4-64A9-4714-8584-85FE0B2F2324}"/>
    <cellStyle name="Normal 5 3 6 9" xfId="25922" xr:uid="{6A5B3A9B-992A-4393-9379-36603FB3F047}"/>
    <cellStyle name="Normal 5 3 7" xfId="913" xr:uid="{00000000-0005-0000-0000-0000A01A0000}"/>
    <cellStyle name="Normal 5 3 7 2" xfId="3148" xr:uid="{00000000-0005-0000-0000-0000A11A0000}"/>
    <cellStyle name="Normal 5 3 7 2 2" xfId="7371" xr:uid="{00000000-0005-0000-0000-0000A21A0000}"/>
    <cellStyle name="Normal 5 3 7 2 2 2" xfId="24248" xr:uid="{D11CF55E-3308-428A-8823-9D34DCE83D1B}"/>
    <cellStyle name="Normal 5 3 7 2 2 3" xfId="32682" xr:uid="{2F60E06C-C7E5-4C25-9730-86534A51617D}"/>
    <cellStyle name="Normal 5 3 7 2 2 4" xfId="15810" xr:uid="{3784CBF3-5EFA-4648-BD1F-1CD0C67323F6}"/>
    <cellStyle name="Normal 5 3 7 2 3" xfId="20030" xr:uid="{CF1B1ACD-B5F7-43FD-91A1-1C651711A974}"/>
    <cellStyle name="Normal 5 3 7 2 4" xfId="28465" xr:uid="{87C82602-6143-4C6F-964A-C294455F65AC}"/>
    <cellStyle name="Normal 5 3 7 2 5" xfId="11592" xr:uid="{3BC2D91A-55BA-40CA-82D6-94F89DA1A986}"/>
    <cellStyle name="Normal 5 3 7 3" xfId="5226" xr:uid="{00000000-0005-0000-0000-0000A31A0000}"/>
    <cellStyle name="Normal 5 3 7 3 2" xfId="22103" xr:uid="{B9EE8EAE-6763-4C26-B206-84B21DD35838}"/>
    <cellStyle name="Normal 5 3 7 3 3" xfId="30537" xr:uid="{75CCB68B-9448-46CF-A708-437D29E771A9}"/>
    <cellStyle name="Normal 5 3 7 3 4" xfId="13665" xr:uid="{85577EB9-9C12-4FA3-954B-F34848B05B6C}"/>
    <cellStyle name="Normal 5 3 7 4" xfId="17885" xr:uid="{EB12ADDA-C937-4868-B183-06CD1243665F}"/>
    <cellStyle name="Normal 5 3 7 5" xfId="26320" xr:uid="{718B616D-FD2D-4A15-B5F2-E9DFEBED8769}"/>
    <cellStyle name="Normal 5 3 7 6" xfId="9447" xr:uid="{11A8C186-F592-4AF0-9D4E-B45CF8C79880}"/>
    <cellStyle name="Normal 5 3 8" xfId="1331" xr:uid="{00000000-0005-0000-0000-0000A41A0000}"/>
    <cellStyle name="Normal 5 3 8 2" xfId="3561" xr:uid="{00000000-0005-0000-0000-0000A51A0000}"/>
    <cellStyle name="Normal 5 3 8 2 2" xfId="7784" xr:uid="{00000000-0005-0000-0000-0000A61A0000}"/>
    <cellStyle name="Normal 5 3 8 2 2 2" xfId="24661" xr:uid="{0BF95F3E-DB14-48E6-AF55-FF7173DAC514}"/>
    <cellStyle name="Normal 5 3 8 2 2 3" xfId="33095" xr:uid="{8BAE03A0-4E0C-4616-B9C3-D22BA10BDB9E}"/>
    <cellStyle name="Normal 5 3 8 2 2 4" xfId="16223" xr:uid="{C8EC4B63-F7DB-4D50-BCE5-2D9BAE231596}"/>
    <cellStyle name="Normal 5 3 8 2 3" xfId="20443" xr:uid="{007C6E47-0A1D-4B94-9106-66CF324E3B3A}"/>
    <cellStyle name="Normal 5 3 8 2 4" xfId="28878" xr:uid="{660A7609-1F04-45E6-9179-9EDF79FCA017}"/>
    <cellStyle name="Normal 5 3 8 2 5" xfId="12005" xr:uid="{1E7253BA-66BF-4B22-B581-EB8E2FAD66F5}"/>
    <cellStyle name="Normal 5 3 8 3" xfId="5639" xr:uid="{00000000-0005-0000-0000-0000A71A0000}"/>
    <cellStyle name="Normal 5 3 8 3 2" xfId="22516" xr:uid="{C3B21168-19A6-461D-BEF5-46B8D1D9E87E}"/>
    <cellStyle name="Normal 5 3 8 3 3" xfId="30950" xr:uid="{B50BF0EE-AA8A-4F79-B167-776E6D07A5A2}"/>
    <cellStyle name="Normal 5 3 8 3 4" xfId="14078" xr:uid="{082BDB9D-6738-4390-805B-74F527BC2D66}"/>
    <cellStyle name="Normal 5 3 8 4" xfId="18298" xr:uid="{30948E44-DC70-45A7-AC20-1B93831EB984}"/>
    <cellStyle name="Normal 5 3 8 5" xfId="26733" xr:uid="{BBB36E02-47E9-4288-892E-607EEB9B4B52}"/>
    <cellStyle name="Normal 5 3 8 6" xfId="9860" xr:uid="{3F4C552A-7A0A-4F2C-9721-0A9B4F3215A9}"/>
    <cellStyle name="Normal 5 3 9" xfId="1744" xr:uid="{00000000-0005-0000-0000-0000A81A0000}"/>
    <cellStyle name="Normal 5 3 9 2" xfId="3974" xr:uid="{00000000-0005-0000-0000-0000A91A0000}"/>
    <cellStyle name="Normal 5 3 9 2 2" xfId="8197" xr:uid="{00000000-0005-0000-0000-0000AA1A0000}"/>
    <cellStyle name="Normal 5 3 9 2 2 2" xfId="25074" xr:uid="{083C9CCF-1A80-421F-8E23-AD50D50DAAF2}"/>
    <cellStyle name="Normal 5 3 9 2 2 3" xfId="33508" xr:uid="{D9B8FA47-AF83-4BBC-A79D-30B810AC9A8F}"/>
    <cellStyle name="Normal 5 3 9 2 2 4" xfId="16636" xr:uid="{C7C72361-CB03-48D6-9E90-7583FA00CDE6}"/>
    <cellStyle name="Normal 5 3 9 2 3" xfId="20856" xr:uid="{74782E84-DF3F-444E-9F5F-D64D16D77535}"/>
    <cellStyle name="Normal 5 3 9 2 4" xfId="29291" xr:uid="{6D0CB843-A394-43B2-A3D5-B953ECC72F7B}"/>
    <cellStyle name="Normal 5 3 9 2 5" xfId="12418" xr:uid="{B0747666-B547-460F-95F1-9B7641A682F8}"/>
    <cellStyle name="Normal 5 3 9 3" xfId="6052" xr:uid="{00000000-0005-0000-0000-0000AB1A0000}"/>
    <cellStyle name="Normal 5 3 9 3 2" xfId="22929" xr:uid="{51BDFD0A-696A-425A-B80D-7FA45072CA77}"/>
    <cellStyle name="Normal 5 3 9 3 3" xfId="31363" xr:uid="{A01B396D-EFED-473A-AA42-0B60665BAAB6}"/>
    <cellStyle name="Normal 5 3 9 3 4" xfId="14491" xr:uid="{37380855-0C7E-4A46-B671-A3059EA143E3}"/>
    <cellStyle name="Normal 5 3 9 4" xfId="18711" xr:uid="{2F91DD1D-2AFC-475B-8901-17FB6817018E}"/>
    <cellStyle name="Normal 5 3 9 5" xfId="27146" xr:uid="{F5C68774-1D95-48C2-B352-F6FB0CDE39B7}"/>
    <cellStyle name="Normal 5 3 9 6" xfId="10273" xr:uid="{0BB60CFB-BB7D-49DA-AB0A-EB552358FB5D}"/>
    <cellStyle name="Normal 5 4" xfId="456" xr:uid="{00000000-0005-0000-0000-0000AC1A0000}"/>
    <cellStyle name="Normal 5 4 10" xfId="4829" xr:uid="{00000000-0005-0000-0000-0000AD1A0000}"/>
    <cellStyle name="Normal 5 4 10 2" xfId="21706" xr:uid="{0076BB3A-4EDC-474E-BD9F-3925F40A5D5D}"/>
    <cellStyle name="Normal 5 4 10 3" xfId="30140" xr:uid="{DC2BFD10-5C8B-4C86-9148-71FDC0CA9CA5}"/>
    <cellStyle name="Normal 5 4 10 4" xfId="13268" xr:uid="{0C9D597E-1ED7-4B80-BAC2-4BD6A5DDC45D}"/>
    <cellStyle name="Normal 5 4 11" xfId="17488" xr:uid="{31102706-17BE-4B87-A2B5-B4738BD2D3D4}"/>
    <cellStyle name="Normal 5 4 12" xfId="25923" xr:uid="{32FDF13F-C4FF-4862-B5C9-B4BC9DB526AC}"/>
    <cellStyle name="Normal 5 4 13" xfId="9050" xr:uid="{3B18E1FF-AB6E-4D5E-9418-333AB31EE7FF}"/>
    <cellStyle name="Normal 5 4 2" xfId="457" xr:uid="{00000000-0005-0000-0000-0000AE1A0000}"/>
    <cellStyle name="Normal 5 4 2 10" xfId="17489" xr:uid="{919B2082-ED58-4BBA-9F2B-8660D140C060}"/>
    <cellStyle name="Normal 5 4 2 11" xfId="25924" xr:uid="{3488166E-46BE-43FC-B71F-D25F82FC9CDC}"/>
    <cellStyle name="Normal 5 4 2 12" xfId="9051" xr:uid="{3556DC50-4E87-4754-9108-91DAABA9F5FF}"/>
    <cellStyle name="Normal 5 4 2 2" xfId="458" xr:uid="{00000000-0005-0000-0000-0000AF1A0000}"/>
    <cellStyle name="Normal 5 4 2 2 10" xfId="25925" xr:uid="{E348BC2D-26EF-42C6-941A-430C193631F4}"/>
    <cellStyle name="Normal 5 4 2 2 11" xfId="9052" xr:uid="{A9EFD1C3-A55C-43DC-A119-222A4DEB8D4C}"/>
    <cellStyle name="Normal 5 4 2 2 2" xfId="459" xr:uid="{00000000-0005-0000-0000-0000B01A0000}"/>
    <cellStyle name="Normal 5 4 2 2 2 10" xfId="9053" xr:uid="{C1FBFA16-6E77-4090-B5EE-F1AA3891ADC9}"/>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24267" xr:uid="{87717767-9B40-413C-B905-353848D87893}"/>
    <cellStyle name="Normal 5 4 2 2 2 2 2 2 3" xfId="32701" xr:uid="{AEAAE999-4FCA-40DF-8CF1-72F6E8B32456}"/>
    <cellStyle name="Normal 5 4 2 2 2 2 2 2 4" xfId="15829" xr:uid="{47174BFE-4EA4-4E49-BA57-3B28FCAC9999}"/>
    <cellStyle name="Normal 5 4 2 2 2 2 2 3" xfId="20049" xr:uid="{C16884D4-70AD-4037-B42A-62BE4D6CE1BD}"/>
    <cellStyle name="Normal 5 4 2 2 2 2 2 4" xfId="28484" xr:uid="{B95342F2-C2DF-4A9E-8CFC-ECE8CFE6E841}"/>
    <cellStyle name="Normal 5 4 2 2 2 2 2 5" xfId="11611" xr:uid="{FFCC9149-28EC-46D9-8146-31DD404B96E8}"/>
    <cellStyle name="Normal 5 4 2 2 2 2 3" xfId="5245" xr:uid="{00000000-0005-0000-0000-0000B41A0000}"/>
    <cellStyle name="Normal 5 4 2 2 2 2 3 2" xfId="22122" xr:uid="{B704C12D-BC52-40D5-94FC-71E9322A562E}"/>
    <cellStyle name="Normal 5 4 2 2 2 2 3 3" xfId="30556" xr:uid="{C523C1E0-21A2-447C-AEFD-F89BCA737314}"/>
    <cellStyle name="Normal 5 4 2 2 2 2 3 4" xfId="13684" xr:uid="{31FA4BE0-E31A-4973-A6C0-0678A050BB4B}"/>
    <cellStyle name="Normal 5 4 2 2 2 2 4" xfId="17904" xr:uid="{E114CC4B-7A93-40FC-B9FB-95E0E98FB4E8}"/>
    <cellStyle name="Normal 5 4 2 2 2 2 5" xfId="26339" xr:uid="{79A020CA-2973-43A0-843A-CC90CD3FEDD8}"/>
    <cellStyle name="Normal 5 4 2 2 2 2 6" xfId="9466" xr:uid="{673BF392-93E9-460F-96C8-08C17A773221}"/>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24680" xr:uid="{3E0123EF-FEC2-49F0-A567-A4E9D6413C4A}"/>
    <cellStyle name="Normal 5 4 2 2 2 3 2 2 3" xfId="33114" xr:uid="{90ADDF57-7691-4161-85BD-C6A106F92721}"/>
    <cellStyle name="Normal 5 4 2 2 2 3 2 2 4" xfId="16242" xr:uid="{5D9B5611-65AA-4DD9-9F1E-4474A9AB7D59}"/>
    <cellStyle name="Normal 5 4 2 2 2 3 2 3" xfId="20462" xr:uid="{86584CE1-63B2-46A7-BC63-60BD96DAA2CD}"/>
    <cellStyle name="Normal 5 4 2 2 2 3 2 4" xfId="28897" xr:uid="{9E847C60-874B-44B7-A7FC-65DB68BF1190}"/>
    <cellStyle name="Normal 5 4 2 2 2 3 2 5" xfId="12024" xr:uid="{0DEC565F-05EB-4024-8F01-594BEBF0C5AE}"/>
    <cellStyle name="Normal 5 4 2 2 2 3 3" xfId="5658" xr:uid="{00000000-0005-0000-0000-0000B81A0000}"/>
    <cellStyle name="Normal 5 4 2 2 2 3 3 2" xfId="22535" xr:uid="{AD4FAB22-E7DA-438E-84A9-75988886CDC2}"/>
    <cellStyle name="Normal 5 4 2 2 2 3 3 3" xfId="30969" xr:uid="{E5B0EFB0-BABD-4B67-A85A-6432C609E5D3}"/>
    <cellStyle name="Normal 5 4 2 2 2 3 3 4" xfId="14097" xr:uid="{52ED2ED9-A881-4DC6-92E9-DA2D4364BECE}"/>
    <cellStyle name="Normal 5 4 2 2 2 3 4" xfId="18317" xr:uid="{C312DB91-1531-4E46-B614-739A32C0A53E}"/>
    <cellStyle name="Normal 5 4 2 2 2 3 5" xfId="26752" xr:uid="{33498519-C237-48A7-AD25-2AA141E8A037}"/>
    <cellStyle name="Normal 5 4 2 2 2 3 6" xfId="9879" xr:uid="{85F5345A-7BDA-48F7-9F19-77D491194C31}"/>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25093" xr:uid="{EDB5736F-89E7-40E5-A0E5-BBC6C5A961CD}"/>
    <cellStyle name="Normal 5 4 2 2 2 4 2 2 3" xfId="33527" xr:uid="{4865AB4D-F6CE-4EAC-AE6B-4621EE7CB084}"/>
    <cellStyle name="Normal 5 4 2 2 2 4 2 2 4" xfId="16655" xr:uid="{3CC69589-6C3F-4C84-9691-B1F6A3F78BF4}"/>
    <cellStyle name="Normal 5 4 2 2 2 4 2 3" xfId="20875" xr:uid="{06EA8794-8401-470B-A538-4D7F2C168E9F}"/>
    <cellStyle name="Normal 5 4 2 2 2 4 2 4" xfId="29310" xr:uid="{0E7C3415-5D32-4961-A8B2-67FBAA5C200D}"/>
    <cellStyle name="Normal 5 4 2 2 2 4 2 5" xfId="12437" xr:uid="{2D56CD8C-504A-418A-8CF2-76F837DE4938}"/>
    <cellStyle name="Normal 5 4 2 2 2 4 3" xfId="6071" xr:uid="{00000000-0005-0000-0000-0000BC1A0000}"/>
    <cellStyle name="Normal 5 4 2 2 2 4 3 2" xfId="22948" xr:uid="{DE9624E0-5063-41FB-9FC0-B6C39C2C4783}"/>
    <cellStyle name="Normal 5 4 2 2 2 4 3 3" xfId="31382" xr:uid="{79AA6C67-C9AD-47FB-94B7-47D89D3AC3C4}"/>
    <cellStyle name="Normal 5 4 2 2 2 4 3 4" xfId="14510" xr:uid="{428E86E6-3D71-4D17-9C44-4B488D01DDCF}"/>
    <cellStyle name="Normal 5 4 2 2 2 4 4" xfId="18730" xr:uid="{EC5128F4-0B8B-415F-8AAB-7C63B84DA669}"/>
    <cellStyle name="Normal 5 4 2 2 2 4 5" xfId="27165" xr:uid="{9860AE70-D3EA-486E-9750-3F73A0040B2E}"/>
    <cellStyle name="Normal 5 4 2 2 2 4 6" xfId="10292" xr:uid="{5735DF3D-F68A-4291-A523-7B194FC8CA9F}"/>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25506" xr:uid="{417A5B92-20FA-4074-9B19-03AB719B96D4}"/>
    <cellStyle name="Normal 5 4 2 2 2 5 2 2 3" xfId="33940" xr:uid="{49B77B09-7620-4436-A3FB-34A504F8B4E6}"/>
    <cellStyle name="Normal 5 4 2 2 2 5 2 2 4" xfId="17068" xr:uid="{62E89FEF-8A01-4042-A81E-06F71BB8CC9B}"/>
    <cellStyle name="Normal 5 4 2 2 2 5 2 3" xfId="21288" xr:uid="{C91A227B-5FA1-4E72-A7A2-63CDC29DCB56}"/>
    <cellStyle name="Normal 5 4 2 2 2 5 2 4" xfId="29723" xr:uid="{2EFF6ADE-072E-4016-A870-0A7C669DC3F6}"/>
    <cellStyle name="Normal 5 4 2 2 2 5 2 5" xfId="12850" xr:uid="{3D0E2902-46B8-47B0-9BC8-C78F2E2D51F5}"/>
    <cellStyle name="Normal 5 4 2 2 2 5 3" xfId="6484" xr:uid="{00000000-0005-0000-0000-0000C01A0000}"/>
    <cellStyle name="Normal 5 4 2 2 2 5 3 2" xfId="23361" xr:uid="{44C8094E-EDC8-4C2E-B748-CF71F0533DBD}"/>
    <cellStyle name="Normal 5 4 2 2 2 5 3 3" xfId="31795" xr:uid="{C4D0DCF1-48D4-49B2-A94E-E0ACDE4B8E16}"/>
    <cellStyle name="Normal 5 4 2 2 2 5 3 4" xfId="14923" xr:uid="{706B2551-D7D5-4EED-B549-E50862C46CB8}"/>
    <cellStyle name="Normal 5 4 2 2 2 5 4" xfId="19143" xr:uid="{7AF8DF1B-F50E-4E52-981C-2D22894C55C3}"/>
    <cellStyle name="Normal 5 4 2 2 2 5 5" xfId="27578" xr:uid="{FA1DB5C1-D101-49EE-88DB-35A0F91D0059}"/>
    <cellStyle name="Normal 5 4 2 2 2 5 6" xfId="10705" xr:uid="{F6C96271-FADE-4FC1-BA8B-74716CC6743D}"/>
    <cellStyle name="Normal 5 4 2 2 2 6" xfId="2613" xr:uid="{00000000-0005-0000-0000-0000C11A0000}"/>
    <cellStyle name="Normal 5 4 2 2 2 6 2" xfId="6897" xr:uid="{00000000-0005-0000-0000-0000C21A0000}"/>
    <cellStyle name="Normal 5 4 2 2 2 6 2 2" xfId="23774" xr:uid="{296F7B3C-E980-4C9E-A343-1C3B5F808D99}"/>
    <cellStyle name="Normal 5 4 2 2 2 6 2 3" xfId="32208" xr:uid="{16DCABF2-AA37-41C9-AAE1-8527D0CA182F}"/>
    <cellStyle name="Normal 5 4 2 2 2 6 2 4" xfId="15336" xr:uid="{57966BA5-D602-4B2E-8B5C-F00756017F14}"/>
    <cellStyle name="Normal 5 4 2 2 2 6 3" xfId="19556" xr:uid="{75F26A11-118D-489B-B18E-C602BE8807C0}"/>
    <cellStyle name="Normal 5 4 2 2 2 6 4" xfId="27991" xr:uid="{7CA44288-7558-4D92-A902-398E83704181}"/>
    <cellStyle name="Normal 5 4 2 2 2 6 5" xfId="11118" xr:uid="{6A233F81-9866-4BDC-9BA1-C3B0DEF10990}"/>
    <cellStyle name="Normal 5 4 2 2 2 7" xfId="4832" xr:uid="{00000000-0005-0000-0000-0000C31A0000}"/>
    <cellStyle name="Normal 5 4 2 2 2 7 2" xfId="21709" xr:uid="{C8F9623F-3E0B-40E7-82BD-707C811EFA59}"/>
    <cellStyle name="Normal 5 4 2 2 2 7 3" xfId="30143" xr:uid="{D1780A90-519F-4874-BEB6-F4057B9B68DB}"/>
    <cellStyle name="Normal 5 4 2 2 2 7 4" xfId="13271" xr:uid="{C6CE1F61-A66D-49D1-BFBC-94C32EE4CD4B}"/>
    <cellStyle name="Normal 5 4 2 2 2 8" xfId="17491" xr:uid="{21DB48AA-9529-405A-A6AD-A47E7A362A3C}"/>
    <cellStyle name="Normal 5 4 2 2 2 9" xfId="25926" xr:uid="{4B6DB494-02FD-4B49-8ADC-6FDA69C24EEF}"/>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24266" xr:uid="{B696B862-DA5B-462B-BFD3-AA47962145DF}"/>
    <cellStyle name="Normal 5 4 2 2 3 2 2 3" xfId="32700" xr:uid="{7ABD29B1-906B-40BB-B1DD-1A269F1463D3}"/>
    <cellStyle name="Normal 5 4 2 2 3 2 2 4" xfId="15828" xr:uid="{BD2C61D3-DB93-4E44-81A7-D561EA18D057}"/>
    <cellStyle name="Normal 5 4 2 2 3 2 3" xfId="20048" xr:uid="{9FDE2C59-545D-466E-BDFB-42826003282E}"/>
    <cellStyle name="Normal 5 4 2 2 3 2 4" xfId="28483" xr:uid="{411B7FAA-60DC-4962-B85F-DAC523A99411}"/>
    <cellStyle name="Normal 5 4 2 2 3 2 5" xfId="11610" xr:uid="{DABA45C0-5431-4CD3-AAEA-6A564C3D722D}"/>
    <cellStyle name="Normal 5 4 2 2 3 3" xfId="5244" xr:uid="{00000000-0005-0000-0000-0000C71A0000}"/>
    <cellStyle name="Normal 5 4 2 2 3 3 2" xfId="22121" xr:uid="{50D5F50B-7E84-4E4C-98C0-510B5FAC1CDB}"/>
    <cellStyle name="Normal 5 4 2 2 3 3 3" xfId="30555" xr:uid="{69563CA6-A15C-4A40-9899-C14E2A42CBC9}"/>
    <cellStyle name="Normal 5 4 2 2 3 3 4" xfId="13683" xr:uid="{DBB629FE-E3FC-4FD9-992D-0963E93F06F6}"/>
    <cellStyle name="Normal 5 4 2 2 3 4" xfId="17903" xr:uid="{67D81C8C-30E4-4BCD-A44D-D4D7C86A1C0D}"/>
    <cellStyle name="Normal 5 4 2 2 3 5" xfId="26338" xr:uid="{18A22714-324D-48DF-A5B2-9F756AD8B9B7}"/>
    <cellStyle name="Normal 5 4 2 2 3 6" xfId="9465" xr:uid="{EDD487A3-E1AF-4036-9ECA-1DF9B838FE25}"/>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24679" xr:uid="{F89BEE3F-37DA-40CF-B1AB-DB7D3D56C020}"/>
    <cellStyle name="Normal 5 4 2 2 4 2 2 3" xfId="33113" xr:uid="{16B643F0-DC02-481A-84EF-170BA0F536A2}"/>
    <cellStyle name="Normal 5 4 2 2 4 2 2 4" xfId="16241" xr:uid="{BA96D311-7474-40F5-829D-C5ACE74EBF40}"/>
    <cellStyle name="Normal 5 4 2 2 4 2 3" xfId="20461" xr:uid="{D0C2DEDB-BB34-485A-84ED-320B00A26B9D}"/>
    <cellStyle name="Normal 5 4 2 2 4 2 4" xfId="28896" xr:uid="{A30AD86E-36F7-4179-BF57-762A5C517166}"/>
    <cellStyle name="Normal 5 4 2 2 4 2 5" xfId="12023" xr:uid="{55704957-6D19-47F0-B249-8B9401B7BC66}"/>
    <cellStyle name="Normal 5 4 2 2 4 3" xfId="5657" xr:uid="{00000000-0005-0000-0000-0000CB1A0000}"/>
    <cellStyle name="Normal 5 4 2 2 4 3 2" xfId="22534" xr:uid="{EE7A99D7-CADE-483B-B4EB-206910787E37}"/>
    <cellStyle name="Normal 5 4 2 2 4 3 3" xfId="30968" xr:uid="{DE4BE027-237F-403C-8D60-B81AF35FB648}"/>
    <cellStyle name="Normal 5 4 2 2 4 3 4" xfId="14096" xr:uid="{D9381851-E6C4-4D74-962C-0C978E6870C6}"/>
    <cellStyle name="Normal 5 4 2 2 4 4" xfId="18316" xr:uid="{6197D2FD-0C97-4C6E-8444-BF2BC5B8D6A5}"/>
    <cellStyle name="Normal 5 4 2 2 4 5" xfId="26751" xr:uid="{E3381498-99B7-4093-BA73-42B9A536596C}"/>
    <cellStyle name="Normal 5 4 2 2 4 6" xfId="9878" xr:uid="{A64B3C42-24C7-42A8-9B7C-AC15AB7BDC06}"/>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25092" xr:uid="{A84353A1-7403-4E18-82CD-3E2E53E68A2D}"/>
    <cellStyle name="Normal 5 4 2 2 5 2 2 3" xfId="33526" xr:uid="{522CC088-21E0-492A-B5FE-94C6F8AFF9C9}"/>
    <cellStyle name="Normal 5 4 2 2 5 2 2 4" xfId="16654" xr:uid="{E6540642-B7C9-49C9-A9F6-A2D999ABE515}"/>
    <cellStyle name="Normal 5 4 2 2 5 2 3" xfId="20874" xr:uid="{768C3668-F7D7-4A23-988F-4E4183020DDE}"/>
    <cellStyle name="Normal 5 4 2 2 5 2 4" xfId="29309" xr:uid="{352D6CE8-E807-40A8-B759-6EFA3D0EE3A8}"/>
    <cellStyle name="Normal 5 4 2 2 5 2 5" xfId="12436" xr:uid="{70A6E192-5B04-4B9D-8FE6-7222522D9786}"/>
    <cellStyle name="Normal 5 4 2 2 5 3" xfId="6070" xr:uid="{00000000-0005-0000-0000-0000CF1A0000}"/>
    <cellStyle name="Normal 5 4 2 2 5 3 2" xfId="22947" xr:uid="{CC6A3810-FBEF-43F7-857C-BC7D65B8F114}"/>
    <cellStyle name="Normal 5 4 2 2 5 3 3" xfId="31381" xr:uid="{FD7D3EA0-B9D6-412F-B276-2CDD6CF57F26}"/>
    <cellStyle name="Normal 5 4 2 2 5 3 4" xfId="14509" xr:uid="{B5F4319E-BAB0-441B-80C5-BF44817033D1}"/>
    <cellStyle name="Normal 5 4 2 2 5 4" xfId="18729" xr:uid="{079788D8-1F1F-49FC-8FE0-F987A1AE8299}"/>
    <cellStyle name="Normal 5 4 2 2 5 5" xfId="27164" xr:uid="{EDB3350B-F455-477E-8545-159D83EBEC25}"/>
    <cellStyle name="Normal 5 4 2 2 5 6" xfId="10291" xr:uid="{A83753B4-DACB-4BB9-A03C-8094A6ADF568}"/>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25505" xr:uid="{7C0CA60E-0060-4CF5-B404-E4B44BCA1CB0}"/>
    <cellStyle name="Normal 5 4 2 2 6 2 2 3" xfId="33939" xr:uid="{303F1EF3-3B16-4A2C-A99C-672B8423B881}"/>
    <cellStyle name="Normal 5 4 2 2 6 2 2 4" xfId="17067" xr:uid="{F1143F97-FA27-4276-9674-427C3492EA1F}"/>
    <cellStyle name="Normal 5 4 2 2 6 2 3" xfId="21287" xr:uid="{4950E324-5DA0-4F24-B272-8A4E2CC6456C}"/>
    <cellStyle name="Normal 5 4 2 2 6 2 4" xfId="29722" xr:uid="{9E89A269-2B89-4BC2-9984-88759C1934BF}"/>
    <cellStyle name="Normal 5 4 2 2 6 2 5" xfId="12849" xr:uid="{62F6D4EB-485E-4618-BDD6-970ABAB84D6B}"/>
    <cellStyle name="Normal 5 4 2 2 6 3" xfId="6483" xr:uid="{00000000-0005-0000-0000-0000D31A0000}"/>
    <cellStyle name="Normal 5 4 2 2 6 3 2" xfId="23360" xr:uid="{5EA598FE-4C9C-437E-B7F6-36EEA349D17A}"/>
    <cellStyle name="Normal 5 4 2 2 6 3 3" xfId="31794" xr:uid="{D95F25B3-921F-4678-BF4C-0E6EDC923599}"/>
    <cellStyle name="Normal 5 4 2 2 6 3 4" xfId="14922" xr:uid="{2B892894-EADC-4CA2-B783-601FF536EB03}"/>
    <cellStyle name="Normal 5 4 2 2 6 4" xfId="19142" xr:uid="{5ACA8ECE-992A-4E0E-8B36-0A5B7CC219A8}"/>
    <cellStyle name="Normal 5 4 2 2 6 5" xfId="27577" xr:uid="{2071279A-5319-4371-9D61-9927E720434D}"/>
    <cellStyle name="Normal 5 4 2 2 6 6" xfId="10704" xr:uid="{9B19160E-9A8C-4C20-B17F-90B7873ECF91}"/>
    <cellStyle name="Normal 5 4 2 2 7" xfId="2612" xr:uid="{00000000-0005-0000-0000-0000D41A0000}"/>
    <cellStyle name="Normal 5 4 2 2 7 2" xfId="6896" xr:uid="{00000000-0005-0000-0000-0000D51A0000}"/>
    <cellStyle name="Normal 5 4 2 2 7 2 2" xfId="23773" xr:uid="{52C5D44E-BD7D-4536-B99A-C2B61188EC45}"/>
    <cellStyle name="Normal 5 4 2 2 7 2 3" xfId="32207" xr:uid="{C3104C26-B26A-425E-A715-6B6914A8B6AC}"/>
    <cellStyle name="Normal 5 4 2 2 7 2 4" xfId="15335" xr:uid="{5A17C306-F794-413B-922D-B7A1045ED2AD}"/>
    <cellStyle name="Normal 5 4 2 2 7 3" xfId="19555" xr:uid="{87C7D2C8-1A30-49F0-B6E8-B2BD2A65B410}"/>
    <cellStyle name="Normal 5 4 2 2 7 4" xfId="27990" xr:uid="{22C6FE4D-3591-4E31-BBC8-45D7CCC1713A}"/>
    <cellStyle name="Normal 5 4 2 2 7 5" xfId="11117" xr:uid="{96332BE7-6601-4D95-B782-AE5148FE91CF}"/>
    <cellStyle name="Normal 5 4 2 2 8" xfId="4831" xr:uid="{00000000-0005-0000-0000-0000D61A0000}"/>
    <cellStyle name="Normal 5 4 2 2 8 2" xfId="21708" xr:uid="{754CEF15-0756-4BA3-B6A6-DA709AAEDE65}"/>
    <cellStyle name="Normal 5 4 2 2 8 3" xfId="30142" xr:uid="{BF90A5BC-F938-4DD0-8174-28F6ACB7E0B4}"/>
    <cellStyle name="Normal 5 4 2 2 8 4" xfId="13270" xr:uid="{43213E03-7062-4200-BEEE-BCBA9093E7C0}"/>
    <cellStyle name="Normal 5 4 2 2 9" xfId="17490" xr:uid="{8EF55D22-90F8-4B20-9BDF-CCD7198E951E}"/>
    <cellStyle name="Normal 5 4 2 3" xfId="460" xr:uid="{00000000-0005-0000-0000-0000D71A0000}"/>
    <cellStyle name="Normal 5 4 2 3 10" xfId="9054" xr:uid="{9E2524CD-F0C3-4CEE-ABB0-EDC353108224}"/>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24268" xr:uid="{DE26D736-4188-412B-AA3D-25CD0237B93E}"/>
    <cellStyle name="Normal 5 4 2 3 2 2 2 3" xfId="32702" xr:uid="{CB25B3CD-5717-4AE7-AC88-44AE6FA2F613}"/>
    <cellStyle name="Normal 5 4 2 3 2 2 2 4" xfId="15830" xr:uid="{F45CD687-8556-4179-8CF0-991AF6CA61CA}"/>
    <cellStyle name="Normal 5 4 2 3 2 2 3" xfId="20050" xr:uid="{9E4892DC-6582-442E-BC2E-87DAACBFEA13}"/>
    <cellStyle name="Normal 5 4 2 3 2 2 4" xfId="28485" xr:uid="{111E4077-6910-4418-833A-8656EA0F410F}"/>
    <cellStyle name="Normal 5 4 2 3 2 2 5" xfId="11612" xr:uid="{6E2FBD3D-DCE7-43FB-B186-3D68FF355E9D}"/>
    <cellStyle name="Normal 5 4 2 3 2 3" xfId="5246" xr:uid="{00000000-0005-0000-0000-0000DB1A0000}"/>
    <cellStyle name="Normal 5 4 2 3 2 3 2" xfId="22123" xr:uid="{B0E7ED15-B8D9-4CF6-BD9D-6839A386D118}"/>
    <cellStyle name="Normal 5 4 2 3 2 3 3" xfId="30557" xr:uid="{F5024C42-DD73-4661-8767-4EF991F70297}"/>
    <cellStyle name="Normal 5 4 2 3 2 3 4" xfId="13685" xr:uid="{A12307F4-AD96-4F65-85D1-320DE6557293}"/>
    <cellStyle name="Normal 5 4 2 3 2 4" xfId="17905" xr:uid="{34875015-DF44-433E-B1EA-2010E4D2EFAD}"/>
    <cellStyle name="Normal 5 4 2 3 2 5" xfId="26340" xr:uid="{6EF31E56-787E-4851-9642-E8F20842BA3C}"/>
    <cellStyle name="Normal 5 4 2 3 2 6" xfId="9467" xr:uid="{3DF48107-DCAF-4F79-8B0D-9EA9531F356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24681" xr:uid="{12D10A0E-CE4F-4556-90B4-0F947BF041EB}"/>
    <cellStyle name="Normal 5 4 2 3 3 2 2 3" xfId="33115" xr:uid="{CE88D4D0-6F35-4D78-AC7F-43BA72DBB137}"/>
    <cellStyle name="Normal 5 4 2 3 3 2 2 4" xfId="16243" xr:uid="{A42B303A-9BB1-43EC-B253-D49F6D8B962E}"/>
    <cellStyle name="Normal 5 4 2 3 3 2 3" xfId="20463" xr:uid="{06032814-33FA-4EEB-8A16-98D0A91F1F4B}"/>
    <cellStyle name="Normal 5 4 2 3 3 2 4" xfId="28898" xr:uid="{F0D61CA4-88DF-4E8C-AF39-7A10FF3EC7EE}"/>
    <cellStyle name="Normal 5 4 2 3 3 2 5" xfId="12025" xr:uid="{954DDFBE-295F-45C1-A128-A085559E8062}"/>
    <cellStyle name="Normal 5 4 2 3 3 3" xfId="5659" xr:uid="{00000000-0005-0000-0000-0000DF1A0000}"/>
    <cellStyle name="Normal 5 4 2 3 3 3 2" xfId="22536" xr:uid="{CA49DFD4-2DD0-48CA-9E0F-104DD6D55861}"/>
    <cellStyle name="Normal 5 4 2 3 3 3 3" xfId="30970" xr:uid="{04C9A8C6-2D2D-44A2-BDAB-B191A3B15F0F}"/>
    <cellStyle name="Normal 5 4 2 3 3 3 4" xfId="14098" xr:uid="{8FC6E3BB-6849-4C72-B9EA-3DACD7E6F6E3}"/>
    <cellStyle name="Normal 5 4 2 3 3 4" xfId="18318" xr:uid="{695F908D-F773-420B-B4AF-C3D190D2867E}"/>
    <cellStyle name="Normal 5 4 2 3 3 5" xfId="26753" xr:uid="{2B071E96-743E-4563-B544-7FB1FD038BEA}"/>
    <cellStyle name="Normal 5 4 2 3 3 6" xfId="9880" xr:uid="{1CDCB86B-7161-4895-BACC-F3DDF236E106}"/>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25094" xr:uid="{CE7C31F2-F3EE-460D-9674-C3117CEDACC6}"/>
    <cellStyle name="Normal 5 4 2 3 4 2 2 3" xfId="33528" xr:uid="{2FAA35D9-0AEF-455E-8D9B-6AF7026A2A8D}"/>
    <cellStyle name="Normal 5 4 2 3 4 2 2 4" xfId="16656" xr:uid="{4D6EB094-71BA-454B-8684-BDD3AAA25E3C}"/>
    <cellStyle name="Normal 5 4 2 3 4 2 3" xfId="20876" xr:uid="{05AA7038-A0C9-4FAD-BED7-ED10A6A7F190}"/>
    <cellStyle name="Normal 5 4 2 3 4 2 4" xfId="29311" xr:uid="{26F00552-E470-46C9-842E-427B99D7FF1D}"/>
    <cellStyle name="Normal 5 4 2 3 4 2 5" xfId="12438" xr:uid="{66937DC3-985C-4712-9C1B-FF5F38F79289}"/>
    <cellStyle name="Normal 5 4 2 3 4 3" xfId="6072" xr:uid="{00000000-0005-0000-0000-0000E31A0000}"/>
    <cellStyle name="Normal 5 4 2 3 4 3 2" xfId="22949" xr:uid="{55E2A2F1-EBC4-4809-A801-CE38119BEE3C}"/>
    <cellStyle name="Normal 5 4 2 3 4 3 3" xfId="31383" xr:uid="{B9DDD089-A095-4E44-A7C1-B5A2220CC87B}"/>
    <cellStyle name="Normal 5 4 2 3 4 3 4" xfId="14511" xr:uid="{E4CBC2B5-E60D-4ECB-8C42-345F8E0DBB25}"/>
    <cellStyle name="Normal 5 4 2 3 4 4" xfId="18731" xr:uid="{3AE269AC-5F92-40F8-A206-42BBC1496E49}"/>
    <cellStyle name="Normal 5 4 2 3 4 5" xfId="27166" xr:uid="{1AE6D6B1-FA64-4DC5-9A5E-CA8CDBD195D9}"/>
    <cellStyle name="Normal 5 4 2 3 4 6" xfId="10293" xr:uid="{1CFF8C77-1F72-416C-A96D-FB9787154E6A}"/>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25507" xr:uid="{E4CA21EC-AC56-4481-A2EE-2CA19EF545E1}"/>
    <cellStyle name="Normal 5 4 2 3 5 2 2 3" xfId="33941" xr:uid="{E84BCDF1-E3BC-41A4-BF3A-77E30252F478}"/>
    <cellStyle name="Normal 5 4 2 3 5 2 2 4" xfId="17069" xr:uid="{CA22E5A2-684E-4DC4-8290-40C24576645B}"/>
    <cellStyle name="Normal 5 4 2 3 5 2 3" xfId="21289" xr:uid="{360C6B3F-9EB8-4CC8-85C2-5AE356DA3D38}"/>
    <cellStyle name="Normal 5 4 2 3 5 2 4" xfId="29724" xr:uid="{948A65C6-8F19-43FE-AAF6-ADC743B92EB1}"/>
    <cellStyle name="Normal 5 4 2 3 5 2 5" xfId="12851" xr:uid="{50A01F40-A86F-4A63-B036-3B3F162844E3}"/>
    <cellStyle name="Normal 5 4 2 3 5 3" xfId="6485" xr:uid="{00000000-0005-0000-0000-0000E71A0000}"/>
    <cellStyle name="Normal 5 4 2 3 5 3 2" xfId="23362" xr:uid="{E654BF0D-504C-44CD-B5E8-C6301499CE79}"/>
    <cellStyle name="Normal 5 4 2 3 5 3 3" xfId="31796" xr:uid="{7DF61178-8B04-4DC9-91DB-52C9ABC4C01B}"/>
    <cellStyle name="Normal 5 4 2 3 5 3 4" xfId="14924" xr:uid="{F25CE585-4BCD-40D1-ADF0-AE57E931EF49}"/>
    <cellStyle name="Normal 5 4 2 3 5 4" xfId="19144" xr:uid="{BCA05534-41E4-41F4-A4A9-19E977CBF900}"/>
    <cellStyle name="Normal 5 4 2 3 5 5" xfId="27579" xr:uid="{00EEB60A-09AC-4CF9-906D-320DBB9176AE}"/>
    <cellStyle name="Normal 5 4 2 3 5 6" xfId="10706" xr:uid="{E0905E57-0EFB-4C3F-85B1-DD0BF0D3EED1}"/>
    <cellStyle name="Normal 5 4 2 3 6" xfId="2614" xr:uid="{00000000-0005-0000-0000-0000E81A0000}"/>
    <cellStyle name="Normal 5 4 2 3 6 2" xfId="6898" xr:uid="{00000000-0005-0000-0000-0000E91A0000}"/>
    <cellStyle name="Normal 5 4 2 3 6 2 2" xfId="23775" xr:uid="{FE2B6E97-8F87-45F0-8B0F-63FB67636395}"/>
    <cellStyle name="Normal 5 4 2 3 6 2 3" xfId="32209" xr:uid="{47430C59-6753-4E61-B40C-006316A9DA8F}"/>
    <cellStyle name="Normal 5 4 2 3 6 2 4" xfId="15337" xr:uid="{21CF5BD8-8880-4015-A56E-BB1AC8199A38}"/>
    <cellStyle name="Normal 5 4 2 3 6 3" xfId="19557" xr:uid="{DA08B170-254E-425F-98CF-98D16F067397}"/>
    <cellStyle name="Normal 5 4 2 3 6 4" xfId="27992" xr:uid="{5159B8FB-83B8-4895-90EA-712F97433E70}"/>
    <cellStyle name="Normal 5 4 2 3 6 5" xfId="11119" xr:uid="{278C5CE8-5395-4F55-BFF4-341D686D7057}"/>
    <cellStyle name="Normal 5 4 2 3 7" xfId="4833" xr:uid="{00000000-0005-0000-0000-0000EA1A0000}"/>
    <cellStyle name="Normal 5 4 2 3 7 2" xfId="21710" xr:uid="{FE00A611-44DB-4087-A6DC-C25BF2600ECE}"/>
    <cellStyle name="Normal 5 4 2 3 7 3" xfId="30144" xr:uid="{965DF87D-347A-4352-B018-471F6863CC58}"/>
    <cellStyle name="Normal 5 4 2 3 7 4" xfId="13272" xr:uid="{DAB2593F-D2D2-428D-B911-908CD2CB1D81}"/>
    <cellStyle name="Normal 5 4 2 3 8" xfId="17492" xr:uid="{82B37A0D-0791-4A27-A27E-C3ADCA9257D1}"/>
    <cellStyle name="Normal 5 4 2 3 9" xfId="25927" xr:uid="{40FF1DE8-3134-4E34-A68F-41B028F86830}"/>
    <cellStyle name="Normal 5 4 2 4" xfId="931" xr:uid="{00000000-0005-0000-0000-0000EB1A0000}"/>
    <cellStyle name="Normal 5 4 2 4 2" xfId="3165" xr:uid="{00000000-0005-0000-0000-0000EC1A0000}"/>
    <cellStyle name="Normal 5 4 2 4 2 2" xfId="7388" xr:uid="{00000000-0005-0000-0000-0000ED1A0000}"/>
    <cellStyle name="Normal 5 4 2 4 2 2 2" xfId="24265" xr:uid="{3E5E968E-187C-47A4-A406-FC5834F63E38}"/>
    <cellStyle name="Normal 5 4 2 4 2 2 3" xfId="32699" xr:uid="{F4EEFBC8-7856-4123-8642-2CEF0D202068}"/>
    <cellStyle name="Normal 5 4 2 4 2 2 4" xfId="15827" xr:uid="{41CEEA0A-63AA-46A1-95C4-9557E7603AF4}"/>
    <cellStyle name="Normal 5 4 2 4 2 3" xfId="20047" xr:uid="{4CBABF44-D5D3-40BD-880B-29ADFFDD9658}"/>
    <cellStyle name="Normal 5 4 2 4 2 4" xfId="28482" xr:uid="{1858E563-14A9-4ED2-821D-C03632049C0C}"/>
    <cellStyle name="Normal 5 4 2 4 2 5" xfId="11609" xr:uid="{2988D08C-B49D-492F-9E61-5A874F3B2235}"/>
    <cellStyle name="Normal 5 4 2 4 3" xfId="5243" xr:uid="{00000000-0005-0000-0000-0000EE1A0000}"/>
    <cellStyle name="Normal 5 4 2 4 3 2" xfId="22120" xr:uid="{E3C6F8E7-EEC1-4FA2-8B6E-361F5D7F58C5}"/>
    <cellStyle name="Normal 5 4 2 4 3 3" xfId="30554" xr:uid="{19AFBCF7-9405-4316-ACF5-F29AB22CF0D8}"/>
    <cellStyle name="Normal 5 4 2 4 3 4" xfId="13682" xr:uid="{C448F1F8-1B50-4CC7-B70F-508B2AF9C89F}"/>
    <cellStyle name="Normal 5 4 2 4 4" xfId="17902" xr:uid="{1476D3C6-73D9-446B-A9A6-8A72FFBBBA3A}"/>
    <cellStyle name="Normal 5 4 2 4 5" xfId="26337" xr:uid="{11987FA9-F442-453B-A685-B94A9DF016F2}"/>
    <cellStyle name="Normal 5 4 2 4 6" xfId="9464" xr:uid="{CE316C38-9C07-4C07-946D-D18C535FD33A}"/>
    <cellStyle name="Normal 5 4 2 5" xfId="1348" xr:uid="{00000000-0005-0000-0000-0000EF1A0000}"/>
    <cellStyle name="Normal 5 4 2 5 2" xfId="3578" xr:uid="{00000000-0005-0000-0000-0000F01A0000}"/>
    <cellStyle name="Normal 5 4 2 5 2 2" xfId="7801" xr:uid="{00000000-0005-0000-0000-0000F11A0000}"/>
    <cellStyle name="Normal 5 4 2 5 2 2 2" xfId="24678" xr:uid="{51154727-33BB-4A1A-AB50-E51048BBEACD}"/>
    <cellStyle name="Normal 5 4 2 5 2 2 3" xfId="33112" xr:uid="{533CA9FD-4A2B-4C7E-831A-4D53DF3113DD}"/>
    <cellStyle name="Normal 5 4 2 5 2 2 4" xfId="16240" xr:uid="{AA4203E5-D775-40BD-9AB5-291DABCF1F54}"/>
    <cellStyle name="Normal 5 4 2 5 2 3" xfId="20460" xr:uid="{85359FD1-28C6-4B2B-97D1-02066AB6BD5D}"/>
    <cellStyle name="Normal 5 4 2 5 2 4" xfId="28895" xr:uid="{3FAADFEA-60F7-4623-A5A2-55827D06FB8F}"/>
    <cellStyle name="Normal 5 4 2 5 2 5" xfId="12022" xr:uid="{4D5EDA02-2113-4811-B15D-9DC1482B4722}"/>
    <cellStyle name="Normal 5 4 2 5 3" xfId="5656" xr:uid="{00000000-0005-0000-0000-0000F21A0000}"/>
    <cellStyle name="Normal 5 4 2 5 3 2" xfId="22533" xr:uid="{2586577D-D04A-48E5-8A1C-D6A16A94B418}"/>
    <cellStyle name="Normal 5 4 2 5 3 3" xfId="30967" xr:uid="{B49729E8-9F71-446A-8808-DC63091B77B8}"/>
    <cellStyle name="Normal 5 4 2 5 3 4" xfId="14095" xr:uid="{D724326E-4023-48E0-86DD-A4E72747E62F}"/>
    <cellStyle name="Normal 5 4 2 5 4" xfId="18315" xr:uid="{77106DAC-FF64-4A2C-8F02-7367C550C21F}"/>
    <cellStyle name="Normal 5 4 2 5 5" xfId="26750" xr:uid="{DF3EB8F3-7FB7-44C5-A2C9-F57795A8F7EE}"/>
    <cellStyle name="Normal 5 4 2 5 6" xfId="9877" xr:uid="{48B5FA84-331C-42D4-B60E-7DA9AC49C39E}"/>
    <cellStyle name="Normal 5 4 2 6" xfId="1761" xr:uid="{00000000-0005-0000-0000-0000F31A0000}"/>
    <cellStyle name="Normal 5 4 2 6 2" xfId="3991" xr:uid="{00000000-0005-0000-0000-0000F41A0000}"/>
    <cellStyle name="Normal 5 4 2 6 2 2" xfId="8214" xr:uid="{00000000-0005-0000-0000-0000F51A0000}"/>
    <cellStyle name="Normal 5 4 2 6 2 2 2" xfId="25091" xr:uid="{53660D2F-C4CC-449C-B355-C853F4F98278}"/>
    <cellStyle name="Normal 5 4 2 6 2 2 3" xfId="33525" xr:uid="{1191F556-F4C9-4E01-A8EF-092EE4451F56}"/>
    <cellStyle name="Normal 5 4 2 6 2 2 4" xfId="16653" xr:uid="{7330C472-9E14-4671-8B46-18D4325CBBDB}"/>
    <cellStyle name="Normal 5 4 2 6 2 3" xfId="20873" xr:uid="{F1FBCD52-4D22-4E0A-990D-F9E0D0361181}"/>
    <cellStyle name="Normal 5 4 2 6 2 4" xfId="29308" xr:uid="{5EF3A980-4582-4D9C-A73C-617850725AFA}"/>
    <cellStyle name="Normal 5 4 2 6 2 5" xfId="12435" xr:uid="{57E9DC3E-3BF6-4AEF-87A1-B2F57A2419AE}"/>
    <cellStyle name="Normal 5 4 2 6 3" xfId="6069" xr:uid="{00000000-0005-0000-0000-0000F61A0000}"/>
    <cellStyle name="Normal 5 4 2 6 3 2" xfId="22946" xr:uid="{8127A8FA-B7C7-413A-8808-BBA3A2579108}"/>
    <cellStyle name="Normal 5 4 2 6 3 3" xfId="31380" xr:uid="{A1CDC0AC-FED8-4F40-BD65-4A28C9D08771}"/>
    <cellStyle name="Normal 5 4 2 6 3 4" xfId="14508" xr:uid="{918122D5-8AD0-4D3B-84A3-B6F8E3E8A898}"/>
    <cellStyle name="Normal 5 4 2 6 4" xfId="18728" xr:uid="{47E3D652-5E90-4598-A7FE-A338958D72A7}"/>
    <cellStyle name="Normal 5 4 2 6 5" xfId="27163" xr:uid="{A9521363-04CD-4E52-B581-280165037998}"/>
    <cellStyle name="Normal 5 4 2 6 6" xfId="10290" xr:uid="{7EDAEC20-1B1C-4C53-98A2-CEF991C9B442}"/>
    <cellStyle name="Normal 5 4 2 7" xfId="2175" xr:uid="{00000000-0005-0000-0000-0000F71A0000}"/>
    <cellStyle name="Normal 5 4 2 7 2" xfId="4404" xr:uid="{00000000-0005-0000-0000-0000F81A0000}"/>
    <cellStyle name="Normal 5 4 2 7 2 2" xfId="8627" xr:uid="{00000000-0005-0000-0000-0000F91A0000}"/>
    <cellStyle name="Normal 5 4 2 7 2 2 2" xfId="25504" xr:uid="{E98DCBC0-880A-4025-B5A8-9C53B759675A}"/>
    <cellStyle name="Normal 5 4 2 7 2 2 3" xfId="33938" xr:uid="{0F6EF9AA-E6AF-41F5-BFC8-B509BD66F377}"/>
    <cellStyle name="Normal 5 4 2 7 2 2 4" xfId="17066" xr:uid="{8679145F-1487-4376-8ACE-53233126FF05}"/>
    <cellStyle name="Normal 5 4 2 7 2 3" xfId="21286" xr:uid="{BF1B7A17-A337-4C30-A64C-A62FF69CF373}"/>
    <cellStyle name="Normal 5 4 2 7 2 4" xfId="29721" xr:uid="{E33C680A-7546-4715-AD9C-22811C5F576D}"/>
    <cellStyle name="Normal 5 4 2 7 2 5" xfId="12848" xr:uid="{C8F7641C-1C87-42AE-9753-78A44B83E9C8}"/>
    <cellStyle name="Normal 5 4 2 7 3" xfId="6482" xr:uid="{00000000-0005-0000-0000-0000FA1A0000}"/>
    <cellStyle name="Normal 5 4 2 7 3 2" xfId="23359" xr:uid="{EFC878BC-FA95-4F04-92AE-5537E2A4A1E5}"/>
    <cellStyle name="Normal 5 4 2 7 3 3" xfId="31793" xr:uid="{CBFB3D4D-2735-4BAD-AAC5-18951E8B25C8}"/>
    <cellStyle name="Normal 5 4 2 7 3 4" xfId="14921" xr:uid="{4347F664-CC3B-4D8D-913B-32B8F4652CC6}"/>
    <cellStyle name="Normal 5 4 2 7 4" xfId="19141" xr:uid="{BF4BDE96-BA09-406A-9B93-CDDBA7D22DFD}"/>
    <cellStyle name="Normal 5 4 2 7 5" xfId="27576" xr:uid="{854A0064-602F-4624-B8BE-71D74DE91307}"/>
    <cellStyle name="Normal 5 4 2 7 6" xfId="10703" xr:uid="{F98215A3-1796-4322-B7EF-D0E018922C12}"/>
    <cellStyle name="Normal 5 4 2 8" xfId="2611" xr:uid="{00000000-0005-0000-0000-0000FB1A0000}"/>
    <cellStyle name="Normal 5 4 2 8 2" xfId="6895" xr:uid="{00000000-0005-0000-0000-0000FC1A0000}"/>
    <cellStyle name="Normal 5 4 2 8 2 2" xfId="23772" xr:uid="{015BE8AF-0FDF-4D17-BE19-204AA2E0A1A4}"/>
    <cellStyle name="Normal 5 4 2 8 2 3" xfId="32206" xr:uid="{86B104CA-2C1D-4022-8E63-2C1E8F7CD020}"/>
    <cellStyle name="Normal 5 4 2 8 2 4" xfId="15334" xr:uid="{EEC16423-EA96-498C-8023-7DFA36BFE849}"/>
    <cellStyle name="Normal 5 4 2 8 3" xfId="19554" xr:uid="{C2FC359C-58F6-4443-92E6-7F907F568CBD}"/>
    <cellStyle name="Normal 5 4 2 8 4" xfId="27989" xr:uid="{829E08DE-4A92-462B-B891-696E3FFB4F13}"/>
    <cellStyle name="Normal 5 4 2 8 5" xfId="11116" xr:uid="{F9146372-6521-4465-B9F0-DEB56BB89010}"/>
    <cellStyle name="Normal 5 4 2 9" xfId="4830" xr:uid="{00000000-0005-0000-0000-0000FD1A0000}"/>
    <cellStyle name="Normal 5 4 2 9 2" xfId="21707" xr:uid="{C834ACC3-2F0C-4855-9828-0217DA4F8F62}"/>
    <cellStyle name="Normal 5 4 2 9 3" xfId="30141" xr:uid="{545A474A-BA20-4981-9A6D-192C133C1B93}"/>
    <cellStyle name="Normal 5 4 2 9 4" xfId="13269" xr:uid="{3AD39824-EAA4-4908-AF08-6CB0C7971C5B}"/>
    <cellStyle name="Normal 5 4 3" xfId="461" xr:uid="{00000000-0005-0000-0000-0000FE1A0000}"/>
    <cellStyle name="Normal 5 4 3 10" xfId="25928" xr:uid="{8CA0C880-02C2-4FA5-ADE9-150D347F1FDF}"/>
    <cellStyle name="Normal 5 4 3 11" xfId="9055" xr:uid="{5A341C78-19F2-4F51-A791-876EBD9450A0}"/>
    <cellStyle name="Normal 5 4 3 2" xfId="462" xr:uid="{00000000-0005-0000-0000-0000FF1A0000}"/>
    <cellStyle name="Normal 5 4 3 2 10" xfId="9056" xr:uid="{5DF7D7BC-D356-420F-9C08-3ABFE4A04369}"/>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24270" xr:uid="{B77B49A1-4F52-466E-9B94-5874D24D1C06}"/>
    <cellStyle name="Normal 5 4 3 2 2 2 2 3" xfId="32704" xr:uid="{533ACA32-520D-4742-A591-638327C199DA}"/>
    <cellStyle name="Normal 5 4 3 2 2 2 2 4" xfId="15832" xr:uid="{EEE94E59-7973-47E5-9FD1-C44CA420E949}"/>
    <cellStyle name="Normal 5 4 3 2 2 2 3" xfId="20052" xr:uid="{AFA9FF85-C0A2-4525-A1DD-DB62FACAF77F}"/>
    <cellStyle name="Normal 5 4 3 2 2 2 4" xfId="28487" xr:uid="{11E53FF8-A904-4436-B9A1-0F23946A814E}"/>
    <cellStyle name="Normal 5 4 3 2 2 2 5" xfId="11614" xr:uid="{B50BFE33-874F-4ED8-8F1D-23196C57DB18}"/>
    <cellStyle name="Normal 5 4 3 2 2 3" xfId="5248" xr:uid="{00000000-0005-0000-0000-0000031B0000}"/>
    <cellStyle name="Normal 5 4 3 2 2 3 2" xfId="22125" xr:uid="{5092C2C9-71D4-4A5E-8043-692797D67FB0}"/>
    <cellStyle name="Normal 5 4 3 2 2 3 3" xfId="30559" xr:uid="{696571CD-46D5-4593-97D7-86D71998589E}"/>
    <cellStyle name="Normal 5 4 3 2 2 3 4" xfId="13687" xr:uid="{7FF1001F-F376-474F-98B7-118E326AB6D5}"/>
    <cellStyle name="Normal 5 4 3 2 2 4" xfId="17907" xr:uid="{CFF97FED-ED5C-4EDA-A40A-D3ACDE70B444}"/>
    <cellStyle name="Normal 5 4 3 2 2 5" xfId="26342" xr:uid="{67164178-4022-405D-8239-F0A6D875EA3B}"/>
    <cellStyle name="Normal 5 4 3 2 2 6" xfId="9469" xr:uid="{E937ECD0-CEE1-4838-A4BF-D352E1A6E180}"/>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24683" xr:uid="{49A5694E-6661-4CAB-ABC9-102B215DF1E1}"/>
    <cellStyle name="Normal 5 4 3 2 3 2 2 3" xfId="33117" xr:uid="{04D647CA-CD5D-48BC-8D4E-D56F9EEDADEB}"/>
    <cellStyle name="Normal 5 4 3 2 3 2 2 4" xfId="16245" xr:uid="{6E9FBBB4-BD57-463E-8C6D-1B16F3AA2C0B}"/>
    <cellStyle name="Normal 5 4 3 2 3 2 3" xfId="20465" xr:uid="{1CC6D22B-09B5-4A2B-B8DB-97C461EE785C}"/>
    <cellStyle name="Normal 5 4 3 2 3 2 4" xfId="28900" xr:uid="{13CD8CAC-604E-4B69-83F9-97DFFFF5CA1D}"/>
    <cellStyle name="Normal 5 4 3 2 3 2 5" xfId="12027" xr:uid="{64DA9FAB-FAA8-4389-B3EF-7E175BF6F2B3}"/>
    <cellStyle name="Normal 5 4 3 2 3 3" xfId="5661" xr:uid="{00000000-0005-0000-0000-0000071B0000}"/>
    <cellStyle name="Normal 5 4 3 2 3 3 2" xfId="22538" xr:uid="{22A32B49-E26C-4B7B-99A8-A7D94C1575D0}"/>
    <cellStyle name="Normal 5 4 3 2 3 3 3" xfId="30972" xr:uid="{34748CB5-76E2-43DD-AEBF-91A7BE956784}"/>
    <cellStyle name="Normal 5 4 3 2 3 3 4" xfId="14100" xr:uid="{D7635BED-0E27-49B5-80C3-0B9CF8E0B305}"/>
    <cellStyle name="Normal 5 4 3 2 3 4" xfId="18320" xr:uid="{DC3E340D-5202-41B4-9C7B-0B1F8F2AE7E5}"/>
    <cellStyle name="Normal 5 4 3 2 3 5" xfId="26755" xr:uid="{880F1DB8-1949-4DF0-AF75-DA37B13EA4E3}"/>
    <cellStyle name="Normal 5 4 3 2 3 6" xfId="9882" xr:uid="{8BB79255-A058-45B3-A647-64BE73F565A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25096" xr:uid="{7358FDED-F1B9-40F8-9454-9AC5278E4B80}"/>
    <cellStyle name="Normal 5 4 3 2 4 2 2 3" xfId="33530" xr:uid="{BA15BE8D-2AAF-4E8F-AF3D-614692599A73}"/>
    <cellStyle name="Normal 5 4 3 2 4 2 2 4" xfId="16658" xr:uid="{E8DB066C-4730-4F4B-863B-AD6CBE1444E6}"/>
    <cellStyle name="Normal 5 4 3 2 4 2 3" xfId="20878" xr:uid="{59D7B794-CE50-4CE4-94A9-BEBA94FCF6B8}"/>
    <cellStyle name="Normal 5 4 3 2 4 2 4" xfId="29313" xr:uid="{8BEDEF98-08C5-4398-9982-DE4C0BEB2352}"/>
    <cellStyle name="Normal 5 4 3 2 4 2 5" xfId="12440" xr:uid="{6EB0E4FC-249D-4628-B460-2E5C89862124}"/>
    <cellStyle name="Normal 5 4 3 2 4 3" xfId="6074" xr:uid="{00000000-0005-0000-0000-00000B1B0000}"/>
    <cellStyle name="Normal 5 4 3 2 4 3 2" xfId="22951" xr:uid="{E7B4A237-6A54-4EB8-9D03-0314DA63F9E6}"/>
    <cellStyle name="Normal 5 4 3 2 4 3 3" xfId="31385" xr:uid="{59E540B8-3F4F-49C9-849A-3CCD37AC003E}"/>
    <cellStyle name="Normal 5 4 3 2 4 3 4" xfId="14513" xr:uid="{6C9A2B0D-111D-485C-94F0-7421A93F3F15}"/>
    <cellStyle name="Normal 5 4 3 2 4 4" xfId="18733" xr:uid="{BDEBF523-6596-4BC9-8336-185CB016BAE6}"/>
    <cellStyle name="Normal 5 4 3 2 4 5" xfId="27168" xr:uid="{0893A50D-5629-4E62-BB0C-39C1810C15EF}"/>
    <cellStyle name="Normal 5 4 3 2 4 6" xfId="10295" xr:uid="{05917B13-98F1-4568-AD5B-F05D4240372A}"/>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25509" xr:uid="{AA41A6ED-710C-418F-9C75-DAF8EA9470DA}"/>
    <cellStyle name="Normal 5 4 3 2 5 2 2 3" xfId="33943" xr:uid="{5C951E73-76F0-4F70-BAC5-B79C2251D8A5}"/>
    <cellStyle name="Normal 5 4 3 2 5 2 2 4" xfId="17071" xr:uid="{AB5640F2-D277-45AE-864F-2E28948E46A2}"/>
    <cellStyle name="Normal 5 4 3 2 5 2 3" xfId="21291" xr:uid="{7DA0A942-68F4-4D2F-B912-F45C667B743E}"/>
    <cellStyle name="Normal 5 4 3 2 5 2 4" xfId="29726" xr:uid="{A74A8327-94DA-4ACD-966A-E53827B98BCD}"/>
    <cellStyle name="Normal 5 4 3 2 5 2 5" xfId="12853" xr:uid="{1CC35EDA-8165-429A-8502-6341FBFBBFED}"/>
    <cellStyle name="Normal 5 4 3 2 5 3" xfId="6487" xr:uid="{00000000-0005-0000-0000-00000F1B0000}"/>
    <cellStyle name="Normal 5 4 3 2 5 3 2" xfId="23364" xr:uid="{85315A36-DC94-4ED7-8C2A-24A9CFCE0456}"/>
    <cellStyle name="Normal 5 4 3 2 5 3 3" xfId="31798" xr:uid="{4980AD48-556E-4E9A-B786-648A9D518D63}"/>
    <cellStyle name="Normal 5 4 3 2 5 3 4" xfId="14926" xr:uid="{B5548551-B46E-4EBD-9D00-9975A3BE1EE0}"/>
    <cellStyle name="Normal 5 4 3 2 5 4" xfId="19146" xr:uid="{EB56CB4C-6C8B-4237-8D07-C54CEAF2BCE3}"/>
    <cellStyle name="Normal 5 4 3 2 5 5" xfId="27581" xr:uid="{20D15CC1-DF2D-427D-B156-A9A1ECE26097}"/>
    <cellStyle name="Normal 5 4 3 2 5 6" xfId="10708" xr:uid="{3B4E22DB-ED29-4282-B6C6-5572024C2CAE}"/>
    <cellStyle name="Normal 5 4 3 2 6" xfId="2616" xr:uid="{00000000-0005-0000-0000-0000101B0000}"/>
    <cellStyle name="Normal 5 4 3 2 6 2" xfId="6900" xr:uid="{00000000-0005-0000-0000-0000111B0000}"/>
    <cellStyle name="Normal 5 4 3 2 6 2 2" xfId="23777" xr:uid="{C20F3A22-C1FF-4014-9D8F-9BD5A1DB6762}"/>
    <cellStyle name="Normal 5 4 3 2 6 2 3" xfId="32211" xr:uid="{6FFA477C-1887-4CBE-BFFA-74B70351EDB3}"/>
    <cellStyle name="Normal 5 4 3 2 6 2 4" xfId="15339" xr:uid="{4373911D-7732-4E71-8C5D-FD812AB9CB2C}"/>
    <cellStyle name="Normal 5 4 3 2 6 3" xfId="19559" xr:uid="{B3C7CD05-615F-4B2F-885E-C6F2ADDF320F}"/>
    <cellStyle name="Normal 5 4 3 2 6 4" xfId="27994" xr:uid="{73553EEA-A414-42F2-9CF1-DD1885B56482}"/>
    <cellStyle name="Normal 5 4 3 2 6 5" xfId="11121" xr:uid="{A26B676F-812C-409D-8130-F8BAF3BB95EA}"/>
    <cellStyle name="Normal 5 4 3 2 7" xfId="4835" xr:uid="{00000000-0005-0000-0000-0000121B0000}"/>
    <cellStyle name="Normal 5 4 3 2 7 2" xfId="21712" xr:uid="{EC12BDF1-2408-443A-A470-5A06EC76F020}"/>
    <cellStyle name="Normal 5 4 3 2 7 3" xfId="30146" xr:uid="{F233B9BE-13E0-4F77-9709-96441C23E5E2}"/>
    <cellStyle name="Normal 5 4 3 2 7 4" xfId="13274" xr:uid="{46E66DE4-964D-4B18-AF8A-5AE4366994FB}"/>
    <cellStyle name="Normal 5 4 3 2 8" xfId="17494" xr:uid="{219C026B-E391-4343-9007-B31DCFB113A1}"/>
    <cellStyle name="Normal 5 4 3 2 9" xfId="25929" xr:uid="{D100D593-F272-4FE5-BD49-81065B590771}"/>
    <cellStyle name="Normal 5 4 3 3" xfId="935" xr:uid="{00000000-0005-0000-0000-0000131B0000}"/>
    <cellStyle name="Normal 5 4 3 3 2" xfId="3169" xr:uid="{00000000-0005-0000-0000-0000141B0000}"/>
    <cellStyle name="Normal 5 4 3 3 2 2" xfId="7392" xr:uid="{00000000-0005-0000-0000-0000151B0000}"/>
    <cellStyle name="Normal 5 4 3 3 2 2 2" xfId="24269" xr:uid="{82924242-9A83-4C30-B286-28E14DBB6A31}"/>
    <cellStyle name="Normal 5 4 3 3 2 2 3" xfId="32703" xr:uid="{C5AD8315-59CF-40D7-A6BE-6107C2BFE4F4}"/>
    <cellStyle name="Normal 5 4 3 3 2 2 4" xfId="15831" xr:uid="{8BE7899F-B001-4FDD-A84D-8FABCE9783FB}"/>
    <cellStyle name="Normal 5 4 3 3 2 3" xfId="20051" xr:uid="{8CA41077-E146-4A6E-ADD7-2CF145950118}"/>
    <cellStyle name="Normal 5 4 3 3 2 4" xfId="28486" xr:uid="{214251C5-3B0D-4D83-8818-E14AC307388A}"/>
    <cellStyle name="Normal 5 4 3 3 2 5" xfId="11613" xr:uid="{EEED941F-4E36-4688-92A2-ABE99A4DADEA}"/>
    <cellStyle name="Normal 5 4 3 3 3" xfId="5247" xr:uid="{00000000-0005-0000-0000-0000161B0000}"/>
    <cellStyle name="Normal 5 4 3 3 3 2" xfId="22124" xr:uid="{D55A6590-2B56-4D64-A45E-A6BE44BC9D86}"/>
    <cellStyle name="Normal 5 4 3 3 3 3" xfId="30558" xr:uid="{6659D140-381E-41F7-A532-857247612C6C}"/>
    <cellStyle name="Normal 5 4 3 3 3 4" xfId="13686" xr:uid="{7B8E8C38-43D4-4910-BD92-A27BE851B379}"/>
    <cellStyle name="Normal 5 4 3 3 4" xfId="17906" xr:uid="{00FA82D6-4C01-4023-B329-2F9B9E3B9ECA}"/>
    <cellStyle name="Normal 5 4 3 3 5" xfId="26341" xr:uid="{3C0ADD63-964B-440A-9D61-947C63582CDF}"/>
    <cellStyle name="Normal 5 4 3 3 6" xfId="9468" xr:uid="{0D3C5011-C551-4A2E-971C-B86857738824}"/>
    <cellStyle name="Normal 5 4 3 4" xfId="1352" xr:uid="{00000000-0005-0000-0000-0000171B0000}"/>
    <cellStyle name="Normal 5 4 3 4 2" xfId="3582" xr:uid="{00000000-0005-0000-0000-0000181B0000}"/>
    <cellStyle name="Normal 5 4 3 4 2 2" xfId="7805" xr:uid="{00000000-0005-0000-0000-0000191B0000}"/>
    <cellStyle name="Normal 5 4 3 4 2 2 2" xfId="24682" xr:uid="{E14C25BC-D9AA-4630-BE28-72475407A4A9}"/>
    <cellStyle name="Normal 5 4 3 4 2 2 3" xfId="33116" xr:uid="{C5B2DC46-B50E-480D-ADF8-9E59915F6B7A}"/>
    <cellStyle name="Normal 5 4 3 4 2 2 4" xfId="16244" xr:uid="{0F619AB6-835D-495B-90A2-74E1BE8B6468}"/>
    <cellStyle name="Normal 5 4 3 4 2 3" xfId="20464" xr:uid="{D8E9BD4B-C819-437D-939B-C26EF308583A}"/>
    <cellStyle name="Normal 5 4 3 4 2 4" xfId="28899" xr:uid="{290CD436-62BB-48BE-A1CE-B647D78A4A68}"/>
    <cellStyle name="Normal 5 4 3 4 2 5" xfId="12026" xr:uid="{49D1E1DC-1AF3-4B25-9368-44B71B8E2337}"/>
    <cellStyle name="Normal 5 4 3 4 3" xfId="5660" xr:uid="{00000000-0005-0000-0000-00001A1B0000}"/>
    <cellStyle name="Normal 5 4 3 4 3 2" xfId="22537" xr:uid="{F0DB3E69-B70F-4142-A64C-BF02EDEE4A93}"/>
    <cellStyle name="Normal 5 4 3 4 3 3" xfId="30971" xr:uid="{CAA4A0E8-A6AA-42C9-9832-7FE8824083E7}"/>
    <cellStyle name="Normal 5 4 3 4 3 4" xfId="14099" xr:uid="{A5B85A5E-EBEB-486E-8D76-01B1E08468E5}"/>
    <cellStyle name="Normal 5 4 3 4 4" xfId="18319" xr:uid="{69209A32-FA94-459C-85B3-754D626C4BF7}"/>
    <cellStyle name="Normal 5 4 3 4 5" xfId="26754" xr:uid="{B7681B7D-B742-49FC-85C3-44F264C96FEA}"/>
    <cellStyle name="Normal 5 4 3 4 6" xfId="9881" xr:uid="{4BA38917-503E-4CCC-8B95-FEBE8E4EEE1B}"/>
    <cellStyle name="Normal 5 4 3 5" xfId="1765" xr:uid="{00000000-0005-0000-0000-00001B1B0000}"/>
    <cellStyle name="Normal 5 4 3 5 2" xfId="3995" xr:uid="{00000000-0005-0000-0000-00001C1B0000}"/>
    <cellStyle name="Normal 5 4 3 5 2 2" xfId="8218" xr:uid="{00000000-0005-0000-0000-00001D1B0000}"/>
    <cellStyle name="Normal 5 4 3 5 2 2 2" xfId="25095" xr:uid="{E6ED822B-E247-4FA9-BED2-5816B934887F}"/>
    <cellStyle name="Normal 5 4 3 5 2 2 3" xfId="33529" xr:uid="{26D1A30A-0ADA-4A84-A312-3CE2B49B2106}"/>
    <cellStyle name="Normal 5 4 3 5 2 2 4" xfId="16657" xr:uid="{08661A7F-9AFE-4541-9111-FD956B5068D2}"/>
    <cellStyle name="Normal 5 4 3 5 2 3" xfId="20877" xr:uid="{00DABD04-08E0-4B89-BC51-191C0D9B8B05}"/>
    <cellStyle name="Normal 5 4 3 5 2 4" xfId="29312" xr:uid="{2D328813-98EA-486E-96B1-D53BED356CEE}"/>
    <cellStyle name="Normal 5 4 3 5 2 5" xfId="12439" xr:uid="{DD1E7443-3FF2-4EEA-B940-D4725E196938}"/>
    <cellStyle name="Normal 5 4 3 5 3" xfId="6073" xr:uid="{00000000-0005-0000-0000-00001E1B0000}"/>
    <cellStyle name="Normal 5 4 3 5 3 2" xfId="22950" xr:uid="{88098AF2-AD59-446D-8F94-BD8202C98B7B}"/>
    <cellStyle name="Normal 5 4 3 5 3 3" xfId="31384" xr:uid="{34BC5B73-6CB7-454F-BC2B-D630FE999C32}"/>
    <cellStyle name="Normal 5 4 3 5 3 4" xfId="14512" xr:uid="{30CFC04D-FD83-4667-822D-1B90B0AEFDD5}"/>
    <cellStyle name="Normal 5 4 3 5 4" xfId="18732" xr:uid="{2B871DBA-510F-4981-8C5B-FFA86AC5CC75}"/>
    <cellStyle name="Normal 5 4 3 5 5" xfId="27167" xr:uid="{AEA52747-1F10-4A13-940D-CAE172564B6E}"/>
    <cellStyle name="Normal 5 4 3 5 6" xfId="10294" xr:uid="{395A683C-4077-4133-B3E4-93E406012184}"/>
    <cellStyle name="Normal 5 4 3 6" xfId="2179" xr:uid="{00000000-0005-0000-0000-00001F1B0000}"/>
    <cellStyle name="Normal 5 4 3 6 2" xfId="4408" xr:uid="{00000000-0005-0000-0000-0000201B0000}"/>
    <cellStyle name="Normal 5 4 3 6 2 2" xfId="8631" xr:uid="{00000000-0005-0000-0000-0000211B0000}"/>
    <cellStyle name="Normal 5 4 3 6 2 2 2" xfId="25508" xr:uid="{805B87B4-7C3A-45E1-B2A1-107583473B9F}"/>
    <cellStyle name="Normal 5 4 3 6 2 2 3" xfId="33942" xr:uid="{EC66362B-2D3D-4ED8-BE4D-A5CEBA9F20D9}"/>
    <cellStyle name="Normal 5 4 3 6 2 2 4" xfId="17070" xr:uid="{EAC36C85-60A2-4AE6-9864-FAE5995DB4C7}"/>
    <cellStyle name="Normal 5 4 3 6 2 3" xfId="21290" xr:uid="{76EC946F-E70E-4EA6-8E65-E741A5A7E40C}"/>
    <cellStyle name="Normal 5 4 3 6 2 4" xfId="29725" xr:uid="{E88BDDC4-BBFD-4BE4-9B7B-DD8BB6C727B4}"/>
    <cellStyle name="Normal 5 4 3 6 2 5" xfId="12852" xr:uid="{DE51030B-EFBA-4833-816A-544F64744558}"/>
    <cellStyle name="Normal 5 4 3 6 3" xfId="6486" xr:uid="{00000000-0005-0000-0000-0000221B0000}"/>
    <cellStyle name="Normal 5 4 3 6 3 2" xfId="23363" xr:uid="{FE12C510-0BF9-4516-A7EA-56E966D7063D}"/>
    <cellStyle name="Normal 5 4 3 6 3 3" xfId="31797" xr:uid="{F04BE28C-CA3C-4E00-BFEF-C04F34214CD5}"/>
    <cellStyle name="Normal 5 4 3 6 3 4" xfId="14925" xr:uid="{397CD8AD-9D4A-4416-9D80-1C1F74859C9D}"/>
    <cellStyle name="Normal 5 4 3 6 4" xfId="19145" xr:uid="{346AB676-622F-4F80-AA45-4F037E3DE54F}"/>
    <cellStyle name="Normal 5 4 3 6 5" xfId="27580" xr:uid="{95453D14-B6A7-4877-A71E-47C7D35A819B}"/>
    <cellStyle name="Normal 5 4 3 6 6" xfId="10707" xr:uid="{4CFC73E4-C60A-46C1-8FDA-1B56A0C6B504}"/>
    <cellStyle name="Normal 5 4 3 7" xfId="2615" xr:uid="{00000000-0005-0000-0000-0000231B0000}"/>
    <cellStyle name="Normal 5 4 3 7 2" xfId="6899" xr:uid="{00000000-0005-0000-0000-0000241B0000}"/>
    <cellStyle name="Normal 5 4 3 7 2 2" xfId="23776" xr:uid="{7162A425-74DB-40D2-B35B-3C64CFBDC8C3}"/>
    <cellStyle name="Normal 5 4 3 7 2 3" xfId="32210" xr:uid="{6E4B7174-A27D-4EBE-A199-665A1210AE1C}"/>
    <cellStyle name="Normal 5 4 3 7 2 4" xfId="15338" xr:uid="{2B089DF8-5DAF-4081-AB12-E484C26E5407}"/>
    <cellStyle name="Normal 5 4 3 7 3" xfId="19558" xr:uid="{6B3CB009-9A21-4838-95F7-DBF67F8DA813}"/>
    <cellStyle name="Normal 5 4 3 7 4" xfId="27993" xr:uid="{FC69128C-F010-483B-B56A-FF10C0CCE580}"/>
    <cellStyle name="Normal 5 4 3 7 5" xfId="11120" xr:uid="{328C52D9-EEBB-4D5D-B91D-EB5526FC28EE}"/>
    <cellStyle name="Normal 5 4 3 8" xfId="4834" xr:uid="{00000000-0005-0000-0000-0000251B0000}"/>
    <cellStyle name="Normal 5 4 3 8 2" xfId="21711" xr:uid="{AB5F6F94-38A0-40AA-9EFA-3B31920A4A13}"/>
    <cellStyle name="Normal 5 4 3 8 3" xfId="30145" xr:uid="{38282519-0250-4F64-B6CA-6CBF7BADADD4}"/>
    <cellStyle name="Normal 5 4 3 8 4" xfId="13273" xr:uid="{70A1D7E4-A778-4D0B-BB49-8696FC26667B}"/>
    <cellStyle name="Normal 5 4 3 9" xfId="17493" xr:uid="{9F29159B-62AC-4ECF-9D4E-9F060AF1D2B9}"/>
    <cellStyle name="Normal 5 4 4" xfId="463" xr:uid="{00000000-0005-0000-0000-0000261B0000}"/>
    <cellStyle name="Normal 5 4 4 10" xfId="9057" xr:uid="{2F96CAB8-5FA1-479C-B0CD-36F9AD16677B}"/>
    <cellStyle name="Normal 5 4 4 2" xfId="937" xr:uid="{00000000-0005-0000-0000-0000271B0000}"/>
    <cellStyle name="Normal 5 4 4 2 2" xfId="3171" xr:uid="{00000000-0005-0000-0000-0000281B0000}"/>
    <cellStyle name="Normal 5 4 4 2 2 2" xfId="7394" xr:uid="{00000000-0005-0000-0000-0000291B0000}"/>
    <cellStyle name="Normal 5 4 4 2 2 2 2" xfId="24271" xr:uid="{557686A2-62D0-46FC-A075-3EF441CBC7E2}"/>
    <cellStyle name="Normal 5 4 4 2 2 2 3" xfId="32705" xr:uid="{5FA6D41F-D76E-4756-AEFC-A05F88525B67}"/>
    <cellStyle name="Normal 5 4 4 2 2 2 4" xfId="15833" xr:uid="{7A2964D2-5321-452C-8569-EDFB24BBB8B7}"/>
    <cellStyle name="Normal 5 4 4 2 2 3" xfId="20053" xr:uid="{0E1BCE75-BF94-4A75-BB74-8CBDF55ADEA6}"/>
    <cellStyle name="Normal 5 4 4 2 2 4" xfId="28488" xr:uid="{4E981FA1-3918-4CC3-A19B-CC973D37DDB1}"/>
    <cellStyle name="Normal 5 4 4 2 2 5" xfId="11615" xr:uid="{1FB34EA0-B458-48DB-A9AC-7E75B9614946}"/>
    <cellStyle name="Normal 5 4 4 2 3" xfId="5249" xr:uid="{00000000-0005-0000-0000-00002A1B0000}"/>
    <cellStyle name="Normal 5 4 4 2 3 2" xfId="22126" xr:uid="{38B25C76-231B-46FF-B6E3-0EB0AC797E60}"/>
    <cellStyle name="Normal 5 4 4 2 3 3" xfId="30560" xr:uid="{ED27E3CA-4571-4243-B8B5-D9959AD0D414}"/>
    <cellStyle name="Normal 5 4 4 2 3 4" xfId="13688" xr:uid="{3BAA29DC-6633-43CC-ACEE-D085E092D89F}"/>
    <cellStyle name="Normal 5 4 4 2 4" xfId="17908" xr:uid="{21BED977-3A02-47FC-A5C7-448C2643C24D}"/>
    <cellStyle name="Normal 5 4 4 2 5" xfId="26343" xr:uid="{73D64322-8EC2-4805-B9B1-2B97205575CA}"/>
    <cellStyle name="Normal 5 4 4 2 6" xfId="9470" xr:uid="{C18A9D11-5E1A-4ED0-A1A8-F71FF80BB17A}"/>
    <cellStyle name="Normal 5 4 4 3" xfId="1354" xr:uid="{00000000-0005-0000-0000-00002B1B0000}"/>
    <cellStyle name="Normal 5 4 4 3 2" xfId="3584" xr:uid="{00000000-0005-0000-0000-00002C1B0000}"/>
    <cellStyle name="Normal 5 4 4 3 2 2" xfId="7807" xr:uid="{00000000-0005-0000-0000-00002D1B0000}"/>
    <cellStyle name="Normal 5 4 4 3 2 2 2" xfId="24684" xr:uid="{41A933CC-2DBD-4D7C-ACD5-C057D118D5E5}"/>
    <cellStyle name="Normal 5 4 4 3 2 2 3" xfId="33118" xr:uid="{FEBBE542-40CC-4DE3-BA6C-FFC64F1E3260}"/>
    <cellStyle name="Normal 5 4 4 3 2 2 4" xfId="16246" xr:uid="{C661752B-D419-424E-AD5E-5095D84A3144}"/>
    <cellStyle name="Normal 5 4 4 3 2 3" xfId="20466" xr:uid="{0E17B53B-80F6-4DD9-92F8-14405495EE46}"/>
    <cellStyle name="Normal 5 4 4 3 2 4" xfId="28901" xr:uid="{AF13A6F1-9896-485A-A001-C4BD1AE8FEC2}"/>
    <cellStyle name="Normal 5 4 4 3 2 5" xfId="12028" xr:uid="{81A35A27-147C-4996-8BB4-CB9FDD76FE41}"/>
    <cellStyle name="Normal 5 4 4 3 3" xfId="5662" xr:uid="{00000000-0005-0000-0000-00002E1B0000}"/>
    <cellStyle name="Normal 5 4 4 3 3 2" xfId="22539" xr:uid="{07F68BB0-76E8-4FB3-BDC7-AF0DEA116B92}"/>
    <cellStyle name="Normal 5 4 4 3 3 3" xfId="30973" xr:uid="{CDEE5561-7E9A-418E-B745-8549C96DD9EA}"/>
    <cellStyle name="Normal 5 4 4 3 3 4" xfId="14101" xr:uid="{F2B2FA5E-53DC-41EF-B6E2-7769E85FF382}"/>
    <cellStyle name="Normal 5 4 4 3 4" xfId="18321" xr:uid="{23110855-9CAE-4B59-A443-959B7F0144FE}"/>
    <cellStyle name="Normal 5 4 4 3 5" xfId="26756" xr:uid="{A2F06FED-0214-484E-A8F6-766131CBFC39}"/>
    <cellStyle name="Normal 5 4 4 3 6" xfId="9883" xr:uid="{16EC6B1D-E9B2-4523-8933-4AD766AAAED5}"/>
    <cellStyle name="Normal 5 4 4 4" xfId="1767" xr:uid="{00000000-0005-0000-0000-00002F1B0000}"/>
    <cellStyle name="Normal 5 4 4 4 2" xfId="3997" xr:uid="{00000000-0005-0000-0000-0000301B0000}"/>
    <cellStyle name="Normal 5 4 4 4 2 2" xfId="8220" xr:uid="{00000000-0005-0000-0000-0000311B0000}"/>
    <cellStyle name="Normal 5 4 4 4 2 2 2" xfId="25097" xr:uid="{E83216B2-B6D1-446B-A526-E5D680D96440}"/>
    <cellStyle name="Normal 5 4 4 4 2 2 3" xfId="33531" xr:uid="{56F2157B-B8D3-43CC-9F3D-A3D68EE44A38}"/>
    <cellStyle name="Normal 5 4 4 4 2 2 4" xfId="16659" xr:uid="{A299B97C-B4F9-4216-9664-96EFD0732C20}"/>
    <cellStyle name="Normal 5 4 4 4 2 3" xfId="20879" xr:uid="{6883A382-06F8-48F3-95F7-3BFE0495DEF0}"/>
    <cellStyle name="Normal 5 4 4 4 2 4" xfId="29314" xr:uid="{552B73BF-9C48-4CB2-B850-4FD4F43ED11A}"/>
    <cellStyle name="Normal 5 4 4 4 2 5" xfId="12441" xr:uid="{B1714599-AB01-4664-BD90-E3B922E28E8B}"/>
    <cellStyle name="Normal 5 4 4 4 3" xfId="6075" xr:uid="{00000000-0005-0000-0000-0000321B0000}"/>
    <cellStyle name="Normal 5 4 4 4 3 2" xfId="22952" xr:uid="{564F8703-96C9-4C44-83DF-49CF5CAA5B31}"/>
    <cellStyle name="Normal 5 4 4 4 3 3" xfId="31386" xr:uid="{3490786C-62CB-4EFF-866A-9B9637090379}"/>
    <cellStyle name="Normal 5 4 4 4 3 4" xfId="14514" xr:uid="{D9168D3E-8020-436E-921D-301565F9C22B}"/>
    <cellStyle name="Normal 5 4 4 4 4" xfId="18734" xr:uid="{8E4F39D5-EBDC-4228-886F-465FA98CF64C}"/>
    <cellStyle name="Normal 5 4 4 4 5" xfId="27169" xr:uid="{0B0CB667-8198-4C31-85D2-47FDDC9FB8E5}"/>
    <cellStyle name="Normal 5 4 4 4 6" xfId="10296" xr:uid="{48FC9ABA-07B3-4D87-94E1-54F7EB40F210}"/>
    <cellStyle name="Normal 5 4 4 5" xfId="2181" xr:uid="{00000000-0005-0000-0000-0000331B0000}"/>
    <cellStyle name="Normal 5 4 4 5 2" xfId="4410" xr:uid="{00000000-0005-0000-0000-0000341B0000}"/>
    <cellStyle name="Normal 5 4 4 5 2 2" xfId="8633" xr:uid="{00000000-0005-0000-0000-0000351B0000}"/>
    <cellStyle name="Normal 5 4 4 5 2 2 2" xfId="25510" xr:uid="{8BEA770D-A5F3-4C9A-9ADA-FD09897F92A0}"/>
    <cellStyle name="Normal 5 4 4 5 2 2 3" xfId="33944" xr:uid="{CE134BBA-A73C-4744-B6E6-B85A886B7F98}"/>
    <cellStyle name="Normal 5 4 4 5 2 2 4" xfId="17072" xr:uid="{DDBF29B7-8044-4146-B52D-CAB55226FCD8}"/>
    <cellStyle name="Normal 5 4 4 5 2 3" xfId="21292" xr:uid="{27176736-3A6B-494A-A77E-DBED034CFAC7}"/>
    <cellStyle name="Normal 5 4 4 5 2 4" xfId="29727" xr:uid="{700502B3-DDE5-4F5F-9951-7D64F249752D}"/>
    <cellStyle name="Normal 5 4 4 5 2 5" xfId="12854" xr:uid="{109D0447-A51B-4A05-96E2-CF8C8E5E13B9}"/>
    <cellStyle name="Normal 5 4 4 5 3" xfId="6488" xr:uid="{00000000-0005-0000-0000-0000361B0000}"/>
    <cellStyle name="Normal 5 4 4 5 3 2" xfId="23365" xr:uid="{ED5FDDD1-98D9-4599-BFA9-D273C7C73A68}"/>
    <cellStyle name="Normal 5 4 4 5 3 3" xfId="31799" xr:uid="{857710CF-AB9E-46E0-B13F-51B98A737276}"/>
    <cellStyle name="Normal 5 4 4 5 3 4" xfId="14927" xr:uid="{059A94DB-16D9-4A5A-9583-0EEE126718BE}"/>
    <cellStyle name="Normal 5 4 4 5 4" xfId="19147" xr:uid="{70F1D80A-8255-4956-8D5C-4F88B9B4AA03}"/>
    <cellStyle name="Normal 5 4 4 5 5" xfId="27582" xr:uid="{8B6BD6D4-F890-4715-8641-8F8B3723ADB5}"/>
    <cellStyle name="Normal 5 4 4 5 6" xfId="10709" xr:uid="{D960D2FD-5C48-43DE-98D7-1B95A6BFE4FE}"/>
    <cellStyle name="Normal 5 4 4 6" xfId="2617" xr:uid="{00000000-0005-0000-0000-0000371B0000}"/>
    <cellStyle name="Normal 5 4 4 6 2" xfId="6901" xr:uid="{00000000-0005-0000-0000-0000381B0000}"/>
    <cellStyle name="Normal 5 4 4 6 2 2" xfId="23778" xr:uid="{254D4160-B69D-4CC8-9384-5831A540B114}"/>
    <cellStyle name="Normal 5 4 4 6 2 3" xfId="32212" xr:uid="{E1F82FB4-B035-4925-AE95-444DBD845344}"/>
    <cellStyle name="Normal 5 4 4 6 2 4" xfId="15340" xr:uid="{0AB99B00-F85E-4A6E-A361-ECE2A858EE93}"/>
    <cellStyle name="Normal 5 4 4 6 3" xfId="19560" xr:uid="{B7134CFE-38EF-4FF4-9C6A-5A096E5FE03A}"/>
    <cellStyle name="Normal 5 4 4 6 4" xfId="27995" xr:uid="{5444CB6A-242E-42E3-87CB-B391F3299C36}"/>
    <cellStyle name="Normal 5 4 4 6 5" xfId="11122" xr:uid="{84C3F8EC-FA49-48A8-BA3C-10289C8460F3}"/>
    <cellStyle name="Normal 5 4 4 7" xfId="4836" xr:uid="{00000000-0005-0000-0000-0000391B0000}"/>
    <cellStyle name="Normal 5 4 4 7 2" xfId="21713" xr:uid="{2428BB2F-B078-4C88-83A1-83FDDE0E43ED}"/>
    <cellStyle name="Normal 5 4 4 7 3" xfId="30147" xr:uid="{E2E67BE2-D898-450C-A960-EE20F9D67455}"/>
    <cellStyle name="Normal 5 4 4 7 4" xfId="13275" xr:uid="{BD16E418-B46A-4D4F-9BA7-028DBAA1C63E}"/>
    <cellStyle name="Normal 5 4 4 8" xfId="17495" xr:uid="{25D04560-523F-42AA-81A6-9E1C5FEA23FF}"/>
    <cellStyle name="Normal 5 4 4 9" xfId="25930" xr:uid="{1B331B72-C094-4320-BAAC-1AEEFC6C23D9}"/>
    <cellStyle name="Normal 5 4 5" xfId="930" xr:uid="{00000000-0005-0000-0000-00003A1B0000}"/>
    <cellStyle name="Normal 5 4 5 2" xfId="3164" xr:uid="{00000000-0005-0000-0000-00003B1B0000}"/>
    <cellStyle name="Normal 5 4 5 2 2" xfId="7387" xr:uid="{00000000-0005-0000-0000-00003C1B0000}"/>
    <cellStyle name="Normal 5 4 5 2 2 2" xfId="24264" xr:uid="{E0BF6A5C-B110-423A-B48F-C5FBA2306F5D}"/>
    <cellStyle name="Normal 5 4 5 2 2 3" xfId="32698" xr:uid="{4CDCE214-7A5C-451C-9A7C-7655BDFF3218}"/>
    <cellStyle name="Normal 5 4 5 2 2 4" xfId="15826" xr:uid="{D6C6AF4F-090C-4164-896B-DAEE3601F293}"/>
    <cellStyle name="Normal 5 4 5 2 3" xfId="20046" xr:uid="{8DDF099E-0BF6-4299-96E2-B5FCA65B77A7}"/>
    <cellStyle name="Normal 5 4 5 2 4" xfId="28481" xr:uid="{41578328-F972-4937-B315-52B583708D7D}"/>
    <cellStyle name="Normal 5 4 5 2 5" xfId="11608" xr:uid="{29053FBC-961D-4857-B912-447250979493}"/>
    <cellStyle name="Normal 5 4 5 3" xfId="5242" xr:uid="{00000000-0005-0000-0000-00003D1B0000}"/>
    <cellStyle name="Normal 5 4 5 3 2" xfId="22119" xr:uid="{EF91D5E6-3A32-40CA-92A7-A7E56C32FB00}"/>
    <cellStyle name="Normal 5 4 5 3 3" xfId="30553" xr:uid="{17126442-5159-41BA-B4F9-883FD304DDF3}"/>
    <cellStyle name="Normal 5 4 5 3 4" xfId="13681" xr:uid="{BA0AC7A7-0BE9-4457-ACD4-DA834CF398B4}"/>
    <cellStyle name="Normal 5 4 5 4" xfId="17901" xr:uid="{E26BDA46-4ED1-44ED-8D0D-266FF4297B67}"/>
    <cellStyle name="Normal 5 4 5 5" xfId="26336" xr:uid="{2B024AAC-0715-441A-AFB2-9E5F206DEE37}"/>
    <cellStyle name="Normal 5 4 5 6" xfId="9463" xr:uid="{1F6464A8-EF3B-4168-8B4D-E7890CEB5F64}"/>
    <cellStyle name="Normal 5 4 6" xfId="1347" xr:uid="{00000000-0005-0000-0000-00003E1B0000}"/>
    <cellStyle name="Normal 5 4 6 2" xfId="3577" xr:uid="{00000000-0005-0000-0000-00003F1B0000}"/>
    <cellStyle name="Normal 5 4 6 2 2" xfId="7800" xr:uid="{00000000-0005-0000-0000-0000401B0000}"/>
    <cellStyle name="Normal 5 4 6 2 2 2" xfId="24677" xr:uid="{89B2DC18-0564-445C-8F10-B32C83354525}"/>
    <cellStyle name="Normal 5 4 6 2 2 3" xfId="33111" xr:uid="{96B8D6EA-3E48-4AED-AA01-84520669FD4F}"/>
    <cellStyle name="Normal 5 4 6 2 2 4" xfId="16239" xr:uid="{0237720B-AFD5-4226-93BD-4607EEF4B464}"/>
    <cellStyle name="Normal 5 4 6 2 3" xfId="20459" xr:uid="{F82AA187-666C-4C59-871B-0642062FA6F1}"/>
    <cellStyle name="Normal 5 4 6 2 4" xfId="28894" xr:uid="{DE2161DF-5640-4012-872F-78DD1A48750A}"/>
    <cellStyle name="Normal 5 4 6 2 5" xfId="12021" xr:uid="{B9CF11B4-B791-47C3-93CE-B54DD9381501}"/>
    <cellStyle name="Normal 5 4 6 3" xfId="5655" xr:uid="{00000000-0005-0000-0000-0000411B0000}"/>
    <cellStyle name="Normal 5 4 6 3 2" xfId="22532" xr:uid="{596BA6FD-3EBF-443A-9521-9B2F76646D59}"/>
    <cellStyle name="Normal 5 4 6 3 3" xfId="30966" xr:uid="{2DEDCB8D-D835-4CB4-AB9B-0743536B11CE}"/>
    <cellStyle name="Normal 5 4 6 3 4" xfId="14094" xr:uid="{77CF92A9-EB43-4F6F-B1CE-85AEAD766FE7}"/>
    <cellStyle name="Normal 5 4 6 4" xfId="18314" xr:uid="{926EBDDB-0445-4B1F-B1BE-921049DC8A8D}"/>
    <cellStyle name="Normal 5 4 6 5" xfId="26749" xr:uid="{9C8169A8-8D9F-4818-B90A-11CE51671D9E}"/>
    <cellStyle name="Normal 5 4 6 6" xfId="9876" xr:uid="{9E0089AB-6818-4F78-BC01-F0D5AA7A18B9}"/>
    <cellStyle name="Normal 5 4 7" xfId="1760" xr:uid="{00000000-0005-0000-0000-0000421B0000}"/>
    <cellStyle name="Normal 5 4 7 2" xfId="3990" xr:uid="{00000000-0005-0000-0000-0000431B0000}"/>
    <cellStyle name="Normal 5 4 7 2 2" xfId="8213" xr:uid="{00000000-0005-0000-0000-0000441B0000}"/>
    <cellStyle name="Normal 5 4 7 2 2 2" xfId="25090" xr:uid="{91A05FDB-2A35-4D3A-8754-487704D0B283}"/>
    <cellStyle name="Normal 5 4 7 2 2 3" xfId="33524" xr:uid="{5D8B90FF-010B-4097-9883-B71B63BAC430}"/>
    <cellStyle name="Normal 5 4 7 2 2 4" xfId="16652" xr:uid="{4F1D327C-3A75-4673-AB29-E753A165B798}"/>
    <cellStyle name="Normal 5 4 7 2 3" xfId="20872" xr:uid="{0B157215-9C24-4F7D-A6CF-3F299F55A79E}"/>
    <cellStyle name="Normal 5 4 7 2 4" xfId="29307" xr:uid="{67D2998C-8675-4DF6-9F5F-9C7E30D04075}"/>
    <cellStyle name="Normal 5 4 7 2 5" xfId="12434" xr:uid="{BB6A8421-ACDD-4D56-A4A0-CD4BD96F2A91}"/>
    <cellStyle name="Normal 5 4 7 3" xfId="6068" xr:uid="{00000000-0005-0000-0000-0000451B0000}"/>
    <cellStyle name="Normal 5 4 7 3 2" xfId="22945" xr:uid="{A40AA807-F58D-4153-B215-E2E7BC0F3624}"/>
    <cellStyle name="Normal 5 4 7 3 3" xfId="31379" xr:uid="{715B3748-5914-44B4-BE4D-7A8D6EDC9E3A}"/>
    <cellStyle name="Normal 5 4 7 3 4" xfId="14507" xr:uid="{2504E952-2485-4ABB-A43F-2FA250BB1217}"/>
    <cellStyle name="Normal 5 4 7 4" xfId="18727" xr:uid="{EB843BFB-0E81-4248-BCD1-A44602224CF7}"/>
    <cellStyle name="Normal 5 4 7 5" xfId="27162" xr:uid="{AFA3D81B-4599-44B7-86F6-A97D001D8A49}"/>
    <cellStyle name="Normal 5 4 7 6" xfId="10289" xr:uid="{7B1DC758-AF2F-41B7-842B-929E047D81DD}"/>
    <cellStyle name="Normal 5 4 8" xfId="2174" xr:uid="{00000000-0005-0000-0000-0000461B0000}"/>
    <cellStyle name="Normal 5 4 8 2" xfId="4403" xr:uid="{00000000-0005-0000-0000-0000471B0000}"/>
    <cellStyle name="Normal 5 4 8 2 2" xfId="8626" xr:uid="{00000000-0005-0000-0000-0000481B0000}"/>
    <cellStyle name="Normal 5 4 8 2 2 2" xfId="25503" xr:uid="{42EB6D9B-3F81-4A43-A4A6-9D1E3E6F6D46}"/>
    <cellStyle name="Normal 5 4 8 2 2 3" xfId="33937" xr:uid="{5D23B117-86E2-4178-870E-EA417FDF5E11}"/>
    <cellStyle name="Normal 5 4 8 2 2 4" xfId="17065" xr:uid="{2AC8202F-4859-40B6-A17C-3770D5540C8B}"/>
    <cellStyle name="Normal 5 4 8 2 3" xfId="21285" xr:uid="{D32F3081-8D78-4921-B6EA-D4FD92E56683}"/>
    <cellStyle name="Normal 5 4 8 2 4" xfId="29720" xr:uid="{3AEF06BE-14FB-454B-96A6-7D5402FD3771}"/>
    <cellStyle name="Normal 5 4 8 2 5" xfId="12847" xr:uid="{2CA89BAB-968B-476B-9656-26638094C171}"/>
    <cellStyle name="Normal 5 4 8 3" xfId="6481" xr:uid="{00000000-0005-0000-0000-0000491B0000}"/>
    <cellStyle name="Normal 5 4 8 3 2" xfId="23358" xr:uid="{3C790792-654B-4C25-901E-63774FFB67FC}"/>
    <cellStyle name="Normal 5 4 8 3 3" xfId="31792" xr:uid="{835C5605-4489-415F-9BB4-3812058A2605}"/>
    <cellStyle name="Normal 5 4 8 3 4" xfId="14920" xr:uid="{B537168F-5053-4ADF-A224-F2E965481E9C}"/>
    <cellStyle name="Normal 5 4 8 4" xfId="19140" xr:uid="{A864F0E0-FDB2-4056-9612-127A40025157}"/>
    <cellStyle name="Normal 5 4 8 5" xfId="27575" xr:uid="{7A52A95F-B78C-48DF-9DF6-803EA787CD42}"/>
    <cellStyle name="Normal 5 4 8 6" xfId="10702" xr:uid="{B3EBFE09-BBD2-4931-BCE9-9490D6F6C92D}"/>
    <cellStyle name="Normal 5 4 9" xfId="2610" xr:uid="{00000000-0005-0000-0000-00004A1B0000}"/>
    <cellStyle name="Normal 5 4 9 2" xfId="6894" xr:uid="{00000000-0005-0000-0000-00004B1B0000}"/>
    <cellStyle name="Normal 5 4 9 2 2" xfId="23771" xr:uid="{52AEB0BA-93B9-452E-939F-75ADF358F92E}"/>
    <cellStyle name="Normal 5 4 9 2 3" xfId="32205" xr:uid="{61C49C70-6E29-459C-A536-2F59DDBFACFE}"/>
    <cellStyle name="Normal 5 4 9 2 4" xfId="15333" xr:uid="{B34D5AA5-4C46-4699-9FC8-5159B5F11BF3}"/>
    <cellStyle name="Normal 5 4 9 3" xfId="19553" xr:uid="{E10C5690-6009-4BD1-A664-8951669E3C73}"/>
    <cellStyle name="Normal 5 4 9 4" xfId="27988" xr:uid="{1D92227A-A860-435E-BC1B-E70158226287}"/>
    <cellStyle name="Normal 5 4 9 5" xfId="11115" xr:uid="{F5469452-E165-41A3-ABD8-92BD8AC1CEF5}"/>
    <cellStyle name="Normal 5 5" xfId="464" xr:uid="{00000000-0005-0000-0000-00004C1B0000}"/>
    <cellStyle name="Normal 5 5 10" xfId="17496" xr:uid="{1C81ED2D-26CA-40AA-9AEE-946463974F6D}"/>
    <cellStyle name="Normal 5 5 11" xfId="25931" xr:uid="{338F28E6-C0EC-4783-B7C7-EB78C48FE3A1}"/>
    <cellStyle name="Normal 5 5 12" xfId="9058" xr:uid="{6689BA3C-D254-42D1-90BE-881B05FC22A3}"/>
    <cellStyle name="Normal 5 5 2" xfId="465" xr:uid="{00000000-0005-0000-0000-00004D1B0000}"/>
    <cellStyle name="Normal 5 5 2 10" xfId="25932" xr:uid="{F1D95983-8032-4A0D-A331-698A8BD24CDF}"/>
    <cellStyle name="Normal 5 5 2 11" xfId="9059" xr:uid="{4BE92BA5-4D60-4B48-AA98-4C192AAA777B}"/>
    <cellStyle name="Normal 5 5 2 2" xfId="466" xr:uid="{00000000-0005-0000-0000-00004E1B0000}"/>
    <cellStyle name="Normal 5 5 2 2 10" xfId="9060" xr:uid="{9F39A72C-CDD8-4A7F-9165-5AD49A57D2EB}"/>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24274" xr:uid="{A88A4B4D-D286-409D-BA62-F5B9AC7ED53A}"/>
    <cellStyle name="Normal 5 5 2 2 2 2 2 3" xfId="32708" xr:uid="{B1EDA7E8-8CC4-4946-AC28-D68D24993A28}"/>
    <cellStyle name="Normal 5 5 2 2 2 2 2 4" xfId="15836" xr:uid="{B75F7D85-6BCB-42D5-8595-50AB9553C773}"/>
    <cellStyle name="Normal 5 5 2 2 2 2 3" xfId="20056" xr:uid="{51710F4B-5765-4C67-BA82-7070AE401815}"/>
    <cellStyle name="Normal 5 5 2 2 2 2 4" xfId="28491" xr:uid="{0F22EE70-6ABA-475D-B4CE-25C41C2424C5}"/>
    <cellStyle name="Normal 5 5 2 2 2 2 5" xfId="11618" xr:uid="{1C707896-DA46-40B8-A166-F021EEB03A6F}"/>
    <cellStyle name="Normal 5 5 2 2 2 3" xfId="5252" xr:uid="{00000000-0005-0000-0000-0000521B0000}"/>
    <cellStyle name="Normal 5 5 2 2 2 3 2" xfId="22129" xr:uid="{60954087-8752-4509-A6A7-95FF86AB71A6}"/>
    <cellStyle name="Normal 5 5 2 2 2 3 3" xfId="30563" xr:uid="{A1FA1DB0-F1A3-4319-B29B-CBACCE3929E7}"/>
    <cellStyle name="Normal 5 5 2 2 2 3 4" xfId="13691" xr:uid="{15C1D86A-14D8-4AD1-815F-ACDC0BD646E4}"/>
    <cellStyle name="Normal 5 5 2 2 2 4" xfId="17911" xr:uid="{38F316E2-7C93-4727-91E4-12F99FC7A7C8}"/>
    <cellStyle name="Normal 5 5 2 2 2 5" xfId="26346" xr:uid="{221C6C97-DFAA-45A2-8E27-C51DD14A4809}"/>
    <cellStyle name="Normal 5 5 2 2 2 6" xfId="9473" xr:uid="{29076D24-1C51-4DC9-A536-0B60139CBFDB}"/>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24687" xr:uid="{C7851E61-67B3-4146-8725-84DFAB430EC3}"/>
    <cellStyle name="Normal 5 5 2 2 3 2 2 3" xfId="33121" xr:uid="{1FDDB621-8A94-4BF0-B984-74E2A984D4D9}"/>
    <cellStyle name="Normal 5 5 2 2 3 2 2 4" xfId="16249" xr:uid="{5AA82192-CDBE-46E9-9155-311014B7A487}"/>
    <cellStyle name="Normal 5 5 2 2 3 2 3" xfId="20469" xr:uid="{AE1583D0-A877-41F4-968E-DA6EB98AB030}"/>
    <cellStyle name="Normal 5 5 2 2 3 2 4" xfId="28904" xr:uid="{E9A40E1C-6608-4FE1-A7F6-2039DE83B593}"/>
    <cellStyle name="Normal 5 5 2 2 3 2 5" xfId="12031" xr:uid="{EF49BD26-A7B3-4821-A733-D13E87A7AAEF}"/>
    <cellStyle name="Normal 5 5 2 2 3 3" xfId="5665" xr:uid="{00000000-0005-0000-0000-0000561B0000}"/>
    <cellStyle name="Normal 5 5 2 2 3 3 2" xfId="22542" xr:uid="{FB499633-FDD7-4564-B91F-1C7DC30FED93}"/>
    <cellStyle name="Normal 5 5 2 2 3 3 3" xfId="30976" xr:uid="{4947D9E5-4151-482F-B4BE-4CD7621EC2C6}"/>
    <cellStyle name="Normal 5 5 2 2 3 3 4" xfId="14104" xr:uid="{F8B769B5-4D6D-4695-9873-ECB40409C2D0}"/>
    <cellStyle name="Normal 5 5 2 2 3 4" xfId="18324" xr:uid="{FF325A05-5B8B-4D7F-8550-AB7621558609}"/>
    <cellStyle name="Normal 5 5 2 2 3 5" xfId="26759" xr:uid="{FA99FC68-1B79-480A-A09A-5FE928737AAE}"/>
    <cellStyle name="Normal 5 5 2 2 3 6" xfId="9886" xr:uid="{315E83BA-BE0F-4650-9872-7D16F8090F23}"/>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25100" xr:uid="{D3A47D3A-6B71-4EAF-A482-6AAA42931D7B}"/>
    <cellStyle name="Normal 5 5 2 2 4 2 2 3" xfId="33534" xr:uid="{EB0C860F-664B-42E4-978E-FD2FA31029F2}"/>
    <cellStyle name="Normal 5 5 2 2 4 2 2 4" xfId="16662" xr:uid="{483AD680-B8FE-4BE3-A83F-BC55DF7CCBD3}"/>
    <cellStyle name="Normal 5 5 2 2 4 2 3" xfId="20882" xr:uid="{98F13FAE-E9DD-4139-B533-B6BF6C9E0CAA}"/>
    <cellStyle name="Normal 5 5 2 2 4 2 4" xfId="29317" xr:uid="{9DF73C72-3EA2-4895-A6D6-7001B2FEB849}"/>
    <cellStyle name="Normal 5 5 2 2 4 2 5" xfId="12444" xr:uid="{1DCAE1F9-B207-44C2-9B14-C61404F7D0F3}"/>
    <cellStyle name="Normal 5 5 2 2 4 3" xfId="6078" xr:uid="{00000000-0005-0000-0000-00005A1B0000}"/>
    <cellStyle name="Normal 5 5 2 2 4 3 2" xfId="22955" xr:uid="{AEF8FCFF-0D25-405C-8DEB-96A7719CAC50}"/>
    <cellStyle name="Normal 5 5 2 2 4 3 3" xfId="31389" xr:uid="{E1EDF7BE-4561-4D2A-B8C7-25ACB8388A86}"/>
    <cellStyle name="Normal 5 5 2 2 4 3 4" xfId="14517" xr:uid="{B92E1856-D2AD-46BE-944D-FADA4F73263E}"/>
    <cellStyle name="Normal 5 5 2 2 4 4" xfId="18737" xr:uid="{C18D6A2E-C089-4287-A9AC-DB4D0BC870F4}"/>
    <cellStyle name="Normal 5 5 2 2 4 5" xfId="27172" xr:uid="{EC25700F-719C-44FB-8100-27A3398798AD}"/>
    <cellStyle name="Normal 5 5 2 2 4 6" xfId="10299" xr:uid="{CAF04FE7-96F5-44A7-AA61-01D3C1D1529E}"/>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25513" xr:uid="{6CD030DC-E90B-44B4-B21A-2195E2BC5873}"/>
    <cellStyle name="Normal 5 5 2 2 5 2 2 3" xfId="33947" xr:uid="{048B3E41-49A5-43F0-A780-A143FF6D61D3}"/>
    <cellStyle name="Normal 5 5 2 2 5 2 2 4" xfId="17075" xr:uid="{9055138F-5E96-4504-AD3A-DD4D2A597672}"/>
    <cellStyle name="Normal 5 5 2 2 5 2 3" xfId="21295" xr:uid="{1D830C11-F4F7-4217-A151-BF88DC406E16}"/>
    <cellStyle name="Normal 5 5 2 2 5 2 4" xfId="29730" xr:uid="{7696409F-888C-4F1F-9751-61C2CA290CBA}"/>
    <cellStyle name="Normal 5 5 2 2 5 2 5" xfId="12857" xr:uid="{6AA87260-8050-4B6F-A6FE-2BED6C3A5CC2}"/>
    <cellStyle name="Normal 5 5 2 2 5 3" xfId="6491" xr:uid="{00000000-0005-0000-0000-00005E1B0000}"/>
    <cellStyle name="Normal 5 5 2 2 5 3 2" xfId="23368" xr:uid="{09B3E3E6-1B52-4ED5-8973-20768F9A9014}"/>
    <cellStyle name="Normal 5 5 2 2 5 3 3" xfId="31802" xr:uid="{FFE8C628-2888-435E-B94C-8F2AEE27D8A9}"/>
    <cellStyle name="Normal 5 5 2 2 5 3 4" xfId="14930" xr:uid="{80B892AD-820C-4112-AA99-35A731CD228F}"/>
    <cellStyle name="Normal 5 5 2 2 5 4" xfId="19150" xr:uid="{8FBFB239-B1BA-412A-AEFA-097CC0103530}"/>
    <cellStyle name="Normal 5 5 2 2 5 5" xfId="27585" xr:uid="{EDD7E7F9-22D7-4785-986B-26FC6018C966}"/>
    <cellStyle name="Normal 5 5 2 2 5 6" xfId="10712" xr:uid="{A3C8F04B-D144-40A7-85D9-EC165CDDEBAD}"/>
    <cellStyle name="Normal 5 5 2 2 6" xfId="2620" xr:uid="{00000000-0005-0000-0000-00005F1B0000}"/>
    <cellStyle name="Normal 5 5 2 2 6 2" xfId="6904" xr:uid="{00000000-0005-0000-0000-0000601B0000}"/>
    <cellStyle name="Normal 5 5 2 2 6 2 2" xfId="23781" xr:uid="{9DE16E8D-77E6-4F83-8D11-83F2CBC48797}"/>
    <cellStyle name="Normal 5 5 2 2 6 2 3" xfId="32215" xr:uid="{07D02B9E-BB00-4C3F-8452-0E98A2339063}"/>
    <cellStyle name="Normal 5 5 2 2 6 2 4" xfId="15343" xr:uid="{3FC67D44-8668-4C1F-89D2-AF4CE1A5F625}"/>
    <cellStyle name="Normal 5 5 2 2 6 3" xfId="19563" xr:uid="{D72CD174-C68B-41B1-86D3-F446B012D3D4}"/>
    <cellStyle name="Normal 5 5 2 2 6 4" xfId="27998" xr:uid="{EAB0CC2D-6386-4E80-A712-46D4297B599A}"/>
    <cellStyle name="Normal 5 5 2 2 6 5" xfId="11125" xr:uid="{52BFD625-D13B-491C-B3AC-9F898F844134}"/>
    <cellStyle name="Normal 5 5 2 2 7" xfId="4839" xr:uid="{00000000-0005-0000-0000-0000611B0000}"/>
    <cellStyle name="Normal 5 5 2 2 7 2" xfId="21716" xr:uid="{BBC1BAA9-79CB-45CA-979A-3BCF36E464FF}"/>
    <cellStyle name="Normal 5 5 2 2 7 3" xfId="30150" xr:uid="{BDD58AD4-03A1-4278-B576-9DD2379AC8C7}"/>
    <cellStyle name="Normal 5 5 2 2 7 4" xfId="13278" xr:uid="{E07457BB-92CA-4E16-A6ED-E1291F3E89C5}"/>
    <cellStyle name="Normal 5 5 2 2 8" xfId="17498" xr:uid="{FD18BEB7-2670-451B-AD91-54C855829BD0}"/>
    <cellStyle name="Normal 5 5 2 2 9" xfId="25933" xr:uid="{67405D82-0CEE-4180-A4A6-2CE926AF4680}"/>
    <cellStyle name="Normal 5 5 2 3" xfId="939" xr:uid="{00000000-0005-0000-0000-0000621B0000}"/>
    <cellStyle name="Normal 5 5 2 3 2" xfId="3173" xr:uid="{00000000-0005-0000-0000-0000631B0000}"/>
    <cellStyle name="Normal 5 5 2 3 2 2" xfId="7396" xr:uid="{00000000-0005-0000-0000-0000641B0000}"/>
    <cellStyle name="Normal 5 5 2 3 2 2 2" xfId="24273" xr:uid="{6BAE0434-0E66-4BC6-9182-A41D099E8BCC}"/>
    <cellStyle name="Normal 5 5 2 3 2 2 3" xfId="32707" xr:uid="{5ECD9A2C-A1DF-47C4-AF64-3DBAB6CD5ABA}"/>
    <cellStyle name="Normal 5 5 2 3 2 2 4" xfId="15835" xr:uid="{89DFFFC2-B0AE-40FB-968F-25AC242F6400}"/>
    <cellStyle name="Normal 5 5 2 3 2 3" xfId="20055" xr:uid="{E4442D7E-33B3-42F1-8EA9-3887834D3A3B}"/>
    <cellStyle name="Normal 5 5 2 3 2 4" xfId="28490" xr:uid="{C2E5404F-5365-4656-BE9D-069A5C9B51CD}"/>
    <cellStyle name="Normal 5 5 2 3 2 5" xfId="11617" xr:uid="{F0EFF9DE-7C82-49B7-ADFA-2FEEFADF8BF7}"/>
    <cellStyle name="Normal 5 5 2 3 3" xfId="5251" xr:uid="{00000000-0005-0000-0000-0000651B0000}"/>
    <cellStyle name="Normal 5 5 2 3 3 2" xfId="22128" xr:uid="{D6E94D19-3BE2-4F92-9A76-04B6A0DD260E}"/>
    <cellStyle name="Normal 5 5 2 3 3 3" xfId="30562" xr:uid="{7BB34CEB-7832-48F1-8619-96B31B30E617}"/>
    <cellStyle name="Normal 5 5 2 3 3 4" xfId="13690" xr:uid="{3E8F18D3-4774-40F3-B251-DFD61DEB6EC9}"/>
    <cellStyle name="Normal 5 5 2 3 4" xfId="17910" xr:uid="{727B2D5C-77A6-482F-B5B1-7A6A196FC83D}"/>
    <cellStyle name="Normal 5 5 2 3 5" xfId="26345" xr:uid="{0EEAF9CF-EE14-450D-9A2D-ACBC8E71B2C1}"/>
    <cellStyle name="Normal 5 5 2 3 6" xfId="9472" xr:uid="{6C51C43D-0546-450A-A572-96A8BA1F37CE}"/>
    <cellStyle name="Normal 5 5 2 4" xfId="1356" xr:uid="{00000000-0005-0000-0000-0000661B0000}"/>
    <cellStyle name="Normal 5 5 2 4 2" xfId="3586" xr:uid="{00000000-0005-0000-0000-0000671B0000}"/>
    <cellStyle name="Normal 5 5 2 4 2 2" xfId="7809" xr:uid="{00000000-0005-0000-0000-0000681B0000}"/>
    <cellStyle name="Normal 5 5 2 4 2 2 2" xfId="24686" xr:uid="{63DCEB05-C943-45FD-A32D-A75EE0949999}"/>
    <cellStyle name="Normal 5 5 2 4 2 2 3" xfId="33120" xr:uid="{1AE492AF-BA0C-497D-B721-8A4FF372F451}"/>
    <cellStyle name="Normal 5 5 2 4 2 2 4" xfId="16248" xr:uid="{A38D1538-C93C-466E-9D5D-3D2255A07C8D}"/>
    <cellStyle name="Normal 5 5 2 4 2 3" xfId="20468" xr:uid="{F180EC6E-0AD5-4340-BB26-F838CC7903ED}"/>
    <cellStyle name="Normal 5 5 2 4 2 4" xfId="28903" xr:uid="{057F488F-1034-467C-A11B-469386C2A533}"/>
    <cellStyle name="Normal 5 5 2 4 2 5" xfId="12030" xr:uid="{22FB4B9E-D388-4E9F-B568-499C56A41892}"/>
    <cellStyle name="Normal 5 5 2 4 3" xfId="5664" xr:uid="{00000000-0005-0000-0000-0000691B0000}"/>
    <cellStyle name="Normal 5 5 2 4 3 2" xfId="22541" xr:uid="{06ABB710-1881-4ED2-B21D-42E0D62FF6D2}"/>
    <cellStyle name="Normal 5 5 2 4 3 3" xfId="30975" xr:uid="{D01152E8-96BE-4032-B50B-438045F53C43}"/>
    <cellStyle name="Normal 5 5 2 4 3 4" xfId="14103" xr:uid="{5E37B64B-2F36-4F51-AA6E-0DC86D92877B}"/>
    <cellStyle name="Normal 5 5 2 4 4" xfId="18323" xr:uid="{5B37F504-4281-4082-BC90-674C32B13805}"/>
    <cellStyle name="Normal 5 5 2 4 5" xfId="26758" xr:uid="{F9E4B562-5D8B-4AC2-9B07-C15B49070DF6}"/>
    <cellStyle name="Normal 5 5 2 4 6" xfId="9885" xr:uid="{325E851F-6966-41B1-B956-85E27040E12F}"/>
    <cellStyle name="Normal 5 5 2 5" xfId="1769" xr:uid="{00000000-0005-0000-0000-00006A1B0000}"/>
    <cellStyle name="Normal 5 5 2 5 2" xfId="3999" xr:uid="{00000000-0005-0000-0000-00006B1B0000}"/>
    <cellStyle name="Normal 5 5 2 5 2 2" xfId="8222" xr:uid="{00000000-0005-0000-0000-00006C1B0000}"/>
    <cellStyle name="Normal 5 5 2 5 2 2 2" xfId="25099" xr:uid="{7EC1EEB8-6280-4282-A555-A1D8F5DCC1B7}"/>
    <cellStyle name="Normal 5 5 2 5 2 2 3" xfId="33533" xr:uid="{9BC7E3F2-4922-4878-BA3C-9922E0E52B74}"/>
    <cellStyle name="Normal 5 5 2 5 2 2 4" xfId="16661" xr:uid="{F8AE2BEC-04B4-4484-8D57-335FDB285E05}"/>
    <cellStyle name="Normal 5 5 2 5 2 3" xfId="20881" xr:uid="{5F21E6A1-AE63-4453-8719-33DF4A9B4DAB}"/>
    <cellStyle name="Normal 5 5 2 5 2 4" xfId="29316" xr:uid="{BF6C3FD5-2845-4FEF-BCE1-AEFF03DF613F}"/>
    <cellStyle name="Normal 5 5 2 5 2 5" xfId="12443" xr:uid="{40491A4F-3CB9-498C-993A-4DA7B2CCE129}"/>
    <cellStyle name="Normal 5 5 2 5 3" xfId="6077" xr:uid="{00000000-0005-0000-0000-00006D1B0000}"/>
    <cellStyle name="Normal 5 5 2 5 3 2" xfId="22954" xr:uid="{EC2C1947-E4A2-4AA4-B440-EC5AA344498D}"/>
    <cellStyle name="Normal 5 5 2 5 3 3" xfId="31388" xr:uid="{4EE85B29-9E44-402C-BA48-B401E5E501EB}"/>
    <cellStyle name="Normal 5 5 2 5 3 4" xfId="14516" xr:uid="{1880AD0C-D836-42DB-A98E-181B7DAB5032}"/>
    <cellStyle name="Normal 5 5 2 5 4" xfId="18736" xr:uid="{0296B9D9-B9EC-468A-99AF-0E8B56CEDC25}"/>
    <cellStyle name="Normal 5 5 2 5 5" xfId="27171" xr:uid="{6B98DC29-F453-4D9A-926F-BFB6A0B3370B}"/>
    <cellStyle name="Normal 5 5 2 5 6" xfId="10298" xr:uid="{0D966EEB-09FA-4B08-8088-092304FA9E8E}"/>
    <cellStyle name="Normal 5 5 2 6" xfId="2183" xr:uid="{00000000-0005-0000-0000-00006E1B0000}"/>
    <cellStyle name="Normal 5 5 2 6 2" xfId="4412" xr:uid="{00000000-0005-0000-0000-00006F1B0000}"/>
    <cellStyle name="Normal 5 5 2 6 2 2" xfId="8635" xr:uid="{00000000-0005-0000-0000-0000701B0000}"/>
    <cellStyle name="Normal 5 5 2 6 2 2 2" xfId="25512" xr:uid="{A242EAD6-A376-47B4-9FF2-79B4DC84613C}"/>
    <cellStyle name="Normal 5 5 2 6 2 2 3" xfId="33946" xr:uid="{CF6BD274-902D-4B80-87C0-D3070D4F82DB}"/>
    <cellStyle name="Normal 5 5 2 6 2 2 4" xfId="17074" xr:uid="{4CC1A087-3370-406B-890B-D3D101AE47FB}"/>
    <cellStyle name="Normal 5 5 2 6 2 3" xfId="21294" xr:uid="{B5C5F9A3-D8F9-40DB-8791-53DFAC9C2DBC}"/>
    <cellStyle name="Normal 5 5 2 6 2 4" xfId="29729" xr:uid="{0C3CE79E-349D-4A92-8B43-662C7238F461}"/>
    <cellStyle name="Normal 5 5 2 6 2 5" xfId="12856" xr:uid="{4812F312-6074-43AF-B66A-E863752A3E0A}"/>
    <cellStyle name="Normal 5 5 2 6 3" xfId="6490" xr:uid="{00000000-0005-0000-0000-0000711B0000}"/>
    <cellStyle name="Normal 5 5 2 6 3 2" xfId="23367" xr:uid="{A98177F0-1835-4947-B90C-575111F20D2C}"/>
    <cellStyle name="Normal 5 5 2 6 3 3" xfId="31801" xr:uid="{A3DAEF76-A422-420A-856D-73C5833D45E3}"/>
    <cellStyle name="Normal 5 5 2 6 3 4" xfId="14929" xr:uid="{BFA95092-9E60-4FD2-BDBF-5C773451DBB6}"/>
    <cellStyle name="Normal 5 5 2 6 4" xfId="19149" xr:uid="{85E9B34A-E63C-4485-8469-FD4D0AC53267}"/>
    <cellStyle name="Normal 5 5 2 6 5" xfId="27584" xr:uid="{7C3A9BF1-AB9F-4857-8530-9D055394FC96}"/>
    <cellStyle name="Normal 5 5 2 6 6" xfId="10711" xr:uid="{E8228070-E43B-4B92-BBDE-9F2B53A44D16}"/>
    <cellStyle name="Normal 5 5 2 7" xfId="2619" xr:uid="{00000000-0005-0000-0000-0000721B0000}"/>
    <cellStyle name="Normal 5 5 2 7 2" xfId="6903" xr:uid="{00000000-0005-0000-0000-0000731B0000}"/>
    <cellStyle name="Normal 5 5 2 7 2 2" xfId="23780" xr:uid="{D7B45819-D8A4-4ECA-9C00-C11B8D8D0965}"/>
    <cellStyle name="Normal 5 5 2 7 2 3" xfId="32214" xr:uid="{FA19E3A2-5956-4B38-A822-D0EDC3C1C6FC}"/>
    <cellStyle name="Normal 5 5 2 7 2 4" xfId="15342" xr:uid="{8CAFED56-B8EF-468D-807C-B1BE3448F116}"/>
    <cellStyle name="Normal 5 5 2 7 3" xfId="19562" xr:uid="{662B38B0-9FBC-418E-ABCD-4D4A0A3BFDB7}"/>
    <cellStyle name="Normal 5 5 2 7 4" xfId="27997" xr:uid="{EBBD0854-A3CE-46D2-8309-D660BBA7BAEC}"/>
    <cellStyle name="Normal 5 5 2 7 5" xfId="11124" xr:uid="{29856D0A-AA44-4EF3-98C3-99B337659E77}"/>
    <cellStyle name="Normal 5 5 2 8" xfId="4838" xr:uid="{00000000-0005-0000-0000-0000741B0000}"/>
    <cellStyle name="Normal 5 5 2 8 2" xfId="21715" xr:uid="{FC3F6608-D92E-477D-B984-3031D8EE1365}"/>
    <cellStyle name="Normal 5 5 2 8 3" xfId="30149" xr:uid="{24AECA87-996D-4D70-9418-66D78C893A82}"/>
    <cellStyle name="Normal 5 5 2 8 4" xfId="13277" xr:uid="{7EE3B8B4-B0FD-4824-A86F-A9D07DE140EC}"/>
    <cellStyle name="Normal 5 5 2 9" xfId="17497" xr:uid="{952B6524-2B63-43B4-9FD9-7091986778AC}"/>
    <cellStyle name="Normal 5 5 3" xfId="467" xr:uid="{00000000-0005-0000-0000-0000751B0000}"/>
    <cellStyle name="Normal 5 5 3 10" xfId="9061" xr:uid="{6A51C517-1DCE-4A64-A7B0-94B81794E04B}"/>
    <cellStyle name="Normal 5 5 3 2" xfId="941" xr:uid="{00000000-0005-0000-0000-0000761B0000}"/>
    <cellStyle name="Normal 5 5 3 2 2" xfId="3175" xr:uid="{00000000-0005-0000-0000-0000771B0000}"/>
    <cellStyle name="Normal 5 5 3 2 2 2" xfId="7398" xr:uid="{00000000-0005-0000-0000-0000781B0000}"/>
    <cellStyle name="Normal 5 5 3 2 2 2 2" xfId="24275" xr:uid="{B33B0852-1F04-4E1F-8B9E-428E16973BB8}"/>
    <cellStyle name="Normal 5 5 3 2 2 2 3" xfId="32709" xr:uid="{7099E640-B12F-4F8E-B79A-19E096485A49}"/>
    <cellStyle name="Normal 5 5 3 2 2 2 4" xfId="15837" xr:uid="{7F906656-832A-48CC-B728-47DCAB94C9D6}"/>
    <cellStyle name="Normal 5 5 3 2 2 3" xfId="20057" xr:uid="{F30D0F06-B586-45E3-BE49-FD9327CFB0FD}"/>
    <cellStyle name="Normal 5 5 3 2 2 4" xfId="28492" xr:uid="{F7255311-CA91-49EF-837C-A0925242A31C}"/>
    <cellStyle name="Normal 5 5 3 2 2 5" xfId="11619" xr:uid="{AF66D901-D46C-46F2-8811-C717813F307A}"/>
    <cellStyle name="Normal 5 5 3 2 3" xfId="5253" xr:uid="{00000000-0005-0000-0000-0000791B0000}"/>
    <cellStyle name="Normal 5 5 3 2 3 2" xfId="22130" xr:uid="{902D49F8-412E-4DDE-85E6-961BE7E7465D}"/>
    <cellStyle name="Normal 5 5 3 2 3 3" xfId="30564" xr:uid="{FC2D1236-5B99-4891-AC6C-53F6825E1F1A}"/>
    <cellStyle name="Normal 5 5 3 2 3 4" xfId="13692" xr:uid="{35B26BCA-A61F-4F64-88C2-198600D4F49C}"/>
    <cellStyle name="Normal 5 5 3 2 4" xfId="17912" xr:uid="{ECAA1186-A8E1-443F-AFBB-293AE428F8A9}"/>
    <cellStyle name="Normal 5 5 3 2 5" xfId="26347" xr:uid="{6E2628F3-EB8F-49D0-B36F-E547397DD576}"/>
    <cellStyle name="Normal 5 5 3 2 6" xfId="9474" xr:uid="{F9B6A9F7-40C9-4F30-8F54-76816826998B}"/>
    <cellStyle name="Normal 5 5 3 3" xfId="1358" xr:uid="{00000000-0005-0000-0000-00007A1B0000}"/>
    <cellStyle name="Normal 5 5 3 3 2" xfId="3588" xr:uid="{00000000-0005-0000-0000-00007B1B0000}"/>
    <cellStyle name="Normal 5 5 3 3 2 2" xfId="7811" xr:uid="{00000000-0005-0000-0000-00007C1B0000}"/>
    <cellStyle name="Normal 5 5 3 3 2 2 2" xfId="24688" xr:uid="{37AD3B58-7E9A-4D13-A66F-F09DD58FB73A}"/>
    <cellStyle name="Normal 5 5 3 3 2 2 3" xfId="33122" xr:uid="{5894B934-A3E3-41A8-B70B-087BFD04FE68}"/>
    <cellStyle name="Normal 5 5 3 3 2 2 4" xfId="16250" xr:uid="{C9C4F054-5F74-4125-99BD-BD8D82DEEBE2}"/>
    <cellStyle name="Normal 5 5 3 3 2 3" xfId="20470" xr:uid="{490D054E-9FD9-455D-A293-0DBC62380D0B}"/>
    <cellStyle name="Normal 5 5 3 3 2 4" xfId="28905" xr:uid="{4CF31923-658B-4EFF-84C3-33DA574A2EAA}"/>
    <cellStyle name="Normal 5 5 3 3 2 5" xfId="12032" xr:uid="{7B766404-417C-4239-83E1-D404BCFB7263}"/>
    <cellStyle name="Normal 5 5 3 3 3" xfId="5666" xr:uid="{00000000-0005-0000-0000-00007D1B0000}"/>
    <cellStyle name="Normal 5 5 3 3 3 2" xfId="22543" xr:uid="{0316CD20-978B-451E-BA9B-C17518A0807E}"/>
    <cellStyle name="Normal 5 5 3 3 3 3" xfId="30977" xr:uid="{04C5393D-D8F2-4A8F-A44B-37C1B0DFFF3A}"/>
    <cellStyle name="Normal 5 5 3 3 3 4" xfId="14105" xr:uid="{A0100721-826A-438F-BD94-682F64DD709B}"/>
    <cellStyle name="Normal 5 5 3 3 4" xfId="18325" xr:uid="{88764C8F-317D-470D-8860-FA3515845D80}"/>
    <cellStyle name="Normal 5 5 3 3 5" xfId="26760" xr:uid="{6FD9C42E-5E75-484A-B3B1-9E7FD82C6DE8}"/>
    <cellStyle name="Normal 5 5 3 3 6" xfId="9887" xr:uid="{BB4FC0CB-6631-4EA2-BFBF-BC922C6821FC}"/>
    <cellStyle name="Normal 5 5 3 4" xfId="1771" xr:uid="{00000000-0005-0000-0000-00007E1B0000}"/>
    <cellStyle name="Normal 5 5 3 4 2" xfId="4001" xr:uid="{00000000-0005-0000-0000-00007F1B0000}"/>
    <cellStyle name="Normal 5 5 3 4 2 2" xfId="8224" xr:uid="{00000000-0005-0000-0000-0000801B0000}"/>
    <cellStyle name="Normal 5 5 3 4 2 2 2" xfId="25101" xr:uid="{25C81D91-DA0D-490C-8C5B-D5947C13BCBB}"/>
    <cellStyle name="Normal 5 5 3 4 2 2 3" xfId="33535" xr:uid="{29CD7F78-C3B4-4329-B2B3-E3E329BDB925}"/>
    <cellStyle name="Normal 5 5 3 4 2 2 4" xfId="16663" xr:uid="{9E8E3169-C8C2-4EB1-8266-B302B4DC65C9}"/>
    <cellStyle name="Normal 5 5 3 4 2 3" xfId="20883" xr:uid="{4828AC57-C2D6-42A5-AABC-686EA96C8D50}"/>
    <cellStyle name="Normal 5 5 3 4 2 4" xfId="29318" xr:uid="{0C5E02BE-3C2E-48F6-85C6-DEF34EF731E3}"/>
    <cellStyle name="Normal 5 5 3 4 2 5" xfId="12445" xr:uid="{66447E87-3CF7-4531-8E8C-2B37EB897D13}"/>
    <cellStyle name="Normal 5 5 3 4 3" xfId="6079" xr:uid="{00000000-0005-0000-0000-0000811B0000}"/>
    <cellStyle name="Normal 5 5 3 4 3 2" xfId="22956" xr:uid="{F62A4E5E-1C00-42C8-BB61-CE23846545EA}"/>
    <cellStyle name="Normal 5 5 3 4 3 3" xfId="31390" xr:uid="{38F269BE-9097-4C38-94D0-D2E515697B0C}"/>
    <cellStyle name="Normal 5 5 3 4 3 4" xfId="14518" xr:uid="{B17D628D-90A6-41A3-B138-4F04F7722002}"/>
    <cellStyle name="Normal 5 5 3 4 4" xfId="18738" xr:uid="{51E40513-ECE2-49E0-BA83-F220507C5DFF}"/>
    <cellStyle name="Normal 5 5 3 4 5" xfId="27173" xr:uid="{ABAC89C6-787C-423E-82C2-9B7B71BCF739}"/>
    <cellStyle name="Normal 5 5 3 4 6" xfId="10300" xr:uid="{813C33F7-7383-445E-938C-FAFB86CB291E}"/>
    <cellStyle name="Normal 5 5 3 5" xfId="2185" xr:uid="{00000000-0005-0000-0000-0000821B0000}"/>
    <cellStyle name="Normal 5 5 3 5 2" xfId="4414" xr:uid="{00000000-0005-0000-0000-0000831B0000}"/>
    <cellStyle name="Normal 5 5 3 5 2 2" xfId="8637" xr:uid="{00000000-0005-0000-0000-0000841B0000}"/>
    <cellStyle name="Normal 5 5 3 5 2 2 2" xfId="25514" xr:uid="{BC57CCAF-4C97-41E2-8FF1-90F8BF9479B7}"/>
    <cellStyle name="Normal 5 5 3 5 2 2 3" xfId="33948" xr:uid="{293E8373-66C0-48B9-9BBF-02C6160E2B6C}"/>
    <cellStyle name="Normal 5 5 3 5 2 2 4" xfId="17076" xr:uid="{292F19F7-7CE7-403C-8692-EDB8E91BA83D}"/>
    <cellStyle name="Normal 5 5 3 5 2 3" xfId="21296" xr:uid="{2E31389D-4341-4AC0-ADAF-73603AC778D5}"/>
    <cellStyle name="Normal 5 5 3 5 2 4" xfId="29731" xr:uid="{23805DB7-47A4-4927-BBA4-1BB2890BD4DC}"/>
    <cellStyle name="Normal 5 5 3 5 2 5" xfId="12858" xr:uid="{81145A41-134E-41CF-A7D8-7BB4A72664C3}"/>
    <cellStyle name="Normal 5 5 3 5 3" xfId="6492" xr:uid="{00000000-0005-0000-0000-0000851B0000}"/>
    <cellStyle name="Normal 5 5 3 5 3 2" xfId="23369" xr:uid="{D35BEC96-E270-4BA8-9D13-AC7F50EDCD33}"/>
    <cellStyle name="Normal 5 5 3 5 3 3" xfId="31803" xr:uid="{96E7430F-73BE-4683-AB92-FF264424C86D}"/>
    <cellStyle name="Normal 5 5 3 5 3 4" xfId="14931" xr:uid="{1CE87F3B-19D8-4895-BFEF-4D5E82E695F3}"/>
    <cellStyle name="Normal 5 5 3 5 4" xfId="19151" xr:uid="{6FF91EA4-32AA-43E7-8A62-220E63F75FF1}"/>
    <cellStyle name="Normal 5 5 3 5 5" xfId="27586" xr:uid="{C8B9C7D8-8E21-4939-AE19-1EB8D9D6D307}"/>
    <cellStyle name="Normal 5 5 3 5 6" xfId="10713" xr:uid="{B41FFAE6-8573-4B3C-8D54-31F6C05483AD}"/>
    <cellStyle name="Normal 5 5 3 6" xfId="2621" xr:uid="{00000000-0005-0000-0000-0000861B0000}"/>
    <cellStyle name="Normal 5 5 3 6 2" xfId="6905" xr:uid="{00000000-0005-0000-0000-0000871B0000}"/>
    <cellStyle name="Normal 5 5 3 6 2 2" xfId="23782" xr:uid="{3D3D3D09-F333-4A43-81DF-F57EE9D54030}"/>
    <cellStyle name="Normal 5 5 3 6 2 3" xfId="32216" xr:uid="{E9D7FB35-B513-42B3-BC10-F8677D0C1CEE}"/>
    <cellStyle name="Normal 5 5 3 6 2 4" xfId="15344" xr:uid="{6BDDE7A3-4FEB-4241-9315-0133909FC4A5}"/>
    <cellStyle name="Normal 5 5 3 6 3" xfId="19564" xr:uid="{836E216D-A3D6-4154-AB01-B733A09840C5}"/>
    <cellStyle name="Normal 5 5 3 6 4" xfId="27999" xr:uid="{14926B3E-025B-4A42-BD65-1E3233966D8B}"/>
    <cellStyle name="Normal 5 5 3 6 5" xfId="11126" xr:uid="{0812F531-E24E-4B28-9867-1E5024BEC710}"/>
    <cellStyle name="Normal 5 5 3 7" xfId="4840" xr:uid="{00000000-0005-0000-0000-0000881B0000}"/>
    <cellStyle name="Normal 5 5 3 7 2" xfId="21717" xr:uid="{C201697B-7902-4547-A34F-60D8C8D58285}"/>
    <cellStyle name="Normal 5 5 3 7 3" xfId="30151" xr:uid="{0D2398A9-6ADD-4E2D-B514-B384B65E3C8F}"/>
    <cellStyle name="Normal 5 5 3 7 4" xfId="13279" xr:uid="{85BAC0B2-6657-45B4-B21D-AD1AA267225F}"/>
    <cellStyle name="Normal 5 5 3 8" xfId="17499" xr:uid="{463BBDCB-60E7-431C-B57B-AB44A8445E7F}"/>
    <cellStyle name="Normal 5 5 3 9" xfId="25934" xr:uid="{0208A41F-C9A3-4F10-809C-43D42DA0B955}"/>
    <cellStyle name="Normal 5 5 4" xfId="938" xr:uid="{00000000-0005-0000-0000-0000891B0000}"/>
    <cellStyle name="Normal 5 5 4 2" xfId="3172" xr:uid="{00000000-0005-0000-0000-00008A1B0000}"/>
    <cellStyle name="Normal 5 5 4 2 2" xfId="7395" xr:uid="{00000000-0005-0000-0000-00008B1B0000}"/>
    <cellStyle name="Normal 5 5 4 2 2 2" xfId="24272" xr:uid="{97597E6A-0108-4E11-A630-138E53C17404}"/>
    <cellStyle name="Normal 5 5 4 2 2 3" xfId="32706" xr:uid="{FB5DDB6A-0985-4EF1-A3A7-8C8CD15BDD38}"/>
    <cellStyle name="Normal 5 5 4 2 2 4" xfId="15834" xr:uid="{EF75FF60-8707-4F81-B403-8596FD06C1F3}"/>
    <cellStyle name="Normal 5 5 4 2 3" xfId="20054" xr:uid="{58B06BED-6007-49BD-8F8B-125B660AFDFD}"/>
    <cellStyle name="Normal 5 5 4 2 4" xfId="28489" xr:uid="{B6E4046F-D5D3-4C0F-8419-DBE7F6EC9534}"/>
    <cellStyle name="Normal 5 5 4 2 5" xfId="11616" xr:uid="{C5ECE6F5-7DC3-43B4-800D-2EE3ADD6DA3C}"/>
    <cellStyle name="Normal 5 5 4 3" xfId="5250" xr:uid="{00000000-0005-0000-0000-00008C1B0000}"/>
    <cellStyle name="Normal 5 5 4 3 2" xfId="22127" xr:uid="{8CB21248-23CA-4B8B-8CBB-D6C58F829800}"/>
    <cellStyle name="Normal 5 5 4 3 3" xfId="30561" xr:uid="{0BF272B1-9FE7-48FE-B03E-21C05EEE2E24}"/>
    <cellStyle name="Normal 5 5 4 3 4" xfId="13689" xr:uid="{6CF3C9B9-F701-4B80-9630-695875A75F0C}"/>
    <cellStyle name="Normal 5 5 4 4" xfId="17909" xr:uid="{FA556018-50F2-4463-A56B-231131487F14}"/>
    <cellStyle name="Normal 5 5 4 5" xfId="26344" xr:uid="{0A67033F-6832-4775-96BE-736EF665ADCE}"/>
    <cellStyle name="Normal 5 5 4 6" xfId="9471" xr:uid="{41A29469-FBAC-4002-BD02-BF3A2691F9F8}"/>
    <cellStyle name="Normal 5 5 5" xfId="1355" xr:uid="{00000000-0005-0000-0000-00008D1B0000}"/>
    <cellStyle name="Normal 5 5 5 2" xfId="3585" xr:uid="{00000000-0005-0000-0000-00008E1B0000}"/>
    <cellStyle name="Normal 5 5 5 2 2" xfId="7808" xr:uid="{00000000-0005-0000-0000-00008F1B0000}"/>
    <cellStyle name="Normal 5 5 5 2 2 2" xfId="24685" xr:uid="{259E8732-F746-435B-9452-C8A0C87EAB4E}"/>
    <cellStyle name="Normal 5 5 5 2 2 3" xfId="33119" xr:uid="{6A3B9AF8-DA7B-4FF0-917E-CACE9FFB857C}"/>
    <cellStyle name="Normal 5 5 5 2 2 4" xfId="16247" xr:uid="{4068BC64-91EE-47F0-B89C-329A4D10D3F7}"/>
    <cellStyle name="Normal 5 5 5 2 3" xfId="20467" xr:uid="{1255BD39-1C3D-471F-9ECD-2E1FF881E205}"/>
    <cellStyle name="Normal 5 5 5 2 4" xfId="28902" xr:uid="{D06ADA01-51B2-4DEF-82C2-1E7BFAC4B256}"/>
    <cellStyle name="Normal 5 5 5 2 5" xfId="12029" xr:uid="{D94F14B2-EFC3-479A-A9F5-FED893764293}"/>
    <cellStyle name="Normal 5 5 5 3" xfId="5663" xr:uid="{00000000-0005-0000-0000-0000901B0000}"/>
    <cellStyle name="Normal 5 5 5 3 2" xfId="22540" xr:uid="{34E2D0FB-9A63-47F0-8999-5738BC21D040}"/>
    <cellStyle name="Normal 5 5 5 3 3" xfId="30974" xr:uid="{F3F1FFFD-AF0E-408F-AF3B-662F9344817E}"/>
    <cellStyle name="Normal 5 5 5 3 4" xfId="14102" xr:uid="{C9BFA28F-190D-4288-AEB0-D5C8B8DEDFDC}"/>
    <cellStyle name="Normal 5 5 5 4" xfId="18322" xr:uid="{ACC85D25-CF88-411F-8E9D-670C669A4C71}"/>
    <cellStyle name="Normal 5 5 5 5" xfId="26757" xr:uid="{8381DA76-F27D-4765-80C5-AF7360D6BB7B}"/>
    <cellStyle name="Normal 5 5 5 6" xfId="9884" xr:uid="{D05B5EA7-5181-4210-87D3-212177799060}"/>
    <cellStyle name="Normal 5 5 6" xfId="1768" xr:uid="{00000000-0005-0000-0000-0000911B0000}"/>
    <cellStyle name="Normal 5 5 6 2" xfId="3998" xr:uid="{00000000-0005-0000-0000-0000921B0000}"/>
    <cellStyle name="Normal 5 5 6 2 2" xfId="8221" xr:uid="{00000000-0005-0000-0000-0000931B0000}"/>
    <cellStyle name="Normal 5 5 6 2 2 2" xfId="25098" xr:uid="{BDB1422D-A3CC-44E9-BDBE-B930649687F8}"/>
    <cellStyle name="Normal 5 5 6 2 2 3" xfId="33532" xr:uid="{6F7694F5-4B1A-49DC-B37E-991388A0970C}"/>
    <cellStyle name="Normal 5 5 6 2 2 4" xfId="16660" xr:uid="{990549D9-2C66-4B59-9391-A3BFF4834654}"/>
    <cellStyle name="Normal 5 5 6 2 3" xfId="20880" xr:uid="{789095DD-4EFF-400B-A951-AD769C6469AC}"/>
    <cellStyle name="Normal 5 5 6 2 4" xfId="29315" xr:uid="{123397C1-C3DD-4D37-8A55-93856A6719CF}"/>
    <cellStyle name="Normal 5 5 6 2 5" xfId="12442" xr:uid="{462651B5-9270-4F05-8A07-0F94F947450E}"/>
    <cellStyle name="Normal 5 5 6 3" xfId="6076" xr:uid="{00000000-0005-0000-0000-0000941B0000}"/>
    <cellStyle name="Normal 5 5 6 3 2" xfId="22953" xr:uid="{B4F081AE-3480-404F-95F6-A29E4734B4EF}"/>
    <cellStyle name="Normal 5 5 6 3 3" xfId="31387" xr:uid="{C385EC69-8FA5-4BD0-84B4-0FF68EA5D82E}"/>
    <cellStyle name="Normal 5 5 6 3 4" xfId="14515" xr:uid="{B2D5F362-EFC8-4E02-8085-64167E00B7C7}"/>
    <cellStyle name="Normal 5 5 6 4" xfId="18735" xr:uid="{2F9769C2-0647-47B8-8586-CF22186FD7D9}"/>
    <cellStyle name="Normal 5 5 6 5" xfId="27170" xr:uid="{AE611DE7-49F8-4479-BBE5-898C5437049F}"/>
    <cellStyle name="Normal 5 5 6 6" xfId="10297" xr:uid="{5E1C601C-55B9-4A33-A449-BBB9D7833390}"/>
    <cellStyle name="Normal 5 5 7" xfId="2182" xr:uid="{00000000-0005-0000-0000-0000951B0000}"/>
    <cellStyle name="Normal 5 5 7 2" xfId="4411" xr:uid="{00000000-0005-0000-0000-0000961B0000}"/>
    <cellStyle name="Normal 5 5 7 2 2" xfId="8634" xr:uid="{00000000-0005-0000-0000-0000971B0000}"/>
    <cellStyle name="Normal 5 5 7 2 2 2" xfId="25511" xr:uid="{98E333D7-48AC-42AA-AEF0-E9574D36ABB0}"/>
    <cellStyle name="Normal 5 5 7 2 2 3" xfId="33945" xr:uid="{EA2FF1E1-2C5A-4DB8-BD2D-806057A04DB6}"/>
    <cellStyle name="Normal 5 5 7 2 2 4" xfId="17073" xr:uid="{1BA0BF07-8AF0-4A59-9E26-0D4125143750}"/>
    <cellStyle name="Normal 5 5 7 2 3" xfId="21293" xr:uid="{A7D9D109-092E-4C87-8977-BBE37311E39C}"/>
    <cellStyle name="Normal 5 5 7 2 4" xfId="29728" xr:uid="{D356F65A-71D7-4290-92E1-4395D7DBBCC0}"/>
    <cellStyle name="Normal 5 5 7 2 5" xfId="12855" xr:uid="{22784581-4DC5-42F1-8221-8383C26F8F31}"/>
    <cellStyle name="Normal 5 5 7 3" xfId="6489" xr:uid="{00000000-0005-0000-0000-0000981B0000}"/>
    <cellStyle name="Normal 5 5 7 3 2" xfId="23366" xr:uid="{33209307-A1AB-4459-83FE-38236E15CB3F}"/>
    <cellStyle name="Normal 5 5 7 3 3" xfId="31800" xr:uid="{E45CCE91-0667-49B0-B6C7-2C7B55332573}"/>
    <cellStyle name="Normal 5 5 7 3 4" xfId="14928" xr:uid="{701B5586-D649-4F35-972E-3754A5C8310A}"/>
    <cellStyle name="Normal 5 5 7 4" xfId="19148" xr:uid="{B815EF25-4446-4A5D-A005-12F15715E3D1}"/>
    <cellStyle name="Normal 5 5 7 5" xfId="27583" xr:uid="{2F4D5B72-97FE-466A-B583-3C36C97CBC2B}"/>
    <cellStyle name="Normal 5 5 7 6" xfId="10710" xr:uid="{3E7F9FEE-5A66-44D8-8E84-3BC9238197EC}"/>
    <cellStyle name="Normal 5 5 8" xfId="2618" xr:uid="{00000000-0005-0000-0000-0000991B0000}"/>
    <cellStyle name="Normal 5 5 8 2" xfId="6902" xr:uid="{00000000-0005-0000-0000-00009A1B0000}"/>
    <cellStyle name="Normal 5 5 8 2 2" xfId="23779" xr:uid="{967948C5-ACBF-4B58-ADCB-58D823608A39}"/>
    <cellStyle name="Normal 5 5 8 2 3" xfId="32213" xr:uid="{0CE38EA7-9668-405D-A4C8-D0CA0C99B921}"/>
    <cellStyle name="Normal 5 5 8 2 4" xfId="15341" xr:uid="{9382141D-0829-4A89-9E83-1BAC63C47290}"/>
    <cellStyle name="Normal 5 5 8 3" xfId="19561" xr:uid="{55D870F3-B700-425C-8D2D-CF3F256C9355}"/>
    <cellStyle name="Normal 5 5 8 4" xfId="27996" xr:uid="{642DD610-36FD-499C-B371-578D27BBB846}"/>
    <cellStyle name="Normal 5 5 8 5" xfId="11123" xr:uid="{C98D13C6-83DF-459C-A2CC-3A7639998181}"/>
    <cellStyle name="Normal 5 5 9" xfId="4837" xr:uid="{00000000-0005-0000-0000-00009B1B0000}"/>
    <cellStyle name="Normal 5 5 9 2" xfId="21714" xr:uid="{85DAE8D9-7291-45B7-9FD9-931820E39BE7}"/>
    <cellStyle name="Normal 5 5 9 3" xfId="30148" xr:uid="{6E2802E9-420A-41CB-A5FD-EAADA1117406}"/>
    <cellStyle name="Normal 5 5 9 4" xfId="13276" xr:uid="{4D3ABF12-27DD-4135-A1C0-171A108BC846}"/>
    <cellStyle name="Normal 5 6" xfId="468" xr:uid="{00000000-0005-0000-0000-00009C1B0000}"/>
    <cellStyle name="Normal 5 6 10" xfId="25935" xr:uid="{3CE22E43-5E14-4E72-9CA6-30AB6106A4BD}"/>
    <cellStyle name="Normal 5 6 11" xfId="9062" xr:uid="{D80A1FA2-E54E-4B6B-BFC1-080D014F6A27}"/>
    <cellStyle name="Normal 5 6 2" xfId="469" xr:uid="{00000000-0005-0000-0000-00009D1B0000}"/>
    <cellStyle name="Normal 5 6 2 10" xfId="9063" xr:uid="{E2337643-B81F-4918-997F-22657804471D}"/>
    <cellStyle name="Normal 5 6 2 2" xfId="943" xr:uid="{00000000-0005-0000-0000-00009E1B0000}"/>
    <cellStyle name="Normal 5 6 2 2 2" xfId="3177" xr:uid="{00000000-0005-0000-0000-00009F1B0000}"/>
    <cellStyle name="Normal 5 6 2 2 2 2" xfId="7400" xr:uid="{00000000-0005-0000-0000-0000A01B0000}"/>
    <cellStyle name="Normal 5 6 2 2 2 2 2" xfId="24277" xr:uid="{A770834D-9179-40DD-9D45-C1F5EE72112B}"/>
    <cellStyle name="Normal 5 6 2 2 2 2 3" xfId="32711" xr:uid="{4F15B891-230B-45A2-B292-5E602A02AA01}"/>
    <cellStyle name="Normal 5 6 2 2 2 2 4" xfId="15839" xr:uid="{4CC28EE0-0DCD-462C-A2BD-E078B1C6C3FE}"/>
    <cellStyle name="Normal 5 6 2 2 2 3" xfId="20059" xr:uid="{086042AD-EC90-4AB5-BF02-38F8DF878649}"/>
    <cellStyle name="Normal 5 6 2 2 2 4" xfId="28494" xr:uid="{DE8F7DDC-5D48-4326-8AF9-76E3C0DAFAFD}"/>
    <cellStyle name="Normal 5 6 2 2 2 5" xfId="11621" xr:uid="{51B0A958-925C-4DFB-A578-D3F430E47F6F}"/>
    <cellStyle name="Normal 5 6 2 2 3" xfId="5255" xr:uid="{00000000-0005-0000-0000-0000A11B0000}"/>
    <cellStyle name="Normal 5 6 2 2 3 2" xfId="22132" xr:uid="{18409085-5ACA-4C62-A0E4-9F60A09F99A1}"/>
    <cellStyle name="Normal 5 6 2 2 3 3" xfId="30566" xr:uid="{7DBDDBEE-4FE8-449A-A8AC-B9C0327508C2}"/>
    <cellStyle name="Normal 5 6 2 2 3 4" xfId="13694" xr:uid="{477E4252-B104-4FC1-9D04-B42B06E09D34}"/>
    <cellStyle name="Normal 5 6 2 2 4" xfId="17914" xr:uid="{AC2B8D54-35CD-4990-B2F5-895E4B559B38}"/>
    <cellStyle name="Normal 5 6 2 2 5" xfId="26349" xr:uid="{2DBEB24C-A0DE-4BD9-8C90-266CFFB05AC5}"/>
    <cellStyle name="Normal 5 6 2 2 6" xfId="9476" xr:uid="{173DED45-93AB-4966-8AAC-A064141AFAB0}"/>
    <cellStyle name="Normal 5 6 2 3" xfId="1360" xr:uid="{00000000-0005-0000-0000-0000A21B0000}"/>
    <cellStyle name="Normal 5 6 2 3 2" xfId="3590" xr:uid="{00000000-0005-0000-0000-0000A31B0000}"/>
    <cellStyle name="Normal 5 6 2 3 2 2" xfId="7813" xr:uid="{00000000-0005-0000-0000-0000A41B0000}"/>
    <cellStyle name="Normal 5 6 2 3 2 2 2" xfId="24690" xr:uid="{6D41D78D-C523-479D-A411-1AD31E08A5EB}"/>
    <cellStyle name="Normal 5 6 2 3 2 2 3" xfId="33124" xr:uid="{415C6CEA-07AF-421D-A482-FF2D87FC9854}"/>
    <cellStyle name="Normal 5 6 2 3 2 2 4" xfId="16252" xr:uid="{7AE37746-9BC5-4CC5-B414-A50398FA50D1}"/>
    <cellStyle name="Normal 5 6 2 3 2 3" xfId="20472" xr:uid="{7B149D10-54E7-4B48-9007-AE1722ED7906}"/>
    <cellStyle name="Normal 5 6 2 3 2 4" xfId="28907" xr:uid="{E3800D1A-61FE-4102-BD64-735A387B18D0}"/>
    <cellStyle name="Normal 5 6 2 3 2 5" xfId="12034" xr:uid="{0CD6050D-9247-4451-85AE-BDCB94228D97}"/>
    <cellStyle name="Normal 5 6 2 3 3" xfId="5668" xr:uid="{00000000-0005-0000-0000-0000A51B0000}"/>
    <cellStyle name="Normal 5 6 2 3 3 2" xfId="22545" xr:uid="{B312D3E9-79FD-4F14-86E7-0AAD49D63902}"/>
    <cellStyle name="Normal 5 6 2 3 3 3" xfId="30979" xr:uid="{71124684-962F-4F40-B41A-2B7F6345BA04}"/>
    <cellStyle name="Normal 5 6 2 3 3 4" xfId="14107" xr:uid="{601F21F5-C1CE-4B5B-8409-E689A98D794A}"/>
    <cellStyle name="Normal 5 6 2 3 4" xfId="18327" xr:uid="{5705EBC0-1694-4D9E-A806-D31AC351582E}"/>
    <cellStyle name="Normal 5 6 2 3 5" xfId="26762" xr:uid="{8E4BC3F7-C123-4481-9C33-623520636CD2}"/>
    <cellStyle name="Normal 5 6 2 3 6" xfId="9889" xr:uid="{5AB31F8B-A155-4A99-BB3E-4CE178E3759D}"/>
    <cellStyle name="Normal 5 6 2 4" xfId="1773" xr:uid="{00000000-0005-0000-0000-0000A61B0000}"/>
    <cellStyle name="Normal 5 6 2 4 2" xfId="4003" xr:uid="{00000000-0005-0000-0000-0000A71B0000}"/>
    <cellStyle name="Normal 5 6 2 4 2 2" xfId="8226" xr:uid="{00000000-0005-0000-0000-0000A81B0000}"/>
    <cellStyle name="Normal 5 6 2 4 2 2 2" xfId="25103" xr:uid="{0B97C17F-5FE8-48C7-8D90-8452678D270C}"/>
    <cellStyle name="Normal 5 6 2 4 2 2 3" xfId="33537" xr:uid="{48624D6E-7F51-45B5-A3C1-AD245F5594D2}"/>
    <cellStyle name="Normal 5 6 2 4 2 2 4" xfId="16665" xr:uid="{5CD9537E-DBDE-4114-B475-75483609FB88}"/>
    <cellStyle name="Normal 5 6 2 4 2 3" xfId="20885" xr:uid="{30A8EBAC-1687-4AC9-860F-5B9B59B8B7BB}"/>
    <cellStyle name="Normal 5 6 2 4 2 4" xfId="29320" xr:uid="{2FC5C252-D119-4021-ACF0-222DB764C5FC}"/>
    <cellStyle name="Normal 5 6 2 4 2 5" xfId="12447" xr:uid="{3A9F7111-A3D1-4B6C-8D4B-3D1C50DEAC75}"/>
    <cellStyle name="Normal 5 6 2 4 3" xfId="6081" xr:uid="{00000000-0005-0000-0000-0000A91B0000}"/>
    <cellStyle name="Normal 5 6 2 4 3 2" xfId="22958" xr:uid="{6E4CA7CD-741C-45A2-916C-3D60ACF1E203}"/>
    <cellStyle name="Normal 5 6 2 4 3 3" xfId="31392" xr:uid="{09EF30D0-34A1-479C-9F5F-585EE3EF9CA1}"/>
    <cellStyle name="Normal 5 6 2 4 3 4" xfId="14520" xr:uid="{B18ECB54-8B4A-4413-9937-C9FC57B02B7F}"/>
    <cellStyle name="Normal 5 6 2 4 4" xfId="18740" xr:uid="{C2CA9F86-E049-45C8-B105-E22010D80506}"/>
    <cellStyle name="Normal 5 6 2 4 5" xfId="27175" xr:uid="{56117087-E25D-4A42-B02E-8BFD5E246F4C}"/>
    <cellStyle name="Normal 5 6 2 4 6" xfId="10302" xr:uid="{7F6BEC65-6696-4F59-B330-E0A4B9166C91}"/>
    <cellStyle name="Normal 5 6 2 5" xfId="2187" xr:uid="{00000000-0005-0000-0000-0000AA1B0000}"/>
    <cellStyle name="Normal 5 6 2 5 2" xfId="4416" xr:uid="{00000000-0005-0000-0000-0000AB1B0000}"/>
    <cellStyle name="Normal 5 6 2 5 2 2" xfId="8639" xr:uid="{00000000-0005-0000-0000-0000AC1B0000}"/>
    <cellStyle name="Normal 5 6 2 5 2 2 2" xfId="25516" xr:uid="{12330298-CA78-4E07-B0C8-23BD9118A769}"/>
    <cellStyle name="Normal 5 6 2 5 2 2 3" xfId="33950" xr:uid="{876E874D-4518-470A-962C-345924F0BBEA}"/>
    <cellStyle name="Normal 5 6 2 5 2 2 4" xfId="17078" xr:uid="{9C37195B-B2D8-43A4-820F-BC6D163B1646}"/>
    <cellStyle name="Normal 5 6 2 5 2 3" xfId="21298" xr:uid="{D32BB1D5-E51D-41D3-B913-8D080ADB17F1}"/>
    <cellStyle name="Normal 5 6 2 5 2 4" xfId="29733" xr:uid="{4FD338CB-F4A5-43E8-9BA7-793A470C88E2}"/>
    <cellStyle name="Normal 5 6 2 5 2 5" xfId="12860" xr:uid="{98A5F798-ECF8-4277-A04C-EA4B9E8C640B}"/>
    <cellStyle name="Normal 5 6 2 5 3" xfId="6494" xr:uid="{00000000-0005-0000-0000-0000AD1B0000}"/>
    <cellStyle name="Normal 5 6 2 5 3 2" xfId="23371" xr:uid="{59544DCB-9194-456B-853A-E9AFC44DF83B}"/>
    <cellStyle name="Normal 5 6 2 5 3 3" xfId="31805" xr:uid="{FECCB682-166B-4AA9-9CD1-FD88BA447AF0}"/>
    <cellStyle name="Normal 5 6 2 5 3 4" xfId="14933" xr:uid="{56B83761-D634-4256-AB6D-CEB3669E8B46}"/>
    <cellStyle name="Normal 5 6 2 5 4" xfId="19153" xr:uid="{658A950B-574D-4D81-B840-FBA52D9EA52F}"/>
    <cellStyle name="Normal 5 6 2 5 5" xfId="27588" xr:uid="{FE7F9C26-7240-4BD2-8989-5F5486738B61}"/>
    <cellStyle name="Normal 5 6 2 5 6" xfId="10715" xr:uid="{CAD0CDAC-D1E1-4D6B-9139-26D41A5B5C45}"/>
    <cellStyle name="Normal 5 6 2 6" xfId="2623" xr:uid="{00000000-0005-0000-0000-0000AE1B0000}"/>
    <cellStyle name="Normal 5 6 2 6 2" xfId="6907" xr:uid="{00000000-0005-0000-0000-0000AF1B0000}"/>
    <cellStyle name="Normal 5 6 2 6 2 2" xfId="23784" xr:uid="{73DE9BD5-06FC-4758-A18C-569407A1FED8}"/>
    <cellStyle name="Normal 5 6 2 6 2 3" xfId="32218" xr:uid="{1011748F-DA1D-47E3-8838-DCE2556778AB}"/>
    <cellStyle name="Normal 5 6 2 6 2 4" xfId="15346" xr:uid="{8DE77C55-AD8C-47DC-80F3-0E748CC0AC66}"/>
    <cellStyle name="Normal 5 6 2 6 3" xfId="19566" xr:uid="{5F905E20-F28F-4D78-BA81-7161947C3FA5}"/>
    <cellStyle name="Normal 5 6 2 6 4" xfId="28001" xr:uid="{E6D0B190-46F9-4293-BDAC-18B0073448F2}"/>
    <cellStyle name="Normal 5 6 2 6 5" xfId="11128" xr:uid="{AE4F4701-721E-47D9-9596-B2C35C877BAD}"/>
    <cellStyle name="Normal 5 6 2 7" xfId="4842" xr:uid="{00000000-0005-0000-0000-0000B01B0000}"/>
    <cellStyle name="Normal 5 6 2 7 2" xfId="21719" xr:uid="{6921D44C-4EF3-42A9-8136-FAF48D63487C}"/>
    <cellStyle name="Normal 5 6 2 7 3" xfId="30153" xr:uid="{A3412CBE-6192-4BA1-A1E5-497C5FACB071}"/>
    <cellStyle name="Normal 5 6 2 7 4" xfId="13281" xr:uid="{0384AAE2-DC42-492A-8842-6CB9BB62CB6B}"/>
    <cellStyle name="Normal 5 6 2 8" xfId="17501" xr:uid="{A4850375-BDCB-415B-946D-C5AE5BFA386E}"/>
    <cellStyle name="Normal 5 6 2 9" xfId="25936" xr:uid="{A6AAE79A-AFFD-44B7-A712-C0A0B29FAF87}"/>
    <cellStyle name="Normal 5 6 3" xfId="942" xr:uid="{00000000-0005-0000-0000-0000B11B0000}"/>
    <cellStyle name="Normal 5 6 3 2" xfId="3176" xr:uid="{00000000-0005-0000-0000-0000B21B0000}"/>
    <cellStyle name="Normal 5 6 3 2 2" xfId="7399" xr:uid="{00000000-0005-0000-0000-0000B31B0000}"/>
    <cellStyle name="Normal 5 6 3 2 2 2" xfId="24276" xr:uid="{DFD86D15-CCB9-4432-94BF-89C0BA1269C8}"/>
    <cellStyle name="Normal 5 6 3 2 2 3" xfId="32710" xr:uid="{72748DA9-D722-4801-A55A-C0895130867D}"/>
    <cellStyle name="Normal 5 6 3 2 2 4" xfId="15838" xr:uid="{0B358F15-4FE3-43C1-A74D-70CB7309F338}"/>
    <cellStyle name="Normal 5 6 3 2 3" xfId="20058" xr:uid="{0CC2955C-351D-4373-B02B-13B8C4D46C87}"/>
    <cellStyle name="Normal 5 6 3 2 4" xfId="28493" xr:uid="{056FC0D5-DEE7-40B5-A504-A9043D646998}"/>
    <cellStyle name="Normal 5 6 3 2 5" xfId="11620" xr:uid="{865D41C6-D0BE-47D1-848D-C0AF90D2A7AC}"/>
    <cellStyle name="Normal 5 6 3 3" xfId="5254" xr:uid="{00000000-0005-0000-0000-0000B41B0000}"/>
    <cellStyle name="Normal 5 6 3 3 2" xfId="22131" xr:uid="{DF7399C9-DA39-4902-B268-7DC70C0E6948}"/>
    <cellStyle name="Normal 5 6 3 3 3" xfId="30565" xr:uid="{0F1DA494-BEA4-4A6D-96C6-FCE6D97ED11C}"/>
    <cellStyle name="Normal 5 6 3 3 4" xfId="13693" xr:uid="{84AC46AE-8B6B-48C4-89F9-A8379EB97903}"/>
    <cellStyle name="Normal 5 6 3 4" xfId="17913" xr:uid="{1D6FF8EC-6E82-4216-A5C0-C9563EE1E94B}"/>
    <cellStyle name="Normal 5 6 3 5" xfId="26348" xr:uid="{6B386288-A5C2-4E40-BEAE-405C006080DA}"/>
    <cellStyle name="Normal 5 6 3 6" xfId="9475" xr:uid="{90AD5933-BEBD-4E87-9FB8-DC997C2C9FF5}"/>
    <cellStyle name="Normal 5 6 4" xfId="1359" xr:uid="{00000000-0005-0000-0000-0000B51B0000}"/>
    <cellStyle name="Normal 5 6 4 2" xfId="3589" xr:uid="{00000000-0005-0000-0000-0000B61B0000}"/>
    <cellStyle name="Normal 5 6 4 2 2" xfId="7812" xr:uid="{00000000-0005-0000-0000-0000B71B0000}"/>
    <cellStyle name="Normal 5 6 4 2 2 2" xfId="24689" xr:uid="{392B8279-3BC4-4B9E-B615-0EBBF029ADCF}"/>
    <cellStyle name="Normal 5 6 4 2 2 3" xfId="33123" xr:uid="{23956548-6DBF-4A45-B41B-42A0F1DBCD47}"/>
    <cellStyle name="Normal 5 6 4 2 2 4" xfId="16251" xr:uid="{0039CA6B-ECBB-4AAE-9C2D-B48BE2221248}"/>
    <cellStyle name="Normal 5 6 4 2 3" xfId="20471" xr:uid="{7AE7DA81-1292-4519-9FF9-A56D21929A2B}"/>
    <cellStyle name="Normal 5 6 4 2 4" xfId="28906" xr:uid="{2F85382E-4D69-4D69-B6AB-4FC463E90179}"/>
    <cellStyle name="Normal 5 6 4 2 5" xfId="12033" xr:uid="{E8B17FB9-5334-43F3-8709-6F0EF00E7878}"/>
    <cellStyle name="Normal 5 6 4 3" xfId="5667" xr:uid="{00000000-0005-0000-0000-0000B81B0000}"/>
    <cellStyle name="Normal 5 6 4 3 2" xfId="22544" xr:uid="{35E97EC7-529A-47EA-9CE8-A965888EA801}"/>
    <cellStyle name="Normal 5 6 4 3 3" xfId="30978" xr:uid="{A3C4F22D-9C9C-4CCE-B64F-418BCAB1125F}"/>
    <cellStyle name="Normal 5 6 4 3 4" xfId="14106" xr:uid="{57EEE6E4-D5AE-465E-B194-BA1474E55202}"/>
    <cellStyle name="Normal 5 6 4 4" xfId="18326" xr:uid="{38C49E22-C552-4E32-A50E-0499401CC24C}"/>
    <cellStyle name="Normal 5 6 4 5" xfId="26761" xr:uid="{63C5D04E-3373-47D7-93AF-E5412879EEAF}"/>
    <cellStyle name="Normal 5 6 4 6" xfId="9888" xr:uid="{15ABA347-4273-44BE-87E2-C5265B8F95CF}"/>
    <cellStyle name="Normal 5 6 5" xfId="1772" xr:uid="{00000000-0005-0000-0000-0000B91B0000}"/>
    <cellStyle name="Normal 5 6 5 2" xfId="4002" xr:uid="{00000000-0005-0000-0000-0000BA1B0000}"/>
    <cellStyle name="Normal 5 6 5 2 2" xfId="8225" xr:uid="{00000000-0005-0000-0000-0000BB1B0000}"/>
    <cellStyle name="Normal 5 6 5 2 2 2" xfId="25102" xr:uid="{84D89A92-4C13-4097-B050-84E48872A471}"/>
    <cellStyle name="Normal 5 6 5 2 2 3" xfId="33536" xr:uid="{2498A31F-F4BD-48F5-BC79-E35FA143796A}"/>
    <cellStyle name="Normal 5 6 5 2 2 4" xfId="16664" xr:uid="{07E13E0F-508E-4CEE-AC44-B1C2EA90F0EF}"/>
    <cellStyle name="Normal 5 6 5 2 3" xfId="20884" xr:uid="{DEB5B0B8-FC8F-4D98-883D-F98CFEFBDF51}"/>
    <cellStyle name="Normal 5 6 5 2 4" xfId="29319" xr:uid="{5C6A8182-12AE-41A7-868F-D3B2AD3DB605}"/>
    <cellStyle name="Normal 5 6 5 2 5" xfId="12446" xr:uid="{A06D2EBB-A5AB-44EE-A6B3-DD373828F1C5}"/>
    <cellStyle name="Normal 5 6 5 3" xfId="6080" xr:uid="{00000000-0005-0000-0000-0000BC1B0000}"/>
    <cellStyle name="Normal 5 6 5 3 2" xfId="22957" xr:uid="{8DAF920A-6BA9-4B30-A748-E929B44327BE}"/>
    <cellStyle name="Normal 5 6 5 3 3" xfId="31391" xr:uid="{6D64DF8D-8AB9-458D-AC2B-6E85BB0E66EB}"/>
    <cellStyle name="Normal 5 6 5 3 4" xfId="14519" xr:uid="{175D3FE2-D977-4EEF-9F5E-27DD43A87D54}"/>
    <cellStyle name="Normal 5 6 5 4" xfId="18739" xr:uid="{CB41A8C7-4E1F-46E1-BCDE-73AA49C44762}"/>
    <cellStyle name="Normal 5 6 5 5" xfId="27174" xr:uid="{1E1D2C92-D30C-4FD7-AEF0-7EF4A693017E}"/>
    <cellStyle name="Normal 5 6 5 6" xfId="10301" xr:uid="{C1D3EE89-39F3-4A2F-B521-07FA9DD467F2}"/>
    <cellStyle name="Normal 5 6 6" xfId="2186" xr:uid="{00000000-0005-0000-0000-0000BD1B0000}"/>
    <cellStyle name="Normal 5 6 6 2" xfId="4415" xr:uid="{00000000-0005-0000-0000-0000BE1B0000}"/>
    <cellStyle name="Normal 5 6 6 2 2" xfId="8638" xr:uid="{00000000-0005-0000-0000-0000BF1B0000}"/>
    <cellStyle name="Normal 5 6 6 2 2 2" xfId="25515" xr:uid="{2EFD8625-0BCB-41C8-AE97-B2C56EFCF160}"/>
    <cellStyle name="Normal 5 6 6 2 2 3" xfId="33949" xr:uid="{798D58D4-C056-4C0B-9C1F-03CF3639150C}"/>
    <cellStyle name="Normal 5 6 6 2 2 4" xfId="17077" xr:uid="{4A804C03-47D5-49C2-A191-37F8FBB61D21}"/>
    <cellStyle name="Normal 5 6 6 2 3" xfId="21297" xr:uid="{6C3B4858-B829-4ECC-A244-981C605B11C2}"/>
    <cellStyle name="Normal 5 6 6 2 4" xfId="29732" xr:uid="{CD60C80F-F3F4-4262-A5CA-F88733DC7CB3}"/>
    <cellStyle name="Normal 5 6 6 2 5" xfId="12859" xr:uid="{FB10E294-F989-4D71-A933-39EB5FCF7357}"/>
    <cellStyle name="Normal 5 6 6 3" xfId="6493" xr:uid="{00000000-0005-0000-0000-0000C01B0000}"/>
    <cellStyle name="Normal 5 6 6 3 2" xfId="23370" xr:uid="{CDEF074A-FDDC-48F6-ADD6-9F875850215C}"/>
    <cellStyle name="Normal 5 6 6 3 3" xfId="31804" xr:uid="{3116131D-5952-4D88-B78B-61468189AD4D}"/>
    <cellStyle name="Normal 5 6 6 3 4" xfId="14932" xr:uid="{7EEC53F3-B2B1-41C2-A58F-3C39729D1FDC}"/>
    <cellStyle name="Normal 5 6 6 4" xfId="19152" xr:uid="{8A7DDFB3-AEB5-4473-870A-FE8298E4E58E}"/>
    <cellStyle name="Normal 5 6 6 5" xfId="27587" xr:uid="{C45504B0-FA6B-4F08-857D-FBD7863A7894}"/>
    <cellStyle name="Normal 5 6 6 6" xfId="10714" xr:uid="{2B173F53-104B-4EE4-A0A8-45D97D963BC5}"/>
    <cellStyle name="Normal 5 6 7" xfId="2622" xr:uid="{00000000-0005-0000-0000-0000C11B0000}"/>
    <cellStyle name="Normal 5 6 7 2" xfId="6906" xr:uid="{00000000-0005-0000-0000-0000C21B0000}"/>
    <cellStyle name="Normal 5 6 7 2 2" xfId="23783" xr:uid="{4F5F2608-F38B-4F08-BA9B-3CF33D0BFBA6}"/>
    <cellStyle name="Normal 5 6 7 2 3" xfId="32217" xr:uid="{3898C21E-DE79-41CD-AAE3-EB984473E111}"/>
    <cellStyle name="Normal 5 6 7 2 4" xfId="15345" xr:uid="{462DD5F8-F7F6-4DFB-A6AE-D84CAFF3FB05}"/>
    <cellStyle name="Normal 5 6 7 3" xfId="19565" xr:uid="{83D2CBB6-CA50-487D-88A2-37A09F1901D3}"/>
    <cellStyle name="Normal 5 6 7 4" xfId="28000" xr:uid="{229BF91B-4FB1-4DDD-B867-F292BC674023}"/>
    <cellStyle name="Normal 5 6 7 5" xfId="11127" xr:uid="{09209BB7-5F33-436B-8936-E675A1B1F6C2}"/>
    <cellStyle name="Normal 5 6 8" xfId="4841" xr:uid="{00000000-0005-0000-0000-0000C31B0000}"/>
    <cellStyle name="Normal 5 6 8 2" xfId="21718" xr:uid="{E46E207C-45D0-4AF1-85D0-75D79CC15D36}"/>
    <cellStyle name="Normal 5 6 8 3" xfId="30152" xr:uid="{F01B4915-6610-45F1-B32C-1955185C120B}"/>
    <cellStyle name="Normal 5 6 8 4" xfId="13280" xr:uid="{43E2EB71-290D-467E-A858-34F958282D40}"/>
    <cellStyle name="Normal 5 6 9" xfId="17500" xr:uid="{FC82BDC7-EF0C-4A07-AEB2-D565832DB502}"/>
    <cellStyle name="Normal 5 7" xfId="470" xr:uid="{00000000-0005-0000-0000-0000C41B0000}"/>
    <cellStyle name="Normal 5 7 10" xfId="9064" xr:uid="{803F61A8-FD14-46C9-A687-AD15954ACB0F}"/>
    <cellStyle name="Normal 5 7 2" xfId="944" xr:uid="{00000000-0005-0000-0000-0000C51B0000}"/>
    <cellStyle name="Normal 5 7 2 2" xfId="3178" xr:uid="{00000000-0005-0000-0000-0000C61B0000}"/>
    <cellStyle name="Normal 5 7 2 2 2" xfId="7401" xr:uid="{00000000-0005-0000-0000-0000C71B0000}"/>
    <cellStyle name="Normal 5 7 2 2 2 2" xfId="24278" xr:uid="{F14A774E-7DFC-405F-A32D-34D29A308DF2}"/>
    <cellStyle name="Normal 5 7 2 2 2 3" xfId="32712" xr:uid="{77C49C9A-E6CD-4F39-94A5-C4B92F330310}"/>
    <cellStyle name="Normal 5 7 2 2 2 4" xfId="15840" xr:uid="{B51B2D99-DA15-4C40-B466-A6EA59BBE7DA}"/>
    <cellStyle name="Normal 5 7 2 2 3" xfId="20060" xr:uid="{91AE09C4-76CE-4CCC-9B09-8AFE3A7B536D}"/>
    <cellStyle name="Normal 5 7 2 2 4" xfId="28495" xr:uid="{E45BD369-1D20-498E-B4E5-7F1F7DFE60D0}"/>
    <cellStyle name="Normal 5 7 2 2 5" xfId="11622" xr:uid="{F7A7B548-CBE9-4117-A380-F5B9446792DD}"/>
    <cellStyle name="Normal 5 7 2 3" xfId="5256" xr:uid="{00000000-0005-0000-0000-0000C81B0000}"/>
    <cellStyle name="Normal 5 7 2 3 2" xfId="22133" xr:uid="{0195431E-386D-4A92-BD15-59944243E587}"/>
    <cellStyle name="Normal 5 7 2 3 3" xfId="30567" xr:uid="{E044B34E-B715-4679-884F-FCE2676E533D}"/>
    <cellStyle name="Normal 5 7 2 3 4" xfId="13695" xr:uid="{5BB5F610-F412-4BC1-A123-3278C40F501E}"/>
    <cellStyle name="Normal 5 7 2 4" xfId="17915" xr:uid="{258902BD-BDDF-4CFD-B032-AF99EE28544A}"/>
    <cellStyle name="Normal 5 7 2 5" xfId="26350" xr:uid="{5F84043A-E553-47FA-83A9-D9DF43A3D25D}"/>
    <cellStyle name="Normal 5 7 2 6" xfId="9477" xr:uid="{CA6F19A0-1861-4261-A370-47BCA2DD0BF9}"/>
    <cellStyle name="Normal 5 7 3" xfId="1361" xr:uid="{00000000-0005-0000-0000-0000C91B0000}"/>
    <cellStyle name="Normal 5 7 3 2" xfId="3591" xr:uid="{00000000-0005-0000-0000-0000CA1B0000}"/>
    <cellStyle name="Normal 5 7 3 2 2" xfId="7814" xr:uid="{00000000-0005-0000-0000-0000CB1B0000}"/>
    <cellStyle name="Normal 5 7 3 2 2 2" xfId="24691" xr:uid="{29DA3C15-BBC5-4914-B5C1-AF64A38B4B87}"/>
    <cellStyle name="Normal 5 7 3 2 2 3" xfId="33125" xr:uid="{5BB486A0-C70A-4CF0-912C-F0A5374FAC4C}"/>
    <cellStyle name="Normal 5 7 3 2 2 4" xfId="16253" xr:uid="{AB4B588C-4293-401F-8049-A228FAA46A52}"/>
    <cellStyle name="Normal 5 7 3 2 3" xfId="20473" xr:uid="{027E27B3-EA52-4CB9-AFC8-841139EAA6C8}"/>
    <cellStyle name="Normal 5 7 3 2 4" xfId="28908" xr:uid="{9EF0636C-129A-4D05-B056-EC5579FCB107}"/>
    <cellStyle name="Normal 5 7 3 2 5" xfId="12035" xr:uid="{9A21AB23-42D9-4A3D-AC15-3CC93F35423E}"/>
    <cellStyle name="Normal 5 7 3 3" xfId="5669" xr:uid="{00000000-0005-0000-0000-0000CC1B0000}"/>
    <cellStyle name="Normal 5 7 3 3 2" xfId="22546" xr:uid="{78E9EB59-D872-4101-9D85-291D69092D24}"/>
    <cellStyle name="Normal 5 7 3 3 3" xfId="30980" xr:uid="{8B4D5996-4BCA-429E-A4EB-87890A485D66}"/>
    <cellStyle name="Normal 5 7 3 3 4" xfId="14108" xr:uid="{59E02F53-4D7B-46DE-A619-CB835051D08B}"/>
    <cellStyle name="Normal 5 7 3 4" xfId="18328" xr:uid="{15B2CD85-E0FD-4129-9D35-0A0658169E53}"/>
    <cellStyle name="Normal 5 7 3 5" xfId="26763" xr:uid="{DE768435-F746-478C-AC75-FEB2C7193067}"/>
    <cellStyle name="Normal 5 7 3 6" xfId="9890" xr:uid="{55FB6F26-79D4-4905-966E-B725A98C05AD}"/>
    <cellStyle name="Normal 5 7 4" xfId="1774" xr:uid="{00000000-0005-0000-0000-0000CD1B0000}"/>
    <cellStyle name="Normal 5 7 4 2" xfId="4004" xr:uid="{00000000-0005-0000-0000-0000CE1B0000}"/>
    <cellStyle name="Normal 5 7 4 2 2" xfId="8227" xr:uid="{00000000-0005-0000-0000-0000CF1B0000}"/>
    <cellStyle name="Normal 5 7 4 2 2 2" xfId="25104" xr:uid="{C7608C85-627A-4E89-A1EC-AE4E685AC86F}"/>
    <cellStyle name="Normal 5 7 4 2 2 3" xfId="33538" xr:uid="{5A280662-01FC-4508-B1B2-F74B361B30E6}"/>
    <cellStyle name="Normal 5 7 4 2 2 4" xfId="16666" xr:uid="{FE756536-7153-4C14-8C58-6BF5370A6EAE}"/>
    <cellStyle name="Normal 5 7 4 2 3" xfId="20886" xr:uid="{BBEA5523-9E1F-4391-9C07-2C1140885AA8}"/>
    <cellStyle name="Normal 5 7 4 2 4" xfId="29321" xr:uid="{E9A4347A-9141-49B7-947B-00AF61C579CA}"/>
    <cellStyle name="Normal 5 7 4 2 5" xfId="12448" xr:uid="{70B7D824-06D0-4E1A-9A5C-7EE1BA5EE2EA}"/>
    <cellStyle name="Normal 5 7 4 3" xfId="6082" xr:uid="{00000000-0005-0000-0000-0000D01B0000}"/>
    <cellStyle name="Normal 5 7 4 3 2" xfId="22959" xr:uid="{F9ADA034-7568-4278-A548-498437E351A1}"/>
    <cellStyle name="Normal 5 7 4 3 3" xfId="31393" xr:uid="{5DC285B2-0F41-4B50-BC0C-A7DC1D063DBA}"/>
    <cellStyle name="Normal 5 7 4 3 4" xfId="14521" xr:uid="{FE551F71-AE8B-4FA0-B94A-167DDCD04B97}"/>
    <cellStyle name="Normal 5 7 4 4" xfId="18741" xr:uid="{F5D9A302-95DF-47CC-842D-C55CB43E7245}"/>
    <cellStyle name="Normal 5 7 4 5" xfId="27176" xr:uid="{849ADA3E-457D-4C3E-AE19-50C0A0ADF7A3}"/>
    <cellStyle name="Normal 5 7 4 6" xfId="10303" xr:uid="{0A1456A7-4ED9-4130-82F0-903EFEE644D2}"/>
    <cellStyle name="Normal 5 7 5" xfId="2188" xr:uid="{00000000-0005-0000-0000-0000D11B0000}"/>
    <cellStyle name="Normal 5 7 5 2" xfId="4417" xr:uid="{00000000-0005-0000-0000-0000D21B0000}"/>
    <cellStyle name="Normal 5 7 5 2 2" xfId="8640" xr:uid="{00000000-0005-0000-0000-0000D31B0000}"/>
    <cellStyle name="Normal 5 7 5 2 2 2" xfId="25517" xr:uid="{604009FB-7713-4794-9A13-8CF33335F899}"/>
    <cellStyle name="Normal 5 7 5 2 2 3" xfId="33951" xr:uid="{C006B086-FAA4-4295-9FEC-93614F6BC1CD}"/>
    <cellStyle name="Normal 5 7 5 2 2 4" xfId="17079" xr:uid="{B6A061D4-1BA9-49B9-B043-F4823CDAAE18}"/>
    <cellStyle name="Normal 5 7 5 2 3" xfId="21299" xr:uid="{AE18C604-E2B7-4C20-AE83-C9D11E70BA91}"/>
    <cellStyle name="Normal 5 7 5 2 4" xfId="29734" xr:uid="{4B168830-7A26-430F-A5A2-BD81F2CFDE0B}"/>
    <cellStyle name="Normal 5 7 5 2 5" xfId="12861" xr:uid="{971D974E-838C-485F-B507-897469714ACB}"/>
    <cellStyle name="Normal 5 7 5 3" xfId="6495" xr:uid="{00000000-0005-0000-0000-0000D41B0000}"/>
    <cellStyle name="Normal 5 7 5 3 2" xfId="23372" xr:uid="{58B8CA0C-0CE2-4619-A0A2-F328FAE444DD}"/>
    <cellStyle name="Normal 5 7 5 3 3" xfId="31806" xr:uid="{C7F5793D-5EE6-4861-8A3C-26EE157D145B}"/>
    <cellStyle name="Normal 5 7 5 3 4" xfId="14934" xr:uid="{280B2945-48BE-4262-B4C1-8362890FABC2}"/>
    <cellStyle name="Normal 5 7 5 4" xfId="19154" xr:uid="{A3AFD818-0F28-4B89-8234-8CE545BC7417}"/>
    <cellStyle name="Normal 5 7 5 5" xfId="27589" xr:uid="{89D9A27B-21A6-408B-B3E6-4C951325F642}"/>
    <cellStyle name="Normal 5 7 5 6" xfId="10716" xr:uid="{38AB2E27-3E6D-4660-A7F7-50AB222F2C86}"/>
    <cellStyle name="Normal 5 7 6" xfId="2624" xr:uid="{00000000-0005-0000-0000-0000D51B0000}"/>
    <cellStyle name="Normal 5 7 6 2" xfId="6908" xr:uid="{00000000-0005-0000-0000-0000D61B0000}"/>
    <cellStyle name="Normal 5 7 6 2 2" xfId="23785" xr:uid="{B117061F-45DA-4679-991B-5A2B66186DE0}"/>
    <cellStyle name="Normal 5 7 6 2 3" xfId="32219" xr:uid="{257DB4E9-AE9C-4A15-B25D-7DF458A5B950}"/>
    <cellStyle name="Normal 5 7 6 2 4" xfId="15347" xr:uid="{BC15D765-E3F7-4F9A-9215-283CF5327B25}"/>
    <cellStyle name="Normal 5 7 6 3" xfId="19567" xr:uid="{13026059-B7A9-44CC-A8BF-FBA510581CE3}"/>
    <cellStyle name="Normal 5 7 6 4" xfId="28002" xr:uid="{C95B759E-DC36-43A8-9821-E1F0ACFA444A}"/>
    <cellStyle name="Normal 5 7 6 5" xfId="11129" xr:uid="{E7BD51CF-0BD2-4895-9C32-E507714A7F95}"/>
    <cellStyle name="Normal 5 7 7" xfId="4843" xr:uid="{00000000-0005-0000-0000-0000D71B0000}"/>
    <cellStyle name="Normal 5 7 7 2" xfId="21720" xr:uid="{B351F229-E365-4856-80C7-18F9B24A7643}"/>
    <cellStyle name="Normal 5 7 7 3" xfId="30154" xr:uid="{942C71CC-C43C-4EAF-BE00-6239AA5A4418}"/>
    <cellStyle name="Normal 5 7 7 4" xfId="13282" xr:uid="{3FDD5387-62E1-48FB-A322-8B41AF86F2E4}"/>
    <cellStyle name="Normal 5 7 8" xfId="17502" xr:uid="{371EAA48-CC5B-4FEF-A830-F67098D83232}"/>
    <cellStyle name="Normal 5 7 9" xfId="25937" xr:uid="{1337914E-0B91-4E66-B86B-20E637E248F2}"/>
    <cellStyle name="Normal 5 8" xfId="880" xr:uid="{00000000-0005-0000-0000-0000D81B0000}"/>
    <cellStyle name="Normal 5 8 2" xfId="3115" xr:uid="{00000000-0005-0000-0000-0000D91B0000}"/>
    <cellStyle name="Normal 5 8 2 2" xfId="7338" xr:uid="{00000000-0005-0000-0000-0000DA1B0000}"/>
    <cellStyle name="Normal 5 8 2 2 2" xfId="24215" xr:uid="{21667063-3D67-4EC2-AAD9-CEC7AC2DB309}"/>
    <cellStyle name="Normal 5 8 2 2 3" xfId="32649" xr:uid="{70F60779-A23A-407B-A86A-8E642A838226}"/>
    <cellStyle name="Normal 5 8 2 2 4" xfId="15777" xr:uid="{2726CC59-D2DD-4152-8BD7-D7E39F7BF9C9}"/>
    <cellStyle name="Normal 5 8 2 3" xfId="19997" xr:uid="{1756DFF3-FC68-4721-ADC9-009E9774AC64}"/>
    <cellStyle name="Normal 5 8 2 4" xfId="28432" xr:uid="{81309230-6765-4FF3-9992-CC6D743A0CA3}"/>
    <cellStyle name="Normal 5 8 2 5" xfId="11559" xr:uid="{DCAC3F75-F8A2-49C1-9C09-BDBA58F80858}"/>
    <cellStyle name="Normal 5 8 3" xfId="5193" xr:uid="{00000000-0005-0000-0000-0000DB1B0000}"/>
    <cellStyle name="Normal 5 8 3 2" xfId="22070" xr:uid="{BE4AB659-8E1C-4B4F-BDDC-C86C63E0CCB0}"/>
    <cellStyle name="Normal 5 8 3 3" xfId="30504" xr:uid="{1039D195-CD80-4AAC-8B30-6800495BF829}"/>
    <cellStyle name="Normal 5 8 3 4" xfId="13632" xr:uid="{2F0075B9-CA0A-46A8-81D5-436CDFD0B27C}"/>
    <cellStyle name="Normal 5 8 4" xfId="17852" xr:uid="{D11476C8-5782-4853-8B8C-AC0EEDA2AA84}"/>
    <cellStyle name="Normal 5 8 5" xfId="26287" xr:uid="{A09C388E-3F89-4D4E-872D-E26DB3C9D7DC}"/>
    <cellStyle name="Normal 5 8 6" xfId="9414" xr:uid="{D96F998E-F5D7-497D-8063-A734287CC4AE}"/>
    <cellStyle name="Normal 5 9" xfId="1298" xr:uid="{00000000-0005-0000-0000-0000DC1B0000}"/>
    <cellStyle name="Normal 5 9 2" xfId="3528" xr:uid="{00000000-0005-0000-0000-0000DD1B0000}"/>
    <cellStyle name="Normal 5 9 2 2" xfId="7751" xr:uid="{00000000-0005-0000-0000-0000DE1B0000}"/>
    <cellStyle name="Normal 5 9 2 2 2" xfId="24628" xr:uid="{3FB85643-DE33-445B-9781-BFA537BA3989}"/>
    <cellStyle name="Normal 5 9 2 2 3" xfId="33062" xr:uid="{BF53D57D-D066-4A61-8A40-45B86290E94A}"/>
    <cellStyle name="Normal 5 9 2 2 4" xfId="16190" xr:uid="{F8A4B98E-E134-4BCB-A0AC-3C7C5CB7FEF8}"/>
    <cellStyle name="Normal 5 9 2 3" xfId="20410" xr:uid="{75233B9E-5D1A-4A13-B8D6-7B56DC1C1EEA}"/>
    <cellStyle name="Normal 5 9 2 4" xfId="28845" xr:uid="{7210DC48-5D52-43F4-8359-A348C983108D}"/>
    <cellStyle name="Normal 5 9 2 5" xfId="11972" xr:uid="{31FF3040-3113-4C39-A4A6-D30117B612D8}"/>
    <cellStyle name="Normal 5 9 3" xfId="5606" xr:uid="{00000000-0005-0000-0000-0000DF1B0000}"/>
    <cellStyle name="Normal 5 9 3 2" xfId="22483" xr:uid="{43C48528-886E-4ECD-9FDF-F07BC29C7BB5}"/>
    <cellStyle name="Normal 5 9 3 3" xfId="30917" xr:uid="{AE9A9FA1-6C66-4784-BA03-4F665C77E3E5}"/>
    <cellStyle name="Normal 5 9 3 4" xfId="14045" xr:uid="{480D8CBC-FC46-4510-909D-7DCF02D41C9C}"/>
    <cellStyle name="Normal 5 9 4" xfId="18265" xr:uid="{FEF87E78-34AF-4CBF-B522-325E59BE851C}"/>
    <cellStyle name="Normal 5 9 5" xfId="26700" xr:uid="{BF0AB7CF-8B83-4211-9ACE-16A6A6B09540}"/>
    <cellStyle name="Normal 5 9 6" xfId="9827" xr:uid="{77EBB292-C18C-484A-BB13-15CEEF75366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25518" xr:uid="{082A4B63-540F-426F-93EA-9103D3DFBC48}"/>
    <cellStyle name="Normal 8 10 2 2 3" xfId="33952" xr:uid="{57C003CC-A61F-4DF0-9E35-9553A4742934}"/>
    <cellStyle name="Normal 8 10 2 2 4" xfId="17080" xr:uid="{59AE3FB8-02D8-4D7F-9DBA-DC1E2A2F8113}"/>
    <cellStyle name="Normal 8 10 2 3" xfId="21300" xr:uid="{C7B8DC65-65F8-4552-92F4-822DE03C3C9F}"/>
    <cellStyle name="Normal 8 10 2 4" xfId="29735" xr:uid="{10B96B6D-A2F7-4DD9-9814-C667DC92DBFF}"/>
    <cellStyle name="Normal 8 10 2 5" xfId="12862" xr:uid="{C0FE0FDB-9AB9-4ED3-96BE-FE1ACF409169}"/>
    <cellStyle name="Normal 8 10 3" xfId="6496" xr:uid="{00000000-0005-0000-0000-0000EB1B0000}"/>
    <cellStyle name="Normal 8 10 3 2" xfId="23373" xr:uid="{C1621D09-4A2E-4E5D-9D91-95B0014206DF}"/>
    <cellStyle name="Normal 8 10 3 3" xfId="31807" xr:uid="{ECD9EEEF-5CD6-4456-AD2E-0EB2000A1CC8}"/>
    <cellStyle name="Normal 8 10 3 4" xfId="14935" xr:uid="{24733F3F-88A0-425F-B141-CA274AF3A42C}"/>
    <cellStyle name="Normal 8 10 4" xfId="19155" xr:uid="{E90E9F0F-288B-4A47-AA2C-03715BF6B289}"/>
    <cellStyle name="Normal 8 10 5" xfId="27590" xr:uid="{CBE8E63D-D57F-4337-9DFD-65C61FA00701}"/>
    <cellStyle name="Normal 8 10 6" xfId="10717" xr:uid="{BAAD223B-5080-4E33-92B6-C3C3118E9D07}"/>
    <cellStyle name="Normal 8 11" xfId="2625" xr:uid="{00000000-0005-0000-0000-0000EC1B0000}"/>
    <cellStyle name="Normal 8 11 2" xfId="6909" xr:uid="{00000000-0005-0000-0000-0000ED1B0000}"/>
    <cellStyle name="Normal 8 11 2 2" xfId="23786" xr:uid="{BE9231A9-A7B2-4B14-8255-9D90F26BBE7B}"/>
    <cellStyle name="Normal 8 11 2 3" xfId="32220" xr:uid="{E2DDC66D-50DF-4E6D-A63E-9B546CCE53CE}"/>
    <cellStyle name="Normal 8 11 2 4" xfId="15348" xr:uid="{B6D0C892-5C8C-4BB8-8FB8-C4A7966577CB}"/>
    <cellStyle name="Normal 8 11 3" xfId="19568" xr:uid="{CE76CCB4-B033-4F61-B7EF-61E6F35A3B9D}"/>
    <cellStyle name="Normal 8 11 4" xfId="28003" xr:uid="{1D9BC813-5C04-495B-90E2-B370405AAC62}"/>
    <cellStyle name="Normal 8 11 5" xfId="11130" xr:uid="{C531D777-8471-4120-99C4-B4E41EA86832}"/>
    <cellStyle name="Normal 8 12" xfId="4844" xr:uid="{00000000-0005-0000-0000-0000EE1B0000}"/>
    <cellStyle name="Normal 8 12 2" xfId="21721" xr:uid="{B7464C6F-8271-427B-A001-87D8436E5125}"/>
    <cellStyle name="Normal 8 12 3" xfId="30155" xr:uid="{5234ED50-A2A6-47AF-A6E3-D65F609E42DA}"/>
    <cellStyle name="Normal 8 12 4" xfId="13283" xr:uid="{80876265-6AF0-4E05-8058-E437DBCD71BD}"/>
    <cellStyle name="Normal 8 13" xfId="17503" xr:uid="{AA5759EA-A95E-483B-8395-3B6B5F987E82}"/>
    <cellStyle name="Normal 8 14" xfId="25938" xr:uid="{95D75D8E-E548-4081-B3DF-8DBE4A84D2A7}"/>
    <cellStyle name="Normal 8 15" xfId="9065" xr:uid="{4C69CBEF-86EC-429C-83BD-D47B9118724A}"/>
    <cellStyle name="Normal 8 2" xfId="479" xr:uid="{00000000-0005-0000-0000-0000EF1B0000}"/>
    <cellStyle name="Normal 8 2 10" xfId="2626" xr:uid="{00000000-0005-0000-0000-0000F01B0000}"/>
    <cellStyle name="Normal 8 2 10 2" xfId="6910" xr:uid="{00000000-0005-0000-0000-0000F11B0000}"/>
    <cellStyle name="Normal 8 2 10 2 2" xfId="23787" xr:uid="{1B13EF9C-F507-4FB9-BBA9-D07A0FD4DA1C}"/>
    <cellStyle name="Normal 8 2 10 2 3" xfId="32221" xr:uid="{0E5C814A-3E7D-40F2-8897-FBCA724BBA44}"/>
    <cellStyle name="Normal 8 2 10 2 4" xfId="15349" xr:uid="{830FD06D-B18E-4724-9559-EE034AC3AB10}"/>
    <cellStyle name="Normal 8 2 10 3" xfId="19569" xr:uid="{499ACD3B-D25C-415D-9F06-F759B30F3DAC}"/>
    <cellStyle name="Normal 8 2 10 4" xfId="28004" xr:uid="{D365E996-479B-4416-86E2-26EB359490D7}"/>
    <cellStyle name="Normal 8 2 10 5" xfId="11131" xr:uid="{9E390762-DDF1-4F84-A566-AFC76A37C23E}"/>
    <cellStyle name="Normal 8 2 11" xfId="4845" xr:uid="{00000000-0005-0000-0000-0000F21B0000}"/>
    <cellStyle name="Normal 8 2 11 2" xfId="21722" xr:uid="{C0FB34D9-B772-4267-B282-B8317A77C76A}"/>
    <cellStyle name="Normal 8 2 11 3" xfId="30156" xr:uid="{0A52B9AE-FC10-42D7-86FE-B93F05E425A9}"/>
    <cellStyle name="Normal 8 2 11 4" xfId="13284" xr:uid="{2365217E-2473-4DC3-BD5B-D29F5D54954D}"/>
    <cellStyle name="Normal 8 2 12" xfId="17504" xr:uid="{AAF3242D-CC84-4BAB-B69B-A2AED3F1778E}"/>
    <cellStyle name="Normal 8 2 13" xfId="25939" xr:uid="{A49068BC-E43B-422F-A83B-B2E8653ABA77}"/>
    <cellStyle name="Normal 8 2 14" xfId="9066" xr:uid="{DC9BAB43-FD6E-4F23-9BA2-DC0CAFE511D3}"/>
    <cellStyle name="Normal 8 2 2" xfId="480" xr:uid="{00000000-0005-0000-0000-0000F31B0000}"/>
    <cellStyle name="Normal 8 2 2 10" xfId="4846" xr:uid="{00000000-0005-0000-0000-0000F41B0000}"/>
    <cellStyle name="Normal 8 2 2 10 2" xfId="21723" xr:uid="{4CFFEBFC-D9E9-4287-A1FB-D0EEA853ECBB}"/>
    <cellStyle name="Normal 8 2 2 10 3" xfId="30157" xr:uid="{A6D547C7-36C8-414C-BDF4-140F7B430B7D}"/>
    <cellStyle name="Normal 8 2 2 10 4" xfId="13285" xr:uid="{C30E23EA-5ACD-4782-90E5-6FEAA31B3470}"/>
    <cellStyle name="Normal 8 2 2 11" xfId="17505" xr:uid="{DA208111-3304-4FF9-B306-624222922776}"/>
    <cellStyle name="Normal 8 2 2 12" xfId="25940" xr:uid="{8D62BB74-4EAE-44C5-A3F3-CB55EFBE038F}"/>
    <cellStyle name="Normal 8 2 2 13" xfId="9067" xr:uid="{2219C4E4-F44A-4AE8-B3B5-F4E87352B623}"/>
    <cellStyle name="Normal 8 2 2 2" xfId="481" xr:uid="{00000000-0005-0000-0000-0000F51B0000}"/>
    <cellStyle name="Normal 8 2 2 2 10" xfId="17506" xr:uid="{EFA3A77A-BB98-45C9-BE76-A74A3942FAF1}"/>
    <cellStyle name="Normal 8 2 2 2 11" xfId="25941" xr:uid="{41F40FCC-592A-4F74-986B-DF0A7992B70D}"/>
    <cellStyle name="Normal 8 2 2 2 12" xfId="9068" xr:uid="{2C78A8F3-F51B-4F8A-BD99-9FFF8F172FCC}"/>
    <cellStyle name="Normal 8 2 2 2 2" xfId="482" xr:uid="{00000000-0005-0000-0000-0000F61B0000}"/>
    <cellStyle name="Normal 8 2 2 2 2 10" xfId="25942" xr:uid="{62535656-8070-4BE3-95E9-17FF58FB7A23}"/>
    <cellStyle name="Normal 8 2 2 2 2 11" xfId="9069" xr:uid="{1D431FF2-2A22-4224-970A-4410D0E3F3D5}"/>
    <cellStyle name="Normal 8 2 2 2 2 2" xfId="483" xr:uid="{00000000-0005-0000-0000-0000F71B0000}"/>
    <cellStyle name="Normal 8 2 2 2 2 2 10" xfId="9070" xr:uid="{EF297311-3B27-4FCA-84CD-20A6DB4B55C5}"/>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24284" xr:uid="{512CCF18-DAC1-4220-8673-4D551CB8B9DC}"/>
    <cellStyle name="Normal 8 2 2 2 2 2 2 2 2 3" xfId="32718" xr:uid="{15A58DB9-5CBE-4809-B5BA-8A204D1595A6}"/>
    <cellStyle name="Normal 8 2 2 2 2 2 2 2 2 4" xfId="15846" xr:uid="{1C00FF8B-2D49-48F0-8D21-F31A825FC1F8}"/>
    <cellStyle name="Normal 8 2 2 2 2 2 2 2 3" xfId="20066" xr:uid="{DCC0477E-BB04-4F76-B808-2DA0A923C299}"/>
    <cellStyle name="Normal 8 2 2 2 2 2 2 2 4" xfId="28501" xr:uid="{B4228BB0-18BD-452A-A7B5-C1BA985EDF3C}"/>
    <cellStyle name="Normal 8 2 2 2 2 2 2 2 5" xfId="11628" xr:uid="{DDC4C744-ADC3-4C45-895D-4D179CB99EF9}"/>
    <cellStyle name="Normal 8 2 2 2 2 2 2 3" xfId="5262" xr:uid="{00000000-0005-0000-0000-0000FB1B0000}"/>
    <cellStyle name="Normal 8 2 2 2 2 2 2 3 2" xfId="22139" xr:uid="{F52AC4FC-100E-4B17-B249-CCD72431BC03}"/>
    <cellStyle name="Normal 8 2 2 2 2 2 2 3 3" xfId="30573" xr:uid="{52C11336-7339-43A0-B433-442276653445}"/>
    <cellStyle name="Normal 8 2 2 2 2 2 2 3 4" xfId="13701" xr:uid="{8077ABAB-3560-4DB8-BAC5-344D3D8C10BE}"/>
    <cellStyle name="Normal 8 2 2 2 2 2 2 4" xfId="17921" xr:uid="{3610F9E1-1CCC-4511-8AA6-1CED26797ACB}"/>
    <cellStyle name="Normal 8 2 2 2 2 2 2 5" xfId="26356" xr:uid="{FA9ECCE5-3FD7-4713-B95E-C046E5BE3A0E}"/>
    <cellStyle name="Normal 8 2 2 2 2 2 2 6" xfId="9483" xr:uid="{EAAD5731-FCB4-4176-A77C-E30FBD0F8F7D}"/>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24697" xr:uid="{97FC7442-1608-47A4-8316-87F95AD1EE3F}"/>
    <cellStyle name="Normal 8 2 2 2 2 2 3 2 2 3" xfId="33131" xr:uid="{4786C6BF-C760-4CAF-B1CC-9CBB39A33BAA}"/>
    <cellStyle name="Normal 8 2 2 2 2 2 3 2 2 4" xfId="16259" xr:uid="{E4FAC76D-BB26-4C4F-A355-F505EDDD0A20}"/>
    <cellStyle name="Normal 8 2 2 2 2 2 3 2 3" xfId="20479" xr:uid="{347AC462-D50D-4248-A330-439CBA061C4F}"/>
    <cellStyle name="Normal 8 2 2 2 2 2 3 2 4" xfId="28914" xr:uid="{9F252A65-8647-407A-95D2-EB3F65C51AE6}"/>
    <cellStyle name="Normal 8 2 2 2 2 2 3 2 5" xfId="12041" xr:uid="{100F26F8-EC5F-41AB-9342-E074EE4F5075}"/>
    <cellStyle name="Normal 8 2 2 2 2 2 3 3" xfId="5675" xr:uid="{00000000-0005-0000-0000-0000FF1B0000}"/>
    <cellStyle name="Normal 8 2 2 2 2 2 3 3 2" xfId="22552" xr:uid="{8AF847C8-7D1E-4756-A2A9-ED89ADEFDA6A}"/>
    <cellStyle name="Normal 8 2 2 2 2 2 3 3 3" xfId="30986" xr:uid="{EAA70583-F6C9-4486-9012-66E4558EF0B4}"/>
    <cellStyle name="Normal 8 2 2 2 2 2 3 3 4" xfId="14114" xr:uid="{4E1E5A8E-AC05-43EE-9FDA-096EA2F563D2}"/>
    <cellStyle name="Normal 8 2 2 2 2 2 3 4" xfId="18334" xr:uid="{3C1DDE30-3515-4879-9CC7-2DC13B2E948C}"/>
    <cellStyle name="Normal 8 2 2 2 2 2 3 5" xfId="26769" xr:uid="{E93AB74F-FD3F-4744-99A7-79A302067689}"/>
    <cellStyle name="Normal 8 2 2 2 2 2 3 6" xfId="9896" xr:uid="{730549C6-B382-40DD-8F23-515BF0A5D2AE}"/>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25110" xr:uid="{2F05F424-09F9-4F7D-8DB1-54C6D7CAD7C1}"/>
    <cellStyle name="Normal 8 2 2 2 2 2 4 2 2 3" xfId="33544" xr:uid="{4E8AD888-3AF8-4696-B237-1F3E998A2E01}"/>
    <cellStyle name="Normal 8 2 2 2 2 2 4 2 2 4" xfId="16672" xr:uid="{209AEF95-703B-47EB-B1F5-2C4C5DE71D58}"/>
    <cellStyle name="Normal 8 2 2 2 2 2 4 2 3" xfId="20892" xr:uid="{F6503276-0F7A-4B45-BE57-1F9C73F67709}"/>
    <cellStyle name="Normal 8 2 2 2 2 2 4 2 4" xfId="29327" xr:uid="{EBD9B515-8DC8-4C15-BE11-34B90B14DD1A}"/>
    <cellStyle name="Normal 8 2 2 2 2 2 4 2 5" xfId="12454" xr:uid="{CD911B78-9353-44C1-AF55-31011963EFC7}"/>
    <cellStyle name="Normal 8 2 2 2 2 2 4 3" xfId="6088" xr:uid="{00000000-0005-0000-0000-0000031C0000}"/>
    <cellStyle name="Normal 8 2 2 2 2 2 4 3 2" xfId="22965" xr:uid="{EBFC599B-EC87-421F-BA23-B61C9EC868ED}"/>
    <cellStyle name="Normal 8 2 2 2 2 2 4 3 3" xfId="31399" xr:uid="{B952229C-B487-4E36-92F2-DDFA4E98914C}"/>
    <cellStyle name="Normal 8 2 2 2 2 2 4 3 4" xfId="14527" xr:uid="{5AF5A466-79BC-4A40-8936-1D9AD918DB93}"/>
    <cellStyle name="Normal 8 2 2 2 2 2 4 4" xfId="18747" xr:uid="{9D8AC64A-8C9C-4734-9B2D-7E476F36AAFE}"/>
    <cellStyle name="Normal 8 2 2 2 2 2 4 5" xfId="27182" xr:uid="{D1550FDE-15A3-4831-984E-BFE4D620988D}"/>
    <cellStyle name="Normal 8 2 2 2 2 2 4 6" xfId="10309" xr:uid="{EE9DCEF8-478D-44DD-A55B-540B2A346608}"/>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25523" xr:uid="{0A061210-179D-4CAC-BF5E-FCCFAF2C6C6C}"/>
    <cellStyle name="Normal 8 2 2 2 2 2 5 2 2 3" xfId="33957" xr:uid="{C6513FBA-52D3-4AF4-9594-4D9C942A57B3}"/>
    <cellStyle name="Normal 8 2 2 2 2 2 5 2 2 4" xfId="17085" xr:uid="{4A309FE0-C792-4E89-B47A-5C646B743563}"/>
    <cellStyle name="Normal 8 2 2 2 2 2 5 2 3" xfId="21305" xr:uid="{B530414F-D9C5-4AE6-88E5-EDDC480A3C5F}"/>
    <cellStyle name="Normal 8 2 2 2 2 2 5 2 4" xfId="29740" xr:uid="{A16451AF-B16E-476E-A99E-762DDF391BA5}"/>
    <cellStyle name="Normal 8 2 2 2 2 2 5 2 5" xfId="12867" xr:uid="{39057DA5-9C0D-4517-9C90-E28A2F9B023C}"/>
    <cellStyle name="Normal 8 2 2 2 2 2 5 3" xfId="6501" xr:uid="{00000000-0005-0000-0000-0000071C0000}"/>
    <cellStyle name="Normal 8 2 2 2 2 2 5 3 2" xfId="23378" xr:uid="{8ACCE0AC-4332-469F-8B90-5877A8C052B1}"/>
    <cellStyle name="Normal 8 2 2 2 2 2 5 3 3" xfId="31812" xr:uid="{017F63CD-70A0-42EB-B15C-DF86ADEF7535}"/>
    <cellStyle name="Normal 8 2 2 2 2 2 5 3 4" xfId="14940" xr:uid="{F74906C3-5C8D-429C-A807-9F75FB00B4EA}"/>
    <cellStyle name="Normal 8 2 2 2 2 2 5 4" xfId="19160" xr:uid="{9888EFEE-B299-4DBD-8914-4018A6BFC942}"/>
    <cellStyle name="Normal 8 2 2 2 2 2 5 5" xfId="27595" xr:uid="{C650C960-FC93-4F72-8624-1EDC0C7AF8B3}"/>
    <cellStyle name="Normal 8 2 2 2 2 2 5 6" xfId="10722" xr:uid="{462B6763-DAEA-468D-9BFC-804AB784F72B}"/>
    <cellStyle name="Normal 8 2 2 2 2 2 6" xfId="2630" xr:uid="{00000000-0005-0000-0000-0000081C0000}"/>
    <cellStyle name="Normal 8 2 2 2 2 2 6 2" xfId="6914" xr:uid="{00000000-0005-0000-0000-0000091C0000}"/>
    <cellStyle name="Normal 8 2 2 2 2 2 6 2 2" xfId="23791" xr:uid="{F2FA2DEB-5572-4418-8F48-62F022A7A426}"/>
    <cellStyle name="Normal 8 2 2 2 2 2 6 2 3" xfId="32225" xr:uid="{F9A720E3-C814-4AE2-AF19-E27827BB6DF8}"/>
    <cellStyle name="Normal 8 2 2 2 2 2 6 2 4" xfId="15353" xr:uid="{D8ADB68E-DE97-4D4D-AB9F-A2C689EB7CEA}"/>
    <cellStyle name="Normal 8 2 2 2 2 2 6 3" xfId="19573" xr:uid="{4D3AC268-5CBA-464F-A78A-CABCD729958B}"/>
    <cellStyle name="Normal 8 2 2 2 2 2 6 4" xfId="28008" xr:uid="{26C71A57-63B5-484D-902C-34E9C1B61095}"/>
    <cellStyle name="Normal 8 2 2 2 2 2 6 5" xfId="11135" xr:uid="{BD66EC8A-F9A5-49CC-9214-E13C6566BBE2}"/>
    <cellStyle name="Normal 8 2 2 2 2 2 7" xfId="4849" xr:uid="{00000000-0005-0000-0000-00000A1C0000}"/>
    <cellStyle name="Normal 8 2 2 2 2 2 7 2" xfId="21726" xr:uid="{AF1BADAC-D105-437E-8A1E-B35F3500F26D}"/>
    <cellStyle name="Normal 8 2 2 2 2 2 7 3" xfId="30160" xr:uid="{9CB542E3-E682-42BC-84EB-B7128739E5CD}"/>
    <cellStyle name="Normal 8 2 2 2 2 2 7 4" xfId="13288" xr:uid="{8CB505B6-0BD2-405C-8946-12EEC3C411B7}"/>
    <cellStyle name="Normal 8 2 2 2 2 2 8" xfId="17508" xr:uid="{5E382BF7-3A58-4CA4-9405-5112CB62E240}"/>
    <cellStyle name="Normal 8 2 2 2 2 2 9" xfId="25943" xr:uid="{397C631E-D42B-4F30-B52F-680E083BE15E}"/>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24283" xr:uid="{ADEC6F26-2148-4E25-8792-1BA1DECA57CE}"/>
    <cellStyle name="Normal 8 2 2 2 2 3 2 2 3" xfId="32717" xr:uid="{8DCB0EBB-936C-4433-884F-CB95B4E1DE08}"/>
    <cellStyle name="Normal 8 2 2 2 2 3 2 2 4" xfId="15845" xr:uid="{66E86714-4F02-48B4-A9AC-6B920773B73D}"/>
    <cellStyle name="Normal 8 2 2 2 2 3 2 3" xfId="20065" xr:uid="{62F765A8-65BD-4087-8896-C9EBD7386B40}"/>
    <cellStyle name="Normal 8 2 2 2 2 3 2 4" xfId="28500" xr:uid="{558BD0F9-7232-4B9F-8B8E-DC77B658CE48}"/>
    <cellStyle name="Normal 8 2 2 2 2 3 2 5" xfId="11627" xr:uid="{775CAAF1-36A1-4B22-81D2-2A472481B610}"/>
    <cellStyle name="Normal 8 2 2 2 2 3 3" xfId="5261" xr:uid="{00000000-0005-0000-0000-00000E1C0000}"/>
    <cellStyle name="Normal 8 2 2 2 2 3 3 2" xfId="22138" xr:uid="{3E131310-C371-44B5-9F2C-27E6BBAA1AA0}"/>
    <cellStyle name="Normal 8 2 2 2 2 3 3 3" xfId="30572" xr:uid="{9C44C89A-50D7-4434-95C4-9B3D3E978AFC}"/>
    <cellStyle name="Normal 8 2 2 2 2 3 3 4" xfId="13700" xr:uid="{FDBF7E7D-3C25-4FCB-B6AB-C242684D3448}"/>
    <cellStyle name="Normal 8 2 2 2 2 3 4" xfId="17920" xr:uid="{5000ADB5-B317-4A4D-BB1A-0271CA653F52}"/>
    <cellStyle name="Normal 8 2 2 2 2 3 5" xfId="26355" xr:uid="{E0FFAA85-44A5-4156-BDD7-834F171B20FC}"/>
    <cellStyle name="Normal 8 2 2 2 2 3 6" xfId="9482" xr:uid="{2F44FB39-BCA2-44FD-ABA5-7C4062A9052E}"/>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24696" xr:uid="{514BC760-E21A-4FC8-B3AD-DCC2D0AA8F98}"/>
    <cellStyle name="Normal 8 2 2 2 2 4 2 2 3" xfId="33130" xr:uid="{ED992B86-571D-4F2A-9A91-971920F45279}"/>
    <cellStyle name="Normal 8 2 2 2 2 4 2 2 4" xfId="16258" xr:uid="{5B3D79F6-C88D-45A1-89AA-FBCCC457C687}"/>
    <cellStyle name="Normal 8 2 2 2 2 4 2 3" xfId="20478" xr:uid="{62849003-39DC-44FE-A23A-48DEF44A35A4}"/>
    <cellStyle name="Normal 8 2 2 2 2 4 2 4" xfId="28913" xr:uid="{5789B99B-ED8D-4CC8-86EF-E06805857174}"/>
    <cellStyle name="Normal 8 2 2 2 2 4 2 5" xfId="12040" xr:uid="{D7E0716C-6141-447C-815E-BCC50EBEB485}"/>
    <cellStyle name="Normal 8 2 2 2 2 4 3" xfId="5674" xr:uid="{00000000-0005-0000-0000-0000121C0000}"/>
    <cellStyle name="Normal 8 2 2 2 2 4 3 2" xfId="22551" xr:uid="{78ED9203-056A-4BF3-968F-C3DBA635BB64}"/>
    <cellStyle name="Normal 8 2 2 2 2 4 3 3" xfId="30985" xr:uid="{1625748E-B13A-4A19-9E9A-6D9E7E999057}"/>
    <cellStyle name="Normal 8 2 2 2 2 4 3 4" xfId="14113" xr:uid="{C976711D-D439-4609-977A-966F284B392B}"/>
    <cellStyle name="Normal 8 2 2 2 2 4 4" xfId="18333" xr:uid="{754F3357-C485-4150-9E84-06BDF0E25D75}"/>
    <cellStyle name="Normal 8 2 2 2 2 4 5" xfId="26768" xr:uid="{8DE5315D-012D-4256-889E-3E842E7761E9}"/>
    <cellStyle name="Normal 8 2 2 2 2 4 6" xfId="9895" xr:uid="{AC37DE0D-4CC3-4D95-AD71-07BA0A50D807}"/>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25109" xr:uid="{57BF5D50-8383-465E-BA09-DA5CA12F0B2B}"/>
    <cellStyle name="Normal 8 2 2 2 2 5 2 2 3" xfId="33543" xr:uid="{14EB03F1-EC4B-43BF-AE88-C25455DEE9AF}"/>
    <cellStyle name="Normal 8 2 2 2 2 5 2 2 4" xfId="16671" xr:uid="{45B6BF1A-5A1D-4EFB-AC20-B302F099BE75}"/>
    <cellStyle name="Normal 8 2 2 2 2 5 2 3" xfId="20891" xr:uid="{BD902A1F-83C3-4EC4-A6F4-535D4DF6A078}"/>
    <cellStyle name="Normal 8 2 2 2 2 5 2 4" xfId="29326" xr:uid="{A76608A8-3B9B-48D1-B073-CB30B02356AE}"/>
    <cellStyle name="Normal 8 2 2 2 2 5 2 5" xfId="12453" xr:uid="{59A4F48E-53D4-4B8B-A5E0-39052532F7DE}"/>
    <cellStyle name="Normal 8 2 2 2 2 5 3" xfId="6087" xr:uid="{00000000-0005-0000-0000-0000161C0000}"/>
    <cellStyle name="Normal 8 2 2 2 2 5 3 2" xfId="22964" xr:uid="{9CD5FCD8-49AF-4D75-ABCE-81D87DC8EEF5}"/>
    <cellStyle name="Normal 8 2 2 2 2 5 3 3" xfId="31398" xr:uid="{CBE36471-F667-4385-B4A9-AC6735BA2DAE}"/>
    <cellStyle name="Normal 8 2 2 2 2 5 3 4" xfId="14526" xr:uid="{1A68D2FD-81FD-43DA-8DA3-7E25FD3BA0EE}"/>
    <cellStyle name="Normal 8 2 2 2 2 5 4" xfId="18746" xr:uid="{BC18819A-C126-4991-AE07-42FB3B6F2B20}"/>
    <cellStyle name="Normal 8 2 2 2 2 5 5" xfId="27181" xr:uid="{D0B10D9B-71AF-4AA5-8F7D-6C3CE1900B8C}"/>
    <cellStyle name="Normal 8 2 2 2 2 5 6" xfId="10308" xr:uid="{4E44446A-1934-4A6C-8B4D-33A11CE2D23C}"/>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25522" xr:uid="{9BBCFDF0-115A-474E-B25C-49A510315450}"/>
    <cellStyle name="Normal 8 2 2 2 2 6 2 2 3" xfId="33956" xr:uid="{53F90FF8-7DC0-41F0-84C5-DB025B5C5E46}"/>
    <cellStyle name="Normal 8 2 2 2 2 6 2 2 4" xfId="17084" xr:uid="{5B89AF13-B3EC-42C2-BD0A-0484F293FD6E}"/>
    <cellStyle name="Normal 8 2 2 2 2 6 2 3" xfId="21304" xr:uid="{2875BEF1-15C2-4A10-9DFD-55D0DC788D94}"/>
    <cellStyle name="Normal 8 2 2 2 2 6 2 4" xfId="29739" xr:uid="{B618B53B-BF52-4A74-9014-261ABA0B790F}"/>
    <cellStyle name="Normal 8 2 2 2 2 6 2 5" xfId="12866" xr:uid="{296DBD60-24C7-4A29-862F-FEBD73641EF9}"/>
    <cellStyle name="Normal 8 2 2 2 2 6 3" xfId="6500" xr:uid="{00000000-0005-0000-0000-00001A1C0000}"/>
    <cellStyle name="Normal 8 2 2 2 2 6 3 2" xfId="23377" xr:uid="{C7C59BF5-9BDD-4864-93DB-A0FC6BD92C1F}"/>
    <cellStyle name="Normal 8 2 2 2 2 6 3 3" xfId="31811" xr:uid="{6146F30F-E655-4439-9D86-911AD687230E}"/>
    <cellStyle name="Normal 8 2 2 2 2 6 3 4" xfId="14939" xr:uid="{F3A3416A-4981-44D5-BE1A-936944713EDE}"/>
    <cellStyle name="Normal 8 2 2 2 2 6 4" xfId="19159" xr:uid="{D198A111-4166-4BAA-9066-0E3D9C7124D9}"/>
    <cellStyle name="Normal 8 2 2 2 2 6 5" xfId="27594" xr:uid="{C4D59DE9-81A7-458E-A48B-8C6B117D7591}"/>
    <cellStyle name="Normal 8 2 2 2 2 6 6" xfId="10721" xr:uid="{1C9D2392-CD5E-4967-948D-BFF38340DA38}"/>
    <cellStyle name="Normal 8 2 2 2 2 7" xfId="2629" xr:uid="{00000000-0005-0000-0000-00001B1C0000}"/>
    <cellStyle name="Normal 8 2 2 2 2 7 2" xfId="6913" xr:uid="{00000000-0005-0000-0000-00001C1C0000}"/>
    <cellStyle name="Normal 8 2 2 2 2 7 2 2" xfId="23790" xr:uid="{0ED740F6-0DA7-45E4-BBF3-A52BECA53446}"/>
    <cellStyle name="Normal 8 2 2 2 2 7 2 3" xfId="32224" xr:uid="{39684C86-8E16-45CF-A474-57A580ADD571}"/>
    <cellStyle name="Normal 8 2 2 2 2 7 2 4" xfId="15352" xr:uid="{BB44719A-0F31-49A0-AF82-A51D42E55CB8}"/>
    <cellStyle name="Normal 8 2 2 2 2 7 3" xfId="19572" xr:uid="{4A75FCA3-90C0-4510-9869-2CBFA48BE160}"/>
    <cellStyle name="Normal 8 2 2 2 2 7 4" xfId="28007" xr:uid="{BCAFE753-309D-4C0C-B72C-A88DA8B29FEB}"/>
    <cellStyle name="Normal 8 2 2 2 2 7 5" xfId="11134" xr:uid="{82B74200-4BD6-4962-84A7-DF4F17236D73}"/>
    <cellStyle name="Normal 8 2 2 2 2 8" xfId="4848" xr:uid="{00000000-0005-0000-0000-00001D1C0000}"/>
    <cellStyle name="Normal 8 2 2 2 2 8 2" xfId="21725" xr:uid="{6ADF45AD-A8A2-42D9-9C29-58534E14E09A}"/>
    <cellStyle name="Normal 8 2 2 2 2 8 3" xfId="30159" xr:uid="{CD73E767-483B-479C-9D7E-1CCB63F8E697}"/>
    <cellStyle name="Normal 8 2 2 2 2 8 4" xfId="13287" xr:uid="{F2613430-E869-42A7-9783-97CF385D3FF9}"/>
    <cellStyle name="Normal 8 2 2 2 2 9" xfId="17507" xr:uid="{64FC3959-256C-4507-AFC3-F44F0C36D458}"/>
    <cellStyle name="Normal 8 2 2 2 3" xfId="484" xr:uid="{00000000-0005-0000-0000-00001E1C0000}"/>
    <cellStyle name="Normal 8 2 2 2 3 10" xfId="9071" xr:uid="{BE0C0C84-CA8F-4378-85F1-8AD08122BA9D}"/>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24285" xr:uid="{D9F6B3DE-5222-4167-AE0C-9F4CB5B8C59E}"/>
    <cellStyle name="Normal 8 2 2 2 3 2 2 2 3" xfId="32719" xr:uid="{F5AF0218-24A1-4F2A-8A48-212DBBADAFC1}"/>
    <cellStyle name="Normal 8 2 2 2 3 2 2 2 4" xfId="15847" xr:uid="{9D47CF01-6AE4-4939-B488-60240A8AE6AB}"/>
    <cellStyle name="Normal 8 2 2 2 3 2 2 3" xfId="20067" xr:uid="{266FB9C7-7C03-4129-B6D8-E96A54C8B70A}"/>
    <cellStyle name="Normal 8 2 2 2 3 2 2 4" xfId="28502" xr:uid="{6F5EED1A-43A3-4C66-A72E-436D82FB0A33}"/>
    <cellStyle name="Normal 8 2 2 2 3 2 2 5" xfId="11629" xr:uid="{8E8069DD-41A8-4099-AB3C-5812017FEB54}"/>
    <cellStyle name="Normal 8 2 2 2 3 2 3" xfId="5263" xr:uid="{00000000-0005-0000-0000-0000221C0000}"/>
    <cellStyle name="Normal 8 2 2 2 3 2 3 2" xfId="22140" xr:uid="{451B3DCB-2FE8-47F1-98EE-5EF381C8973A}"/>
    <cellStyle name="Normal 8 2 2 2 3 2 3 3" xfId="30574" xr:uid="{64893DF8-8174-423B-A304-D703DC585106}"/>
    <cellStyle name="Normal 8 2 2 2 3 2 3 4" xfId="13702" xr:uid="{56919EDE-20F6-478F-8B28-5FF51B2F98AE}"/>
    <cellStyle name="Normal 8 2 2 2 3 2 4" xfId="17922" xr:uid="{E4ED62E4-BA6E-4975-949C-D3A53C38238A}"/>
    <cellStyle name="Normal 8 2 2 2 3 2 5" xfId="26357" xr:uid="{F230DC22-FB87-4968-861B-29873CA93C8F}"/>
    <cellStyle name="Normal 8 2 2 2 3 2 6" xfId="9484" xr:uid="{AD2E1EE3-890A-46B3-9355-1778C6094F4D}"/>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24698" xr:uid="{F699A912-D20A-46A8-A1D5-E104F65F0660}"/>
    <cellStyle name="Normal 8 2 2 2 3 3 2 2 3" xfId="33132" xr:uid="{0FD53E91-44AE-425F-8371-11A781AC0D4C}"/>
    <cellStyle name="Normal 8 2 2 2 3 3 2 2 4" xfId="16260" xr:uid="{02FC34CF-ADE7-407E-88E9-0579D4C6C13C}"/>
    <cellStyle name="Normal 8 2 2 2 3 3 2 3" xfId="20480" xr:uid="{BCAA7B60-AD52-443A-B2BA-203E78CC65C4}"/>
    <cellStyle name="Normal 8 2 2 2 3 3 2 4" xfId="28915" xr:uid="{5BA5C3ED-9A2A-48A1-87F8-1FD8F33639DA}"/>
    <cellStyle name="Normal 8 2 2 2 3 3 2 5" xfId="12042" xr:uid="{99C1585D-8ABF-4F62-9360-A8FDD8E2E885}"/>
    <cellStyle name="Normal 8 2 2 2 3 3 3" xfId="5676" xr:uid="{00000000-0005-0000-0000-0000261C0000}"/>
    <cellStyle name="Normal 8 2 2 2 3 3 3 2" xfId="22553" xr:uid="{4F73E989-9BE3-4A01-A2A2-D3D33087C200}"/>
    <cellStyle name="Normal 8 2 2 2 3 3 3 3" xfId="30987" xr:uid="{E941EDBB-E366-4EE2-8A14-7466FC180ED1}"/>
    <cellStyle name="Normal 8 2 2 2 3 3 3 4" xfId="14115" xr:uid="{DF62712B-E398-4E2C-9985-534FF2383D48}"/>
    <cellStyle name="Normal 8 2 2 2 3 3 4" xfId="18335" xr:uid="{6AE13BBF-CDA3-49BB-A797-9F3DDCBFCE49}"/>
    <cellStyle name="Normal 8 2 2 2 3 3 5" xfId="26770" xr:uid="{DAEFD3CE-A682-4CB0-8205-567F3E6DC6ED}"/>
    <cellStyle name="Normal 8 2 2 2 3 3 6" xfId="9897" xr:uid="{5C21D91B-96D7-452C-9E6D-E685BCBF319D}"/>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25111" xr:uid="{14A0188C-B6C5-4BC9-8D71-C455175E2650}"/>
    <cellStyle name="Normal 8 2 2 2 3 4 2 2 3" xfId="33545" xr:uid="{059A3896-8333-45B9-9A37-52457D8C5C6F}"/>
    <cellStyle name="Normal 8 2 2 2 3 4 2 2 4" xfId="16673" xr:uid="{FE78F7AC-5217-40D7-8F5D-834868D687DE}"/>
    <cellStyle name="Normal 8 2 2 2 3 4 2 3" xfId="20893" xr:uid="{89679323-A35D-47EE-8273-D71F7C67FE37}"/>
    <cellStyle name="Normal 8 2 2 2 3 4 2 4" xfId="29328" xr:uid="{602324EE-BE0D-47BD-BAC7-CFEB207AAB1E}"/>
    <cellStyle name="Normal 8 2 2 2 3 4 2 5" xfId="12455" xr:uid="{98935BCA-B7AB-4EC8-A7A9-3FDC81BC9207}"/>
    <cellStyle name="Normal 8 2 2 2 3 4 3" xfId="6089" xr:uid="{00000000-0005-0000-0000-00002A1C0000}"/>
    <cellStyle name="Normal 8 2 2 2 3 4 3 2" xfId="22966" xr:uid="{FBE76512-B35D-42C9-AA36-11B41FF5E807}"/>
    <cellStyle name="Normal 8 2 2 2 3 4 3 3" xfId="31400" xr:uid="{F9664879-C86B-4088-944B-B87B8F8FE7E8}"/>
    <cellStyle name="Normal 8 2 2 2 3 4 3 4" xfId="14528" xr:uid="{5053796D-693B-4D2D-A6B4-07FBB0F778DA}"/>
    <cellStyle name="Normal 8 2 2 2 3 4 4" xfId="18748" xr:uid="{B71BB793-0A0A-464B-920D-4D2DFAE01A99}"/>
    <cellStyle name="Normal 8 2 2 2 3 4 5" xfId="27183" xr:uid="{FCEA5E10-A8FA-42C4-986D-FF2BF659C5D7}"/>
    <cellStyle name="Normal 8 2 2 2 3 4 6" xfId="10310" xr:uid="{B1CDF9A5-C0DB-49A4-8CFB-5EB000673446}"/>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25524" xr:uid="{573F0C3E-EC8D-4237-B670-824AA2F947E8}"/>
    <cellStyle name="Normal 8 2 2 2 3 5 2 2 3" xfId="33958" xr:uid="{937B7AD6-A9CC-43F7-BF4C-14A700B10545}"/>
    <cellStyle name="Normal 8 2 2 2 3 5 2 2 4" xfId="17086" xr:uid="{37DEB3A7-792B-4960-8A81-2E3A50DE4C9D}"/>
    <cellStyle name="Normal 8 2 2 2 3 5 2 3" xfId="21306" xr:uid="{994D5CAD-D889-424D-8C1C-FCB426C695AB}"/>
    <cellStyle name="Normal 8 2 2 2 3 5 2 4" xfId="29741" xr:uid="{9378C457-55C8-412C-A583-ACD2980BFD02}"/>
    <cellStyle name="Normal 8 2 2 2 3 5 2 5" xfId="12868" xr:uid="{F2266ABB-3FD4-4C35-978A-9FC496AAD1D3}"/>
    <cellStyle name="Normal 8 2 2 2 3 5 3" xfId="6502" xr:uid="{00000000-0005-0000-0000-00002E1C0000}"/>
    <cellStyle name="Normal 8 2 2 2 3 5 3 2" xfId="23379" xr:uid="{1D6F3EFB-694D-4308-A131-C0628ECBD05F}"/>
    <cellStyle name="Normal 8 2 2 2 3 5 3 3" xfId="31813" xr:uid="{63EF605D-DFEA-4529-A8C0-A45430A60C99}"/>
    <cellStyle name="Normal 8 2 2 2 3 5 3 4" xfId="14941" xr:uid="{3F2AFCC2-7355-48A9-A82C-31493405577E}"/>
    <cellStyle name="Normal 8 2 2 2 3 5 4" xfId="19161" xr:uid="{207F306E-BD36-4335-9151-E85BE8C0177C}"/>
    <cellStyle name="Normal 8 2 2 2 3 5 5" xfId="27596" xr:uid="{381C41B9-617E-46B5-83BE-C09FAC973615}"/>
    <cellStyle name="Normal 8 2 2 2 3 5 6" xfId="10723" xr:uid="{494B25B9-4A71-432D-A426-BA9EB9F5CC8C}"/>
    <cellStyle name="Normal 8 2 2 2 3 6" xfId="2631" xr:uid="{00000000-0005-0000-0000-00002F1C0000}"/>
    <cellStyle name="Normal 8 2 2 2 3 6 2" xfId="6915" xr:uid="{00000000-0005-0000-0000-0000301C0000}"/>
    <cellStyle name="Normal 8 2 2 2 3 6 2 2" xfId="23792" xr:uid="{744C3670-A699-4E84-9536-79D64168C0BD}"/>
    <cellStyle name="Normal 8 2 2 2 3 6 2 3" xfId="32226" xr:uid="{802A0D27-D9EE-4AC4-A73D-B2BBBA050D64}"/>
    <cellStyle name="Normal 8 2 2 2 3 6 2 4" xfId="15354" xr:uid="{D988D454-E116-4D02-9729-ECE1C6ADB9F2}"/>
    <cellStyle name="Normal 8 2 2 2 3 6 3" xfId="19574" xr:uid="{A28BB892-A89B-4AFC-A2F3-12829CFE76C2}"/>
    <cellStyle name="Normal 8 2 2 2 3 6 4" xfId="28009" xr:uid="{932412D2-2E62-432D-82F2-BBB57D1E3DBF}"/>
    <cellStyle name="Normal 8 2 2 2 3 6 5" xfId="11136" xr:uid="{69945E3E-4C0D-4027-BC22-BB0CF6AECEF0}"/>
    <cellStyle name="Normal 8 2 2 2 3 7" xfId="4850" xr:uid="{00000000-0005-0000-0000-0000311C0000}"/>
    <cellStyle name="Normal 8 2 2 2 3 7 2" xfId="21727" xr:uid="{BE2B011A-7E2E-459E-AE98-1785B3F59974}"/>
    <cellStyle name="Normal 8 2 2 2 3 7 3" xfId="30161" xr:uid="{BA9A835D-2F7F-48FE-8870-24ABEB4FE4E9}"/>
    <cellStyle name="Normal 8 2 2 2 3 7 4" xfId="13289" xr:uid="{652F6BE2-BBED-4DDB-9C18-A381B8B296FE}"/>
    <cellStyle name="Normal 8 2 2 2 3 8" xfId="17509" xr:uid="{4258E880-FEBF-4A5F-BDC3-F5565178980D}"/>
    <cellStyle name="Normal 8 2 2 2 3 9" xfId="25944" xr:uid="{23B40085-1E8F-41A3-96C3-7AE57543200B}"/>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24282" xr:uid="{BBA755D0-E2DB-417F-A294-2AC1862CD49F}"/>
    <cellStyle name="Normal 8 2 2 2 4 2 2 3" xfId="32716" xr:uid="{00F9280E-2B59-4559-A073-80A6C0B87AFC}"/>
    <cellStyle name="Normal 8 2 2 2 4 2 2 4" xfId="15844" xr:uid="{C48B50BB-36B9-48E4-9523-B38282A200D3}"/>
    <cellStyle name="Normal 8 2 2 2 4 2 3" xfId="20064" xr:uid="{433AE9AD-E374-48E3-9BB4-05422DB72C8E}"/>
    <cellStyle name="Normal 8 2 2 2 4 2 4" xfId="28499" xr:uid="{4A24E673-5E96-48C4-8E60-D41BE13E5955}"/>
    <cellStyle name="Normal 8 2 2 2 4 2 5" xfId="11626" xr:uid="{E79A66FD-E161-4ADD-8A30-1323D8583184}"/>
    <cellStyle name="Normal 8 2 2 2 4 3" xfId="5260" xr:uid="{00000000-0005-0000-0000-0000351C0000}"/>
    <cellStyle name="Normal 8 2 2 2 4 3 2" xfId="22137" xr:uid="{BEDC237A-29FD-4DC0-94F0-6BA6BED33D0F}"/>
    <cellStyle name="Normal 8 2 2 2 4 3 3" xfId="30571" xr:uid="{B6F6BAFB-487A-419E-A030-4E3ED6512D0E}"/>
    <cellStyle name="Normal 8 2 2 2 4 3 4" xfId="13699" xr:uid="{A6B85906-972B-4F83-BC0D-0B3A7D2D9B0F}"/>
    <cellStyle name="Normal 8 2 2 2 4 4" xfId="17919" xr:uid="{4FE1D62E-05A6-44AD-8BE6-EE6EEB4BEC07}"/>
    <cellStyle name="Normal 8 2 2 2 4 5" xfId="26354" xr:uid="{F0580FCF-13AF-42BF-88EC-77714FE81208}"/>
    <cellStyle name="Normal 8 2 2 2 4 6" xfId="9481" xr:uid="{99DA6B47-D8AB-4BC4-AA5E-526B0E12E55B}"/>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24695" xr:uid="{7BF92AB0-9A16-41AF-A13A-54D2B939F45A}"/>
    <cellStyle name="Normal 8 2 2 2 5 2 2 3" xfId="33129" xr:uid="{56D1351D-0705-4B44-9583-F0DC9DE3A010}"/>
    <cellStyle name="Normal 8 2 2 2 5 2 2 4" xfId="16257" xr:uid="{A88AE518-9F91-4B34-BD15-A71DC0A047B4}"/>
    <cellStyle name="Normal 8 2 2 2 5 2 3" xfId="20477" xr:uid="{D6E2C01D-DE14-440F-B554-45009E8D778F}"/>
    <cellStyle name="Normal 8 2 2 2 5 2 4" xfId="28912" xr:uid="{01007030-14A9-4974-952B-441AA6457C5E}"/>
    <cellStyle name="Normal 8 2 2 2 5 2 5" xfId="12039" xr:uid="{6B973451-C6D5-423E-8D56-96EB6E632F24}"/>
    <cellStyle name="Normal 8 2 2 2 5 3" xfId="5673" xr:uid="{00000000-0005-0000-0000-0000391C0000}"/>
    <cellStyle name="Normal 8 2 2 2 5 3 2" xfId="22550" xr:uid="{8310CFB9-15D3-474B-891B-D15ACB33B691}"/>
    <cellStyle name="Normal 8 2 2 2 5 3 3" xfId="30984" xr:uid="{F041EE58-315B-4A3F-B151-77F0CAB49328}"/>
    <cellStyle name="Normal 8 2 2 2 5 3 4" xfId="14112" xr:uid="{F9CE5767-5D90-4632-B73E-AEBAB28AB720}"/>
    <cellStyle name="Normal 8 2 2 2 5 4" xfId="18332" xr:uid="{8DA3BF35-B151-49C7-B6B7-21736094F6F3}"/>
    <cellStyle name="Normal 8 2 2 2 5 5" xfId="26767" xr:uid="{CF14B41A-CFE8-4E13-AD13-CC9292AFF6A3}"/>
    <cellStyle name="Normal 8 2 2 2 5 6" xfId="9894" xr:uid="{D3FE3FEB-5777-4305-8AAE-72DD602112EB}"/>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25108" xr:uid="{73A7A5EF-1CCA-40D9-8ED1-597B30F98DD4}"/>
    <cellStyle name="Normal 8 2 2 2 6 2 2 3" xfId="33542" xr:uid="{2A6EA255-E7CF-4798-9182-E147EEB6A92C}"/>
    <cellStyle name="Normal 8 2 2 2 6 2 2 4" xfId="16670" xr:uid="{C8CDBFDD-7EC2-4FC5-A832-D8E7ABD95555}"/>
    <cellStyle name="Normal 8 2 2 2 6 2 3" xfId="20890" xr:uid="{401BC3B7-F0B1-45A2-9FFD-EE7B69827A0C}"/>
    <cellStyle name="Normal 8 2 2 2 6 2 4" xfId="29325" xr:uid="{9E2F9B71-B4CC-4F17-AA19-29A4F048160B}"/>
    <cellStyle name="Normal 8 2 2 2 6 2 5" xfId="12452" xr:uid="{3C56C680-E061-4B0B-836E-75B21A2423BB}"/>
    <cellStyle name="Normal 8 2 2 2 6 3" xfId="6086" xr:uid="{00000000-0005-0000-0000-00003D1C0000}"/>
    <cellStyle name="Normal 8 2 2 2 6 3 2" xfId="22963" xr:uid="{DF3CE4E3-7C32-411F-8AF6-7B1A85643ACB}"/>
    <cellStyle name="Normal 8 2 2 2 6 3 3" xfId="31397" xr:uid="{B3CCB52A-3A83-420F-AF23-9544FB576B3D}"/>
    <cellStyle name="Normal 8 2 2 2 6 3 4" xfId="14525" xr:uid="{5BFDE4AC-03BB-4C99-BCE6-78B78655E6E2}"/>
    <cellStyle name="Normal 8 2 2 2 6 4" xfId="18745" xr:uid="{6935EE9B-B206-4269-93D9-7A45B42F3098}"/>
    <cellStyle name="Normal 8 2 2 2 6 5" xfId="27180" xr:uid="{6D6F015F-8F40-4C8D-BC42-FCD20E635D02}"/>
    <cellStyle name="Normal 8 2 2 2 6 6" xfId="10307" xr:uid="{36785862-6F7F-436F-B9ED-20212DA8BEEF}"/>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25521" xr:uid="{4E5CA6CB-5F78-4518-9543-E45DCD3CEBBD}"/>
    <cellStyle name="Normal 8 2 2 2 7 2 2 3" xfId="33955" xr:uid="{4575156E-6791-435A-A05D-A708191CE028}"/>
    <cellStyle name="Normal 8 2 2 2 7 2 2 4" xfId="17083" xr:uid="{BE65066B-1491-4BF6-8DC8-FEE7E941E6F3}"/>
    <cellStyle name="Normal 8 2 2 2 7 2 3" xfId="21303" xr:uid="{99D00635-7B75-4A8B-A8E7-C48E05A12C4B}"/>
    <cellStyle name="Normal 8 2 2 2 7 2 4" xfId="29738" xr:uid="{4A5BC2C7-BD75-4104-BDC5-5B8CA5919ADC}"/>
    <cellStyle name="Normal 8 2 2 2 7 2 5" xfId="12865" xr:uid="{F2CD4BB0-252B-4FD7-9199-CF7D16967BE8}"/>
    <cellStyle name="Normal 8 2 2 2 7 3" xfId="6499" xr:uid="{00000000-0005-0000-0000-0000411C0000}"/>
    <cellStyle name="Normal 8 2 2 2 7 3 2" xfId="23376" xr:uid="{17842B76-B116-4D59-9663-AE98E47F0D22}"/>
    <cellStyle name="Normal 8 2 2 2 7 3 3" xfId="31810" xr:uid="{DF7C3CF0-7B34-4247-AE8C-B24EF40D56A7}"/>
    <cellStyle name="Normal 8 2 2 2 7 3 4" xfId="14938" xr:uid="{F89D6D50-F140-462E-A5B8-3081010350D6}"/>
    <cellStyle name="Normal 8 2 2 2 7 4" xfId="19158" xr:uid="{6505547E-0208-4ECE-81F3-2C0E050D41A6}"/>
    <cellStyle name="Normal 8 2 2 2 7 5" xfId="27593" xr:uid="{966FC9E7-808C-44D1-85DB-3BBEA2362FA5}"/>
    <cellStyle name="Normal 8 2 2 2 7 6" xfId="10720" xr:uid="{EF312702-415F-4918-BF16-6006A7FA358D}"/>
    <cellStyle name="Normal 8 2 2 2 8" xfId="2628" xr:uid="{00000000-0005-0000-0000-0000421C0000}"/>
    <cellStyle name="Normal 8 2 2 2 8 2" xfId="6912" xr:uid="{00000000-0005-0000-0000-0000431C0000}"/>
    <cellStyle name="Normal 8 2 2 2 8 2 2" xfId="23789" xr:uid="{E2E24FFC-67CB-4A59-840A-81A1792EE60B}"/>
    <cellStyle name="Normal 8 2 2 2 8 2 3" xfId="32223" xr:uid="{11D48484-072E-4A33-A8EA-B235E51B9DA9}"/>
    <cellStyle name="Normal 8 2 2 2 8 2 4" xfId="15351" xr:uid="{E97DABC7-716F-4DDB-A2A5-61C6E1C2E4DD}"/>
    <cellStyle name="Normal 8 2 2 2 8 3" xfId="19571" xr:uid="{397EE418-D23A-4C34-AEC0-DD03FDE21146}"/>
    <cellStyle name="Normal 8 2 2 2 8 4" xfId="28006" xr:uid="{E6763B41-C199-4614-AAF0-502694F4050A}"/>
    <cellStyle name="Normal 8 2 2 2 8 5" xfId="11133" xr:uid="{60D87043-8F75-47A9-8BA7-6B2369BB23D8}"/>
    <cellStyle name="Normal 8 2 2 2 9" xfId="4847" xr:uid="{00000000-0005-0000-0000-0000441C0000}"/>
    <cellStyle name="Normal 8 2 2 2 9 2" xfId="21724" xr:uid="{86A6F5A0-C6DA-4C63-8CFA-6F85C8C06820}"/>
    <cellStyle name="Normal 8 2 2 2 9 3" xfId="30158" xr:uid="{C7217AAA-E713-4869-95DC-E6A1446C436F}"/>
    <cellStyle name="Normal 8 2 2 2 9 4" xfId="13286" xr:uid="{3949BD56-21EB-4592-868F-C5F41948CC92}"/>
    <cellStyle name="Normal 8 2 2 3" xfId="485" xr:uid="{00000000-0005-0000-0000-0000451C0000}"/>
    <cellStyle name="Normal 8 2 2 3 10" xfId="25945" xr:uid="{137613D9-EEA8-4981-84B5-83948748A0B8}"/>
    <cellStyle name="Normal 8 2 2 3 11" xfId="9072" xr:uid="{250DB064-EF9F-4649-8B86-1003EFBD3DA9}"/>
    <cellStyle name="Normal 8 2 2 3 2" xfId="486" xr:uid="{00000000-0005-0000-0000-0000461C0000}"/>
    <cellStyle name="Normal 8 2 2 3 2 10" xfId="9073" xr:uid="{165ED4FF-2F18-4609-9D4D-9900810FDCF2}"/>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24287" xr:uid="{A09909EB-7CC8-4DB6-99FD-767A7AF679B7}"/>
    <cellStyle name="Normal 8 2 2 3 2 2 2 2 3" xfId="32721" xr:uid="{0951F90E-8117-4A77-9EC3-62C00C127FF5}"/>
    <cellStyle name="Normal 8 2 2 3 2 2 2 2 4" xfId="15849" xr:uid="{B2B203A3-63C2-47D1-A6F7-0FB7128C10D8}"/>
    <cellStyle name="Normal 8 2 2 3 2 2 2 3" xfId="20069" xr:uid="{BCBC8B39-9F55-4D19-9CF0-3F92FE27802A}"/>
    <cellStyle name="Normal 8 2 2 3 2 2 2 4" xfId="28504" xr:uid="{DBF889B7-4BFC-4832-B219-2C15F37B87D3}"/>
    <cellStyle name="Normal 8 2 2 3 2 2 2 5" xfId="11631" xr:uid="{0A034A38-C516-43D7-ADBF-CC98862438F6}"/>
    <cellStyle name="Normal 8 2 2 3 2 2 3" xfId="5265" xr:uid="{00000000-0005-0000-0000-00004A1C0000}"/>
    <cellStyle name="Normal 8 2 2 3 2 2 3 2" xfId="22142" xr:uid="{C9F04C54-6F04-4674-B794-A288CFBD803D}"/>
    <cellStyle name="Normal 8 2 2 3 2 2 3 3" xfId="30576" xr:uid="{23F27F42-A817-4D1E-9A55-C43D12563C05}"/>
    <cellStyle name="Normal 8 2 2 3 2 2 3 4" xfId="13704" xr:uid="{C558FDF9-81DE-4641-B475-F5106EB2A0C8}"/>
    <cellStyle name="Normal 8 2 2 3 2 2 4" xfId="17924" xr:uid="{BE7CDF30-377B-409D-A5BA-1124B8F35FFD}"/>
    <cellStyle name="Normal 8 2 2 3 2 2 5" xfId="26359" xr:uid="{632DB477-4E62-430B-86CD-A879926ADD20}"/>
    <cellStyle name="Normal 8 2 2 3 2 2 6" xfId="9486" xr:uid="{F454AB10-3033-4C96-84C9-26B2B56836E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24700" xr:uid="{55FDD9D8-9B10-4D52-9E9D-50EE9B11BA7A}"/>
    <cellStyle name="Normal 8 2 2 3 2 3 2 2 3" xfId="33134" xr:uid="{13BA4B4B-6D15-460E-9758-2584C5707539}"/>
    <cellStyle name="Normal 8 2 2 3 2 3 2 2 4" xfId="16262" xr:uid="{33B888EB-21AD-42C3-978C-67FEC01EF4D0}"/>
    <cellStyle name="Normal 8 2 2 3 2 3 2 3" xfId="20482" xr:uid="{8E449E2F-9150-4E41-A83D-4CE89041E642}"/>
    <cellStyle name="Normal 8 2 2 3 2 3 2 4" xfId="28917" xr:uid="{289D2712-F1A8-4308-B5A8-EB557EA0BDB5}"/>
    <cellStyle name="Normal 8 2 2 3 2 3 2 5" xfId="12044" xr:uid="{2278C3C5-F137-44A8-97E4-F8E980F25ED6}"/>
    <cellStyle name="Normal 8 2 2 3 2 3 3" xfId="5678" xr:uid="{00000000-0005-0000-0000-00004E1C0000}"/>
    <cellStyle name="Normal 8 2 2 3 2 3 3 2" xfId="22555" xr:uid="{272128E8-B247-4CA9-8936-E73940E60077}"/>
    <cellStyle name="Normal 8 2 2 3 2 3 3 3" xfId="30989" xr:uid="{D4418C29-B1EF-47CD-9788-873BD44805BE}"/>
    <cellStyle name="Normal 8 2 2 3 2 3 3 4" xfId="14117" xr:uid="{CF563CDF-1F9C-498D-8031-9BAD4698689D}"/>
    <cellStyle name="Normal 8 2 2 3 2 3 4" xfId="18337" xr:uid="{62597503-BECF-4B9D-8388-F413F48B2608}"/>
    <cellStyle name="Normal 8 2 2 3 2 3 5" xfId="26772" xr:uid="{84B13313-21A2-44C8-B7DE-4188C2AEFCF1}"/>
    <cellStyle name="Normal 8 2 2 3 2 3 6" xfId="9899" xr:uid="{79CA49DF-3947-46D4-B1F2-87D249F34CE3}"/>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25113" xr:uid="{BBF9E0D1-1D81-42F9-9A25-1E3126F6A5C0}"/>
    <cellStyle name="Normal 8 2 2 3 2 4 2 2 3" xfId="33547" xr:uid="{1B08E85E-8D5A-44E0-942D-FAAB04803DA6}"/>
    <cellStyle name="Normal 8 2 2 3 2 4 2 2 4" xfId="16675" xr:uid="{2C958E03-9634-43D1-9112-F5FFECFF9E3C}"/>
    <cellStyle name="Normal 8 2 2 3 2 4 2 3" xfId="20895" xr:uid="{2AA2E487-76D2-47DD-AC6A-901F242594C3}"/>
    <cellStyle name="Normal 8 2 2 3 2 4 2 4" xfId="29330" xr:uid="{8C3016B2-CCC9-4A16-A117-C05A831216C3}"/>
    <cellStyle name="Normal 8 2 2 3 2 4 2 5" xfId="12457" xr:uid="{235BCF53-2443-4A5A-9D63-8F50A4FA8553}"/>
    <cellStyle name="Normal 8 2 2 3 2 4 3" xfId="6091" xr:uid="{00000000-0005-0000-0000-0000521C0000}"/>
    <cellStyle name="Normal 8 2 2 3 2 4 3 2" xfId="22968" xr:uid="{4A69B488-F10D-4824-98B8-4239ED27A047}"/>
    <cellStyle name="Normal 8 2 2 3 2 4 3 3" xfId="31402" xr:uid="{9CE160FD-684A-430E-BFF5-0D461A7A6821}"/>
    <cellStyle name="Normal 8 2 2 3 2 4 3 4" xfId="14530" xr:uid="{1A936434-8405-48CD-AF05-DC03256C20A4}"/>
    <cellStyle name="Normal 8 2 2 3 2 4 4" xfId="18750" xr:uid="{A8D47A89-72E0-4B97-9605-EBD6ABF4DC62}"/>
    <cellStyle name="Normal 8 2 2 3 2 4 5" xfId="27185" xr:uid="{BF2BB208-9E6E-437D-B9F8-3D65EE967203}"/>
    <cellStyle name="Normal 8 2 2 3 2 4 6" xfId="10312" xr:uid="{36184E8D-AA61-4FE3-838F-1687AF38BFED}"/>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25526" xr:uid="{65165F4D-0EB2-420E-9740-58BA23CE7578}"/>
    <cellStyle name="Normal 8 2 2 3 2 5 2 2 3" xfId="33960" xr:uid="{51E1B429-6E46-496F-933D-D991E4E23F23}"/>
    <cellStyle name="Normal 8 2 2 3 2 5 2 2 4" xfId="17088" xr:uid="{7EB78C4A-DE1F-43FB-AF2F-AC4A4BA41822}"/>
    <cellStyle name="Normal 8 2 2 3 2 5 2 3" xfId="21308" xr:uid="{BDAD1DEA-29EA-4E5D-A1DF-1967034EDD31}"/>
    <cellStyle name="Normal 8 2 2 3 2 5 2 4" xfId="29743" xr:uid="{D6CA3B0A-40BC-4C18-AE58-10C47EFC46B2}"/>
    <cellStyle name="Normal 8 2 2 3 2 5 2 5" xfId="12870" xr:uid="{8C14142A-C043-4D6F-ADAA-81358F81CDFE}"/>
    <cellStyle name="Normal 8 2 2 3 2 5 3" xfId="6504" xr:uid="{00000000-0005-0000-0000-0000561C0000}"/>
    <cellStyle name="Normal 8 2 2 3 2 5 3 2" xfId="23381" xr:uid="{C5719D53-391D-4C99-9879-59147699E467}"/>
    <cellStyle name="Normal 8 2 2 3 2 5 3 3" xfId="31815" xr:uid="{625D25B2-2088-40A1-8751-0D503C85768C}"/>
    <cellStyle name="Normal 8 2 2 3 2 5 3 4" xfId="14943" xr:uid="{CBAB0DBA-039D-475A-889E-E40C48085499}"/>
    <cellStyle name="Normal 8 2 2 3 2 5 4" xfId="19163" xr:uid="{64D1C19E-E66E-4F1E-8A07-01EDC8B4FB07}"/>
    <cellStyle name="Normal 8 2 2 3 2 5 5" xfId="27598" xr:uid="{483E0D00-1839-40B0-977A-BFBC59D87C70}"/>
    <cellStyle name="Normal 8 2 2 3 2 5 6" xfId="10725" xr:uid="{98EC44DE-900C-4A8D-9B74-BED9B471DED7}"/>
    <cellStyle name="Normal 8 2 2 3 2 6" xfId="2633" xr:uid="{00000000-0005-0000-0000-0000571C0000}"/>
    <cellStyle name="Normal 8 2 2 3 2 6 2" xfId="6917" xr:uid="{00000000-0005-0000-0000-0000581C0000}"/>
    <cellStyle name="Normal 8 2 2 3 2 6 2 2" xfId="23794" xr:uid="{EDF1999C-C0C8-4EA3-A620-54ADA6F647DB}"/>
    <cellStyle name="Normal 8 2 2 3 2 6 2 3" xfId="32228" xr:uid="{6EC3537D-2EBA-47BC-8C88-0562BD84F300}"/>
    <cellStyle name="Normal 8 2 2 3 2 6 2 4" xfId="15356" xr:uid="{4E0C90D1-E8A7-4979-BD67-5CA3A1A3F929}"/>
    <cellStyle name="Normal 8 2 2 3 2 6 3" xfId="19576" xr:uid="{186B0EBF-084B-47D3-8843-19361258B08D}"/>
    <cellStyle name="Normal 8 2 2 3 2 6 4" xfId="28011" xr:uid="{8E5043C9-860C-4E2F-B901-E70CE7312528}"/>
    <cellStyle name="Normal 8 2 2 3 2 6 5" xfId="11138" xr:uid="{16FEF946-81B8-45B7-9C9A-7774AC309F39}"/>
    <cellStyle name="Normal 8 2 2 3 2 7" xfId="4852" xr:uid="{00000000-0005-0000-0000-0000591C0000}"/>
    <cellStyle name="Normal 8 2 2 3 2 7 2" xfId="21729" xr:uid="{BA0B4333-F7F0-45E7-BBEE-E169EB58C5F5}"/>
    <cellStyle name="Normal 8 2 2 3 2 7 3" xfId="30163" xr:uid="{CC174D10-3D2B-41E1-9103-5D872EB97EC8}"/>
    <cellStyle name="Normal 8 2 2 3 2 7 4" xfId="13291" xr:uid="{A68DCA48-6A35-4730-B73E-E8EDEB284B48}"/>
    <cellStyle name="Normal 8 2 2 3 2 8" xfId="17511" xr:uid="{5629220F-EEC6-40DE-95A7-757CA38CC2EE}"/>
    <cellStyle name="Normal 8 2 2 3 2 9" xfId="25946" xr:uid="{547CE1C5-135A-4E3E-8B16-1E2FADD8E6D6}"/>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24286" xr:uid="{EB4F01C2-7C6F-401A-B9B3-E9BAC431A3F8}"/>
    <cellStyle name="Normal 8 2 2 3 3 2 2 3" xfId="32720" xr:uid="{85547324-740E-4D23-8626-28FF577CA05E}"/>
    <cellStyle name="Normal 8 2 2 3 3 2 2 4" xfId="15848" xr:uid="{FBE965A9-B739-4D7C-A51B-4A5A2F42906F}"/>
    <cellStyle name="Normal 8 2 2 3 3 2 3" xfId="20068" xr:uid="{CE1F83F2-77EE-4B12-A871-8DA6EF1FD21A}"/>
    <cellStyle name="Normal 8 2 2 3 3 2 4" xfId="28503" xr:uid="{290E93B2-18B3-466E-B56F-7C25F64A2275}"/>
    <cellStyle name="Normal 8 2 2 3 3 2 5" xfId="11630" xr:uid="{2678D92E-376D-4318-8DB0-821C12ADFA97}"/>
    <cellStyle name="Normal 8 2 2 3 3 3" xfId="5264" xr:uid="{00000000-0005-0000-0000-00005D1C0000}"/>
    <cellStyle name="Normal 8 2 2 3 3 3 2" xfId="22141" xr:uid="{8607B6DA-D048-4B63-9B70-D0372C24300A}"/>
    <cellStyle name="Normal 8 2 2 3 3 3 3" xfId="30575" xr:uid="{6B7BF2BA-2EDE-4633-A75B-24FC20F3A056}"/>
    <cellStyle name="Normal 8 2 2 3 3 3 4" xfId="13703" xr:uid="{D0E82100-4185-4D4D-81C3-585C464E6C6F}"/>
    <cellStyle name="Normal 8 2 2 3 3 4" xfId="17923" xr:uid="{CF654932-E9BA-49C2-9682-985299E7CCA4}"/>
    <cellStyle name="Normal 8 2 2 3 3 5" xfId="26358" xr:uid="{01A1CDC8-E836-44A9-809E-3477C1AD95C7}"/>
    <cellStyle name="Normal 8 2 2 3 3 6" xfId="9485" xr:uid="{9796A862-6809-4322-85B2-2320177AB285}"/>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24699" xr:uid="{E78D36B2-F5C7-4F2E-BF7E-4F5DE2195215}"/>
    <cellStyle name="Normal 8 2 2 3 4 2 2 3" xfId="33133" xr:uid="{7B804521-D7AD-4DF1-A08B-6854ECC4D7B6}"/>
    <cellStyle name="Normal 8 2 2 3 4 2 2 4" xfId="16261" xr:uid="{45C59E28-F7A7-48F9-9223-B21D063E0E72}"/>
    <cellStyle name="Normal 8 2 2 3 4 2 3" xfId="20481" xr:uid="{02DAA21D-F1C5-4614-A20B-61D29C9957DD}"/>
    <cellStyle name="Normal 8 2 2 3 4 2 4" xfId="28916" xr:uid="{F2A8C533-009E-430E-BADD-8D2AE289E00E}"/>
    <cellStyle name="Normal 8 2 2 3 4 2 5" xfId="12043" xr:uid="{95E2452B-C3A9-4643-9ABD-F5690B68B588}"/>
    <cellStyle name="Normal 8 2 2 3 4 3" xfId="5677" xr:uid="{00000000-0005-0000-0000-0000611C0000}"/>
    <cellStyle name="Normal 8 2 2 3 4 3 2" xfId="22554" xr:uid="{88DF90D2-ECE0-4750-B15D-E1504197A6E0}"/>
    <cellStyle name="Normal 8 2 2 3 4 3 3" xfId="30988" xr:uid="{AE3CAB02-0779-477B-8084-AFBEF5321BA4}"/>
    <cellStyle name="Normal 8 2 2 3 4 3 4" xfId="14116" xr:uid="{8EBA2E32-FCFA-4A57-A2B6-148F244B2202}"/>
    <cellStyle name="Normal 8 2 2 3 4 4" xfId="18336" xr:uid="{CF95B813-CC0B-4329-BA7B-767587132B5F}"/>
    <cellStyle name="Normal 8 2 2 3 4 5" xfId="26771" xr:uid="{DCF10CF9-C0A7-4DB6-B07B-E8FBAACA02EE}"/>
    <cellStyle name="Normal 8 2 2 3 4 6" xfId="9898" xr:uid="{628AE2D0-70A0-431A-B844-4B58AD557438}"/>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25112" xr:uid="{A93E2A62-BE6C-486B-B8AB-F39142AC8258}"/>
    <cellStyle name="Normal 8 2 2 3 5 2 2 3" xfId="33546" xr:uid="{5755A864-CC0F-4F56-A604-73440B9754F7}"/>
    <cellStyle name="Normal 8 2 2 3 5 2 2 4" xfId="16674" xr:uid="{08B25520-C6FA-4003-B8FC-D80E3EE7A002}"/>
    <cellStyle name="Normal 8 2 2 3 5 2 3" xfId="20894" xr:uid="{FE0DF268-7614-451E-B6B7-843604A4CBC0}"/>
    <cellStyle name="Normal 8 2 2 3 5 2 4" xfId="29329" xr:uid="{45C22CA2-5277-49F2-BDB2-E9225E36CE4E}"/>
    <cellStyle name="Normal 8 2 2 3 5 2 5" xfId="12456" xr:uid="{D46A621E-086A-4892-9D0F-2F4F4EE624E1}"/>
    <cellStyle name="Normal 8 2 2 3 5 3" xfId="6090" xr:uid="{00000000-0005-0000-0000-0000651C0000}"/>
    <cellStyle name="Normal 8 2 2 3 5 3 2" xfId="22967" xr:uid="{B2B3F273-BC48-4326-872B-6902D889F3BF}"/>
    <cellStyle name="Normal 8 2 2 3 5 3 3" xfId="31401" xr:uid="{9675FB0A-E863-484C-AFE6-FF6EA09B0FC9}"/>
    <cellStyle name="Normal 8 2 2 3 5 3 4" xfId="14529" xr:uid="{C5148C4D-B214-48B2-9D56-D602E5D6F952}"/>
    <cellStyle name="Normal 8 2 2 3 5 4" xfId="18749" xr:uid="{11879418-2945-4002-9F51-E5764E4E67F5}"/>
    <cellStyle name="Normal 8 2 2 3 5 5" xfId="27184" xr:uid="{0D6A7164-E422-42D8-A2A0-C34F3A140021}"/>
    <cellStyle name="Normal 8 2 2 3 5 6" xfId="10311" xr:uid="{831FAACA-B17A-49B4-B8C2-F12DD162F5DC}"/>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25525" xr:uid="{47CD46A9-8645-4E40-9958-3AF9546F1BDB}"/>
    <cellStyle name="Normal 8 2 2 3 6 2 2 3" xfId="33959" xr:uid="{7102D972-2C9C-43FE-9FA8-40F3FA4279D2}"/>
    <cellStyle name="Normal 8 2 2 3 6 2 2 4" xfId="17087" xr:uid="{72FCC333-76DD-45B4-AE6B-DE12174007B1}"/>
    <cellStyle name="Normal 8 2 2 3 6 2 3" xfId="21307" xr:uid="{C0018FAF-82DC-43AF-99E9-D9BA8E44E9CE}"/>
    <cellStyle name="Normal 8 2 2 3 6 2 4" xfId="29742" xr:uid="{1EF3D831-CD08-4D44-AB4C-EBE592BA954A}"/>
    <cellStyle name="Normal 8 2 2 3 6 2 5" xfId="12869" xr:uid="{15E505AA-0BDB-4628-B64C-65176F40A6BF}"/>
    <cellStyle name="Normal 8 2 2 3 6 3" xfId="6503" xr:uid="{00000000-0005-0000-0000-0000691C0000}"/>
    <cellStyle name="Normal 8 2 2 3 6 3 2" xfId="23380" xr:uid="{4149C1E0-6A53-405D-A2CD-D093B1158BFA}"/>
    <cellStyle name="Normal 8 2 2 3 6 3 3" xfId="31814" xr:uid="{DA43E0CA-6E33-4E76-B590-BC5BB25E9F21}"/>
    <cellStyle name="Normal 8 2 2 3 6 3 4" xfId="14942" xr:uid="{60DD2647-D657-4E5F-964C-1D262C78B346}"/>
    <cellStyle name="Normal 8 2 2 3 6 4" xfId="19162" xr:uid="{2CD9A08C-F8AA-4093-8836-F7AE6972F919}"/>
    <cellStyle name="Normal 8 2 2 3 6 5" xfId="27597" xr:uid="{944CCF73-FB6A-4191-8796-003676A54293}"/>
    <cellStyle name="Normal 8 2 2 3 6 6" xfId="10724" xr:uid="{A191D5B0-10D7-43BC-AC00-CD0C3FE3F916}"/>
    <cellStyle name="Normal 8 2 2 3 7" xfId="2632" xr:uid="{00000000-0005-0000-0000-00006A1C0000}"/>
    <cellStyle name="Normal 8 2 2 3 7 2" xfId="6916" xr:uid="{00000000-0005-0000-0000-00006B1C0000}"/>
    <cellStyle name="Normal 8 2 2 3 7 2 2" xfId="23793" xr:uid="{3CC578C3-C925-45A8-903A-FA6454D52E3C}"/>
    <cellStyle name="Normal 8 2 2 3 7 2 3" xfId="32227" xr:uid="{84D167A3-A6B3-4CF6-9D77-3EFC8A04B163}"/>
    <cellStyle name="Normal 8 2 2 3 7 2 4" xfId="15355" xr:uid="{DD8C693A-FCC2-4E22-A30B-4430BDE5ABB9}"/>
    <cellStyle name="Normal 8 2 2 3 7 3" xfId="19575" xr:uid="{5D34EAFF-A91F-4DC3-AB52-69A93AF5BDCB}"/>
    <cellStyle name="Normal 8 2 2 3 7 4" xfId="28010" xr:uid="{3CF4DACF-892D-47FC-BB90-C67785E53D80}"/>
    <cellStyle name="Normal 8 2 2 3 7 5" xfId="11137" xr:uid="{1FED12AE-9EC0-469F-B65F-987BB4034BFE}"/>
    <cellStyle name="Normal 8 2 2 3 8" xfId="4851" xr:uid="{00000000-0005-0000-0000-00006C1C0000}"/>
    <cellStyle name="Normal 8 2 2 3 8 2" xfId="21728" xr:uid="{141C0776-2F95-4704-ACFD-3E5F7F3E08A5}"/>
    <cellStyle name="Normal 8 2 2 3 8 3" xfId="30162" xr:uid="{E1F75C4D-84A3-4B25-B148-BDD2A64B4955}"/>
    <cellStyle name="Normal 8 2 2 3 8 4" xfId="13290" xr:uid="{C69908D2-1578-437F-83FB-641F0D97FD15}"/>
    <cellStyle name="Normal 8 2 2 3 9" xfId="17510" xr:uid="{1560F06D-315C-47E0-B71E-995EFC133130}"/>
    <cellStyle name="Normal 8 2 2 4" xfId="487" xr:uid="{00000000-0005-0000-0000-00006D1C0000}"/>
    <cellStyle name="Normal 8 2 2 4 10" xfId="9074" xr:uid="{F49DD360-8C18-4ADB-938C-94E485180E5A}"/>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24288" xr:uid="{1E346BAC-9BFD-4DB8-BF58-09DB6FF1CC38}"/>
    <cellStyle name="Normal 8 2 2 4 2 2 2 3" xfId="32722" xr:uid="{D9575EE1-3395-484D-9E67-B6E31EA91578}"/>
    <cellStyle name="Normal 8 2 2 4 2 2 2 4" xfId="15850" xr:uid="{9139C811-F685-4CED-A4FC-61D207210F2D}"/>
    <cellStyle name="Normal 8 2 2 4 2 2 3" xfId="20070" xr:uid="{121ED9BC-8AC1-4FBC-AFB3-9069B6712BD9}"/>
    <cellStyle name="Normal 8 2 2 4 2 2 4" xfId="28505" xr:uid="{6B64C5CA-DA75-4239-BED6-EF27C7E35B60}"/>
    <cellStyle name="Normal 8 2 2 4 2 2 5" xfId="11632" xr:uid="{CEA7773B-2D4B-4D72-AF7B-73EAEA1DB274}"/>
    <cellStyle name="Normal 8 2 2 4 2 3" xfId="5266" xr:uid="{00000000-0005-0000-0000-0000711C0000}"/>
    <cellStyle name="Normal 8 2 2 4 2 3 2" xfId="22143" xr:uid="{1ACA8954-9054-442A-BA55-146D799BEB2C}"/>
    <cellStyle name="Normal 8 2 2 4 2 3 3" xfId="30577" xr:uid="{EE570C04-7EC9-4212-8F34-012BD951C193}"/>
    <cellStyle name="Normal 8 2 2 4 2 3 4" xfId="13705" xr:uid="{ED9D9E81-3448-4B9F-91DF-8BAAF7C201D7}"/>
    <cellStyle name="Normal 8 2 2 4 2 4" xfId="17925" xr:uid="{B3A0A5D9-A5EF-48DF-A731-949C37FCE6B2}"/>
    <cellStyle name="Normal 8 2 2 4 2 5" xfId="26360" xr:uid="{3A8FF1A3-8DF1-4FD4-AFD1-6FC2AA65C8BE}"/>
    <cellStyle name="Normal 8 2 2 4 2 6" xfId="9487" xr:uid="{921FE147-BC32-4675-A5CA-807B4728C174}"/>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24701" xr:uid="{BB1C0EE5-17CF-4D79-B8E0-D09BB1DF1920}"/>
    <cellStyle name="Normal 8 2 2 4 3 2 2 3" xfId="33135" xr:uid="{5A911E44-8585-41A3-95E5-A73ED9756D9F}"/>
    <cellStyle name="Normal 8 2 2 4 3 2 2 4" xfId="16263" xr:uid="{E1D82407-686D-4C27-90C8-A309706F7882}"/>
    <cellStyle name="Normal 8 2 2 4 3 2 3" xfId="20483" xr:uid="{4CA4C9A2-8D40-46F7-B6C3-BE0ACBDE8F31}"/>
    <cellStyle name="Normal 8 2 2 4 3 2 4" xfId="28918" xr:uid="{4FD24E72-7052-4DB0-A588-B8582D3ACB69}"/>
    <cellStyle name="Normal 8 2 2 4 3 2 5" xfId="12045" xr:uid="{7CAD814A-6656-4E67-92E3-84B62EF861FE}"/>
    <cellStyle name="Normal 8 2 2 4 3 3" xfId="5679" xr:uid="{00000000-0005-0000-0000-0000751C0000}"/>
    <cellStyle name="Normal 8 2 2 4 3 3 2" xfId="22556" xr:uid="{CA200DB6-44D1-4DF2-8FE1-165EB8FB128F}"/>
    <cellStyle name="Normal 8 2 2 4 3 3 3" xfId="30990" xr:uid="{5DCFB2D9-A85E-4701-A8F5-06C9DF5D1BDB}"/>
    <cellStyle name="Normal 8 2 2 4 3 3 4" xfId="14118" xr:uid="{B9716E57-D482-4F48-A72E-D6B7963BCB39}"/>
    <cellStyle name="Normal 8 2 2 4 3 4" xfId="18338" xr:uid="{B3DD4C6E-2EAA-4BAF-A161-975FF40CD48A}"/>
    <cellStyle name="Normal 8 2 2 4 3 5" xfId="26773" xr:uid="{5A1869F3-8837-46E0-926A-99BF666B5F24}"/>
    <cellStyle name="Normal 8 2 2 4 3 6" xfId="9900" xr:uid="{6BDC6B12-D51F-45A1-9DBC-F1DAE09C0A10}"/>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25114" xr:uid="{4558C7F1-7D06-444D-81BC-8C0415B4E242}"/>
    <cellStyle name="Normal 8 2 2 4 4 2 2 3" xfId="33548" xr:uid="{ABC84DAC-391F-459A-9799-175264C42F6A}"/>
    <cellStyle name="Normal 8 2 2 4 4 2 2 4" xfId="16676" xr:uid="{F2921AFB-E81D-4F67-B3AE-2C44053C95E0}"/>
    <cellStyle name="Normal 8 2 2 4 4 2 3" xfId="20896" xr:uid="{0B7BEEA7-673E-4D62-BC66-9992C5C999C6}"/>
    <cellStyle name="Normal 8 2 2 4 4 2 4" xfId="29331" xr:uid="{FF6EA601-2CC1-476E-B51F-A2F40D45AE59}"/>
    <cellStyle name="Normal 8 2 2 4 4 2 5" xfId="12458" xr:uid="{7CF49D9F-18FE-4919-A6CC-38161221A635}"/>
    <cellStyle name="Normal 8 2 2 4 4 3" xfId="6092" xr:uid="{00000000-0005-0000-0000-0000791C0000}"/>
    <cellStyle name="Normal 8 2 2 4 4 3 2" xfId="22969" xr:uid="{6AA74D16-D3BD-4C63-86FF-12CFD76F3330}"/>
    <cellStyle name="Normal 8 2 2 4 4 3 3" xfId="31403" xr:uid="{6D8E83D0-077D-4356-BCB1-CD59D5F9889D}"/>
    <cellStyle name="Normal 8 2 2 4 4 3 4" xfId="14531" xr:uid="{C031A43E-5FAC-45CE-83C2-48844A7E31CB}"/>
    <cellStyle name="Normal 8 2 2 4 4 4" xfId="18751" xr:uid="{1E5AF300-0B15-4E55-B0B4-AA9C266E038D}"/>
    <cellStyle name="Normal 8 2 2 4 4 5" xfId="27186" xr:uid="{098A2DB0-3007-44BA-94B3-BA845D469863}"/>
    <cellStyle name="Normal 8 2 2 4 4 6" xfId="10313" xr:uid="{E5B3F403-F17A-465B-8117-C112C7CC14B3}"/>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25527" xr:uid="{2F1ED4CF-0559-4D0B-9587-07AE0B5DEE37}"/>
    <cellStyle name="Normal 8 2 2 4 5 2 2 3" xfId="33961" xr:uid="{F48AFE1B-9044-4EFD-905D-67A8B9997CEA}"/>
    <cellStyle name="Normal 8 2 2 4 5 2 2 4" xfId="17089" xr:uid="{484BEE38-86A0-45B1-85DF-51FEC942BB57}"/>
    <cellStyle name="Normal 8 2 2 4 5 2 3" xfId="21309" xr:uid="{DE90F567-614E-4D47-8EA3-226AF1A754F2}"/>
    <cellStyle name="Normal 8 2 2 4 5 2 4" xfId="29744" xr:uid="{6FD70BBF-F407-4D0E-8E3F-7FE930093BCB}"/>
    <cellStyle name="Normal 8 2 2 4 5 2 5" xfId="12871" xr:uid="{921F8F6E-F6A0-4025-B223-0094E5938930}"/>
    <cellStyle name="Normal 8 2 2 4 5 3" xfId="6505" xr:uid="{00000000-0005-0000-0000-00007D1C0000}"/>
    <cellStyle name="Normal 8 2 2 4 5 3 2" xfId="23382" xr:uid="{4F19C43E-9C27-4AD4-8B1E-0494328EBC50}"/>
    <cellStyle name="Normal 8 2 2 4 5 3 3" xfId="31816" xr:uid="{3268A61E-31C3-4ED5-9984-DE2836D853B5}"/>
    <cellStyle name="Normal 8 2 2 4 5 3 4" xfId="14944" xr:uid="{73EF6C09-09A6-4951-B01C-A7B6F4B9C685}"/>
    <cellStyle name="Normal 8 2 2 4 5 4" xfId="19164" xr:uid="{D2DE6C77-544C-4AF1-8E04-80409C04C911}"/>
    <cellStyle name="Normal 8 2 2 4 5 5" xfId="27599" xr:uid="{AF3C0E56-E3AC-4ACB-B673-4083AFE13597}"/>
    <cellStyle name="Normal 8 2 2 4 5 6" xfId="10726" xr:uid="{4CA73F65-BC71-4B6E-9740-ACE7543848B7}"/>
    <cellStyle name="Normal 8 2 2 4 6" xfId="2634" xr:uid="{00000000-0005-0000-0000-00007E1C0000}"/>
    <cellStyle name="Normal 8 2 2 4 6 2" xfId="6918" xr:uid="{00000000-0005-0000-0000-00007F1C0000}"/>
    <cellStyle name="Normal 8 2 2 4 6 2 2" xfId="23795" xr:uid="{54346FE4-867F-4342-8CB1-2337B8A89114}"/>
    <cellStyle name="Normal 8 2 2 4 6 2 3" xfId="32229" xr:uid="{7B0FC307-8516-4551-9120-FC61395066EE}"/>
    <cellStyle name="Normal 8 2 2 4 6 2 4" xfId="15357" xr:uid="{217DFA65-E232-4B96-AC5F-ABCE09DB3B4C}"/>
    <cellStyle name="Normal 8 2 2 4 6 3" xfId="19577" xr:uid="{E3750EAC-DA7C-4664-9742-1476D32B3929}"/>
    <cellStyle name="Normal 8 2 2 4 6 4" xfId="28012" xr:uid="{F34F0347-F5FF-420E-872C-7985115C23DD}"/>
    <cellStyle name="Normal 8 2 2 4 6 5" xfId="11139" xr:uid="{23454B1E-471E-41AD-A17D-733149095070}"/>
    <cellStyle name="Normal 8 2 2 4 7" xfId="4853" xr:uid="{00000000-0005-0000-0000-0000801C0000}"/>
    <cellStyle name="Normal 8 2 2 4 7 2" xfId="21730" xr:uid="{58AC8C42-F21B-4B7A-BFA6-51A3123148B2}"/>
    <cellStyle name="Normal 8 2 2 4 7 3" xfId="30164" xr:uid="{18F7FB7A-2452-467E-A512-F361000F44B9}"/>
    <cellStyle name="Normal 8 2 2 4 7 4" xfId="13292" xr:uid="{084DF5AA-0B5E-4B1F-B13E-4F832A9ED62E}"/>
    <cellStyle name="Normal 8 2 2 4 8" xfId="17512" xr:uid="{BEC7961F-A972-469A-BEDA-F65FB74368D9}"/>
    <cellStyle name="Normal 8 2 2 4 9" xfId="25947" xr:uid="{676A42BA-F527-4A0B-BA08-177868532D63}"/>
    <cellStyle name="Normal 8 2 2 5" xfId="947" xr:uid="{00000000-0005-0000-0000-0000811C0000}"/>
    <cellStyle name="Normal 8 2 2 5 2" xfId="3181" xr:uid="{00000000-0005-0000-0000-0000821C0000}"/>
    <cellStyle name="Normal 8 2 2 5 2 2" xfId="7404" xr:uid="{00000000-0005-0000-0000-0000831C0000}"/>
    <cellStyle name="Normal 8 2 2 5 2 2 2" xfId="24281" xr:uid="{AE9869F6-B338-4D1B-A6EF-22C664D9833B}"/>
    <cellStyle name="Normal 8 2 2 5 2 2 3" xfId="32715" xr:uid="{AE1462AE-F43A-4972-8489-6FEBCC156F32}"/>
    <cellStyle name="Normal 8 2 2 5 2 2 4" xfId="15843" xr:uid="{F5CC6FA4-610E-4681-A505-A9A32D86970F}"/>
    <cellStyle name="Normal 8 2 2 5 2 3" xfId="20063" xr:uid="{415030BD-C94F-421E-8713-EE3723673740}"/>
    <cellStyle name="Normal 8 2 2 5 2 4" xfId="28498" xr:uid="{0C61FF12-48CA-4FD8-AAE1-8BFF4402FE79}"/>
    <cellStyle name="Normal 8 2 2 5 2 5" xfId="11625" xr:uid="{71EE4B20-ED9F-4D6F-8739-533DA1E53E6D}"/>
    <cellStyle name="Normal 8 2 2 5 3" xfId="5259" xr:uid="{00000000-0005-0000-0000-0000841C0000}"/>
    <cellStyle name="Normal 8 2 2 5 3 2" xfId="22136" xr:uid="{FAE4D78A-59BD-4738-93FD-EB96DB970AB1}"/>
    <cellStyle name="Normal 8 2 2 5 3 3" xfId="30570" xr:uid="{9377F077-731B-4DD1-A669-10047E7412EA}"/>
    <cellStyle name="Normal 8 2 2 5 3 4" xfId="13698" xr:uid="{4D63AE60-7C9C-4065-AA14-CBE374A3F1E1}"/>
    <cellStyle name="Normal 8 2 2 5 4" xfId="17918" xr:uid="{E782E63B-59A2-4234-B3E8-B8F885859CD7}"/>
    <cellStyle name="Normal 8 2 2 5 5" xfId="26353" xr:uid="{4D1C82A5-8C58-4C60-B489-364E585EEB3E}"/>
    <cellStyle name="Normal 8 2 2 5 6" xfId="9480" xr:uid="{84B8EAD6-F796-43C6-82AB-C943A4F0796B}"/>
    <cellStyle name="Normal 8 2 2 6" xfId="1364" xr:uid="{00000000-0005-0000-0000-0000851C0000}"/>
    <cellStyle name="Normal 8 2 2 6 2" xfId="3594" xr:uid="{00000000-0005-0000-0000-0000861C0000}"/>
    <cellStyle name="Normal 8 2 2 6 2 2" xfId="7817" xr:uid="{00000000-0005-0000-0000-0000871C0000}"/>
    <cellStyle name="Normal 8 2 2 6 2 2 2" xfId="24694" xr:uid="{46BD6CCF-A557-4891-B4CA-EA6F5BB86498}"/>
    <cellStyle name="Normal 8 2 2 6 2 2 3" xfId="33128" xr:uid="{A7123241-4D48-4306-92B6-C7CF057F456C}"/>
    <cellStyle name="Normal 8 2 2 6 2 2 4" xfId="16256" xr:uid="{5E83F1D2-F6B9-426E-9652-181686910958}"/>
    <cellStyle name="Normal 8 2 2 6 2 3" xfId="20476" xr:uid="{C057C5C8-4242-4530-B9B4-ECD54CF81FDB}"/>
    <cellStyle name="Normal 8 2 2 6 2 4" xfId="28911" xr:uid="{CBC9D9D8-317E-471D-9444-BCB046F1C6DD}"/>
    <cellStyle name="Normal 8 2 2 6 2 5" xfId="12038" xr:uid="{979B2C1E-8C10-493A-A2A5-BCCB73A1FF93}"/>
    <cellStyle name="Normal 8 2 2 6 3" xfId="5672" xr:uid="{00000000-0005-0000-0000-0000881C0000}"/>
    <cellStyle name="Normal 8 2 2 6 3 2" xfId="22549" xr:uid="{56F27094-F3D7-4F55-A7C7-3B7C21860B03}"/>
    <cellStyle name="Normal 8 2 2 6 3 3" xfId="30983" xr:uid="{730E9BDA-C180-4963-B366-A257164B53C8}"/>
    <cellStyle name="Normal 8 2 2 6 3 4" xfId="14111" xr:uid="{480F89E3-1146-47B2-9A0F-85CB7CF587D7}"/>
    <cellStyle name="Normal 8 2 2 6 4" xfId="18331" xr:uid="{F1646F1E-CCCF-48B1-AE90-7B11152ED2DB}"/>
    <cellStyle name="Normal 8 2 2 6 5" xfId="26766" xr:uid="{FE1E9F41-7BF3-491F-9A0E-C3BE7A238AF5}"/>
    <cellStyle name="Normal 8 2 2 6 6" xfId="9893" xr:uid="{1D51881E-B775-44C3-BBA2-EBEA6AB4FEEF}"/>
    <cellStyle name="Normal 8 2 2 7" xfId="1777" xr:uid="{00000000-0005-0000-0000-0000891C0000}"/>
    <cellStyle name="Normal 8 2 2 7 2" xfId="4007" xr:uid="{00000000-0005-0000-0000-00008A1C0000}"/>
    <cellStyle name="Normal 8 2 2 7 2 2" xfId="8230" xr:uid="{00000000-0005-0000-0000-00008B1C0000}"/>
    <cellStyle name="Normal 8 2 2 7 2 2 2" xfId="25107" xr:uid="{91E7CD17-98E9-4917-A302-9FAAF73A9F30}"/>
    <cellStyle name="Normal 8 2 2 7 2 2 3" xfId="33541" xr:uid="{882674DC-7EA3-4F80-84C6-BDDD1285DF8A}"/>
    <cellStyle name="Normal 8 2 2 7 2 2 4" xfId="16669" xr:uid="{5CCA21E8-C334-450D-9B9E-195B0B11BE69}"/>
    <cellStyle name="Normal 8 2 2 7 2 3" xfId="20889" xr:uid="{9A7E6A9A-4194-4696-BED6-F9BC31B38488}"/>
    <cellStyle name="Normal 8 2 2 7 2 4" xfId="29324" xr:uid="{C9B4B6D1-F9D9-4BA4-95A7-B3382E3AAAA1}"/>
    <cellStyle name="Normal 8 2 2 7 2 5" xfId="12451" xr:uid="{3D7B8242-1537-41BE-B6F6-1DDA6B7136A5}"/>
    <cellStyle name="Normal 8 2 2 7 3" xfId="6085" xr:uid="{00000000-0005-0000-0000-00008C1C0000}"/>
    <cellStyle name="Normal 8 2 2 7 3 2" xfId="22962" xr:uid="{35622E21-281D-47B5-AD65-183B0DC21F74}"/>
    <cellStyle name="Normal 8 2 2 7 3 3" xfId="31396" xr:uid="{ADF2BE33-9D37-4852-8330-E92CB6DBD269}"/>
    <cellStyle name="Normal 8 2 2 7 3 4" xfId="14524" xr:uid="{15A5E025-239E-4A67-8879-86E8071ABC30}"/>
    <cellStyle name="Normal 8 2 2 7 4" xfId="18744" xr:uid="{7635DA48-76C5-40E9-B0F8-5584307E9887}"/>
    <cellStyle name="Normal 8 2 2 7 5" xfId="27179" xr:uid="{A032C537-0C69-480D-B5D4-9087CF8B87A4}"/>
    <cellStyle name="Normal 8 2 2 7 6" xfId="10306" xr:uid="{28283980-6734-4E65-B971-7ACF12EF8C89}"/>
    <cellStyle name="Normal 8 2 2 8" xfId="2191" xr:uid="{00000000-0005-0000-0000-00008D1C0000}"/>
    <cellStyle name="Normal 8 2 2 8 2" xfId="4420" xr:uid="{00000000-0005-0000-0000-00008E1C0000}"/>
    <cellStyle name="Normal 8 2 2 8 2 2" xfId="8643" xr:uid="{00000000-0005-0000-0000-00008F1C0000}"/>
    <cellStyle name="Normal 8 2 2 8 2 2 2" xfId="25520" xr:uid="{C2BD74C1-8EC5-4A07-BA50-9432BBB1EB4F}"/>
    <cellStyle name="Normal 8 2 2 8 2 2 3" xfId="33954" xr:uid="{31A6786E-F33C-496F-BF29-0C0F8FF3362C}"/>
    <cellStyle name="Normal 8 2 2 8 2 2 4" xfId="17082" xr:uid="{D784781F-79BA-49E4-9F8F-E8AC1A42150B}"/>
    <cellStyle name="Normal 8 2 2 8 2 3" xfId="21302" xr:uid="{A9BC7A25-AA0F-4D1A-846A-AFD8790F528C}"/>
    <cellStyle name="Normal 8 2 2 8 2 4" xfId="29737" xr:uid="{0AF8783E-9FB7-4249-8C0C-AAA8E483F463}"/>
    <cellStyle name="Normal 8 2 2 8 2 5" xfId="12864" xr:uid="{CE72F9CD-5734-4AD0-984C-6E7B4598F688}"/>
    <cellStyle name="Normal 8 2 2 8 3" xfId="6498" xr:uid="{00000000-0005-0000-0000-0000901C0000}"/>
    <cellStyle name="Normal 8 2 2 8 3 2" xfId="23375" xr:uid="{5F507641-C5F8-4889-809F-2B5FC17AA56E}"/>
    <cellStyle name="Normal 8 2 2 8 3 3" xfId="31809" xr:uid="{DEC4DF67-5B59-4A4E-A9D7-C57018A1F230}"/>
    <cellStyle name="Normal 8 2 2 8 3 4" xfId="14937" xr:uid="{C7E0B624-B5D9-4985-ACD4-C795A3157CFF}"/>
    <cellStyle name="Normal 8 2 2 8 4" xfId="19157" xr:uid="{9CBCBF19-F31D-4FA1-BD55-C3B6B63DDB67}"/>
    <cellStyle name="Normal 8 2 2 8 5" xfId="27592" xr:uid="{7762EF90-638D-4596-B19D-482D76FE4782}"/>
    <cellStyle name="Normal 8 2 2 8 6" xfId="10719" xr:uid="{26456993-209B-4DCD-9AA0-771A38E39606}"/>
    <cellStyle name="Normal 8 2 2 9" xfId="2627" xr:uid="{00000000-0005-0000-0000-0000911C0000}"/>
    <cellStyle name="Normal 8 2 2 9 2" xfId="6911" xr:uid="{00000000-0005-0000-0000-0000921C0000}"/>
    <cellStyle name="Normal 8 2 2 9 2 2" xfId="23788" xr:uid="{B435B2BF-92F1-483C-B012-1C06D83D5514}"/>
    <cellStyle name="Normal 8 2 2 9 2 3" xfId="32222" xr:uid="{D0D72429-DF96-4797-B9E1-9FA4AB76932B}"/>
    <cellStyle name="Normal 8 2 2 9 2 4" xfId="15350" xr:uid="{57CD80BF-2597-4AE3-A689-706E4DD54D24}"/>
    <cellStyle name="Normal 8 2 2 9 3" xfId="19570" xr:uid="{5858A4C8-3470-458F-9238-42C32474A039}"/>
    <cellStyle name="Normal 8 2 2 9 4" xfId="28005" xr:uid="{3F877F6F-9438-417C-BEB7-AA63A17CE5BC}"/>
    <cellStyle name="Normal 8 2 2 9 5" xfId="11132" xr:uid="{DEC771AA-38F5-4132-A68B-6EA61C4E2C6B}"/>
    <cellStyle name="Normal 8 2 3" xfId="488" xr:uid="{00000000-0005-0000-0000-0000931C0000}"/>
    <cellStyle name="Normal 8 2 3 10" xfId="17513" xr:uid="{7A4AE18A-15B4-48A1-B215-38DDCD3B2B1E}"/>
    <cellStyle name="Normal 8 2 3 11" xfId="25948" xr:uid="{BF8657C1-412F-4D08-B6C8-DE30E25A65DE}"/>
    <cellStyle name="Normal 8 2 3 12" xfId="9075" xr:uid="{E6A519F1-6A0E-46C9-B77C-953793C240DF}"/>
    <cellStyle name="Normal 8 2 3 2" xfId="489" xr:uid="{00000000-0005-0000-0000-0000941C0000}"/>
    <cellStyle name="Normal 8 2 3 2 10" xfId="25949" xr:uid="{540006E4-409B-4A42-A825-A3A71A2C451A}"/>
    <cellStyle name="Normal 8 2 3 2 11" xfId="9076" xr:uid="{AD075A7E-956B-4E2C-A8F1-143839E1F949}"/>
    <cellStyle name="Normal 8 2 3 2 2" xfId="490" xr:uid="{00000000-0005-0000-0000-0000951C0000}"/>
    <cellStyle name="Normal 8 2 3 2 2 10" xfId="9077" xr:uid="{D7876C73-66C8-4356-813D-A6123E7E72D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24291" xr:uid="{65FC5FB5-0C6B-4C71-B3F6-06418E31A431}"/>
    <cellStyle name="Normal 8 2 3 2 2 2 2 2 3" xfId="32725" xr:uid="{D0A612D2-B8C5-4C83-80A3-66F2B8CB70DB}"/>
    <cellStyle name="Normal 8 2 3 2 2 2 2 2 4" xfId="15853" xr:uid="{C428050E-A186-4614-8BA1-DC1C75242E85}"/>
    <cellStyle name="Normal 8 2 3 2 2 2 2 3" xfId="20073" xr:uid="{3C191AC8-C366-4489-AB98-E7D4950C2B6B}"/>
    <cellStyle name="Normal 8 2 3 2 2 2 2 4" xfId="28508" xr:uid="{B771749B-5C99-4636-91B6-AB401366BF21}"/>
    <cellStyle name="Normal 8 2 3 2 2 2 2 5" xfId="11635" xr:uid="{A4621054-53C9-416D-94DD-00CEAFDFF92B}"/>
    <cellStyle name="Normal 8 2 3 2 2 2 3" xfId="5269" xr:uid="{00000000-0005-0000-0000-0000991C0000}"/>
    <cellStyle name="Normal 8 2 3 2 2 2 3 2" xfId="22146" xr:uid="{9E005B72-3235-49A9-9DE5-34040E642A29}"/>
    <cellStyle name="Normal 8 2 3 2 2 2 3 3" xfId="30580" xr:uid="{CCEFA958-0EDE-455E-936C-8F8F1CFF3994}"/>
    <cellStyle name="Normal 8 2 3 2 2 2 3 4" xfId="13708" xr:uid="{FE1FC2D6-3671-469E-B007-1241FD74DA6A}"/>
    <cellStyle name="Normal 8 2 3 2 2 2 4" xfId="17928" xr:uid="{AB6B1AC6-F07A-4AF8-B39D-743DC226B0E4}"/>
    <cellStyle name="Normal 8 2 3 2 2 2 5" xfId="26363" xr:uid="{0713DC69-486E-4A9E-8C9D-4E3B328D8A70}"/>
    <cellStyle name="Normal 8 2 3 2 2 2 6" xfId="9490" xr:uid="{142E00B8-4CCA-469C-BE6D-F42960E1FECA}"/>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24704" xr:uid="{5A7FF4DF-2563-4A0A-A2EC-719F3CDEB070}"/>
    <cellStyle name="Normal 8 2 3 2 2 3 2 2 3" xfId="33138" xr:uid="{745208D1-F4D2-40E9-B527-B76FBF07050F}"/>
    <cellStyle name="Normal 8 2 3 2 2 3 2 2 4" xfId="16266" xr:uid="{2D2C55C1-C35D-427D-AC02-86175E3E5560}"/>
    <cellStyle name="Normal 8 2 3 2 2 3 2 3" xfId="20486" xr:uid="{AE375317-C051-4CFF-8365-AEEA68EC7225}"/>
    <cellStyle name="Normal 8 2 3 2 2 3 2 4" xfId="28921" xr:uid="{223E8304-DE5C-4CFB-A81E-92B7FC487CF0}"/>
    <cellStyle name="Normal 8 2 3 2 2 3 2 5" xfId="12048" xr:uid="{9E01AE65-EF68-4701-B8F2-308B88728F14}"/>
    <cellStyle name="Normal 8 2 3 2 2 3 3" xfId="5682" xr:uid="{00000000-0005-0000-0000-00009D1C0000}"/>
    <cellStyle name="Normal 8 2 3 2 2 3 3 2" xfId="22559" xr:uid="{261374D4-301B-4CBE-ABB9-3CF6B8B8B4FE}"/>
    <cellStyle name="Normal 8 2 3 2 2 3 3 3" xfId="30993" xr:uid="{E4CB54E3-108A-44B0-ADDE-CA65CC3AA52C}"/>
    <cellStyle name="Normal 8 2 3 2 2 3 3 4" xfId="14121" xr:uid="{CE7102C8-8F34-403C-9C09-805C0C989F27}"/>
    <cellStyle name="Normal 8 2 3 2 2 3 4" xfId="18341" xr:uid="{8B721A4A-3228-4E96-9C38-07F320C4FD69}"/>
    <cellStyle name="Normal 8 2 3 2 2 3 5" xfId="26776" xr:uid="{5F9F4A5B-4186-4B66-A065-5C59E064909A}"/>
    <cellStyle name="Normal 8 2 3 2 2 3 6" xfId="9903" xr:uid="{594974B3-67B3-465A-A92D-F3219B52087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25117" xr:uid="{2498F11F-4723-486D-AE3B-7B7F5E7D931F}"/>
    <cellStyle name="Normal 8 2 3 2 2 4 2 2 3" xfId="33551" xr:uid="{602420F2-4100-474A-B4B9-9BCD8780EAFE}"/>
    <cellStyle name="Normal 8 2 3 2 2 4 2 2 4" xfId="16679" xr:uid="{D128807D-2A34-48CE-AF6B-54CB776D67BC}"/>
    <cellStyle name="Normal 8 2 3 2 2 4 2 3" xfId="20899" xr:uid="{238F4413-87CC-4D65-B20B-086A3E72DF8D}"/>
    <cellStyle name="Normal 8 2 3 2 2 4 2 4" xfId="29334" xr:uid="{652C6A95-55C2-4DB0-8547-B693BC827CB0}"/>
    <cellStyle name="Normal 8 2 3 2 2 4 2 5" xfId="12461" xr:uid="{0EF189E2-5912-44BF-A76B-16A42782C66F}"/>
    <cellStyle name="Normal 8 2 3 2 2 4 3" xfId="6095" xr:uid="{00000000-0005-0000-0000-0000A11C0000}"/>
    <cellStyle name="Normal 8 2 3 2 2 4 3 2" xfId="22972" xr:uid="{931847CE-AE11-4570-ADC9-A6C9D5BBAF80}"/>
    <cellStyle name="Normal 8 2 3 2 2 4 3 3" xfId="31406" xr:uid="{4069761F-5332-4680-A2CB-BB8D179C0712}"/>
    <cellStyle name="Normal 8 2 3 2 2 4 3 4" xfId="14534" xr:uid="{8D33ED44-A01B-4EDE-82FF-244BB13FEFFF}"/>
    <cellStyle name="Normal 8 2 3 2 2 4 4" xfId="18754" xr:uid="{05132114-1501-4B0D-B05A-210840517C00}"/>
    <cellStyle name="Normal 8 2 3 2 2 4 5" xfId="27189" xr:uid="{D36B3088-9887-4BD1-BF8B-57FDE5EBA595}"/>
    <cellStyle name="Normal 8 2 3 2 2 4 6" xfId="10316" xr:uid="{7E6EAA9E-1D6D-4ABA-A29D-429A5B9C365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25530" xr:uid="{21FD0415-32D8-414B-8759-F6BED3C5D5FA}"/>
    <cellStyle name="Normal 8 2 3 2 2 5 2 2 3" xfId="33964" xr:uid="{4BBA82CE-53C2-4687-B968-280A87B3377E}"/>
    <cellStyle name="Normal 8 2 3 2 2 5 2 2 4" xfId="17092" xr:uid="{BDFACC6D-B6B2-4782-9EF2-B4ABB889130F}"/>
    <cellStyle name="Normal 8 2 3 2 2 5 2 3" xfId="21312" xr:uid="{1809AD8C-434E-4090-AD08-31063262A0A4}"/>
    <cellStyle name="Normal 8 2 3 2 2 5 2 4" xfId="29747" xr:uid="{D1B39BF2-7A54-46D4-AF49-250B21BC30DF}"/>
    <cellStyle name="Normal 8 2 3 2 2 5 2 5" xfId="12874" xr:uid="{51D2CAD9-0093-4045-A859-37D02D9AE45E}"/>
    <cellStyle name="Normal 8 2 3 2 2 5 3" xfId="6508" xr:uid="{00000000-0005-0000-0000-0000A51C0000}"/>
    <cellStyle name="Normal 8 2 3 2 2 5 3 2" xfId="23385" xr:uid="{49190512-F1F7-4D41-BE29-54D8550D322C}"/>
    <cellStyle name="Normal 8 2 3 2 2 5 3 3" xfId="31819" xr:uid="{B6669BBA-DAF8-4083-8432-49FA53481954}"/>
    <cellStyle name="Normal 8 2 3 2 2 5 3 4" xfId="14947" xr:uid="{0D2E20B3-7617-4312-A64C-4E393DB1EEED}"/>
    <cellStyle name="Normal 8 2 3 2 2 5 4" xfId="19167" xr:uid="{33BCD708-05FD-4869-994E-B06578612B13}"/>
    <cellStyle name="Normal 8 2 3 2 2 5 5" xfId="27602" xr:uid="{2FC93FF8-37B3-4039-87EA-563A145FB464}"/>
    <cellStyle name="Normal 8 2 3 2 2 5 6" xfId="10729" xr:uid="{BF79E20B-493E-4D16-886C-5E5855BC96A7}"/>
    <cellStyle name="Normal 8 2 3 2 2 6" xfId="2637" xr:uid="{00000000-0005-0000-0000-0000A61C0000}"/>
    <cellStyle name="Normal 8 2 3 2 2 6 2" xfId="6921" xr:uid="{00000000-0005-0000-0000-0000A71C0000}"/>
    <cellStyle name="Normal 8 2 3 2 2 6 2 2" xfId="23798" xr:uid="{0A33485F-23D8-484B-B667-C87029E2EF36}"/>
    <cellStyle name="Normal 8 2 3 2 2 6 2 3" xfId="32232" xr:uid="{FDEEF541-C6AE-407F-8419-A087E5458DF6}"/>
    <cellStyle name="Normal 8 2 3 2 2 6 2 4" xfId="15360" xr:uid="{33CFA6B9-C738-4B8A-A258-64F28B195718}"/>
    <cellStyle name="Normal 8 2 3 2 2 6 3" xfId="19580" xr:uid="{5DEA2220-777D-47EF-BB3F-104CCEA182F3}"/>
    <cellStyle name="Normal 8 2 3 2 2 6 4" xfId="28015" xr:uid="{FD0597DC-23D0-4E40-8EB9-4DD6C79D5F12}"/>
    <cellStyle name="Normal 8 2 3 2 2 6 5" xfId="11142" xr:uid="{5D618EC1-3F6F-43C3-B57E-9B37217EB792}"/>
    <cellStyle name="Normal 8 2 3 2 2 7" xfId="4856" xr:uid="{00000000-0005-0000-0000-0000A81C0000}"/>
    <cellStyle name="Normal 8 2 3 2 2 7 2" xfId="21733" xr:uid="{5F85D643-BBCE-41AD-91A3-1F20B3F1E236}"/>
    <cellStyle name="Normal 8 2 3 2 2 7 3" xfId="30167" xr:uid="{A8EB2684-7121-4846-BF3E-8C82EB4449ED}"/>
    <cellStyle name="Normal 8 2 3 2 2 7 4" xfId="13295" xr:uid="{5FDF4035-5DB6-4F39-85D1-A81230EA5446}"/>
    <cellStyle name="Normal 8 2 3 2 2 8" xfId="17515" xr:uid="{99A820EF-6572-4C24-BD0C-92687CCD0A76}"/>
    <cellStyle name="Normal 8 2 3 2 2 9" xfId="25950" xr:uid="{FBBB3E0D-FD74-4DD8-B8D0-31729BD4853B}"/>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24290" xr:uid="{BB64C5B8-0B10-4535-9A60-652B00B8D7C5}"/>
    <cellStyle name="Normal 8 2 3 2 3 2 2 3" xfId="32724" xr:uid="{DCBB4D38-2148-417A-97C4-0224D97D463A}"/>
    <cellStyle name="Normal 8 2 3 2 3 2 2 4" xfId="15852" xr:uid="{133FAFA9-3020-470F-93BA-68F2ABFC66C2}"/>
    <cellStyle name="Normal 8 2 3 2 3 2 3" xfId="20072" xr:uid="{236EF59E-F7EA-405E-9E8C-FE2BB18A9883}"/>
    <cellStyle name="Normal 8 2 3 2 3 2 4" xfId="28507" xr:uid="{42AEF260-51C1-4D63-88D4-BEF6AD203C4D}"/>
    <cellStyle name="Normal 8 2 3 2 3 2 5" xfId="11634" xr:uid="{F32E7153-62FF-4877-81D9-099072991E25}"/>
    <cellStyle name="Normal 8 2 3 2 3 3" xfId="5268" xr:uid="{00000000-0005-0000-0000-0000AC1C0000}"/>
    <cellStyle name="Normal 8 2 3 2 3 3 2" xfId="22145" xr:uid="{8A990BE0-3762-4F4A-8286-89635394255F}"/>
    <cellStyle name="Normal 8 2 3 2 3 3 3" xfId="30579" xr:uid="{7FE2011A-7DAE-4E92-85E6-8C7B287EB59B}"/>
    <cellStyle name="Normal 8 2 3 2 3 3 4" xfId="13707" xr:uid="{F139F307-3D70-4D6C-B49A-04F413DBE5E8}"/>
    <cellStyle name="Normal 8 2 3 2 3 4" xfId="17927" xr:uid="{B53DEE3B-044C-4A46-A15E-8F9570482D88}"/>
    <cellStyle name="Normal 8 2 3 2 3 5" xfId="26362" xr:uid="{13F7C72B-F09B-4793-8209-3822DE6FEBFF}"/>
    <cellStyle name="Normal 8 2 3 2 3 6" xfId="9489" xr:uid="{02EB8E7B-187B-4702-8710-87A48503827C}"/>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24703" xr:uid="{7A400560-482C-4DFC-B6F2-9C80E3F5C033}"/>
    <cellStyle name="Normal 8 2 3 2 4 2 2 3" xfId="33137" xr:uid="{DDAF04B3-14E4-454B-A51B-0CCFB4EF7493}"/>
    <cellStyle name="Normal 8 2 3 2 4 2 2 4" xfId="16265" xr:uid="{2FEDD224-645E-4AF0-9684-42178E91FF54}"/>
    <cellStyle name="Normal 8 2 3 2 4 2 3" xfId="20485" xr:uid="{0DE254FB-B833-4FBD-A41A-C9375ECBAEC7}"/>
    <cellStyle name="Normal 8 2 3 2 4 2 4" xfId="28920" xr:uid="{EF6676AD-16F7-4423-9F05-B26865D6C7F0}"/>
    <cellStyle name="Normal 8 2 3 2 4 2 5" xfId="12047" xr:uid="{6A6F6BF0-52EF-44F2-BF19-6F5F6B804D3A}"/>
    <cellStyle name="Normal 8 2 3 2 4 3" xfId="5681" xr:uid="{00000000-0005-0000-0000-0000B01C0000}"/>
    <cellStyle name="Normal 8 2 3 2 4 3 2" xfId="22558" xr:uid="{61544AC8-D76A-4015-90F6-F97D1EAED70F}"/>
    <cellStyle name="Normal 8 2 3 2 4 3 3" xfId="30992" xr:uid="{0A6DC240-CDEB-4346-B156-CADB02754573}"/>
    <cellStyle name="Normal 8 2 3 2 4 3 4" xfId="14120" xr:uid="{B57AA98B-ABD2-467B-B5E3-D465913A2A02}"/>
    <cellStyle name="Normal 8 2 3 2 4 4" xfId="18340" xr:uid="{5AD6E3BA-EBA4-4157-9D1E-0E3C44636F49}"/>
    <cellStyle name="Normal 8 2 3 2 4 5" xfId="26775" xr:uid="{1AC4789C-CEE6-4A26-A024-1EA8C3B7D00D}"/>
    <cellStyle name="Normal 8 2 3 2 4 6" xfId="9902" xr:uid="{C9186198-8F77-44CE-AC57-C16F59424B19}"/>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25116" xr:uid="{76B30825-99C4-4B88-AD6A-FF3CADAE5791}"/>
    <cellStyle name="Normal 8 2 3 2 5 2 2 3" xfId="33550" xr:uid="{F252C09E-195A-4712-A56B-7DB937E72285}"/>
    <cellStyle name="Normal 8 2 3 2 5 2 2 4" xfId="16678" xr:uid="{2F438A52-CEF2-41EC-9CC2-EBEF8A37937C}"/>
    <cellStyle name="Normal 8 2 3 2 5 2 3" xfId="20898" xr:uid="{5ACCC1F4-7AA8-4DD0-BFD4-3C29D5FB51B8}"/>
    <cellStyle name="Normal 8 2 3 2 5 2 4" xfId="29333" xr:uid="{EF22589A-7F81-45A8-ABAB-8077B5F0A89B}"/>
    <cellStyle name="Normal 8 2 3 2 5 2 5" xfId="12460" xr:uid="{30376975-44FE-4D98-A015-2F6A0301AF80}"/>
    <cellStyle name="Normal 8 2 3 2 5 3" xfId="6094" xr:uid="{00000000-0005-0000-0000-0000B41C0000}"/>
    <cellStyle name="Normal 8 2 3 2 5 3 2" xfId="22971" xr:uid="{2A1EF891-D098-49D5-8EAD-3D391CB462BB}"/>
    <cellStyle name="Normal 8 2 3 2 5 3 3" xfId="31405" xr:uid="{681AD7CF-9151-48F5-9C72-4FDB897BF836}"/>
    <cellStyle name="Normal 8 2 3 2 5 3 4" xfId="14533" xr:uid="{D8BE4D76-9548-4283-8587-23959B53D2E7}"/>
    <cellStyle name="Normal 8 2 3 2 5 4" xfId="18753" xr:uid="{B0311AB3-52E9-4D93-BF00-4825F3FD0EEE}"/>
    <cellStyle name="Normal 8 2 3 2 5 5" xfId="27188" xr:uid="{4D31959B-2B08-4F6C-B46D-F52F3CD041EB}"/>
    <cellStyle name="Normal 8 2 3 2 5 6" xfId="10315" xr:uid="{AC707905-BD2B-4393-85D6-E388E8970C49}"/>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25529" xr:uid="{023E0F51-9798-434E-B62A-9139A9F97F2B}"/>
    <cellStyle name="Normal 8 2 3 2 6 2 2 3" xfId="33963" xr:uid="{5A8E20A3-0822-4D8A-82F8-F2EDA3752676}"/>
    <cellStyle name="Normal 8 2 3 2 6 2 2 4" xfId="17091" xr:uid="{1975C7A1-6782-42B4-B3D8-128E093004C8}"/>
    <cellStyle name="Normal 8 2 3 2 6 2 3" xfId="21311" xr:uid="{8F30D4BC-36F9-41D5-A8CE-ABEB3402F3D4}"/>
    <cellStyle name="Normal 8 2 3 2 6 2 4" xfId="29746" xr:uid="{F731E99A-1EA7-4E12-9895-F4661608F2C8}"/>
    <cellStyle name="Normal 8 2 3 2 6 2 5" xfId="12873" xr:uid="{A4194167-A852-4559-A9C2-111B7E395D28}"/>
    <cellStyle name="Normal 8 2 3 2 6 3" xfId="6507" xr:uid="{00000000-0005-0000-0000-0000B81C0000}"/>
    <cellStyle name="Normal 8 2 3 2 6 3 2" xfId="23384" xr:uid="{D8BF8033-4E7E-434E-A217-8748AF52F679}"/>
    <cellStyle name="Normal 8 2 3 2 6 3 3" xfId="31818" xr:uid="{7F018CA9-A7D1-4E19-899E-F88F11C86CF2}"/>
    <cellStyle name="Normal 8 2 3 2 6 3 4" xfId="14946" xr:uid="{CEE12C82-4118-4022-B05C-E93FF80F6FDB}"/>
    <cellStyle name="Normal 8 2 3 2 6 4" xfId="19166" xr:uid="{740462B8-7BDC-40B0-A441-A5163B6A1989}"/>
    <cellStyle name="Normal 8 2 3 2 6 5" xfId="27601" xr:uid="{21C57332-DDE5-4CAE-95C0-EB05EEA423F2}"/>
    <cellStyle name="Normal 8 2 3 2 6 6" xfId="10728" xr:uid="{FF242F0A-79AE-4834-B396-FD413CAED89F}"/>
    <cellStyle name="Normal 8 2 3 2 7" xfId="2636" xr:uid="{00000000-0005-0000-0000-0000B91C0000}"/>
    <cellStyle name="Normal 8 2 3 2 7 2" xfId="6920" xr:uid="{00000000-0005-0000-0000-0000BA1C0000}"/>
    <cellStyle name="Normal 8 2 3 2 7 2 2" xfId="23797" xr:uid="{10BF1B59-310F-4670-B189-AC52AA5952A9}"/>
    <cellStyle name="Normal 8 2 3 2 7 2 3" xfId="32231" xr:uid="{45E38EA9-3CA4-4289-91F2-4C05D459448E}"/>
    <cellStyle name="Normal 8 2 3 2 7 2 4" xfId="15359" xr:uid="{EBE4CA6B-82FA-441C-B1F8-DAB34B36C2AD}"/>
    <cellStyle name="Normal 8 2 3 2 7 3" xfId="19579" xr:uid="{073EC114-D859-41EF-973C-9D28A1C4F835}"/>
    <cellStyle name="Normal 8 2 3 2 7 4" xfId="28014" xr:uid="{C817DD6A-96FA-4A0D-84D1-207658D53394}"/>
    <cellStyle name="Normal 8 2 3 2 7 5" xfId="11141" xr:uid="{3C6C875F-5C1C-4424-80FE-EC896E0E8FAF}"/>
    <cellStyle name="Normal 8 2 3 2 8" xfId="4855" xr:uid="{00000000-0005-0000-0000-0000BB1C0000}"/>
    <cellStyle name="Normal 8 2 3 2 8 2" xfId="21732" xr:uid="{449BB9A1-47AC-4F18-866C-95C748EDAC37}"/>
    <cellStyle name="Normal 8 2 3 2 8 3" xfId="30166" xr:uid="{E7BF56AE-174F-4F6D-846C-A5AAA84E01CB}"/>
    <cellStyle name="Normal 8 2 3 2 8 4" xfId="13294" xr:uid="{C10F7B30-F814-4EF3-95B0-365F9D491627}"/>
    <cellStyle name="Normal 8 2 3 2 9" xfId="17514" xr:uid="{EA3A924B-F86B-4010-9AC4-21ACCC17A612}"/>
    <cellStyle name="Normal 8 2 3 3" xfId="491" xr:uid="{00000000-0005-0000-0000-0000BC1C0000}"/>
    <cellStyle name="Normal 8 2 3 3 10" xfId="9078" xr:uid="{94B46801-C230-432F-AB26-056379195BD8}"/>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24292" xr:uid="{2460987A-68EF-4988-8479-F0485492388C}"/>
    <cellStyle name="Normal 8 2 3 3 2 2 2 3" xfId="32726" xr:uid="{CF56D0A2-085C-4E80-BA14-C1A6390C6E49}"/>
    <cellStyle name="Normal 8 2 3 3 2 2 2 4" xfId="15854" xr:uid="{CE7EB798-4344-4700-BB1E-C813AF936E02}"/>
    <cellStyle name="Normal 8 2 3 3 2 2 3" xfId="20074" xr:uid="{4F6A3884-E847-4344-8053-0CD2E6D58FA4}"/>
    <cellStyle name="Normal 8 2 3 3 2 2 4" xfId="28509" xr:uid="{2BDE9737-0EE9-4611-A746-3BE26C834022}"/>
    <cellStyle name="Normal 8 2 3 3 2 2 5" xfId="11636" xr:uid="{F3940AD6-E559-4FB1-9A0E-CA7F49407624}"/>
    <cellStyle name="Normal 8 2 3 3 2 3" xfId="5270" xr:uid="{00000000-0005-0000-0000-0000C01C0000}"/>
    <cellStyle name="Normal 8 2 3 3 2 3 2" xfId="22147" xr:uid="{DC8B8832-C94D-4360-9BCA-A9BEAAD2B4DD}"/>
    <cellStyle name="Normal 8 2 3 3 2 3 3" xfId="30581" xr:uid="{25C5CF53-ACDC-4F25-BC1A-4A7E47E3211E}"/>
    <cellStyle name="Normal 8 2 3 3 2 3 4" xfId="13709" xr:uid="{61D7740B-F129-4378-9EC4-E9B16195FE8F}"/>
    <cellStyle name="Normal 8 2 3 3 2 4" xfId="17929" xr:uid="{E711E448-22E4-47E7-8871-EE3393D13940}"/>
    <cellStyle name="Normal 8 2 3 3 2 5" xfId="26364" xr:uid="{A9610C15-1865-40C0-A435-B54DE6C63B02}"/>
    <cellStyle name="Normal 8 2 3 3 2 6" xfId="9491" xr:uid="{72A979D9-B58A-4088-82A3-A6D4AA2F83F2}"/>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24705" xr:uid="{998BE218-6906-4A5B-AA1A-EAF85937C602}"/>
    <cellStyle name="Normal 8 2 3 3 3 2 2 3" xfId="33139" xr:uid="{CDAB762A-250A-412B-A64E-6EBACBD717F5}"/>
    <cellStyle name="Normal 8 2 3 3 3 2 2 4" xfId="16267" xr:uid="{B52D146E-A1C3-4835-8A59-176600D35690}"/>
    <cellStyle name="Normal 8 2 3 3 3 2 3" xfId="20487" xr:uid="{8C978202-AA67-43B6-9070-201A00979D7B}"/>
    <cellStyle name="Normal 8 2 3 3 3 2 4" xfId="28922" xr:uid="{6DF3FC46-94B4-4561-9673-B095AB856861}"/>
    <cellStyle name="Normal 8 2 3 3 3 2 5" xfId="12049" xr:uid="{3C243E02-2FA2-4D33-91B5-6324C90BC259}"/>
    <cellStyle name="Normal 8 2 3 3 3 3" xfId="5683" xr:uid="{00000000-0005-0000-0000-0000C41C0000}"/>
    <cellStyle name="Normal 8 2 3 3 3 3 2" xfId="22560" xr:uid="{1E3D848A-00DB-4779-834C-2C51EEC15C00}"/>
    <cellStyle name="Normal 8 2 3 3 3 3 3" xfId="30994" xr:uid="{CD40B62F-6BB9-4746-BD9E-052C089E0EED}"/>
    <cellStyle name="Normal 8 2 3 3 3 3 4" xfId="14122" xr:uid="{A51B4DC9-E557-4890-8ED7-4327ADE24E56}"/>
    <cellStyle name="Normal 8 2 3 3 3 4" xfId="18342" xr:uid="{45802441-4027-4F89-8DA8-64C7B49ABCE9}"/>
    <cellStyle name="Normal 8 2 3 3 3 5" xfId="26777" xr:uid="{AC10B9F7-95DE-4A64-A1F0-07D3AE62FFC4}"/>
    <cellStyle name="Normal 8 2 3 3 3 6" xfId="9904" xr:uid="{7650F6F7-0E90-43C5-A048-530DD8E9B988}"/>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25118" xr:uid="{7273CF9A-FE4B-4468-9E7A-EC375E33DCFD}"/>
    <cellStyle name="Normal 8 2 3 3 4 2 2 3" xfId="33552" xr:uid="{D9525477-F3DD-4163-B4E3-4CB3281474B6}"/>
    <cellStyle name="Normal 8 2 3 3 4 2 2 4" xfId="16680" xr:uid="{2DBC65EE-03F7-4367-AA1F-C00E48782C1F}"/>
    <cellStyle name="Normal 8 2 3 3 4 2 3" xfId="20900" xr:uid="{F0E5C057-6036-4F8E-A3CF-546E69DEFE12}"/>
    <cellStyle name="Normal 8 2 3 3 4 2 4" xfId="29335" xr:uid="{CE70C2D3-9AD1-4D07-8E0A-608CA05E454A}"/>
    <cellStyle name="Normal 8 2 3 3 4 2 5" xfId="12462" xr:uid="{02B951A2-939A-4176-9DF4-37B8B4E58F10}"/>
    <cellStyle name="Normal 8 2 3 3 4 3" xfId="6096" xr:uid="{00000000-0005-0000-0000-0000C81C0000}"/>
    <cellStyle name="Normal 8 2 3 3 4 3 2" xfId="22973" xr:uid="{B19F75F9-B15A-4E84-B293-CDB67BBD4C8A}"/>
    <cellStyle name="Normal 8 2 3 3 4 3 3" xfId="31407" xr:uid="{F25E4ED6-0CBF-4D64-8E7B-6F24F9F671A4}"/>
    <cellStyle name="Normal 8 2 3 3 4 3 4" xfId="14535" xr:uid="{2C45F19A-21D0-4B93-8AAC-0EA02D42FB23}"/>
    <cellStyle name="Normal 8 2 3 3 4 4" xfId="18755" xr:uid="{E104AF97-CE1D-4B58-B7F1-8ED79E34F41A}"/>
    <cellStyle name="Normal 8 2 3 3 4 5" xfId="27190" xr:uid="{CAAEF883-DED5-4ABB-8562-D9A7DEBE7FF9}"/>
    <cellStyle name="Normal 8 2 3 3 4 6" xfId="10317" xr:uid="{0BED8B1B-5D42-43D1-9C26-7FA23AEC4DA2}"/>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25531" xr:uid="{3F33A898-353D-43CA-B0B0-1246A38FB916}"/>
    <cellStyle name="Normal 8 2 3 3 5 2 2 3" xfId="33965" xr:uid="{DABBDADA-E18A-42D8-A045-A00BBA530C19}"/>
    <cellStyle name="Normal 8 2 3 3 5 2 2 4" xfId="17093" xr:uid="{05F1CC21-363D-44E9-913C-9E02D1BB2B0B}"/>
    <cellStyle name="Normal 8 2 3 3 5 2 3" xfId="21313" xr:uid="{30F5E1B8-E36D-4458-B16E-C605EDF09CFC}"/>
    <cellStyle name="Normal 8 2 3 3 5 2 4" xfId="29748" xr:uid="{62F4D3E6-0184-41E2-BB41-2A8CCEC14462}"/>
    <cellStyle name="Normal 8 2 3 3 5 2 5" xfId="12875" xr:uid="{0C489859-BEC6-4284-B439-62FBB6EA3BE7}"/>
    <cellStyle name="Normal 8 2 3 3 5 3" xfId="6509" xr:uid="{00000000-0005-0000-0000-0000CC1C0000}"/>
    <cellStyle name="Normal 8 2 3 3 5 3 2" xfId="23386" xr:uid="{BC5879E2-828A-4D32-93FD-D072D6A4629C}"/>
    <cellStyle name="Normal 8 2 3 3 5 3 3" xfId="31820" xr:uid="{EC571B18-B64C-4189-860E-1B5A006CA1B7}"/>
    <cellStyle name="Normal 8 2 3 3 5 3 4" xfId="14948" xr:uid="{49D48F3E-3070-420F-9524-2D0B9771A3DA}"/>
    <cellStyle name="Normal 8 2 3 3 5 4" xfId="19168" xr:uid="{0003767D-0BAD-450D-BBE9-4BB07C948EE3}"/>
    <cellStyle name="Normal 8 2 3 3 5 5" xfId="27603" xr:uid="{2BE079D9-E415-45C0-AFF6-A588D7DF4831}"/>
    <cellStyle name="Normal 8 2 3 3 5 6" xfId="10730" xr:uid="{1C860E95-3643-4E39-9D99-FF2A178401B6}"/>
    <cellStyle name="Normal 8 2 3 3 6" xfId="2638" xr:uid="{00000000-0005-0000-0000-0000CD1C0000}"/>
    <cellStyle name="Normal 8 2 3 3 6 2" xfId="6922" xr:uid="{00000000-0005-0000-0000-0000CE1C0000}"/>
    <cellStyle name="Normal 8 2 3 3 6 2 2" xfId="23799" xr:uid="{356CE232-325B-4218-9A76-4D2F96DB764B}"/>
    <cellStyle name="Normal 8 2 3 3 6 2 3" xfId="32233" xr:uid="{51E45C8C-D13C-479E-A4EC-05D27141CC0E}"/>
    <cellStyle name="Normal 8 2 3 3 6 2 4" xfId="15361" xr:uid="{8A0E4ADB-AFD7-4F02-A8F8-2FD1E0C3EAD8}"/>
    <cellStyle name="Normal 8 2 3 3 6 3" xfId="19581" xr:uid="{36B0CD14-F1C7-4228-B6C6-F9897E691D1E}"/>
    <cellStyle name="Normal 8 2 3 3 6 4" xfId="28016" xr:uid="{2B6AD937-CD46-496E-8A84-3EAEFEFCA6C3}"/>
    <cellStyle name="Normal 8 2 3 3 6 5" xfId="11143" xr:uid="{0D208701-D9FD-466C-BE25-3D5A45CA533F}"/>
    <cellStyle name="Normal 8 2 3 3 7" xfId="4857" xr:uid="{00000000-0005-0000-0000-0000CF1C0000}"/>
    <cellStyle name="Normal 8 2 3 3 7 2" xfId="21734" xr:uid="{7D387906-1D33-4F23-B3B9-BDCD87C28118}"/>
    <cellStyle name="Normal 8 2 3 3 7 3" xfId="30168" xr:uid="{58D47A56-CCFF-4D12-A78D-1838D5027064}"/>
    <cellStyle name="Normal 8 2 3 3 7 4" xfId="13296" xr:uid="{6B468BBC-5374-45CA-A9E4-682A0C54F2E3}"/>
    <cellStyle name="Normal 8 2 3 3 8" xfId="17516" xr:uid="{F40917C5-8671-4FF4-9ED8-C5F5790CA333}"/>
    <cellStyle name="Normal 8 2 3 3 9" xfId="25951" xr:uid="{AE4893D6-C5DB-4D66-B83D-48D1AD3C708A}"/>
    <cellStyle name="Normal 8 2 3 4" xfId="955" xr:uid="{00000000-0005-0000-0000-0000D01C0000}"/>
    <cellStyle name="Normal 8 2 3 4 2" xfId="3189" xr:uid="{00000000-0005-0000-0000-0000D11C0000}"/>
    <cellStyle name="Normal 8 2 3 4 2 2" xfId="7412" xr:uid="{00000000-0005-0000-0000-0000D21C0000}"/>
    <cellStyle name="Normal 8 2 3 4 2 2 2" xfId="24289" xr:uid="{125D6F28-FFE5-4A78-8CEE-E6DBEC528C40}"/>
    <cellStyle name="Normal 8 2 3 4 2 2 3" xfId="32723" xr:uid="{77B76ADD-94E7-4393-AA23-D366701D83A3}"/>
    <cellStyle name="Normal 8 2 3 4 2 2 4" xfId="15851" xr:uid="{41526B75-A0E9-4753-BED8-055F6DC557FE}"/>
    <cellStyle name="Normal 8 2 3 4 2 3" xfId="20071" xr:uid="{68C62D4F-066B-4002-BD0F-0736D72EF05C}"/>
    <cellStyle name="Normal 8 2 3 4 2 4" xfId="28506" xr:uid="{02D7DD37-9D52-4DCD-B37B-0EAE723BC102}"/>
    <cellStyle name="Normal 8 2 3 4 2 5" xfId="11633" xr:uid="{EA60705C-8555-4BCC-BB5F-E1583CB84A7C}"/>
    <cellStyle name="Normal 8 2 3 4 3" xfId="5267" xr:uid="{00000000-0005-0000-0000-0000D31C0000}"/>
    <cellStyle name="Normal 8 2 3 4 3 2" xfId="22144" xr:uid="{7086678A-290D-496D-83A3-3FF90B44CE0D}"/>
    <cellStyle name="Normal 8 2 3 4 3 3" xfId="30578" xr:uid="{E9DE2836-024B-4950-A846-2D5DF60891F2}"/>
    <cellStyle name="Normal 8 2 3 4 3 4" xfId="13706" xr:uid="{5726639F-4C16-4572-9FC8-C5D802383A52}"/>
    <cellStyle name="Normal 8 2 3 4 4" xfId="17926" xr:uid="{CC73DDCD-96DF-48EB-8C11-EC9C02AF2EDB}"/>
    <cellStyle name="Normal 8 2 3 4 5" xfId="26361" xr:uid="{BC56C241-D071-4F05-A7B8-6E83A011F137}"/>
    <cellStyle name="Normal 8 2 3 4 6" xfId="9488" xr:uid="{3C049350-DA55-4781-B562-8EF16ED17BC6}"/>
    <cellStyle name="Normal 8 2 3 5" xfId="1372" xr:uid="{00000000-0005-0000-0000-0000D41C0000}"/>
    <cellStyle name="Normal 8 2 3 5 2" xfId="3602" xr:uid="{00000000-0005-0000-0000-0000D51C0000}"/>
    <cellStyle name="Normal 8 2 3 5 2 2" xfId="7825" xr:uid="{00000000-0005-0000-0000-0000D61C0000}"/>
    <cellStyle name="Normal 8 2 3 5 2 2 2" xfId="24702" xr:uid="{6EEF8CBC-2082-411D-8B34-9D5238975981}"/>
    <cellStyle name="Normal 8 2 3 5 2 2 3" xfId="33136" xr:uid="{6F1A19B6-F62A-4706-A5AF-2672BEB36FD3}"/>
    <cellStyle name="Normal 8 2 3 5 2 2 4" xfId="16264" xr:uid="{D577361C-3FE6-4ADF-934D-AFBD2BAF10A2}"/>
    <cellStyle name="Normal 8 2 3 5 2 3" xfId="20484" xr:uid="{06799C48-A622-4551-914B-486A4AA5E23C}"/>
    <cellStyle name="Normal 8 2 3 5 2 4" xfId="28919" xr:uid="{491E5C20-37FD-4613-80C9-7C10C821DFB9}"/>
    <cellStyle name="Normal 8 2 3 5 2 5" xfId="12046" xr:uid="{E72CB862-1694-4016-B63D-3F9B64222A2D}"/>
    <cellStyle name="Normal 8 2 3 5 3" xfId="5680" xr:uid="{00000000-0005-0000-0000-0000D71C0000}"/>
    <cellStyle name="Normal 8 2 3 5 3 2" xfId="22557" xr:uid="{7CF0CE2C-2790-4B84-9104-787FF75DF74E}"/>
    <cellStyle name="Normal 8 2 3 5 3 3" xfId="30991" xr:uid="{BD8F4E36-E53E-45F6-9041-09AB599813F7}"/>
    <cellStyle name="Normal 8 2 3 5 3 4" xfId="14119" xr:uid="{A6516FE6-D674-49B1-A795-043ADA6C4BA4}"/>
    <cellStyle name="Normal 8 2 3 5 4" xfId="18339" xr:uid="{C9E80EF6-546C-4B96-8208-294C9A054CD5}"/>
    <cellStyle name="Normal 8 2 3 5 5" xfId="26774" xr:uid="{75546172-D254-4402-BC57-88E2CF1D9220}"/>
    <cellStyle name="Normal 8 2 3 5 6" xfId="9901" xr:uid="{7B4CE356-B848-40C9-AB19-994556DD2CB8}"/>
    <cellStyle name="Normal 8 2 3 6" xfId="1785" xr:uid="{00000000-0005-0000-0000-0000D81C0000}"/>
    <cellStyle name="Normal 8 2 3 6 2" xfId="4015" xr:uid="{00000000-0005-0000-0000-0000D91C0000}"/>
    <cellStyle name="Normal 8 2 3 6 2 2" xfId="8238" xr:uid="{00000000-0005-0000-0000-0000DA1C0000}"/>
    <cellStyle name="Normal 8 2 3 6 2 2 2" xfId="25115" xr:uid="{44A16CCD-C562-49B0-BB40-356F610AC583}"/>
    <cellStyle name="Normal 8 2 3 6 2 2 3" xfId="33549" xr:uid="{C158497C-2684-4F22-9C3B-AB06CF3EC7AD}"/>
    <cellStyle name="Normal 8 2 3 6 2 2 4" xfId="16677" xr:uid="{DC2A0847-2F89-4FEB-947E-BC58651F81D8}"/>
    <cellStyle name="Normal 8 2 3 6 2 3" xfId="20897" xr:uid="{4AE15028-BCE5-425A-AC9A-3F290AEC1EAA}"/>
    <cellStyle name="Normal 8 2 3 6 2 4" xfId="29332" xr:uid="{C82F171A-D428-4CBF-ABB3-1C92F0500445}"/>
    <cellStyle name="Normal 8 2 3 6 2 5" xfId="12459" xr:uid="{DFEA13F3-62AF-448E-9529-014277C5C149}"/>
    <cellStyle name="Normal 8 2 3 6 3" xfId="6093" xr:uid="{00000000-0005-0000-0000-0000DB1C0000}"/>
    <cellStyle name="Normal 8 2 3 6 3 2" xfId="22970" xr:uid="{631663E3-0026-42F4-8FA7-5E4A6150AE9F}"/>
    <cellStyle name="Normal 8 2 3 6 3 3" xfId="31404" xr:uid="{766D6237-0F14-4AEE-8FAF-3A4E325C58DA}"/>
    <cellStyle name="Normal 8 2 3 6 3 4" xfId="14532" xr:uid="{1E046221-5326-442C-8399-EA870EDFCEA2}"/>
    <cellStyle name="Normal 8 2 3 6 4" xfId="18752" xr:uid="{339AC703-AF18-48CB-A6DC-2AA43709CE9F}"/>
    <cellStyle name="Normal 8 2 3 6 5" xfId="27187" xr:uid="{8C27C6CC-A753-41FC-8AC7-9BB94324E3C9}"/>
    <cellStyle name="Normal 8 2 3 6 6" xfId="10314" xr:uid="{E5B69E0A-1D47-4CF8-8283-CCC749D3C954}"/>
    <cellStyle name="Normal 8 2 3 7" xfId="2199" xr:uid="{00000000-0005-0000-0000-0000DC1C0000}"/>
    <cellStyle name="Normal 8 2 3 7 2" xfId="4428" xr:uid="{00000000-0005-0000-0000-0000DD1C0000}"/>
    <cellStyle name="Normal 8 2 3 7 2 2" xfId="8651" xr:uid="{00000000-0005-0000-0000-0000DE1C0000}"/>
    <cellStyle name="Normal 8 2 3 7 2 2 2" xfId="25528" xr:uid="{ACCA7E93-BA76-4B2E-95C6-ADAFA11BF127}"/>
    <cellStyle name="Normal 8 2 3 7 2 2 3" xfId="33962" xr:uid="{22191D0C-F9BE-4CD9-B5F3-67D7C1258EA9}"/>
    <cellStyle name="Normal 8 2 3 7 2 2 4" xfId="17090" xr:uid="{8F7AC1C4-B0E1-4D0B-BEE4-E5D5E359AC62}"/>
    <cellStyle name="Normal 8 2 3 7 2 3" xfId="21310" xr:uid="{6579A69A-73A0-49FB-9E58-923831FF3AAF}"/>
    <cellStyle name="Normal 8 2 3 7 2 4" xfId="29745" xr:uid="{1BBD2981-7B28-4060-9849-49BE1AD7800D}"/>
    <cellStyle name="Normal 8 2 3 7 2 5" xfId="12872" xr:uid="{B5091AFD-1A1E-40E1-B867-DC5CF7880599}"/>
    <cellStyle name="Normal 8 2 3 7 3" xfId="6506" xr:uid="{00000000-0005-0000-0000-0000DF1C0000}"/>
    <cellStyle name="Normal 8 2 3 7 3 2" xfId="23383" xr:uid="{60ED766B-FCFD-492B-A956-01A0338A4104}"/>
    <cellStyle name="Normal 8 2 3 7 3 3" xfId="31817" xr:uid="{0F0FA14A-4736-44A4-B815-DEAF74EF819C}"/>
    <cellStyle name="Normal 8 2 3 7 3 4" xfId="14945" xr:uid="{B57A8507-FDF2-4D80-AEC1-D74041706BD9}"/>
    <cellStyle name="Normal 8 2 3 7 4" xfId="19165" xr:uid="{F97B8DD8-4BBE-4CCB-B058-377206FCF840}"/>
    <cellStyle name="Normal 8 2 3 7 5" xfId="27600" xr:uid="{49B15301-DA09-4753-B0F0-6D02A63F08BD}"/>
    <cellStyle name="Normal 8 2 3 7 6" xfId="10727" xr:uid="{1FDC1365-B072-420A-BFFF-AA51D6F131B7}"/>
    <cellStyle name="Normal 8 2 3 8" xfId="2635" xr:uid="{00000000-0005-0000-0000-0000E01C0000}"/>
    <cellStyle name="Normal 8 2 3 8 2" xfId="6919" xr:uid="{00000000-0005-0000-0000-0000E11C0000}"/>
    <cellStyle name="Normal 8 2 3 8 2 2" xfId="23796" xr:uid="{0DAFBC03-1FF1-450E-A614-4E8AE746D3B3}"/>
    <cellStyle name="Normal 8 2 3 8 2 3" xfId="32230" xr:uid="{9ECE93C9-AC25-4A80-81CB-279C17E411DB}"/>
    <cellStyle name="Normal 8 2 3 8 2 4" xfId="15358" xr:uid="{E64E5347-D292-46A3-B85C-CC3716802AC6}"/>
    <cellStyle name="Normal 8 2 3 8 3" xfId="19578" xr:uid="{8EC3EEB3-394A-42B4-BAB9-797109E5ECFC}"/>
    <cellStyle name="Normal 8 2 3 8 4" xfId="28013" xr:uid="{BDE02211-A069-4EA6-A3D7-1DE092685DB3}"/>
    <cellStyle name="Normal 8 2 3 8 5" xfId="11140" xr:uid="{D72BAC51-6713-46FF-A9DC-91B6570AF95A}"/>
    <cellStyle name="Normal 8 2 3 9" xfId="4854" xr:uid="{00000000-0005-0000-0000-0000E21C0000}"/>
    <cellStyle name="Normal 8 2 3 9 2" xfId="21731" xr:uid="{00CA2F9D-A874-46A7-89B4-91B1B74FE91A}"/>
    <cellStyle name="Normal 8 2 3 9 3" xfId="30165" xr:uid="{E18ED006-6CFF-4E44-B581-3663DD20AF90}"/>
    <cellStyle name="Normal 8 2 3 9 4" xfId="13293" xr:uid="{6EABBEBB-A3FF-4060-897B-084714E0288C}"/>
    <cellStyle name="Normal 8 2 4" xfId="492" xr:uid="{00000000-0005-0000-0000-0000E31C0000}"/>
    <cellStyle name="Normal 8 2 4 10" xfId="25952" xr:uid="{8F16042D-D143-453A-AC81-E5BC73882284}"/>
    <cellStyle name="Normal 8 2 4 11" xfId="9079" xr:uid="{E4192B43-73D3-4AFC-B05D-3D49C5CB036F}"/>
    <cellStyle name="Normal 8 2 4 2" xfId="493" xr:uid="{00000000-0005-0000-0000-0000E41C0000}"/>
    <cellStyle name="Normal 8 2 4 2 10" xfId="9080" xr:uid="{6D82FDE0-9E1D-463A-B81A-AB82C20FD9D6}"/>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24294" xr:uid="{E2720D14-10B6-4BCC-A7C0-49444B9A6516}"/>
    <cellStyle name="Normal 8 2 4 2 2 2 2 3" xfId="32728" xr:uid="{409DC86C-B80B-4D43-A139-D94C934E07CD}"/>
    <cellStyle name="Normal 8 2 4 2 2 2 2 4" xfId="15856" xr:uid="{69E529AD-0C5A-425A-A1A1-45B20071B4C2}"/>
    <cellStyle name="Normal 8 2 4 2 2 2 3" xfId="20076" xr:uid="{7E4B9AE1-010E-4725-9C2E-D46857527D41}"/>
    <cellStyle name="Normal 8 2 4 2 2 2 4" xfId="28511" xr:uid="{6B22D85C-7189-4A45-8BED-916EA0269E3C}"/>
    <cellStyle name="Normal 8 2 4 2 2 2 5" xfId="11638" xr:uid="{FE1F55E3-C93F-41EF-9ED7-7D907B2A1BCD}"/>
    <cellStyle name="Normal 8 2 4 2 2 3" xfId="5272" xr:uid="{00000000-0005-0000-0000-0000E81C0000}"/>
    <cellStyle name="Normal 8 2 4 2 2 3 2" xfId="22149" xr:uid="{C55EECBE-CD08-4E89-A811-BC33AD97E192}"/>
    <cellStyle name="Normal 8 2 4 2 2 3 3" xfId="30583" xr:uid="{1B76756A-2710-4B16-8915-46AB491BF3F9}"/>
    <cellStyle name="Normal 8 2 4 2 2 3 4" xfId="13711" xr:uid="{AD5D5ED9-902F-4F9B-9469-843381F07718}"/>
    <cellStyle name="Normal 8 2 4 2 2 4" xfId="17931" xr:uid="{33B1E539-0F8C-425A-B4A9-3EE77024E1D4}"/>
    <cellStyle name="Normal 8 2 4 2 2 5" xfId="26366" xr:uid="{85759317-C9DF-448C-BD64-0D7C22286881}"/>
    <cellStyle name="Normal 8 2 4 2 2 6" xfId="9493" xr:uid="{30CDBC1F-1D85-4654-A318-60B03AEE6D4C}"/>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24707" xr:uid="{42965BF0-FB39-459C-BC36-E3D63E20B9A9}"/>
    <cellStyle name="Normal 8 2 4 2 3 2 2 3" xfId="33141" xr:uid="{93B77931-34E8-463D-AA64-838FC3113A4C}"/>
    <cellStyle name="Normal 8 2 4 2 3 2 2 4" xfId="16269" xr:uid="{C5E289DC-558D-459E-8A30-2FEF3656D15D}"/>
    <cellStyle name="Normal 8 2 4 2 3 2 3" xfId="20489" xr:uid="{FCAC607D-5F7A-4872-A6A7-1C4101811165}"/>
    <cellStyle name="Normal 8 2 4 2 3 2 4" xfId="28924" xr:uid="{DD1C675A-E905-4D67-A04E-51EB9219DF80}"/>
    <cellStyle name="Normal 8 2 4 2 3 2 5" xfId="12051" xr:uid="{7C3A969A-7C71-4F97-A197-819354366306}"/>
    <cellStyle name="Normal 8 2 4 2 3 3" xfId="5685" xr:uid="{00000000-0005-0000-0000-0000EC1C0000}"/>
    <cellStyle name="Normal 8 2 4 2 3 3 2" xfId="22562" xr:uid="{3636A30D-B0BA-4EE2-9F8B-AD7241B1E13C}"/>
    <cellStyle name="Normal 8 2 4 2 3 3 3" xfId="30996" xr:uid="{26D128FF-99A8-4BD7-B297-0402C66E8B53}"/>
    <cellStyle name="Normal 8 2 4 2 3 3 4" xfId="14124" xr:uid="{013FAED3-0FB0-4184-B74B-886E47061008}"/>
    <cellStyle name="Normal 8 2 4 2 3 4" xfId="18344" xr:uid="{6E790430-725A-4186-ACFF-CBAC90435425}"/>
    <cellStyle name="Normal 8 2 4 2 3 5" xfId="26779" xr:uid="{F7DD1796-EFE2-4BF0-AD8E-7CBA848273CC}"/>
    <cellStyle name="Normal 8 2 4 2 3 6" xfId="9906" xr:uid="{7EEC53B8-5256-4BCE-B1BF-D5CA4DC786AE}"/>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25120" xr:uid="{5790645B-9FB4-4A9D-A8C9-98BBEE578ED2}"/>
    <cellStyle name="Normal 8 2 4 2 4 2 2 3" xfId="33554" xr:uid="{8BD9B21A-D21B-481E-9FD9-4963A64932A5}"/>
    <cellStyle name="Normal 8 2 4 2 4 2 2 4" xfId="16682" xr:uid="{68E3BB79-51B4-424E-BF19-72B4D57B1CC1}"/>
    <cellStyle name="Normal 8 2 4 2 4 2 3" xfId="20902" xr:uid="{8AA4FE84-4266-463F-9FF7-217D9505F584}"/>
    <cellStyle name="Normal 8 2 4 2 4 2 4" xfId="29337" xr:uid="{31BB0D2A-B9F5-4920-9AEE-383F003B188B}"/>
    <cellStyle name="Normal 8 2 4 2 4 2 5" xfId="12464" xr:uid="{49AD56D5-4B0B-46C3-A04D-CE3AA76656CF}"/>
    <cellStyle name="Normal 8 2 4 2 4 3" xfId="6098" xr:uid="{00000000-0005-0000-0000-0000F01C0000}"/>
    <cellStyle name="Normal 8 2 4 2 4 3 2" xfId="22975" xr:uid="{B57D1746-9768-4529-997B-62FA17BC4C2B}"/>
    <cellStyle name="Normal 8 2 4 2 4 3 3" xfId="31409" xr:uid="{64516DDA-C22A-4DB7-A32D-6562DA19A939}"/>
    <cellStyle name="Normal 8 2 4 2 4 3 4" xfId="14537" xr:uid="{6F7CF5BB-D99C-4D92-AE08-C2CB55DEBA9F}"/>
    <cellStyle name="Normal 8 2 4 2 4 4" xfId="18757" xr:uid="{E493F605-43E1-4561-BFAD-9A2C1898A611}"/>
    <cellStyle name="Normal 8 2 4 2 4 5" xfId="27192" xr:uid="{520EEEBE-9FEC-494B-8B3A-EB8DF8BD0C55}"/>
    <cellStyle name="Normal 8 2 4 2 4 6" xfId="10319" xr:uid="{3C039954-950E-4EC2-BAC6-A5B0109AA04E}"/>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25533" xr:uid="{E11492E0-9ABE-4054-B2DE-E58C0B017417}"/>
    <cellStyle name="Normal 8 2 4 2 5 2 2 3" xfId="33967" xr:uid="{4EBA26E9-3539-45FF-AB6A-8BBF27A88841}"/>
    <cellStyle name="Normal 8 2 4 2 5 2 2 4" xfId="17095" xr:uid="{11E3B89F-0FB1-4269-9C15-75C872A7E6DF}"/>
    <cellStyle name="Normal 8 2 4 2 5 2 3" xfId="21315" xr:uid="{9CCF8BDB-641B-4F1B-B446-69B7B9267879}"/>
    <cellStyle name="Normal 8 2 4 2 5 2 4" xfId="29750" xr:uid="{0A8DE846-0F3C-4005-BC2C-0D962650192B}"/>
    <cellStyle name="Normal 8 2 4 2 5 2 5" xfId="12877" xr:uid="{5FA1DA26-06B3-4EA5-8DB1-92028C55C88F}"/>
    <cellStyle name="Normal 8 2 4 2 5 3" xfId="6511" xr:uid="{00000000-0005-0000-0000-0000F41C0000}"/>
    <cellStyle name="Normal 8 2 4 2 5 3 2" xfId="23388" xr:uid="{7288D6F3-B8F0-4E07-B579-5503E8BDBB85}"/>
    <cellStyle name="Normal 8 2 4 2 5 3 3" xfId="31822" xr:uid="{0326C0E3-8F06-4840-ACDB-ABEE75CC8952}"/>
    <cellStyle name="Normal 8 2 4 2 5 3 4" xfId="14950" xr:uid="{73F8919E-CD00-48BE-9B1D-5BC9403D7984}"/>
    <cellStyle name="Normal 8 2 4 2 5 4" xfId="19170" xr:uid="{AA29B502-BBA3-4F65-AF41-4BAA05CE0EDA}"/>
    <cellStyle name="Normal 8 2 4 2 5 5" xfId="27605" xr:uid="{F3A589AC-4E9F-4522-94FE-1EB741195AF0}"/>
    <cellStyle name="Normal 8 2 4 2 5 6" xfId="10732" xr:uid="{84A8009E-C2BE-43EE-AC9D-0929A8881673}"/>
    <cellStyle name="Normal 8 2 4 2 6" xfId="2640" xr:uid="{00000000-0005-0000-0000-0000F51C0000}"/>
    <cellStyle name="Normal 8 2 4 2 6 2" xfId="6924" xr:uid="{00000000-0005-0000-0000-0000F61C0000}"/>
    <cellStyle name="Normal 8 2 4 2 6 2 2" xfId="23801" xr:uid="{9266E49D-FC5F-4098-AEB0-52C4A4AC7A44}"/>
    <cellStyle name="Normal 8 2 4 2 6 2 3" xfId="32235" xr:uid="{433E3F9E-EB8F-40D2-A312-8A9E63FAE93F}"/>
    <cellStyle name="Normal 8 2 4 2 6 2 4" xfId="15363" xr:uid="{8300FE7A-CD6D-4B17-A0E7-04E93AB9841C}"/>
    <cellStyle name="Normal 8 2 4 2 6 3" xfId="19583" xr:uid="{15D93C40-3D1E-4C17-8139-467C03B1CF92}"/>
    <cellStyle name="Normal 8 2 4 2 6 4" xfId="28018" xr:uid="{2776B2EA-851A-4B98-8E8A-693838DDCC1A}"/>
    <cellStyle name="Normal 8 2 4 2 6 5" xfId="11145" xr:uid="{64C674D9-CE00-47C4-BCCD-C3C75D1CD4CA}"/>
    <cellStyle name="Normal 8 2 4 2 7" xfId="4859" xr:uid="{00000000-0005-0000-0000-0000F71C0000}"/>
    <cellStyle name="Normal 8 2 4 2 7 2" xfId="21736" xr:uid="{F502848F-9F1B-4AC2-A3A8-1D0EE306578C}"/>
    <cellStyle name="Normal 8 2 4 2 7 3" xfId="30170" xr:uid="{739F3456-002C-41A0-866A-6A23795CAA62}"/>
    <cellStyle name="Normal 8 2 4 2 7 4" xfId="13298" xr:uid="{372F1210-0C18-417B-AF77-E872415ED3A9}"/>
    <cellStyle name="Normal 8 2 4 2 8" xfId="17518" xr:uid="{41801878-AC62-472D-BCBD-67465E1F35D5}"/>
    <cellStyle name="Normal 8 2 4 2 9" xfId="25953" xr:uid="{3962A9DB-1CE2-4445-BAF9-5D2891D45485}"/>
    <cellStyle name="Normal 8 2 4 3" xfId="959" xr:uid="{00000000-0005-0000-0000-0000F81C0000}"/>
    <cellStyle name="Normal 8 2 4 3 2" xfId="3193" xr:uid="{00000000-0005-0000-0000-0000F91C0000}"/>
    <cellStyle name="Normal 8 2 4 3 2 2" xfId="7416" xr:uid="{00000000-0005-0000-0000-0000FA1C0000}"/>
    <cellStyle name="Normal 8 2 4 3 2 2 2" xfId="24293" xr:uid="{2AB5929D-B8DF-433E-8E45-6921168D0855}"/>
    <cellStyle name="Normal 8 2 4 3 2 2 3" xfId="32727" xr:uid="{346734AD-849D-4865-B2B0-0636033F986E}"/>
    <cellStyle name="Normal 8 2 4 3 2 2 4" xfId="15855" xr:uid="{68622DE3-A26D-4340-A008-E970938E3B20}"/>
    <cellStyle name="Normal 8 2 4 3 2 3" xfId="20075" xr:uid="{59BB6C94-4670-452F-8743-311B482CBB48}"/>
    <cellStyle name="Normal 8 2 4 3 2 4" xfId="28510" xr:uid="{A8174A44-DFC4-42A0-8A6D-EEC60A3AA25F}"/>
    <cellStyle name="Normal 8 2 4 3 2 5" xfId="11637" xr:uid="{BACA0C42-039E-407F-843B-789D1895B91A}"/>
    <cellStyle name="Normal 8 2 4 3 3" xfId="5271" xr:uid="{00000000-0005-0000-0000-0000FB1C0000}"/>
    <cellStyle name="Normal 8 2 4 3 3 2" xfId="22148" xr:uid="{4272EA35-A7F1-43D6-B406-56C4527CE847}"/>
    <cellStyle name="Normal 8 2 4 3 3 3" xfId="30582" xr:uid="{961AB924-E2E7-451D-B247-A2F3450C8B96}"/>
    <cellStyle name="Normal 8 2 4 3 3 4" xfId="13710" xr:uid="{109C90DD-EEAC-47D9-80D4-54A80768D562}"/>
    <cellStyle name="Normal 8 2 4 3 4" xfId="17930" xr:uid="{66D99D2B-0770-4883-B1EF-A6DD7CCCD31F}"/>
    <cellStyle name="Normal 8 2 4 3 5" xfId="26365" xr:uid="{1E00B08B-23A8-4EC2-95D0-94DEDA76E838}"/>
    <cellStyle name="Normal 8 2 4 3 6" xfId="9492" xr:uid="{8C5BD87E-58D1-4FC8-95B7-58A03B671FC7}"/>
    <cellStyle name="Normal 8 2 4 4" xfId="1376" xr:uid="{00000000-0005-0000-0000-0000FC1C0000}"/>
    <cellStyle name="Normal 8 2 4 4 2" xfId="3606" xr:uid="{00000000-0005-0000-0000-0000FD1C0000}"/>
    <cellStyle name="Normal 8 2 4 4 2 2" xfId="7829" xr:uid="{00000000-0005-0000-0000-0000FE1C0000}"/>
    <cellStyle name="Normal 8 2 4 4 2 2 2" xfId="24706" xr:uid="{BF893F6E-1DEB-4CD3-87DE-926B2B79C968}"/>
    <cellStyle name="Normal 8 2 4 4 2 2 3" xfId="33140" xr:uid="{950F92AB-764C-48B3-8161-40CD3C383632}"/>
    <cellStyle name="Normal 8 2 4 4 2 2 4" xfId="16268" xr:uid="{B13BB467-C70B-4CD2-B75D-E37FB36BCE76}"/>
    <cellStyle name="Normal 8 2 4 4 2 3" xfId="20488" xr:uid="{E440EBDB-9C5B-4580-B759-7937FD4A07D4}"/>
    <cellStyle name="Normal 8 2 4 4 2 4" xfId="28923" xr:uid="{B831F3D6-FC69-4ABA-A50E-9AB96EE5DD72}"/>
    <cellStyle name="Normal 8 2 4 4 2 5" xfId="12050" xr:uid="{B7D064B2-3101-4596-8507-903B4ABB250F}"/>
    <cellStyle name="Normal 8 2 4 4 3" xfId="5684" xr:uid="{00000000-0005-0000-0000-0000FF1C0000}"/>
    <cellStyle name="Normal 8 2 4 4 3 2" xfId="22561" xr:uid="{CE73261A-6476-4FAD-B97D-EA51B9553828}"/>
    <cellStyle name="Normal 8 2 4 4 3 3" xfId="30995" xr:uid="{B3A4BF06-34FE-4435-94BE-CC15DF712A4E}"/>
    <cellStyle name="Normal 8 2 4 4 3 4" xfId="14123" xr:uid="{BC8F4A49-4EF8-43CD-879B-DD46943A46C1}"/>
    <cellStyle name="Normal 8 2 4 4 4" xfId="18343" xr:uid="{7A649F82-6412-4894-B88B-EEE0F9B12CFD}"/>
    <cellStyle name="Normal 8 2 4 4 5" xfId="26778" xr:uid="{E3E34982-2D06-499B-B98C-0F1705527769}"/>
    <cellStyle name="Normal 8 2 4 4 6" xfId="9905" xr:uid="{7E579925-8009-4783-82ED-40F1904863B4}"/>
    <cellStyle name="Normal 8 2 4 5" xfId="1789" xr:uid="{00000000-0005-0000-0000-0000001D0000}"/>
    <cellStyle name="Normal 8 2 4 5 2" xfId="4019" xr:uid="{00000000-0005-0000-0000-0000011D0000}"/>
    <cellStyle name="Normal 8 2 4 5 2 2" xfId="8242" xr:uid="{00000000-0005-0000-0000-0000021D0000}"/>
    <cellStyle name="Normal 8 2 4 5 2 2 2" xfId="25119" xr:uid="{A7244801-8F73-4793-86CE-01A5762BF3A2}"/>
    <cellStyle name="Normal 8 2 4 5 2 2 3" xfId="33553" xr:uid="{89980C34-8C4A-4BEC-940C-3CDAFF82975F}"/>
    <cellStyle name="Normal 8 2 4 5 2 2 4" xfId="16681" xr:uid="{88F5554C-3381-462A-9FC6-E697D3C5DB8C}"/>
    <cellStyle name="Normal 8 2 4 5 2 3" xfId="20901" xr:uid="{600E6D1E-668B-4341-9A98-EEE8809A64BE}"/>
    <cellStyle name="Normal 8 2 4 5 2 4" xfId="29336" xr:uid="{FC968EF1-6D43-48B0-B8A6-B36F88B052D4}"/>
    <cellStyle name="Normal 8 2 4 5 2 5" xfId="12463" xr:uid="{06CDF242-024E-4D87-ADCE-0E95695CD91E}"/>
    <cellStyle name="Normal 8 2 4 5 3" xfId="6097" xr:uid="{00000000-0005-0000-0000-0000031D0000}"/>
    <cellStyle name="Normal 8 2 4 5 3 2" xfId="22974" xr:uid="{BD380948-4ADB-48B5-883D-2406C0E70986}"/>
    <cellStyle name="Normal 8 2 4 5 3 3" xfId="31408" xr:uid="{D16EC3ED-DDD8-4CA4-A95B-96DD90006AB2}"/>
    <cellStyle name="Normal 8 2 4 5 3 4" xfId="14536" xr:uid="{F34AC536-918B-4CCD-8188-A9ECABE1974C}"/>
    <cellStyle name="Normal 8 2 4 5 4" xfId="18756" xr:uid="{8B6CA31D-FA19-4964-92C2-45DE6C919A22}"/>
    <cellStyle name="Normal 8 2 4 5 5" xfId="27191" xr:uid="{D1061D01-2EC2-4689-A3C7-651FBB1D27EE}"/>
    <cellStyle name="Normal 8 2 4 5 6" xfId="10318" xr:uid="{E0AB43C6-8820-468E-B395-69BE74D40F1C}"/>
    <cellStyle name="Normal 8 2 4 6" xfId="2203" xr:uid="{00000000-0005-0000-0000-0000041D0000}"/>
    <cellStyle name="Normal 8 2 4 6 2" xfId="4432" xr:uid="{00000000-0005-0000-0000-0000051D0000}"/>
    <cellStyle name="Normal 8 2 4 6 2 2" xfId="8655" xr:uid="{00000000-0005-0000-0000-0000061D0000}"/>
    <cellStyle name="Normal 8 2 4 6 2 2 2" xfId="25532" xr:uid="{2DD45BC4-3AB2-48EC-9093-20C5CC83448E}"/>
    <cellStyle name="Normal 8 2 4 6 2 2 3" xfId="33966" xr:uid="{8E21E5CD-D817-4C29-AD55-C4C651F6C090}"/>
    <cellStyle name="Normal 8 2 4 6 2 2 4" xfId="17094" xr:uid="{26152A8C-FE3C-469B-8059-328687D25F39}"/>
    <cellStyle name="Normal 8 2 4 6 2 3" xfId="21314" xr:uid="{09ED569D-7607-4422-B237-2A8A7FC55153}"/>
    <cellStyle name="Normal 8 2 4 6 2 4" xfId="29749" xr:uid="{746520D3-88E8-4799-B37E-958AE1F90A66}"/>
    <cellStyle name="Normal 8 2 4 6 2 5" xfId="12876" xr:uid="{84FA76E9-C7F3-4438-BEE7-0785068B601B}"/>
    <cellStyle name="Normal 8 2 4 6 3" xfId="6510" xr:uid="{00000000-0005-0000-0000-0000071D0000}"/>
    <cellStyle name="Normal 8 2 4 6 3 2" xfId="23387" xr:uid="{CD9CAF67-E581-42C2-922A-304789166BA8}"/>
    <cellStyle name="Normal 8 2 4 6 3 3" xfId="31821" xr:uid="{6CDB811B-DB5C-4083-98FF-F3A0665942B7}"/>
    <cellStyle name="Normal 8 2 4 6 3 4" xfId="14949" xr:uid="{368A2AFE-6A1C-40BB-860C-7DDE9A5B27EA}"/>
    <cellStyle name="Normal 8 2 4 6 4" xfId="19169" xr:uid="{812B8FD1-1DF2-47CE-85C6-89782FE1F093}"/>
    <cellStyle name="Normal 8 2 4 6 5" xfId="27604" xr:uid="{BB18B6EC-28F6-4F36-B6F9-FCBA8520F297}"/>
    <cellStyle name="Normal 8 2 4 6 6" xfId="10731" xr:uid="{6CE8FE8C-6154-446F-8F72-19F745F85FB4}"/>
    <cellStyle name="Normal 8 2 4 7" xfId="2639" xr:uid="{00000000-0005-0000-0000-0000081D0000}"/>
    <cellStyle name="Normal 8 2 4 7 2" xfId="6923" xr:uid="{00000000-0005-0000-0000-0000091D0000}"/>
    <cellStyle name="Normal 8 2 4 7 2 2" xfId="23800" xr:uid="{5C23B6DB-3354-4644-A4AB-76CE874C90FA}"/>
    <cellStyle name="Normal 8 2 4 7 2 3" xfId="32234" xr:uid="{5AFD5CB5-4A42-418E-8EB4-6152D3D88C03}"/>
    <cellStyle name="Normal 8 2 4 7 2 4" xfId="15362" xr:uid="{B1E3D930-F1FE-4C76-8C29-30AFE04171C6}"/>
    <cellStyle name="Normal 8 2 4 7 3" xfId="19582" xr:uid="{10B771BA-F466-4081-A7D2-04C70A7F6AE5}"/>
    <cellStyle name="Normal 8 2 4 7 4" xfId="28017" xr:uid="{C43CA3FC-450C-4DC2-9EC1-8218091E4E50}"/>
    <cellStyle name="Normal 8 2 4 7 5" xfId="11144" xr:uid="{B7DB3CD7-DAE7-4981-AD35-5061C2D44F38}"/>
    <cellStyle name="Normal 8 2 4 8" xfId="4858" xr:uid="{00000000-0005-0000-0000-00000A1D0000}"/>
    <cellStyle name="Normal 8 2 4 8 2" xfId="21735" xr:uid="{245F6C47-02AC-4451-A658-A6D3BCFD4230}"/>
    <cellStyle name="Normal 8 2 4 8 3" xfId="30169" xr:uid="{D1CFA0FA-3ECA-487A-8D60-3E18CB460946}"/>
    <cellStyle name="Normal 8 2 4 8 4" xfId="13297" xr:uid="{8287000E-33CB-453E-A2FB-DC8546D28BFB}"/>
    <cellStyle name="Normal 8 2 4 9" xfId="17517" xr:uid="{6F3C7CAD-4DDF-49ED-86CA-36C3362B5211}"/>
    <cellStyle name="Normal 8 2 5" xfId="494" xr:uid="{00000000-0005-0000-0000-00000B1D0000}"/>
    <cellStyle name="Normal 8 2 5 10" xfId="9081" xr:uid="{06E2307B-D0D1-4781-852E-F267492F9DBF}"/>
    <cellStyle name="Normal 8 2 5 2" xfId="961" xr:uid="{00000000-0005-0000-0000-00000C1D0000}"/>
    <cellStyle name="Normal 8 2 5 2 2" xfId="3195" xr:uid="{00000000-0005-0000-0000-00000D1D0000}"/>
    <cellStyle name="Normal 8 2 5 2 2 2" xfId="7418" xr:uid="{00000000-0005-0000-0000-00000E1D0000}"/>
    <cellStyle name="Normal 8 2 5 2 2 2 2" xfId="24295" xr:uid="{116474F5-E596-4A83-BC90-0A58F73913BF}"/>
    <cellStyle name="Normal 8 2 5 2 2 2 3" xfId="32729" xr:uid="{5D76D7CB-83DC-4DB3-914D-8CFB92C93520}"/>
    <cellStyle name="Normal 8 2 5 2 2 2 4" xfId="15857" xr:uid="{29F4CC82-30F2-4E08-A7AE-6981DAACAB75}"/>
    <cellStyle name="Normal 8 2 5 2 2 3" xfId="20077" xr:uid="{A81B4462-4B82-4564-B600-F7ECCC7BF2FB}"/>
    <cellStyle name="Normal 8 2 5 2 2 4" xfId="28512" xr:uid="{0EE8158D-849E-4BEE-AA75-F02D950D9AF0}"/>
    <cellStyle name="Normal 8 2 5 2 2 5" xfId="11639" xr:uid="{DEFF2BDF-6622-4F20-BE22-766BABF87949}"/>
    <cellStyle name="Normal 8 2 5 2 3" xfId="5273" xr:uid="{00000000-0005-0000-0000-00000F1D0000}"/>
    <cellStyle name="Normal 8 2 5 2 3 2" xfId="22150" xr:uid="{3F0319C7-C7E4-4FA2-8D8A-72D9918C8795}"/>
    <cellStyle name="Normal 8 2 5 2 3 3" xfId="30584" xr:uid="{BA58E951-1592-41E3-84D8-9D3DF5013924}"/>
    <cellStyle name="Normal 8 2 5 2 3 4" xfId="13712" xr:uid="{452598AC-5263-4378-91FE-9F5613EA9A5D}"/>
    <cellStyle name="Normal 8 2 5 2 4" xfId="17932" xr:uid="{21625A42-9A2F-4E65-AB06-9657ECB187F6}"/>
    <cellStyle name="Normal 8 2 5 2 5" xfId="26367" xr:uid="{538E8067-7B73-48A3-A0F8-05D99824848B}"/>
    <cellStyle name="Normal 8 2 5 2 6" xfId="9494" xr:uid="{7F7C0C34-984E-4C11-85AA-06F99674E9D1}"/>
    <cellStyle name="Normal 8 2 5 3" xfId="1378" xr:uid="{00000000-0005-0000-0000-0000101D0000}"/>
    <cellStyle name="Normal 8 2 5 3 2" xfId="3608" xr:uid="{00000000-0005-0000-0000-0000111D0000}"/>
    <cellStyle name="Normal 8 2 5 3 2 2" xfId="7831" xr:uid="{00000000-0005-0000-0000-0000121D0000}"/>
    <cellStyle name="Normal 8 2 5 3 2 2 2" xfId="24708" xr:uid="{678CB68F-F56F-4D12-A7AD-60FBE185E562}"/>
    <cellStyle name="Normal 8 2 5 3 2 2 3" xfId="33142" xr:uid="{25FB26E1-2DD7-47D6-9B94-E67843AEC5C1}"/>
    <cellStyle name="Normal 8 2 5 3 2 2 4" xfId="16270" xr:uid="{E8B6737D-E33C-4200-9B74-E10E56F354E9}"/>
    <cellStyle name="Normal 8 2 5 3 2 3" xfId="20490" xr:uid="{F50F5CB6-6093-4E0D-8F2D-22EDA8FCF70A}"/>
    <cellStyle name="Normal 8 2 5 3 2 4" xfId="28925" xr:uid="{58E98996-AEBF-4E85-A585-36CFFECF0E95}"/>
    <cellStyle name="Normal 8 2 5 3 2 5" xfId="12052" xr:uid="{9B92CF7F-9771-41C8-B54E-4FFD99619B04}"/>
    <cellStyle name="Normal 8 2 5 3 3" xfId="5686" xr:uid="{00000000-0005-0000-0000-0000131D0000}"/>
    <cellStyle name="Normal 8 2 5 3 3 2" xfId="22563" xr:uid="{C0B2C857-E96A-4D9E-B990-272F3E9BAD1E}"/>
    <cellStyle name="Normal 8 2 5 3 3 3" xfId="30997" xr:uid="{1EFC1DE3-8DE7-478A-8119-406991DA60E4}"/>
    <cellStyle name="Normal 8 2 5 3 3 4" xfId="14125" xr:uid="{F64ABF7C-E2FC-494F-AD0E-6DEB1DA5E884}"/>
    <cellStyle name="Normal 8 2 5 3 4" xfId="18345" xr:uid="{00B3E957-6DDD-4B14-AB1A-93F187D8F054}"/>
    <cellStyle name="Normal 8 2 5 3 5" xfId="26780" xr:uid="{3E20F308-FB20-4B9C-90FD-BB6934B55DC4}"/>
    <cellStyle name="Normal 8 2 5 3 6" xfId="9907" xr:uid="{04A4E2CC-0572-43E4-8359-555CD2BBC5CC}"/>
    <cellStyle name="Normal 8 2 5 4" xfId="1791" xr:uid="{00000000-0005-0000-0000-0000141D0000}"/>
    <cellStyle name="Normal 8 2 5 4 2" xfId="4021" xr:uid="{00000000-0005-0000-0000-0000151D0000}"/>
    <cellStyle name="Normal 8 2 5 4 2 2" xfId="8244" xr:uid="{00000000-0005-0000-0000-0000161D0000}"/>
    <cellStyle name="Normal 8 2 5 4 2 2 2" xfId="25121" xr:uid="{5D2DB6E3-65AE-4432-813A-AF975FB178BF}"/>
    <cellStyle name="Normal 8 2 5 4 2 2 3" xfId="33555" xr:uid="{5E68C7A0-4F67-4AFA-A2D2-3194CCF4FDBF}"/>
    <cellStyle name="Normal 8 2 5 4 2 2 4" xfId="16683" xr:uid="{03476D5A-B7C4-41EC-804A-179432F2CE49}"/>
    <cellStyle name="Normal 8 2 5 4 2 3" xfId="20903" xr:uid="{4F6595D1-93D3-41C6-A458-2149E36E994D}"/>
    <cellStyle name="Normal 8 2 5 4 2 4" xfId="29338" xr:uid="{F413BB2A-200D-4ABC-B197-874DF189157E}"/>
    <cellStyle name="Normal 8 2 5 4 2 5" xfId="12465" xr:uid="{810133FD-EEF1-4B4F-9400-B81D5A1C07D0}"/>
    <cellStyle name="Normal 8 2 5 4 3" xfId="6099" xr:uid="{00000000-0005-0000-0000-0000171D0000}"/>
    <cellStyle name="Normal 8 2 5 4 3 2" xfId="22976" xr:uid="{6871E633-D546-4116-9DC3-480C4239C45D}"/>
    <cellStyle name="Normal 8 2 5 4 3 3" xfId="31410" xr:uid="{488D87EF-EB5B-423E-B0EF-6E004A1E9F1E}"/>
    <cellStyle name="Normal 8 2 5 4 3 4" xfId="14538" xr:uid="{4EF8EBD9-5F73-4670-ABFB-A25005FF607C}"/>
    <cellStyle name="Normal 8 2 5 4 4" xfId="18758" xr:uid="{F05C9D50-9753-4D7D-BB93-1A1CA772BAA7}"/>
    <cellStyle name="Normal 8 2 5 4 5" xfId="27193" xr:uid="{D9DDAC0D-4284-4739-9F70-ADA2252FC830}"/>
    <cellStyle name="Normal 8 2 5 4 6" xfId="10320" xr:uid="{F4794375-88BE-4153-927F-90CEC8286AA0}"/>
    <cellStyle name="Normal 8 2 5 5" xfId="2205" xr:uid="{00000000-0005-0000-0000-0000181D0000}"/>
    <cellStyle name="Normal 8 2 5 5 2" xfId="4434" xr:uid="{00000000-0005-0000-0000-0000191D0000}"/>
    <cellStyle name="Normal 8 2 5 5 2 2" xfId="8657" xr:uid="{00000000-0005-0000-0000-00001A1D0000}"/>
    <cellStyle name="Normal 8 2 5 5 2 2 2" xfId="25534" xr:uid="{882FD051-2E2B-4A19-B943-4E4B82265EE3}"/>
    <cellStyle name="Normal 8 2 5 5 2 2 3" xfId="33968" xr:uid="{820A2D8F-50E4-4F08-A302-97DA0D88F025}"/>
    <cellStyle name="Normal 8 2 5 5 2 2 4" xfId="17096" xr:uid="{7A5DE274-FEA8-4CEB-B215-BA57B9467D6F}"/>
    <cellStyle name="Normal 8 2 5 5 2 3" xfId="21316" xr:uid="{575758FF-9F12-4CA5-AEE6-9FACC29A9772}"/>
    <cellStyle name="Normal 8 2 5 5 2 4" xfId="29751" xr:uid="{5AE07F73-F849-41B1-AFF3-E3B3098385A0}"/>
    <cellStyle name="Normal 8 2 5 5 2 5" xfId="12878" xr:uid="{56EE77E9-1E16-45A1-A66A-5EFCF84B9F50}"/>
    <cellStyle name="Normal 8 2 5 5 3" xfId="6512" xr:uid="{00000000-0005-0000-0000-00001B1D0000}"/>
    <cellStyle name="Normal 8 2 5 5 3 2" xfId="23389" xr:uid="{AD281B60-CC5F-4808-BB65-5C3818408FD7}"/>
    <cellStyle name="Normal 8 2 5 5 3 3" xfId="31823" xr:uid="{F3E18582-3556-4678-AA7A-115DFE11923D}"/>
    <cellStyle name="Normal 8 2 5 5 3 4" xfId="14951" xr:uid="{40E22E54-4FBD-4E4B-8B16-37772D812369}"/>
    <cellStyle name="Normal 8 2 5 5 4" xfId="19171" xr:uid="{2100DE3B-1026-4F08-9F93-0CF1B830A342}"/>
    <cellStyle name="Normal 8 2 5 5 5" xfId="27606" xr:uid="{5C684FE9-E6C6-4FC4-8659-0D42C441B8B3}"/>
    <cellStyle name="Normal 8 2 5 5 6" xfId="10733" xr:uid="{17456FC1-BDDA-4499-8150-6EEA8E3DB5ED}"/>
    <cellStyle name="Normal 8 2 5 6" xfId="2641" xr:uid="{00000000-0005-0000-0000-00001C1D0000}"/>
    <cellStyle name="Normal 8 2 5 6 2" xfId="6925" xr:uid="{00000000-0005-0000-0000-00001D1D0000}"/>
    <cellStyle name="Normal 8 2 5 6 2 2" xfId="23802" xr:uid="{A0B991B7-035E-4DD7-BC82-BA6705C62A0E}"/>
    <cellStyle name="Normal 8 2 5 6 2 3" xfId="32236" xr:uid="{FBD368C4-9381-4560-AC1B-3B9BCE8A594E}"/>
    <cellStyle name="Normal 8 2 5 6 2 4" xfId="15364" xr:uid="{139D9800-7D46-4447-A35A-74DAF4DF8B7C}"/>
    <cellStyle name="Normal 8 2 5 6 3" xfId="19584" xr:uid="{0B81209F-1FEB-48C4-93B9-F228CDE09960}"/>
    <cellStyle name="Normal 8 2 5 6 4" xfId="28019" xr:uid="{5BFCFF21-F41E-485E-A40A-CACC50B6FDAA}"/>
    <cellStyle name="Normal 8 2 5 6 5" xfId="11146" xr:uid="{F0B446F3-575D-477C-B76E-EE855B448564}"/>
    <cellStyle name="Normal 8 2 5 7" xfId="4860" xr:uid="{00000000-0005-0000-0000-00001E1D0000}"/>
    <cellStyle name="Normal 8 2 5 7 2" xfId="21737" xr:uid="{566AD3FB-2B58-410E-9BCF-CACDFE2CB8A2}"/>
    <cellStyle name="Normal 8 2 5 7 3" xfId="30171" xr:uid="{68B0EEFC-3041-41E2-8474-2F865A5583C5}"/>
    <cellStyle name="Normal 8 2 5 7 4" xfId="13299" xr:uid="{3C83A392-49AB-4E8D-BCBF-273528C68577}"/>
    <cellStyle name="Normal 8 2 5 8" xfId="17519" xr:uid="{5F5316EC-5E95-467A-9819-78C48BBE591B}"/>
    <cellStyle name="Normal 8 2 5 9" xfId="25954" xr:uid="{D074A686-A742-4201-BFF9-1A0D186896B6}"/>
    <cellStyle name="Normal 8 2 6" xfId="946" xr:uid="{00000000-0005-0000-0000-00001F1D0000}"/>
    <cellStyle name="Normal 8 2 6 2" xfId="3180" xr:uid="{00000000-0005-0000-0000-0000201D0000}"/>
    <cellStyle name="Normal 8 2 6 2 2" xfId="7403" xr:uid="{00000000-0005-0000-0000-0000211D0000}"/>
    <cellStyle name="Normal 8 2 6 2 2 2" xfId="24280" xr:uid="{19461030-11EE-4BB5-8848-BDF1D467429A}"/>
    <cellStyle name="Normal 8 2 6 2 2 3" xfId="32714" xr:uid="{A421464C-0D74-4B55-AFF3-16045FFDD39C}"/>
    <cellStyle name="Normal 8 2 6 2 2 4" xfId="15842" xr:uid="{2F0CB985-315A-4CDD-B176-AD5A51AD5714}"/>
    <cellStyle name="Normal 8 2 6 2 3" xfId="20062" xr:uid="{23A3ED4E-E781-4923-92CD-CAB29C9AAF8E}"/>
    <cellStyle name="Normal 8 2 6 2 4" xfId="28497" xr:uid="{CFC3E5C6-B4CC-4717-9C8D-82391F74EF1F}"/>
    <cellStyle name="Normal 8 2 6 2 5" xfId="11624" xr:uid="{88F2F963-739B-4C59-B31B-0E8AD578CB1A}"/>
    <cellStyle name="Normal 8 2 6 3" xfId="5258" xr:uid="{00000000-0005-0000-0000-0000221D0000}"/>
    <cellStyle name="Normal 8 2 6 3 2" xfId="22135" xr:uid="{23F5E3CB-830C-4EF8-B117-B74EEC2E5457}"/>
    <cellStyle name="Normal 8 2 6 3 3" xfId="30569" xr:uid="{9222BDE4-22A6-4EBE-AC65-8030C62624BB}"/>
    <cellStyle name="Normal 8 2 6 3 4" xfId="13697" xr:uid="{A4DFF9B8-9D8C-476B-BAF8-A562E11623B8}"/>
    <cellStyle name="Normal 8 2 6 4" xfId="17917" xr:uid="{2F3A7AC8-1AF4-45F9-AAB6-52641FDA4E57}"/>
    <cellStyle name="Normal 8 2 6 5" xfId="26352" xr:uid="{C0D09A1B-EE29-4E9B-B412-98F625F92AD1}"/>
    <cellStyle name="Normal 8 2 6 6" xfId="9479" xr:uid="{06E3813B-E9B9-4F9D-9C09-183520343268}"/>
    <cellStyle name="Normal 8 2 7" xfId="1363" xr:uid="{00000000-0005-0000-0000-0000231D0000}"/>
    <cellStyle name="Normal 8 2 7 2" xfId="3593" xr:uid="{00000000-0005-0000-0000-0000241D0000}"/>
    <cellStyle name="Normal 8 2 7 2 2" xfId="7816" xr:uid="{00000000-0005-0000-0000-0000251D0000}"/>
    <cellStyle name="Normal 8 2 7 2 2 2" xfId="24693" xr:uid="{FA9C0623-9210-41CB-A248-3956589476B1}"/>
    <cellStyle name="Normal 8 2 7 2 2 3" xfId="33127" xr:uid="{8E21FD13-E1AA-43D7-99B4-155480390FF3}"/>
    <cellStyle name="Normal 8 2 7 2 2 4" xfId="16255" xr:uid="{666B36B9-FD1B-4EFB-8281-73860499B048}"/>
    <cellStyle name="Normal 8 2 7 2 3" xfId="20475" xr:uid="{AD6CB6B3-68C9-441E-874D-6F9381D458FD}"/>
    <cellStyle name="Normal 8 2 7 2 4" xfId="28910" xr:uid="{A681C22E-DA56-4D45-8E26-F37B70DEB3B2}"/>
    <cellStyle name="Normal 8 2 7 2 5" xfId="12037" xr:uid="{5D470314-17F7-4B51-88CA-31CBB69A2716}"/>
    <cellStyle name="Normal 8 2 7 3" xfId="5671" xr:uid="{00000000-0005-0000-0000-0000261D0000}"/>
    <cellStyle name="Normal 8 2 7 3 2" xfId="22548" xr:uid="{61AB21B4-D8A3-45C9-9ABD-64DFBB0F027E}"/>
    <cellStyle name="Normal 8 2 7 3 3" xfId="30982" xr:uid="{D277A66A-8054-43B3-A920-A08219ACCCA5}"/>
    <cellStyle name="Normal 8 2 7 3 4" xfId="14110" xr:uid="{CEFAA657-5645-4F7D-8178-CBB3AE70D97A}"/>
    <cellStyle name="Normal 8 2 7 4" xfId="18330" xr:uid="{DB47EB64-D7FF-448F-B0DA-9F102771AE55}"/>
    <cellStyle name="Normal 8 2 7 5" xfId="26765" xr:uid="{9D28C522-2906-4A35-BF50-965E7C4819E7}"/>
    <cellStyle name="Normal 8 2 7 6" xfId="9892" xr:uid="{38BBDD54-AD9A-4463-9213-C8779BEBD89D}"/>
    <cellStyle name="Normal 8 2 8" xfId="1776" xr:uid="{00000000-0005-0000-0000-0000271D0000}"/>
    <cellStyle name="Normal 8 2 8 2" xfId="4006" xr:uid="{00000000-0005-0000-0000-0000281D0000}"/>
    <cellStyle name="Normal 8 2 8 2 2" xfId="8229" xr:uid="{00000000-0005-0000-0000-0000291D0000}"/>
    <cellStyle name="Normal 8 2 8 2 2 2" xfId="25106" xr:uid="{D9B0CDE4-253F-413A-9735-A1EF444C2C57}"/>
    <cellStyle name="Normal 8 2 8 2 2 3" xfId="33540" xr:uid="{E43A7EA6-21C8-48B4-BB78-BF8BF7BC1A15}"/>
    <cellStyle name="Normal 8 2 8 2 2 4" xfId="16668" xr:uid="{63CB2F40-B497-4F63-AAE7-5AA66FBF1498}"/>
    <cellStyle name="Normal 8 2 8 2 3" xfId="20888" xr:uid="{54960123-7F8C-4701-8DB4-69102582C3BF}"/>
    <cellStyle name="Normal 8 2 8 2 4" xfId="29323" xr:uid="{ACFA0605-5C9A-4BA8-94D2-8DECAED58ED6}"/>
    <cellStyle name="Normal 8 2 8 2 5" xfId="12450" xr:uid="{267F972A-9982-4A70-9F1E-C703193031D9}"/>
    <cellStyle name="Normal 8 2 8 3" xfId="6084" xr:uid="{00000000-0005-0000-0000-00002A1D0000}"/>
    <cellStyle name="Normal 8 2 8 3 2" xfId="22961" xr:uid="{1366E903-4DB9-40FE-9CBE-D587FD816F20}"/>
    <cellStyle name="Normal 8 2 8 3 3" xfId="31395" xr:uid="{9515CE4C-FFA9-4791-AE07-8312DB1D02EB}"/>
    <cellStyle name="Normal 8 2 8 3 4" xfId="14523" xr:uid="{DA433F4C-6012-40B4-9CD4-5BE61BB10794}"/>
    <cellStyle name="Normal 8 2 8 4" xfId="18743" xr:uid="{DE15918B-66AA-4420-9A5B-9C5F7F811B8A}"/>
    <cellStyle name="Normal 8 2 8 5" xfId="27178" xr:uid="{6810A984-4776-4A23-B4BA-005048A9B68C}"/>
    <cellStyle name="Normal 8 2 8 6" xfId="10305" xr:uid="{AF0F3ED8-7C9C-43D1-8EF7-2042B0AFE230}"/>
    <cellStyle name="Normal 8 2 9" xfId="2190" xr:uid="{00000000-0005-0000-0000-00002B1D0000}"/>
    <cellStyle name="Normal 8 2 9 2" xfId="4419" xr:uid="{00000000-0005-0000-0000-00002C1D0000}"/>
    <cellStyle name="Normal 8 2 9 2 2" xfId="8642" xr:uid="{00000000-0005-0000-0000-00002D1D0000}"/>
    <cellStyle name="Normal 8 2 9 2 2 2" xfId="25519" xr:uid="{A1008B69-5075-40B7-B38A-B39E442FD420}"/>
    <cellStyle name="Normal 8 2 9 2 2 3" xfId="33953" xr:uid="{543FC03A-B6EC-41CE-AA65-E6BE575CB11F}"/>
    <cellStyle name="Normal 8 2 9 2 2 4" xfId="17081" xr:uid="{0DE9D5D7-D81A-4FDE-A41C-BE732DF392E5}"/>
    <cellStyle name="Normal 8 2 9 2 3" xfId="21301" xr:uid="{112D400F-CA5B-4B9E-967A-ABA2E58463F4}"/>
    <cellStyle name="Normal 8 2 9 2 4" xfId="29736" xr:uid="{43D4AB9F-EDCB-410B-8EA5-794679A65B3A}"/>
    <cellStyle name="Normal 8 2 9 2 5" xfId="12863" xr:uid="{F26B2E40-DD7E-49AA-96B5-3CDCE78FD3B9}"/>
    <cellStyle name="Normal 8 2 9 3" xfId="6497" xr:uid="{00000000-0005-0000-0000-00002E1D0000}"/>
    <cellStyle name="Normal 8 2 9 3 2" xfId="23374" xr:uid="{3A51B169-B163-4E2B-A810-5969BF861FDF}"/>
    <cellStyle name="Normal 8 2 9 3 3" xfId="31808" xr:uid="{1EB10DE4-DF3D-489E-B603-1443D6564580}"/>
    <cellStyle name="Normal 8 2 9 3 4" xfId="14936" xr:uid="{571CF743-7617-47A0-9AAD-F920ED309D74}"/>
    <cellStyle name="Normal 8 2 9 4" xfId="19156" xr:uid="{43ECB51D-0C7D-4B1E-AED0-CE45E46A4E84}"/>
    <cellStyle name="Normal 8 2 9 5" xfId="27591" xr:uid="{133DFCB7-045C-452F-8D3F-5A24F3058443}"/>
    <cellStyle name="Normal 8 2 9 6" xfId="10718" xr:uid="{674803AA-8F11-46F4-B5BA-DD0F5CC222D9}"/>
    <cellStyle name="Normal 8 3" xfId="495" xr:uid="{00000000-0005-0000-0000-00002F1D0000}"/>
    <cellStyle name="Normal 8 3 10" xfId="4861" xr:uid="{00000000-0005-0000-0000-0000301D0000}"/>
    <cellStyle name="Normal 8 3 10 2" xfId="21738" xr:uid="{FA85D75A-C32B-41C2-9BF4-06A24BD108B6}"/>
    <cellStyle name="Normal 8 3 10 3" xfId="30172" xr:uid="{3293A0F0-F0FD-4E77-A261-42CA92C93BF5}"/>
    <cellStyle name="Normal 8 3 10 4" xfId="13300" xr:uid="{8A49A1FD-069D-4632-8A50-A555C9AE5466}"/>
    <cellStyle name="Normal 8 3 11" xfId="17520" xr:uid="{82A6B6DB-A840-4CA7-A86A-8B3866592785}"/>
    <cellStyle name="Normal 8 3 12" xfId="25955" xr:uid="{0897D917-D910-415C-8EC2-1D53E5347EE0}"/>
    <cellStyle name="Normal 8 3 13" xfId="9082" xr:uid="{AA5CBA94-1666-42DA-9308-2CC8A556C973}"/>
    <cellStyle name="Normal 8 3 2" xfId="496" xr:uid="{00000000-0005-0000-0000-0000311D0000}"/>
    <cellStyle name="Normal 8 3 2 10" xfId="17521" xr:uid="{4A6A2130-0BC7-4BB7-B9DA-11983CB3BA32}"/>
    <cellStyle name="Normal 8 3 2 11" xfId="25956" xr:uid="{820C7F87-C829-4A52-82B1-B1B3112898E4}"/>
    <cellStyle name="Normal 8 3 2 12" xfId="9083" xr:uid="{2DFFE791-6AFC-47E6-A6AD-FAF7D1124AC6}"/>
    <cellStyle name="Normal 8 3 2 2" xfId="497" xr:uid="{00000000-0005-0000-0000-0000321D0000}"/>
    <cellStyle name="Normal 8 3 2 2 10" xfId="25957" xr:uid="{FF27CA15-F51A-436E-B2BB-8566E5E8E248}"/>
    <cellStyle name="Normal 8 3 2 2 11" xfId="9084" xr:uid="{E465D264-1FEB-4422-B2C4-958BC6A49BFF}"/>
    <cellStyle name="Normal 8 3 2 2 2" xfId="498" xr:uid="{00000000-0005-0000-0000-0000331D0000}"/>
    <cellStyle name="Normal 8 3 2 2 2 10" xfId="9085" xr:uid="{FFB66E90-6F7D-4B30-B81C-E8482B97C3B7}"/>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24299" xr:uid="{5922FAF9-21F1-4E3F-8D9B-90419ECC0317}"/>
    <cellStyle name="Normal 8 3 2 2 2 2 2 2 3" xfId="32733" xr:uid="{D4816C36-C57C-4714-8655-749E779463A7}"/>
    <cellStyle name="Normal 8 3 2 2 2 2 2 2 4" xfId="15861" xr:uid="{60471159-DF5F-4A31-BEE1-0ED0B4266E8F}"/>
    <cellStyle name="Normal 8 3 2 2 2 2 2 3" xfId="20081" xr:uid="{1C432F6F-D948-4285-BA80-70BC083E9739}"/>
    <cellStyle name="Normal 8 3 2 2 2 2 2 4" xfId="28516" xr:uid="{9B367DE2-216C-4DD7-86D6-6A556CB2B716}"/>
    <cellStyle name="Normal 8 3 2 2 2 2 2 5" xfId="11643" xr:uid="{FF78EBE6-AB83-4AF9-8008-634596EBBE78}"/>
    <cellStyle name="Normal 8 3 2 2 2 2 3" xfId="5277" xr:uid="{00000000-0005-0000-0000-0000371D0000}"/>
    <cellStyle name="Normal 8 3 2 2 2 2 3 2" xfId="22154" xr:uid="{D6F9A6E3-8ACC-42EB-AF30-CCD116167CDE}"/>
    <cellStyle name="Normal 8 3 2 2 2 2 3 3" xfId="30588" xr:uid="{40831EAE-1C1A-4348-B77C-A7E4D68BE49F}"/>
    <cellStyle name="Normal 8 3 2 2 2 2 3 4" xfId="13716" xr:uid="{097A739B-D685-41EE-9EF5-33C24ECA3951}"/>
    <cellStyle name="Normal 8 3 2 2 2 2 4" xfId="17936" xr:uid="{C4EE7F3C-FC7B-4D90-87CB-9438D7E89755}"/>
    <cellStyle name="Normal 8 3 2 2 2 2 5" xfId="26371" xr:uid="{954CC191-5438-4DB2-ACCD-03E7B7C457B3}"/>
    <cellStyle name="Normal 8 3 2 2 2 2 6" xfId="9498" xr:uid="{B78ED062-C82A-43C1-B7DD-C284BCBD5E35}"/>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24712" xr:uid="{09B49040-FE3C-49A7-A014-A5B711C5983D}"/>
    <cellStyle name="Normal 8 3 2 2 2 3 2 2 3" xfId="33146" xr:uid="{77B768A8-A734-48BD-955B-5D4D12A17F68}"/>
    <cellStyle name="Normal 8 3 2 2 2 3 2 2 4" xfId="16274" xr:uid="{E2402DDF-4FFC-45F8-96D3-0D338D99ED4C}"/>
    <cellStyle name="Normal 8 3 2 2 2 3 2 3" xfId="20494" xr:uid="{5C975285-1986-41A2-909B-805B053C5CF8}"/>
    <cellStyle name="Normal 8 3 2 2 2 3 2 4" xfId="28929" xr:uid="{73045886-5C7D-4356-935A-72910F3FFA87}"/>
    <cellStyle name="Normal 8 3 2 2 2 3 2 5" xfId="12056" xr:uid="{4DCFC662-4A55-4FEF-B130-3A2B144E68BC}"/>
    <cellStyle name="Normal 8 3 2 2 2 3 3" xfId="5690" xr:uid="{00000000-0005-0000-0000-00003B1D0000}"/>
    <cellStyle name="Normal 8 3 2 2 2 3 3 2" xfId="22567" xr:uid="{B8C87DAB-CB6A-418B-B361-756AB770A7E8}"/>
    <cellStyle name="Normal 8 3 2 2 2 3 3 3" xfId="31001" xr:uid="{DB49D9D0-33FD-4997-9D3A-30E91F732691}"/>
    <cellStyle name="Normal 8 3 2 2 2 3 3 4" xfId="14129" xr:uid="{07367CC0-3B76-45F9-8E7F-1AE9035278BD}"/>
    <cellStyle name="Normal 8 3 2 2 2 3 4" xfId="18349" xr:uid="{CF86102B-7AE1-4625-A3C3-4C19BA63E34B}"/>
    <cellStyle name="Normal 8 3 2 2 2 3 5" xfId="26784" xr:uid="{27D5024B-F33C-4424-A9E5-BF3216426F41}"/>
    <cellStyle name="Normal 8 3 2 2 2 3 6" xfId="9911" xr:uid="{E3E46F28-0F42-468C-AE83-8406809B1531}"/>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25125" xr:uid="{CD0D992C-4345-4A8C-9FFB-FB92FB755B59}"/>
    <cellStyle name="Normal 8 3 2 2 2 4 2 2 3" xfId="33559" xr:uid="{271D9BCB-1E2B-484F-B815-A4C03E98DCDA}"/>
    <cellStyle name="Normal 8 3 2 2 2 4 2 2 4" xfId="16687" xr:uid="{32FD7722-5350-40D8-9A67-0CF89EE9B4E6}"/>
    <cellStyle name="Normal 8 3 2 2 2 4 2 3" xfId="20907" xr:uid="{928F8BAC-0C52-4831-AC31-3F8EF1FF38D9}"/>
    <cellStyle name="Normal 8 3 2 2 2 4 2 4" xfId="29342" xr:uid="{E208AD54-EA5B-4ADC-A031-BAD5A604A3AF}"/>
    <cellStyle name="Normal 8 3 2 2 2 4 2 5" xfId="12469" xr:uid="{514E81F8-BBB8-4295-8231-5EF6A05878AE}"/>
    <cellStyle name="Normal 8 3 2 2 2 4 3" xfId="6103" xr:uid="{00000000-0005-0000-0000-00003F1D0000}"/>
    <cellStyle name="Normal 8 3 2 2 2 4 3 2" xfId="22980" xr:uid="{BCA82521-3045-468C-89ED-3D9ED225E2DC}"/>
    <cellStyle name="Normal 8 3 2 2 2 4 3 3" xfId="31414" xr:uid="{64AB0363-FD0E-4388-B049-8C9AD62363B7}"/>
    <cellStyle name="Normal 8 3 2 2 2 4 3 4" xfId="14542" xr:uid="{B2D022E6-1735-42F7-85B4-D69357EB8B92}"/>
    <cellStyle name="Normal 8 3 2 2 2 4 4" xfId="18762" xr:uid="{D6447449-0DA6-4D94-9E04-2A92F5EC6E5F}"/>
    <cellStyle name="Normal 8 3 2 2 2 4 5" xfId="27197" xr:uid="{1EF3E6A1-8837-469B-AC18-B7ABC32C7297}"/>
    <cellStyle name="Normal 8 3 2 2 2 4 6" xfId="10324" xr:uid="{C8D9CC25-C08C-4F51-9461-1197853B99E6}"/>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25538" xr:uid="{62831D7E-4EBD-4AFD-9522-417CFDEE4CA4}"/>
    <cellStyle name="Normal 8 3 2 2 2 5 2 2 3" xfId="33972" xr:uid="{332DDC42-EB69-4D48-BBF7-A7BBF9D05BAD}"/>
    <cellStyle name="Normal 8 3 2 2 2 5 2 2 4" xfId="17100" xr:uid="{FDCFEA25-2E27-4ABF-AACF-75BC97116DA4}"/>
    <cellStyle name="Normal 8 3 2 2 2 5 2 3" xfId="21320" xr:uid="{6866D03E-5FCD-42C6-AFCF-F017C49954E0}"/>
    <cellStyle name="Normal 8 3 2 2 2 5 2 4" xfId="29755" xr:uid="{283164C3-185E-45CC-8846-9ECC1B0658B9}"/>
    <cellStyle name="Normal 8 3 2 2 2 5 2 5" xfId="12882" xr:uid="{2883CFC6-77D0-4FBC-8160-3FDE1732FCAD}"/>
    <cellStyle name="Normal 8 3 2 2 2 5 3" xfId="6516" xr:uid="{00000000-0005-0000-0000-0000431D0000}"/>
    <cellStyle name="Normal 8 3 2 2 2 5 3 2" xfId="23393" xr:uid="{2B8CFB80-658E-4391-8F23-ECDF21C42DF9}"/>
    <cellStyle name="Normal 8 3 2 2 2 5 3 3" xfId="31827" xr:uid="{60BC3E04-7392-4348-AD5C-ADE3DEE8D65C}"/>
    <cellStyle name="Normal 8 3 2 2 2 5 3 4" xfId="14955" xr:uid="{8A76B076-D9FB-4DFE-887A-8F4E11910DE9}"/>
    <cellStyle name="Normal 8 3 2 2 2 5 4" xfId="19175" xr:uid="{DA58576B-EB49-466D-A8A3-6B9B88F655E2}"/>
    <cellStyle name="Normal 8 3 2 2 2 5 5" xfId="27610" xr:uid="{C4ECAC2C-270E-47CC-9D74-E96DDB622468}"/>
    <cellStyle name="Normal 8 3 2 2 2 5 6" xfId="10737" xr:uid="{00CF6239-9F81-4F76-91DB-048AC0868F71}"/>
    <cellStyle name="Normal 8 3 2 2 2 6" xfId="2645" xr:uid="{00000000-0005-0000-0000-0000441D0000}"/>
    <cellStyle name="Normal 8 3 2 2 2 6 2" xfId="6929" xr:uid="{00000000-0005-0000-0000-0000451D0000}"/>
    <cellStyle name="Normal 8 3 2 2 2 6 2 2" xfId="23806" xr:uid="{F0002278-81BA-45DE-AB86-9C381DB76371}"/>
    <cellStyle name="Normal 8 3 2 2 2 6 2 3" xfId="32240" xr:uid="{C9965A72-C7FC-44BC-9C35-79D778670CF5}"/>
    <cellStyle name="Normal 8 3 2 2 2 6 2 4" xfId="15368" xr:uid="{EE832C8B-E688-48F3-8C97-C990E51227B9}"/>
    <cellStyle name="Normal 8 3 2 2 2 6 3" xfId="19588" xr:uid="{43057536-522B-4D76-B95E-58EF1092C1DF}"/>
    <cellStyle name="Normal 8 3 2 2 2 6 4" xfId="28023" xr:uid="{34E725F2-0CE5-4029-8B5C-1EDF35231091}"/>
    <cellStyle name="Normal 8 3 2 2 2 6 5" xfId="11150" xr:uid="{68140017-4CD1-4E9B-A857-9D925C35A9F2}"/>
    <cellStyle name="Normal 8 3 2 2 2 7" xfId="4864" xr:uid="{00000000-0005-0000-0000-0000461D0000}"/>
    <cellStyle name="Normal 8 3 2 2 2 7 2" xfId="21741" xr:uid="{3BD7D593-F28E-41DB-80D3-B692F0E4D609}"/>
    <cellStyle name="Normal 8 3 2 2 2 7 3" xfId="30175" xr:uid="{B30B3FC5-5E87-475B-869B-BF02F5E95525}"/>
    <cellStyle name="Normal 8 3 2 2 2 7 4" xfId="13303" xr:uid="{AEBD9D53-E510-4E16-9FC0-0E94C6A5E8E2}"/>
    <cellStyle name="Normal 8 3 2 2 2 8" xfId="17523" xr:uid="{BE8BADB7-643C-4B50-B11A-3E717EB9C7AD}"/>
    <cellStyle name="Normal 8 3 2 2 2 9" xfId="25958" xr:uid="{2EF99662-1928-40AC-B9C5-A8F6616A483D}"/>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24298" xr:uid="{206C2B43-79FF-4350-8668-8258ED2640C4}"/>
    <cellStyle name="Normal 8 3 2 2 3 2 2 3" xfId="32732" xr:uid="{E8CA1D97-CE31-434B-B3A6-1C34CA63FD46}"/>
    <cellStyle name="Normal 8 3 2 2 3 2 2 4" xfId="15860" xr:uid="{51C06BB7-7D7F-48C8-B720-8B3529F2B583}"/>
    <cellStyle name="Normal 8 3 2 2 3 2 3" xfId="20080" xr:uid="{A6001BA4-9655-4E2E-81AB-9580DB799492}"/>
    <cellStyle name="Normal 8 3 2 2 3 2 4" xfId="28515" xr:uid="{01358E1E-2200-4845-987B-58FCD28810C0}"/>
    <cellStyle name="Normal 8 3 2 2 3 2 5" xfId="11642" xr:uid="{88393D26-39DA-4280-876B-07A41911FFCE}"/>
    <cellStyle name="Normal 8 3 2 2 3 3" xfId="5276" xr:uid="{00000000-0005-0000-0000-00004A1D0000}"/>
    <cellStyle name="Normal 8 3 2 2 3 3 2" xfId="22153" xr:uid="{2AA07645-B954-4952-8E44-D0340AFD6024}"/>
    <cellStyle name="Normal 8 3 2 2 3 3 3" xfId="30587" xr:uid="{77B58AA6-3824-4FB1-8D55-2F8E354B467B}"/>
    <cellStyle name="Normal 8 3 2 2 3 3 4" xfId="13715" xr:uid="{9A1C6FBA-58D0-4C43-A686-E8D9CC741CAE}"/>
    <cellStyle name="Normal 8 3 2 2 3 4" xfId="17935" xr:uid="{CA705DF2-E2F0-4B53-838C-45E6B96DF5DB}"/>
    <cellStyle name="Normal 8 3 2 2 3 5" xfId="26370" xr:uid="{A4847DD8-8A1F-46DD-9157-34DB2B067A4C}"/>
    <cellStyle name="Normal 8 3 2 2 3 6" xfId="9497" xr:uid="{379AB067-E343-4130-9C80-47284D144D29}"/>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24711" xr:uid="{F745406D-CD00-4A3E-8458-070609E676D1}"/>
    <cellStyle name="Normal 8 3 2 2 4 2 2 3" xfId="33145" xr:uid="{1EF6625B-5D7A-4089-9480-19664009B689}"/>
    <cellStyle name="Normal 8 3 2 2 4 2 2 4" xfId="16273" xr:uid="{CF7A69E6-5D22-4C19-B15C-D5ED7B0930F2}"/>
    <cellStyle name="Normal 8 3 2 2 4 2 3" xfId="20493" xr:uid="{8BB053FC-6D9B-4349-90AD-20C7E2A97657}"/>
    <cellStyle name="Normal 8 3 2 2 4 2 4" xfId="28928" xr:uid="{907E0AD7-8D80-45FE-AD98-48109EEA13A1}"/>
    <cellStyle name="Normal 8 3 2 2 4 2 5" xfId="12055" xr:uid="{678FCD60-A6DC-4A2E-AE9E-1E283AD15F58}"/>
    <cellStyle name="Normal 8 3 2 2 4 3" xfId="5689" xr:uid="{00000000-0005-0000-0000-00004E1D0000}"/>
    <cellStyle name="Normal 8 3 2 2 4 3 2" xfId="22566" xr:uid="{4BF9F26E-498F-4C8C-BCA5-9B4002273AFD}"/>
    <cellStyle name="Normal 8 3 2 2 4 3 3" xfId="31000" xr:uid="{6B887829-0E1D-4299-A2B0-9B5882F274A0}"/>
    <cellStyle name="Normal 8 3 2 2 4 3 4" xfId="14128" xr:uid="{2C53965A-8724-46D1-9FC4-694668F5C4A3}"/>
    <cellStyle name="Normal 8 3 2 2 4 4" xfId="18348" xr:uid="{E89F136E-017F-45A6-A79F-9BC195F11F97}"/>
    <cellStyle name="Normal 8 3 2 2 4 5" xfId="26783" xr:uid="{4BEEDD75-1235-4DB6-8417-2DFD2CA3FFEB}"/>
    <cellStyle name="Normal 8 3 2 2 4 6" xfId="9910" xr:uid="{D7603304-FD13-4C70-979C-9EBDA60F803D}"/>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25124" xr:uid="{2C1D37FC-25DA-470A-9EF7-2D815D4FE203}"/>
    <cellStyle name="Normal 8 3 2 2 5 2 2 3" xfId="33558" xr:uid="{A8C204F0-4C1E-4A56-BE54-2EABA2614CCE}"/>
    <cellStyle name="Normal 8 3 2 2 5 2 2 4" xfId="16686" xr:uid="{953FA87F-CED2-47D6-81BD-2D6B119E7B8F}"/>
    <cellStyle name="Normal 8 3 2 2 5 2 3" xfId="20906" xr:uid="{E2321F03-195E-4E96-8ACF-3B7EA18EE0EC}"/>
    <cellStyle name="Normal 8 3 2 2 5 2 4" xfId="29341" xr:uid="{68571376-7974-4310-8EC8-E6BCE69AC9B1}"/>
    <cellStyle name="Normal 8 3 2 2 5 2 5" xfId="12468" xr:uid="{A5A6A3C3-C61F-4E67-83BD-53FB2E4DB8CD}"/>
    <cellStyle name="Normal 8 3 2 2 5 3" xfId="6102" xr:uid="{00000000-0005-0000-0000-0000521D0000}"/>
    <cellStyle name="Normal 8 3 2 2 5 3 2" xfId="22979" xr:uid="{D4BA3489-EAFE-4BC2-B7AE-D7FF1C099D15}"/>
    <cellStyle name="Normal 8 3 2 2 5 3 3" xfId="31413" xr:uid="{38CDC63E-2FD5-4BCF-81C3-2CDA18AACAAA}"/>
    <cellStyle name="Normal 8 3 2 2 5 3 4" xfId="14541" xr:uid="{7F9CCDF6-2773-4C08-B343-1C0C89401F03}"/>
    <cellStyle name="Normal 8 3 2 2 5 4" xfId="18761" xr:uid="{FA79560C-5CC6-4FEB-B692-D82571CB4A2E}"/>
    <cellStyle name="Normal 8 3 2 2 5 5" xfId="27196" xr:uid="{E07D42B8-7D5D-4DD9-AE4C-E48540C60530}"/>
    <cellStyle name="Normal 8 3 2 2 5 6" xfId="10323" xr:uid="{7A58A1E6-5F05-493C-8A4E-CC059D777D6C}"/>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25537" xr:uid="{07E944AC-75F0-42DC-9DA1-6C40959F1B55}"/>
    <cellStyle name="Normal 8 3 2 2 6 2 2 3" xfId="33971" xr:uid="{5F45243D-9B86-4DA8-9846-AD69DB169AB9}"/>
    <cellStyle name="Normal 8 3 2 2 6 2 2 4" xfId="17099" xr:uid="{38122D76-67E7-4206-9565-A8BC51237F96}"/>
    <cellStyle name="Normal 8 3 2 2 6 2 3" xfId="21319" xr:uid="{B92BA0A9-3AE5-4FCA-90CE-7208585C4ECE}"/>
    <cellStyle name="Normal 8 3 2 2 6 2 4" xfId="29754" xr:uid="{A9988074-186F-4EA2-85E8-C5E2E3CE65BE}"/>
    <cellStyle name="Normal 8 3 2 2 6 2 5" xfId="12881" xr:uid="{9B371F1E-B7DD-47FB-994C-0A14F1F475DC}"/>
    <cellStyle name="Normal 8 3 2 2 6 3" xfId="6515" xr:uid="{00000000-0005-0000-0000-0000561D0000}"/>
    <cellStyle name="Normal 8 3 2 2 6 3 2" xfId="23392" xr:uid="{378B3BB5-D4F3-45DD-A5B7-20B8C2F1A8CD}"/>
    <cellStyle name="Normal 8 3 2 2 6 3 3" xfId="31826" xr:uid="{1CA772E5-D62F-4DAE-85CC-5BE44DCC8309}"/>
    <cellStyle name="Normal 8 3 2 2 6 3 4" xfId="14954" xr:uid="{F59467B6-F93E-4646-9486-A301B609DDE4}"/>
    <cellStyle name="Normal 8 3 2 2 6 4" xfId="19174" xr:uid="{44ACB87A-0D84-4FFF-95E0-B9E06E246282}"/>
    <cellStyle name="Normal 8 3 2 2 6 5" xfId="27609" xr:uid="{2556C4B6-2218-405A-B1E1-6B3CC73F5CCB}"/>
    <cellStyle name="Normal 8 3 2 2 6 6" xfId="10736" xr:uid="{34DC95D9-8B63-43D6-BF73-D0A0C2E71988}"/>
    <cellStyle name="Normal 8 3 2 2 7" xfId="2644" xr:uid="{00000000-0005-0000-0000-0000571D0000}"/>
    <cellStyle name="Normal 8 3 2 2 7 2" xfId="6928" xr:uid="{00000000-0005-0000-0000-0000581D0000}"/>
    <cellStyle name="Normal 8 3 2 2 7 2 2" xfId="23805" xr:uid="{DCF932B5-9ACF-4006-8997-97ADFC113227}"/>
    <cellStyle name="Normal 8 3 2 2 7 2 3" xfId="32239" xr:uid="{9AF9E3C6-D2F8-41E5-9DD6-3BC69D64005E}"/>
    <cellStyle name="Normal 8 3 2 2 7 2 4" xfId="15367" xr:uid="{A78D70FF-A1FF-43D7-BD40-C2CA9702A440}"/>
    <cellStyle name="Normal 8 3 2 2 7 3" xfId="19587" xr:uid="{E35BD16F-3CC3-42EE-91B8-E3E377B83E76}"/>
    <cellStyle name="Normal 8 3 2 2 7 4" xfId="28022" xr:uid="{4A0D778A-E895-4A6B-A181-66547E4F2F35}"/>
    <cellStyle name="Normal 8 3 2 2 7 5" xfId="11149" xr:uid="{E14A3163-70B4-44B6-94ED-5D85EFA48043}"/>
    <cellStyle name="Normal 8 3 2 2 8" xfId="4863" xr:uid="{00000000-0005-0000-0000-0000591D0000}"/>
    <cellStyle name="Normal 8 3 2 2 8 2" xfId="21740" xr:uid="{50D4DB2D-0FBF-42EF-830F-49215F2C0085}"/>
    <cellStyle name="Normal 8 3 2 2 8 3" xfId="30174" xr:uid="{BDB93083-ECED-45AB-B3B1-EBFD5B49A159}"/>
    <cellStyle name="Normal 8 3 2 2 8 4" xfId="13302" xr:uid="{54B19DDD-CE51-4BA9-9BC4-0720B845C8A3}"/>
    <cellStyle name="Normal 8 3 2 2 9" xfId="17522" xr:uid="{BDA4FC2E-A6B9-4D85-B582-496984051F8E}"/>
    <cellStyle name="Normal 8 3 2 3" xfId="499" xr:uid="{00000000-0005-0000-0000-00005A1D0000}"/>
    <cellStyle name="Normal 8 3 2 3 10" xfId="9086" xr:uid="{170C36BF-E7CF-4F72-8F68-A21A241A457F}"/>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24300" xr:uid="{3FC16685-8B49-41A2-B2EF-405402777B18}"/>
    <cellStyle name="Normal 8 3 2 3 2 2 2 3" xfId="32734" xr:uid="{10772A59-3328-4E11-91F1-921BE513F46F}"/>
    <cellStyle name="Normal 8 3 2 3 2 2 2 4" xfId="15862" xr:uid="{7A6841F5-891F-402E-B27D-9FDB935C9486}"/>
    <cellStyle name="Normal 8 3 2 3 2 2 3" xfId="20082" xr:uid="{817660E0-6A0A-4A5A-9689-9538C81A786C}"/>
    <cellStyle name="Normal 8 3 2 3 2 2 4" xfId="28517" xr:uid="{79492AA2-7513-44CD-A2E5-5189C6E59435}"/>
    <cellStyle name="Normal 8 3 2 3 2 2 5" xfId="11644" xr:uid="{BB5BEE40-BA44-4E16-9B71-ACB7C6AD9A05}"/>
    <cellStyle name="Normal 8 3 2 3 2 3" xfId="5278" xr:uid="{00000000-0005-0000-0000-00005E1D0000}"/>
    <cellStyle name="Normal 8 3 2 3 2 3 2" xfId="22155" xr:uid="{60282FB5-55C8-4232-9093-029C491042DD}"/>
    <cellStyle name="Normal 8 3 2 3 2 3 3" xfId="30589" xr:uid="{D3A4CD48-5E79-4597-93AF-9765C522A093}"/>
    <cellStyle name="Normal 8 3 2 3 2 3 4" xfId="13717" xr:uid="{31759AEA-656A-466B-831D-7ADA1C67B1E8}"/>
    <cellStyle name="Normal 8 3 2 3 2 4" xfId="17937" xr:uid="{243F043A-A963-4C17-8CCA-63F04DF71200}"/>
    <cellStyle name="Normal 8 3 2 3 2 5" xfId="26372" xr:uid="{3E133027-F849-49F6-98E0-CEBBFD76E2FB}"/>
    <cellStyle name="Normal 8 3 2 3 2 6" xfId="9499" xr:uid="{410E10C5-7EB0-4FFE-9C02-2B32551DADD3}"/>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24713" xr:uid="{E5E1B78C-8272-43F4-BC46-9841D2488FED}"/>
    <cellStyle name="Normal 8 3 2 3 3 2 2 3" xfId="33147" xr:uid="{4888D787-7C19-43EC-B54C-C7FABA2A7DD9}"/>
    <cellStyle name="Normal 8 3 2 3 3 2 2 4" xfId="16275" xr:uid="{353BE02E-8218-485C-A1E7-B28325D97157}"/>
    <cellStyle name="Normal 8 3 2 3 3 2 3" xfId="20495" xr:uid="{8CF78EB2-5D47-48E2-900B-B10AABC482D5}"/>
    <cellStyle name="Normal 8 3 2 3 3 2 4" xfId="28930" xr:uid="{0D90511F-3F56-47DB-B047-4507C2E7E6B4}"/>
    <cellStyle name="Normal 8 3 2 3 3 2 5" xfId="12057" xr:uid="{4B75339D-131A-4FAF-B7A4-01EBF78039A4}"/>
    <cellStyle name="Normal 8 3 2 3 3 3" xfId="5691" xr:uid="{00000000-0005-0000-0000-0000621D0000}"/>
    <cellStyle name="Normal 8 3 2 3 3 3 2" xfId="22568" xr:uid="{3F43C0DF-60BB-4039-8A6F-3DD09D896426}"/>
    <cellStyle name="Normal 8 3 2 3 3 3 3" xfId="31002" xr:uid="{67812FF4-6873-44DC-9A74-8B89EB265866}"/>
    <cellStyle name="Normal 8 3 2 3 3 3 4" xfId="14130" xr:uid="{546173E8-04E7-4070-A566-BE3857A158D4}"/>
    <cellStyle name="Normal 8 3 2 3 3 4" xfId="18350" xr:uid="{624CEDC7-C4B3-41C9-B294-4AF84B675CC3}"/>
    <cellStyle name="Normal 8 3 2 3 3 5" xfId="26785" xr:uid="{7B164420-098A-4BAF-B5B9-6B2134A57E9D}"/>
    <cellStyle name="Normal 8 3 2 3 3 6" xfId="9912" xr:uid="{4A084A1B-01FC-40AC-8F60-127EDE96AE7F}"/>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25126" xr:uid="{BD2A0F11-C28B-4264-9F4A-2558B4678548}"/>
    <cellStyle name="Normal 8 3 2 3 4 2 2 3" xfId="33560" xr:uid="{6AB00167-B371-499D-A978-E900D3AEAE71}"/>
    <cellStyle name="Normal 8 3 2 3 4 2 2 4" xfId="16688" xr:uid="{FD678369-41A6-4E84-9050-3370EECF21BC}"/>
    <cellStyle name="Normal 8 3 2 3 4 2 3" xfId="20908" xr:uid="{6BC3AF3A-E84E-4233-B92C-4B0DCE3F7CF8}"/>
    <cellStyle name="Normal 8 3 2 3 4 2 4" xfId="29343" xr:uid="{EB01F996-EE59-47FD-965A-85F8AA03E4A5}"/>
    <cellStyle name="Normal 8 3 2 3 4 2 5" xfId="12470" xr:uid="{72B9BD40-C577-470C-946B-650105BD08AC}"/>
    <cellStyle name="Normal 8 3 2 3 4 3" xfId="6104" xr:uid="{00000000-0005-0000-0000-0000661D0000}"/>
    <cellStyle name="Normal 8 3 2 3 4 3 2" xfId="22981" xr:uid="{19476682-C2C0-4D5F-AEE4-A65F7D260100}"/>
    <cellStyle name="Normal 8 3 2 3 4 3 3" xfId="31415" xr:uid="{6AF80199-4D1E-4319-9765-1300911CB30B}"/>
    <cellStyle name="Normal 8 3 2 3 4 3 4" xfId="14543" xr:uid="{D81EBAC8-CF58-4DC4-9E45-57D593B29394}"/>
    <cellStyle name="Normal 8 3 2 3 4 4" xfId="18763" xr:uid="{47242002-E131-45A1-9EEA-11CB66F7FF93}"/>
    <cellStyle name="Normal 8 3 2 3 4 5" xfId="27198" xr:uid="{FFF24F8B-26C8-42DD-8D07-C7689D60C7BB}"/>
    <cellStyle name="Normal 8 3 2 3 4 6" xfId="10325" xr:uid="{9BD85DE2-3D2E-4FE8-B2C7-377C0D4024F9}"/>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25539" xr:uid="{315D60BE-52F9-4236-AC53-8DA92199F714}"/>
    <cellStyle name="Normal 8 3 2 3 5 2 2 3" xfId="33973" xr:uid="{479E955D-3E87-4965-9541-1E827087E74D}"/>
    <cellStyle name="Normal 8 3 2 3 5 2 2 4" xfId="17101" xr:uid="{52107E06-268B-48E6-B5CE-F499A30529BF}"/>
    <cellStyle name="Normal 8 3 2 3 5 2 3" xfId="21321" xr:uid="{E0E56712-D373-4985-9385-73E51C0CBE87}"/>
    <cellStyle name="Normal 8 3 2 3 5 2 4" xfId="29756" xr:uid="{996A70FD-AD05-4630-812B-F2BEC95CA4C6}"/>
    <cellStyle name="Normal 8 3 2 3 5 2 5" xfId="12883" xr:uid="{C772A528-1AEE-4940-89CC-AF960218158B}"/>
    <cellStyle name="Normal 8 3 2 3 5 3" xfId="6517" xr:uid="{00000000-0005-0000-0000-00006A1D0000}"/>
    <cellStyle name="Normal 8 3 2 3 5 3 2" xfId="23394" xr:uid="{6CC2BDA6-8718-4DD4-B12F-5FB58683DBFB}"/>
    <cellStyle name="Normal 8 3 2 3 5 3 3" xfId="31828" xr:uid="{0C6B429E-C423-4587-AD57-3CF45E78F4EE}"/>
    <cellStyle name="Normal 8 3 2 3 5 3 4" xfId="14956" xr:uid="{A217FBC0-4B09-4080-8D1C-64B9E2D62634}"/>
    <cellStyle name="Normal 8 3 2 3 5 4" xfId="19176" xr:uid="{A54904F5-F0CD-4574-9C70-C9EBCB3A8EE2}"/>
    <cellStyle name="Normal 8 3 2 3 5 5" xfId="27611" xr:uid="{815EF465-DCBA-4CAA-B103-9107AED76FF7}"/>
    <cellStyle name="Normal 8 3 2 3 5 6" xfId="10738" xr:uid="{97AC4DF5-21E8-40A8-B1D2-F5A597386E7B}"/>
    <cellStyle name="Normal 8 3 2 3 6" xfId="2646" xr:uid="{00000000-0005-0000-0000-00006B1D0000}"/>
    <cellStyle name="Normal 8 3 2 3 6 2" xfId="6930" xr:uid="{00000000-0005-0000-0000-00006C1D0000}"/>
    <cellStyle name="Normal 8 3 2 3 6 2 2" xfId="23807" xr:uid="{42707908-37D4-4E1E-A5D3-AC1189DC580B}"/>
    <cellStyle name="Normal 8 3 2 3 6 2 3" xfId="32241" xr:uid="{FF159807-06B7-4B84-B3F6-21BA55252869}"/>
    <cellStyle name="Normal 8 3 2 3 6 2 4" xfId="15369" xr:uid="{5BE767F3-52BF-46AF-9C0D-4C5050A7BF82}"/>
    <cellStyle name="Normal 8 3 2 3 6 3" xfId="19589" xr:uid="{343B74A4-F6E2-4ADC-9BB3-434697A6FD11}"/>
    <cellStyle name="Normal 8 3 2 3 6 4" xfId="28024" xr:uid="{D46150B2-18F8-4EC5-B2A4-AEE9CFCFF584}"/>
    <cellStyle name="Normal 8 3 2 3 6 5" xfId="11151" xr:uid="{5B943A96-1880-4179-9FF4-3D9B8EC7BB99}"/>
    <cellStyle name="Normal 8 3 2 3 7" xfId="4865" xr:uid="{00000000-0005-0000-0000-00006D1D0000}"/>
    <cellStyle name="Normal 8 3 2 3 7 2" xfId="21742" xr:uid="{371387ED-4509-4980-B012-EC7571000BE8}"/>
    <cellStyle name="Normal 8 3 2 3 7 3" xfId="30176" xr:uid="{43B44D9A-66AD-4260-9B6D-90EB9CEA8CE9}"/>
    <cellStyle name="Normal 8 3 2 3 7 4" xfId="13304" xr:uid="{408516A8-B1E6-4CA8-A240-7B65FFFC75E2}"/>
    <cellStyle name="Normal 8 3 2 3 8" xfId="17524" xr:uid="{7658A587-E338-4920-A8FB-37DCC8A4242D}"/>
    <cellStyle name="Normal 8 3 2 3 9" xfId="25959" xr:uid="{A913380B-B92A-4166-B216-2DFD076A7DCD}"/>
    <cellStyle name="Normal 8 3 2 4" xfId="963" xr:uid="{00000000-0005-0000-0000-00006E1D0000}"/>
    <cellStyle name="Normal 8 3 2 4 2" xfId="3197" xr:uid="{00000000-0005-0000-0000-00006F1D0000}"/>
    <cellStyle name="Normal 8 3 2 4 2 2" xfId="7420" xr:uid="{00000000-0005-0000-0000-0000701D0000}"/>
    <cellStyle name="Normal 8 3 2 4 2 2 2" xfId="24297" xr:uid="{66FA0906-4601-45F3-B8D4-D77F9D2953A1}"/>
    <cellStyle name="Normal 8 3 2 4 2 2 3" xfId="32731" xr:uid="{9DBCBA6A-B911-4313-811A-BB65C22B2348}"/>
    <cellStyle name="Normal 8 3 2 4 2 2 4" xfId="15859" xr:uid="{98CD0D53-B42C-4291-854D-D17ACA0171CE}"/>
    <cellStyle name="Normal 8 3 2 4 2 3" xfId="20079" xr:uid="{2F55C7E2-4AA0-47C6-B50F-AADCB6CF8797}"/>
    <cellStyle name="Normal 8 3 2 4 2 4" xfId="28514" xr:uid="{7004669A-24FD-4C44-9A36-B9F9DB0AC440}"/>
    <cellStyle name="Normal 8 3 2 4 2 5" xfId="11641" xr:uid="{6F09ED35-B47C-4ABD-BE65-7A42BFAF6BEC}"/>
    <cellStyle name="Normal 8 3 2 4 3" xfId="5275" xr:uid="{00000000-0005-0000-0000-0000711D0000}"/>
    <cellStyle name="Normal 8 3 2 4 3 2" xfId="22152" xr:uid="{20E29FD9-472A-4B23-89CF-0CBEE3ECFD5B}"/>
    <cellStyle name="Normal 8 3 2 4 3 3" xfId="30586" xr:uid="{E6CB0660-5422-43E3-AD3C-EF663BF4391A}"/>
    <cellStyle name="Normal 8 3 2 4 3 4" xfId="13714" xr:uid="{B2B2354F-4130-4520-B7F2-A25560970834}"/>
    <cellStyle name="Normal 8 3 2 4 4" xfId="17934" xr:uid="{10AED9EC-163E-46A8-98CF-350E2FFB4F19}"/>
    <cellStyle name="Normal 8 3 2 4 5" xfId="26369" xr:uid="{838EE1D3-2A7B-47C7-A421-C8D2A2ADED49}"/>
    <cellStyle name="Normal 8 3 2 4 6" xfId="9496" xr:uid="{89BB0C58-6E6B-42A8-9455-C31E470C0E1D}"/>
    <cellStyle name="Normal 8 3 2 5" xfId="1380" xr:uid="{00000000-0005-0000-0000-0000721D0000}"/>
    <cellStyle name="Normal 8 3 2 5 2" xfId="3610" xr:uid="{00000000-0005-0000-0000-0000731D0000}"/>
    <cellStyle name="Normal 8 3 2 5 2 2" xfId="7833" xr:uid="{00000000-0005-0000-0000-0000741D0000}"/>
    <cellStyle name="Normal 8 3 2 5 2 2 2" xfId="24710" xr:uid="{9DF43CA1-F6BF-4E14-9C90-BC0AE3A208B0}"/>
    <cellStyle name="Normal 8 3 2 5 2 2 3" xfId="33144" xr:uid="{BDE0DAF0-87EA-4C4F-A00E-CBAC9C9165D5}"/>
    <cellStyle name="Normal 8 3 2 5 2 2 4" xfId="16272" xr:uid="{D0811B97-ADA3-4C93-A8E4-89F59AFD6C7D}"/>
    <cellStyle name="Normal 8 3 2 5 2 3" xfId="20492" xr:uid="{BE231141-4CFF-4919-88A4-2BF8DA580E12}"/>
    <cellStyle name="Normal 8 3 2 5 2 4" xfId="28927" xr:uid="{C9BAF393-3B35-4E9D-A982-A1A1BB9633AA}"/>
    <cellStyle name="Normal 8 3 2 5 2 5" xfId="12054" xr:uid="{74391CA9-8BDE-4719-A882-128E7F9B9E3A}"/>
    <cellStyle name="Normal 8 3 2 5 3" xfId="5688" xr:uid="{00000000-0005-0000-0000-0000751D0000}"/>
    <cellStyle name="Normal 8 3 2 5 3 2" xfId="22565" xr:uid="{35165BEA-2160-4579-BBA8-5ECF66531573}"/>
    <cellStyle name="Normal 8 3 2 5 3 3" xfId="30999" xr:uid="{EC533FBB-D287-40F6-8D31-9C409A168ACD}"/>
    <cellStyle name="Normal 8 3 2 5 3 4" xfId="14127" xr:uid="{FECEC975-EEFA-40EF-AC5D-2D15BBC39182}"/>
    <cellStyle name="Normal 8 3 2 5 4" xfId="18347" xr:uid="{7CADCA24-BB17-4915-8CF7-87A28E0F1063}"/>
    <cellStyle name="Normal 8 3 2 5 5" xfId="26782" xr:uid="{0B58DD60-3E9D-49D8-9058-C5E289956A92}"/>
    <cellStyle name="Normal 8 3 2 5 6" xfId="9909" xr:uid="{B4CD639A-55B8-4C43-8476-A1F2B5E01351}"/>
    <cellStyle name="Normal 8 3 2 6" xfId="1793" xr:uid="{00000000-0005-0000-0000-0000761D0000}"/>
    <cellStyle name="Normal 8 3 2 6 2" xfId="4023" xr:uid="{00000000-0005-0000-0000-0000771D0000}"/>
    <cellStyle name="Normal 8 3 2 6 2 2" xfId="8246" xr:uid="{00000000-0005-0000-0000-0000781D0000}"/>
    <cellStyle name="Normal 8 3 2 6 2 2 2" xfId="25123" xr:uid="{8B649A85-B927-469B-B276-8C53D7A8C748}"/>
    <cellStyle name="Normal 8 3 2 6 2 2 3" xfId="33557" xr:uid="{0526A98A-B64A-45E2-A64F-0669DD5BDFEB}"/>
    <cellStyle name="Normal 8 3 2 6 2 2 4" xfId="16685" xr:uid="{B1B57936-4487-415D-9A96-DB97A1634399}"/>
    <cellStyle name="Normal 8 3 2 6 2 3" xfId="20905" xr:uid="{BC753806-D68C-4A92-8B2E-8984E0368072}"/>
    <cellStyle name="Normal 8 3 2 6 2 4" xfId="29340" xr:uid="{182F34BF-500F-43E4-A196-80C0C7976EBF}"/>
    <cellStyle name="Normal 8 3 2 6 2 5" xfId="12467" xr:uid="{3117A265-2F11-4FE0-B058-60F4A5AB5121}"/>
    <cellStyle name="Normal 8 3 2 6 3" xfId="6101" xr:uid="{00000000-0005-0000-0000-0000791D0000}"/>
    <cellStyle name="Normal 8 3 2 6 3 2" xfId="22978" xr:uid="{32BA2235-C98F-4DA8-AEBE-A6D877EDD3B1}"/>
    <cellStyle name="Normal 8 3 2 6 3 3" xfId="31412" xr:uid="{3F2E575C-8ACB-4F6C-97E5-36A00448C51A}"/>
    <cellStyle name="Normal 8 3 2 6 3 4" xfId="14540" xr:uid="{469614AF-6504-4C7C-B4D6-98DD1C21A8AC}"/>
    <cellStyle name="Normal 8 3 2 6 4" xfId="18760" xr:uid="{799DDC88-0F7F-4B65-81DB-01C6E6C13267}"/>
    <cellStyle name="Normal 8 3 2 6 5" xfId="27195" xr:uid="{9526C693-B8B5-474A-9E80-E8DA5DA057AA}"/>
    <cellStyle name="Normal 8 3 2 6 6" xfId="10322" xr:uid="{9CBCCDD5-096C-499C-9E04-EC99787F820E}"/>
    <cellStyle name="Normal 8 3 2 7" xfId="2207" xr:uid="{00000000-0005-0000-0000-00007A1D0000}"/>
    <cellStyle name="Normal 8 3 2 7 2" xfId="4436" xr:uid="{00000000-0005-0000-0000-00007B1D0000}"/>
    <cellStyle name="Normal 8 3 2 7 2 2" xfId="8659" xr:uid="{00000000-0005-0000-0000-00007C1D0000}"/>
    <cellStyle name="Normal 8 3 2 7 2 2 2" xfId="25536" xr:uid="{47160456-FFAA-4906-B480-E8F3CFC12935}"/>
    <cellStyle name="Normal 8 3 2 7 2 2 3" xfId="33970" xr:uid="{DF993417-662C-4F53-A395-630BC07432D6}"/>
    <cellStyle name="Normal 8 3 2 7 2 2 4" xfId="17098" xr:uid="{FBAA0192-2412-4161-8666-171CDDAD24C3}"/>
    <cellStyle name="Normal 8 3 2 7 2 3" xfId="21318" xr:uid="{2B5A6A7F-3771-4B4C-9081-87B7D0EF38D3}"/>
    <cellStyle name="Normal 8 3 2 7 2 4" xfId="29753" xr:uid="{553B539A-31F1-4B9F-B7FD-F890830D01C6}"/>
    <cellStyle name="Normal 8 3 2 7 2 5" xfId="12880" xr:uid="{3EB550AE-B912-4443-8C1A-BC676DD7ABEF}"/>
    <cellStyle name="Normal 8 3 2 7 3" xfId="6514" xr:uid="{00000000-0005-0000-0000-00007D1D0000}"/>
    <cellStyle name="Normal 8 3 2 7 3 2" xfId="23391" xr:uid="{0E0DCA14-DF20-4498-B78A-01FFB7F568EC}"/>
    <cellStyle name="Normal 8 3 2 7 3 3" xfId="31825" xr:uid="{B477C322-D2C1-4C3A-B44E-3E1B1216AC06}"/>
    <cellStyle name="Normal 8 3 2 7 3 4" xfId="14953" xr:uid="{505B6318-22EE-4320-A5CE-25748162622A}"/>
    <cellStyle name="Normal 8 3 2 7 4" xfId="19173" xr:uid="{EBADFB45-902E-4AC8-8196-64DD4883E178}"/>
    <cellStyle name="Normal 8 3 2 7 5" xfId="27608" xr:uid="{C8D7FB9B-883E-4BEF-B918-04C2DED05341}"/>
    <cellStyle name="Normal 8 3 2 7 6" xfId="10735" xr:uid="{B473C7E3-5A67-4CB5-853F-EB990B58F63C}"/>
    <cellStyle name="Normal 8 3 2 8" xfId="2643" xr:uid="{00000000-0005-0000-0000-00007E1D0000}"/>
    <cellStyle name="Normal 8 3 2 8 2" xfId="6927" xr:uid="{00000000-0005-0000-0000-00007F1D0000}"/>
    <cellStyle name="Normal 8 3 2 8 2 2" xfId="23804" xr:uid="{FEA4B4BA-D813-4D69-8D4B-1B4557078AA1}"/>
    <cellStyle name="Normal 8 3 2 8 2 3" xfId="32238" xr:uid="{63D07C4B-96A1-410F-B51F-21600CBACD0C}"/>
    <cellStyle name="Normal 8 3 2 8 2 4" xfId="15366" xr:uid="{18CE13F8-BAFE-41B1-ABA9-25D44E0A0C83}"/>
    <cellStyle name="Normal 8 3 2 8 3" xfId="19586" xr:uid="{2FF6801D-60C3-45E2-928D-82299DB3A0C4}"/>
    <cellStyle name="Normal 8 3 2 8 4" xfId="28021" xr:uid="{4BA3A2A2-DC14-44FC-B680-2EAE5E152BE9}"/>
    <cellStyle name="Normal 8 3 2 8 5" xfId="11148" xr:uid="{6C15C12F-511C-435B-9EA5-DF37BD05BA28}"/>
    <cellStyle name="Normal 8 3 2 9" xfId="4862" xr:uid="{00000000-0005-0000-0000-0000801D0000}"/>
    <cellStyle name="Normal 8 3 2 9 2" xfId="21739" xr:uid="{2B3EAC67-2556-49FC-94F3-9B2ED505DD1E}"/>
    <cellStyle name="Normal 8 3 2 9 3" xfId="30173" xr:uid="{4520984D-617D-4A43-B07C-A1FD5E1FC07D}"/>
    <cellStyle name="Normal 8 3 2 9 4" xfId="13301" xr:uid="{200580A8-E905-423A-9351-B0639CC5E4C4}"/>
    <cellStyle name="Normal 8 3 3" xfId="500" xr:uid="{00000000-0005-0000-0000-0000811D0000}"/>
    <cellStyle name="Normal 8 3 3 10" xfId="25960" xr:uid="{ECBDAE62-8D5D-46D3-B808-52F760A6339C}"/>
    <cellStyle name="Normal 8 3 3 11" xfId="9087" xr:uid="{BA6A4870-0D75-42A8-A29B-AC12695E6A7E}"/>
    <cellStyle name="Normal 8 3 3 2" xfId="501" xr:uid="{00000000-0005-0000-0000-0000821D0000}"/>
    <cellStyle name="Normal 8 3 3 2 10" xfId="9088" xr:uid="{B731FA9E-C239-4525-AA7F-3FA205E08D2F}"/>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24302" xr:uid="{71ADCE9B-F2EB-4158-96E3-8CA544B48EF5}"/>
    <cellStyle name="Normal 8 3 3 2 2 2 2 3" xfId="32736" xr:uid="{6DD2DC9D-7DC7-4E50-803A-D82B3E0683C3}"/>
    <cellStyle name="Normal 8 3 3 2 2 2 2 4" xfId="15864" xr:uid="{8562A6C0-2C71-46BE-913A-279FE6DD24FF}"/>
    <cellStyle name="Normal 8 3 3 2 2 2 3" xfId="20084" xr:uid="{2494B270-39AC-41E8-83F0-279C264E3922}"/>
    <cellStyle name="Normal 8 3 3 2 2 2 4" xfId="28519" xr:uid="{63F96952-8CDB-4223-B9BE-72194C7BC34E}"/>
    <cellStyle name="Normal 8 3 3 2 2 2 5" xfId="11646" xr:uid="{0AF91560-458E-49A6-8777-31C2FE9798D1}"/>
    <cellStyle name="Normal 8 3 3 2 2 3" xfId="5280" xr:uid="{00000000-0005-0000-0000-0000861D0000}"/>
    <cellStyle name="Normal 8 3 3 2 2 3 2" xfId="22157" xr:uid="{CBF76FDF-AF3D-4755-8341-9382458DC8D8}"/>
    <cellStyle name="Normal 8 3 3 2 2 3 3" xfId="30591" xr:uid="{9364793E-AF4F-4E79-A33C-4A693C90B0F4}"/>
    <cellStyle name="Normal 8 3 3 2 2 3 4" xfId="13719" xr:uid="{801BAEAF-85FF-4365-801E-FD495F13EF96}"/>
    <cellStyle name="Normal 8 3 3 2 2 4" xfId="17939" xr:uid="{F8C163BE-5F67-4D3E-963C-A5F2FE5C23DD}"/>
    <cellStyle name="Normal 8 3 3 2 2 5" xfId="26374" xr:uid="{C748B119-6B40-43A6-BCDE-642BE1BB02FA}"/>
    <cellStyle name="Normal 8 3 3 2 2 6" xfId="9501" xr:uid="{D429F441-2D9B-4659-84F2-068BA23FE48E}"/>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24715" xr:uid="{FA24A9BD-2563-4CFE-BA34-ED632229666A}"/>
    <cellStyle name="Normal 8 3 3 2 3 2 2 3" xfId="33149" xr:uid="{68656093-6A2D-49BB-8FB6-D04EDD160D27}"/>
    <cellStyle name="Normal 8 3 3 2 3 2 2 4" xfId="16277" xr:uid="{F2CC5DFD-2FCC-41C3-9548-55CB71E5CA4E}"/>
    <cellStyle name="Normal 8 3 3 2 3 2 3" xfId="20497" xr:uid="{4EC610C7-751E-4369-B55E-09D5FAB0CFD8}"/>
    <cellStyle name="Normal 8 3 3 2 3 2 4" xfId="28932" xr:uid="{D1B1C81B-5EB4-4E01-8CDD-849ED0DEAD30}"/>
    <cellStyle name="Normal 8 3 3 2 3 2 5" xfId="12059" xr:uid="{895D8A9F-80F2-4125-A51F-BCD4B6400DE7}"/>
    <cellStyle name="Normal 8 3 3 2 3 3" xfId="5693" xr:uid="{00000000-0005-0000-0000-00008A1D0000}"/>
    <cellStyle name="Normal 8 3 3 2 3 3 2" xfId="22570" xr:uid="{05E15724-7261-4E09-84F1-4019AD853D2D}"/>
    <cellStyle name="Normal 8 3 3 2 3 3 3" xfId="31004" xr:uid="{8AF9E544-CF86-4782-928A-15583C4D151C}"/>
    <cellStyle name="Normal 8 3 3 2 3 3 4" xfId="14132" xr:uid="{94ECA058-9C99-4990-B638-B441CA04D8FE}"/>
    <cellStyle name="Normal 8 3 3 2 3 4" xfId="18352" xr:uid="{5169815F-1149-4E24-9B32-983F7BE99249}"/>
    <cellStyle name="Normal 8 3 3 2 3 5" xfId="26787" xr:uid="{347486A6-4E42-46EC-8E99-1775B9C7B139}"/>
    <cellStyle name="Normal 8 3 3 2 3 6" xfId="9914" xr:uid="{2D3369E3-C19F-4D5E-8E6E-FE9C5268452D}"/>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25128" xr:uid="{1DCFA630-79A4-4375-8063-6266ABF77CCA}"/>
    <cellStyle name="Normal 8 3 3 2 4 2 2 3" xfId="33562" xr:uid="{1058481E-AFE9-417D-8E7A-A3277A6E4AE6}"/>
    <cellStyle name="Normal 8 3 3 2 4 2 2 4" xfId="16690" xr:uid="{92E442AB-68F7-4767-A8C7-756373C80C2B}"/>
    <cellStyle name="Normal 8 3 3 2 4 2 3" xfId="20910" xr:uid="{8A0D8D20-C129-4427-9E85-23851DA5F3D6}"/>
    <cellStyle name="Normal 8 3 3 2 4 2 4" xfId="29345" xr:uid="{51723BAD-2738-44AF-8CDC-52B37B212C55}"/>
    <cellStyle name="Normal 8 3 3 2 4 2 5" xfId="12472" xr:uid="{A84B5974-4E2F-4265-9DCE-82B666275E0B}"/>
    <cellStyle name="Normal 8 3 3 2 4 3" xfId="6106" xr:uid="{00000000-0005-0000-0000-00008E1D0000}"/>
    <cellStyle name="Normal 8 3 3 2 4 3 2" xfId="22983" xr:uid="{79967835-1126-4857-A0C8-317CD034A4B3}"/>
    <cellStyle name="Normal 8 3 3 2 4 3 3" xfId="31417" xr:uid="{90175E77-4038-4F71-A40F-2390E3F8A221}"/>
    <cellStyle name="Normal 8 3 3 2 4 3 4" xfId="14545" xr:uid="{EA7628AA-F94F-433E-9DEC-CA4541BD030B}"/>
    <cellStyle name="Normal 8 3 3 2 4 4" xfId="18765" xr:uid="{7195FE52-8A16-40A2-9EC8-F66B4CCEE447}"/>
    <cellStyle name="Normal 8 3 3 2 4 5" xfId="27200" xr:uid="{50545669-2E7E-42D8-9121-C7918A2E45B9}"/>
    <cellStyle name="Normal 8 3 3 2 4 6" xfId="10327" xr:uid="{43725502-2A5D-40A7-9BA7-142B1A3AF47D}"/>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25541" xr:uid="{32F14E7F-DCB4-40E6-AC70-9E548365B2B8}"/>
    <cellStyle name="Normal 8 3 3 2 5 2 2 3" xfId="33975" xr:uid="{AF26D52E-0D9D-4BA9-8B44-4EC4788D5AAB}"/>
    <cellStyle name="Normal 8 3 3 2 5 2 2 4" xfId="17103" xr:uid="{203976A2-600B-4536-AA37-C119FAEE5ADD}"/>
    <cellStyle name="Normal 8 3 3 2 5 2 3" xfId="21323" xr:uid="{22A784C8-571B-407F-9951-D69BFF445A35}"/>
    <cellStyle name="Normal 8 3 3 2 5 2 4" xfId="29758" xr:uid="{006F39AA-A8F3-49C2-B3B5-85C4856264B2}"/>
    <cellStyle name="Normal 8 3 3 2 5 2 5" xfId="12885" xr:uid="{723B2B48-D648-4AAA-966F-AF55C7A7EAAC}"/>
    <cellStyle name="Normal 8 3 3 2 5 3" xfId="6519" xr:uid="{00000000-0005-0000-0000-0000921D0000}"/>
    <cellStyle name="Normal 8 3 3 2 5 3 2" xfId="23396" xr:uid="{28BC2352-FD7E-43FC-8B36-83AA1A1CE1D5}"/>
    <cellStyle name="Normal 8 3 3 2 5 3 3" xfId="31830" xr:uid="{87538F29-0A67-44DD-808B-5330E368A0E7}"/>
    <cellStyle name="Normal 8 3 3 2 5 3 4" xfId="14958" xr:uid="{A4BC1FD1-2A7B-499B-986D-001E67046C60}"/>
    <cellStyle name="Normal 8 3 3 2 5 4" xfId="19178" xr:uid="{4DCF8F05-2EEF-4760-83CD-FE7F98313836}"/>
    <cellStyle name="Normal 8 3 3 2 5 5" xfId="27613" xr:uid="{6D4CAE8B-8F34-48A3-A2D6-884DEE031DB5}"/>
    <cellStyle name="Normal 8 3 3 2 5 6" xfId="10740" xr:uid="{8D348BB5-328C-4C6F-8824-9A9A0B2EA88B}"/>
    <cellStyle name="Normal 8 3 3 2 6" xfId="2648" xr:uid="{00000000-0005-0000-0000-0000931D0000}"/>
    <cellStyle name="Normal 8 3 3 2 6 2" xfId="6932" xr:uid="{00000000-0005-0000-0000-0000941D0000}"/>
    <cellStyle name="Normal 8 3 3 2 6 2 2" xfId="23809" xr:uid="{916A7F39-3337-4DEA-9D75-7F17782373B5}"/>
    <cellStyle name="Normal 8 3 3 2 6 2 3" xfId="32243" xr:uid="{88C7EE9A-D6DD-4DDA-9683-C5E36D522988}"/>
    <cellStyle name="Normal 8 3 3 2 6 2 4" xfId="15371" xr:uid="{B6922AA2-2EA0-4D07-B0B1-09BCC3878FFE}"/>
    <cellStyle name="Normal 8 3 3 2 6 3" xfId="19591" xr:uid="{3364F59B-013F-4A20-91F7-5FCE2E617B19}"/>
    <cellStyle name="Normal 8 3 3 2 6 4" xfId="28026" xr:uid="{24374C4A-B93D-459E-BB80-181AA291888D}"/>
    <cellStyle name="Normal 8 3 3 2 6 5" xfId="11153" xr:uid="{03BEC92A-0B77-4F11-BC37-B58A78F8643D}"/>
    <cellStyle name="Normal 8 3 3 2 7" xfId="4867" xr:uid="{00000000-0005-0000-0000-0000951D0000}"/>
    <cellStyle name="Normal 8 3 3 2 7 2" xfId="21744" xr:uid="{E799DC82-D3FB-4AD4-8B88-EB8FBACDD3B8}"/>
    <cellStyle name="Normal 8 3 3 2 7 3" xfId="30178" xr:uid="{8E8742E3-8A35-4709-9DDA-054DC7A9D322}"/>
    <cellStyle name="Normal 8 3 3 2 7 4" xfId="13306" xr:uid="{CC5ABA9C-0655-4B81-AA18-B315A287D30F}"/>
    <cellStyle name="Normal 8 3 3 2 8" xfId="17526" xr:uid="{7EF70B53-B14A-49C3-8E9E-E439FECB09DD}"/>
    <cellStyle name="Normal 8 3 3 2 9" xfId="25961" xr:uid="{C949851D-AE8D-43DE-AE12-938DD10E9D82}"/>
    <cellStyle name="Normal 8 3 3 3" xfId="967" xr:uid="{00000000-0005-0000-0000-0000961D0000}"/>
    <cellStyle name="Normal 8 3 3 3 2" xfId="3201" xr:uid="{00000000-0005-0000-0000-0000971D0000}"/>
    <cellStyle name="Normal 8 3 3 3 2 2" xfId="7424" xr:uid="{00000000-0005-0000-0000-0000981D0000}"/>
    <cellStyle name="Normal 8 3 3 3 2 2 2" xfId="24301" xr:uid="{B8A92C21-E351-4FFF-819C-30A606396E12}"/>
    <cellStyle name="Normal 8 3 3 3 2 2 3" xfId="32735" xr:uid="{867EE9FB-998E-46FA-A610-BB9537F57B96}"/>
    <cellStyle name="Normal 8 3 3 3 2 2 4" xfId="15863" xr:uid="{0A6870A9-16FE-4CEC-95BB-69FF18417936}"/>
    <cellStyle name="Normal 8 3 3 3 2 3" xfId="20083" xr:uid="{4330EC99-16BB-4FC5-8D62-AB8AB6437144}"/>
    <cellStyle name="Normal 8 3 3 3 2 4" xfId="28518" xr:uid="{8CCFFFCC-37E6-4A0A-8775-7A1D236A0B48}"/>
    <cellStyle name="Normal 8 3 3 3 2 5" xfId="11645" xr:uid="{29F208F0-F1DA-4938-960F-070E0D43EB9A}"/>
    <cellStyle name="Normal 8 3 3 3 3" xfId="5279" xr:uid="{00000000-0005-0000-0000-0000991D0000}"/>
    <cellStyle name="Normal 8 3 3 3 3 2" xfId="22156" xr:uid="{F3B876B0-06E5-4874-84F7-DDF840C7C54C}"/>
    <cellStyle name="Normal 8 3 3 3 3 3" xfId="30590" xr:uid="{4CB4E910-1EF0-4526-9BA2-2AA656F55A35}"/>
    <cellStyle name="Normal 8 3 3 3 3 4" xfId="13718" xr:uid="{0C6D326D-8940-45A2-83C6-64ADAB44A5BC}"/>
    <cellStyle name="Normal 8 3 3 3 4" xfId="17938" xr:uid="{7AED26D5-1FE4-4ADF-93A3-9FECD61F9219}"/>
    <cellStyle name="Normal 8 3 3 3 5" xfId="26373" xr:uid="{FF23E101-13A9-4AA3-8345-00D7DA7C42E8}"/>
    <cellStyle name="Normal 8 3 3 3 6" xfId="9500" xr:uid="{6CA1B83A-FC6A-47B7-A252-0B2109903F1B}"/>
    <cellStyle name="Normal 8 3 3 4" xfId="1384" xr:uid="{00000000-0005-0000-0000-00009A1D0000}"/>
    <cellStyle name="Normal 8 3 3 4 2" xfId="3614" xr:uid="{00000000-0005-0000-0000-00009B1D0000}"/>
    <cellStyle name="Normal 8 3 3 4 2 2" xfId="7837" xr:uid="{00000000-0005-0000-0000-00009C1D0000}"/>
    <cellStyle name="Normal 8 3 3 4 2 2 2" xfId="24714" xr:uid="{81D88293-0F4B-41D0-9E50-1D1F1BDFA978}"/>
    <cellStyle name="Normal 8 3 3 4 2 2 3" xfId="33148" xr:uid="{98EE7FC2-C811-45CA-9ADF-BB2A4C3A7244}"/>
    <cellStyle name="Normal 8 3 3 4 2 2 4" xfId="16276" xr:uid="{450855C7-B06D-4A47-9EA4-C469EED0A59A}"/>
    <cellStyle name="Normal 8 3 3 4 2 3" xfId="20496" xr:uid="{EAE96349-5775-4AAD-9584-FA32CCF53791}"/>
    <cellStyle name="Normal 8 3 3 4 2 4" xfId="28931" xr:uid="{A32057B7-8E17-466E-A55F-3E77AEDB71F9}"/>
    <cellStyle name="Normal 8 3 3 4 2 5" xfId="12058" xr:uid="{D3044EE5-D57E-4064-B0C8-E820D6D364E1}"/>
    <cellStyle name="Normal 8 3 3 4 3" xfId="5692" xr:uid="{00000000-0005-0000-0000-00009D1D0000}"/>
    <cellStyle name="Normal 8 3 3 4 3 2" xfId="22569" xr:uid="{94A556AE-A3AF-46E3-9390-487D7234FFFC}"/>
    <cellStyle name="Normal 8 3 3 4 3 3" xfId="31003" xr:uid="{4A659634-9795-4BC7-AE46-43959431F675}"/>
    <cellStyle name="Normal 8 3 3 4 3 4" xfId="14131" xr:uid="{3F26E675-0A98-492A-B9BB-B572537CE3AF}"/>
    <cellStyle name="Normal 8 3 3 4 4" xfId="18351" xr:uid="{A583F0F0-0C2F-4DE5-9980-D592B63E4548}"/>
    <cellStyle name="Normal 8 3 3 4 5" xfId="26786" xr:uid="{7B3D3725-2664-42B6-8788-06401BC790CB}"/>
    <cellStyle name="Normal 8 3 3 4 6" xfId="9913" xr:uid="{6C02572C-D04E-421C-B0DB-82C2E7411F44}"/>
    <cellStyle name="Normal 8 3 3 5" xfId="1797" xr:uid="{00000000-0005-0000-0000-00009E1D0000}"/>
    <cellStyle name="Normal 8 3 3 5 2" xfId="4027" xr:uid="{00000000-0005-0000-0000-00009F1D0000}"/>
    <cellStyle name="Normal 8 3 3 5 2 2" xfId="8250" xr:uid="{00000000-0005-0000-0000-0000A01D0000}"/>
    <cellStyle name="Normal 8 3 3 5 2 2 2" xfId="25127" xr:uid="{DA9AEA80-7B53-4A6A-B214-C05D1191A0EE}"/>
    <cellStyle name="Normal 8 3 3 5 2 2 3" xfId="33561" xr:uid="{880E5A8F-6D96-408C-83EC-B59B0809ADA7}"/>
    <cellStyle name="Normal 8 3 3 5 2 2 4" xfId="16689" xr:uid="{A36C2366-6EDC-4F65-883A-3476B286E524}"/>
    <cellStyle name="Normal 8 3 3 5 2 3" xfId="20909" xr:uid="{0A5C2AAB-A554-4528-840B-116608E836D6}"/>
    <cellStyle name="Normal 8 3 3 5 2 4" xfId="29344" xr:uid="{F1E60AF1-EADA-4890-8156-131213E68815}"/>
    <cellStyle name="Normal 8 3 3 5 2 5" xfId="12471" xr:uid="{447EB714-3B2D-4B85-92B0-BDB61C2B273C}"/>
    <cellStyle name="Normal 8 3 3 5 3" xfId="6105" xr:uid="{00000000-0005-0000-0000-0000A11D0000}"/>
    <cellStyle name="Normal 8 3 3 5 3 2" xfId="22982" xr:uid="{E3F50F59-E59F-45E1-858F-72E6AB7AC420}"/>
    <cellStyle name="Normal 8 3 3 5 3 3" xfId="31416" xr:uid="{9BA7FF6C-4A0C-4679-886B-57B21EEDD763}"/>
    <cellStyle name="Normal 8 3 3 5 3 4" xfId="14544" xr:uid="{363BB914-4091-4A34-B8C9-6BF136E87733}"/>
    <cellStyle name="Normal 8 3 3 5 4" xfId="18764" xr:uid="{ACA02C05-B323-4D18-8164-9AD8642C1F6A}"/>
    <cellStyle name="Normal 8 3 3 5 5" xfId="27199" xr:uid="{55FB75E9-FA2B-454F-8D9A-60EA7D962CC1}"/>
    <cellStyle name="Normal 8 3 3 5 6" xfId="10326" xr:uid="{7E090695-FEC5-49D0-968E-0140FCD95460}"/>
    <cellStyle name="Normal 8 3 3 6" xfId="2211" xr:uid="{00000000-0005-0000-0000-0000A21D0000}"/>
    <cellStyle name="Normal 8 3 3 6 2" xfId="4440" xr:uid="{00000000-0005-0000-0000-0000A31D0000}"/>
    <cellStyle name="Normal 8 3 3 6 2 2" xfId="8663" xr:uid="{00000000-0005-0000-0000-0000A41D0000}"/>
    <cellStyle name="Normal 8 3 3 6 2 2 2" xfId="25540" xr:uid="{F3AC4349-2F9B-41B2-A6A3-2A93B7AC1785}"/>
    <cellStyle name="Normal 8 3 3 6 2 2 3" xfId="33974" xr:uid="{5E127647-CBBD-4BAD-810E-0FAFCC34EA96}"/>
    <cellStyle name="Normal 8 3 3 6 2 2 4" xfId="17102" xr:uid="{C2269758-0A39-4DC7-92B3-A9FBA33C5FC1}"/>
    <cellStyle name="Normal 8 3 3 6 2 3" xfId="21322" xr:uid="{9DA63E2E-CAD0-45AB-96D8-39F3E78E8F98}"/>
    <cellStyle name="Normal 8 3 3 6 2 4" xfId="29757" xr:uid="{1AB79167-1E58-4F59-B7A4-C73D4967FCD1}"/>
    <cellStyle name="Normal 8 3 3 6 2 5" xfId="12884" xr:uid="{01558428-0F7E-45F9-8A2C-E15FB85AEE58}"/>
    <cellStyle name="Normal 8 3 3 6 3" xfId="6518" xr:uid="{00000000-0005-0000-0000-0000A51D0000}"/>
    <cellStyle name="Normal 8 3 3 6 3 2" xfId="23395" xr:uid="{871B57F2-9A67-42B8-A7F3-4C602C4FFDD9}"/>
    <cellStyle name="Normal 8 3 3 6 3 3" xfId="31829" xr:uid="{1E75CE5C-F1C5-4E25-B98C-9B8DDD521FF3}"/>
    <cellStyle name="Normal 8 3 3 6 3 4" xfId="14957" xr:uid="{E86E062D-88B0-4BDD-B7A9-713B634F420E}"/>
    <cellStyle name="Normal 8 3 3 6 4" xfId="19177" xr:uid="{ED421D2D-0B5B-4588-BB48-0EBB5156606C}"/>
    <cellStyle name="Normal 8 3 3 6 5" xfId="27612" xr:uid="{354C60CB-DB84-498E-B7E9-DAF2739C9B2D}"/>
    <cellStyle name="Normal 8 3 3 6 6" xfId="10739" xr:uid="{A02841EC-81B2-4225-9B8D-1F85ED71BEBB}"/>
    <cellStyle name="Normal 8 3 3 7" xfId="2647" xr:uid="{00000000-0005-0000-0000-0000A61D0000}"/>
    <cellStyle name="Normal 8 3 3 7 2" xfId="6931" xr:uid="{00000000-0005-0000-0000-0000A71D0000}"/>
    <cellStyle name="Normal 8 3 3 7 2 2" xfId="23808" xr:uid="{EE6B0BAD-9F6A-40EB-BE4D-E919AE5F3B53}"/>
    <cellStyle name="Normal 8 3 3 7 2 3" xfId="32242" xr:uid="{8AD36636-33EE-4213-B3F6-62E4E23DC207}"/>
    <cellStyle name="Normal 8 3 3 7 2 4" xfId="15370" xr:uid="{786E94C4-C344-498D-8CB8-CA6C472FD5FF}"/>
    <cellStyle name="Normal 8 3 3 7 3" xfId="19590" xr:uid="{D7F9AAB2-3D07-48E0-B714-8581C263697F}"/>
    <cellStyle name="Normal 8 3 3 7 4" xfId="28025" xr:uid="{A9071402-4E89-4A72-BE39-CD7C78F7747C}"/>
    <cellStyle name="Normal 8 3 3 7 5" xfId="11152" xr:uid="{8F805CB2-43E7-4AF2-BB71-77911EE57E7C}"/>
    <cellStyle name="Normal 8 3 3 8" xfId="4866" xr:uid="{00000000-0005-0000-0000-0000A81D0000}"/>
    <cellStyle name="Normal 8 3 3 8 2" xfId="21743" xr:uid="{066599B4-466B-4ED5-B7E0-369EEDA5E047}"/>
    <cellStyle name="Normal 8 3 3 8 3" xfId="30177" xr:uid="{22025A44-8210-4F59-8B5B-8A875ADE8C54}"/>
    <cellStyle name="Normal 8 3 3 8 4" xfId="13305" xr:uid="{03CADF15-07B9-48AB-BCBA-BCE3631B38D4}"/>
    <cellStyle name="Normal 8 3 3 9" xfId="17525" xr:uid="{17801357-FDC1-499E-B35C-FB2010D38924}"/>
    <cellStyle name="Normal 8 3 4" xfId="502" xr:uid="{00000000-0005-0000-0000-0000A91D0000}"/>
    <cellStyle name="Normal 8 3 4 10" xfId="9089" xr:uid="{A69C572F-7884-458D-BADF-61537FC427A5}"/>
    <cellStyle name="Normal 8 3 4 2" xfId="969" xr:uid="{00000000-0005-0000-0000-0000AA1D0000}"/>
    <cellStyle name="Normal 8 3 4 2 2" xfId="3203" xr:uid="{00000000-0005-0000-0000-0000AB1D0000}"/>
    <cellStyle name="Normal 8 3 4 2 2 2" xfId="7426" xr:uid="{00000000-0005-0000-0000-0000AC1D0000}"/>
    <cellStyle name="Normal 8 3 4 2 2 2 2" xfId="24303" xr:uid="{2D4F726B-C589-4AB0-8761-D5F545B96759}"/>
    <cellStyle name="Normal 8 3 4 2 2 2 3" xfId="32737" xr:uid="{E92642D1-4917-4808-A629-A702AB16FEFF}"/>
    <cellStyle name="Normal 8 3 4 2 2 2 4" xfId="15865" xr:uid="{7F99351B-7E1B-4163-9F8B-0C5AB2176D2C}"/>
    <cellStyle name="Normal 8 3 4 2 2 3" xfId="20085" xr:uid="{B8EC1627-C175-4C78-A4F9-FC066DFD049D}"/>
    <cellStyle name="Normal 8 3 4 2 2 4" xfId="28520" xr:uid="{F62DB64C-E0E8-473C-90EF-3EBE499425EA}"/>
    <cellStyle name="Normal 8 3 4 2 2 5" xfId="11647" xr:uid="{B457F33A-CC36-4FE2-BFA6-8E18E5ED3A48}"/>
    <cellStyle name="Normal 8 3 4 2 3" xfId="5281" xr:uid="{00000000-0005-0000-0000-0000AD1D0000}"/>
    <cellStyle name="Normal 8 3 4 2 3 2" xfId="22158" xr:uid="{F6361177-9C84-48DA-AB12-2180B68D1618}"/>
    <cellStyle name="Normal 8 3 4 2 3 3" xfId="30592" xr:uid="{BEE8ED72-4443-4802-8096-3FAFDED596C5}"/>
    <cellStyle name="Normal 8 3 4 2 3 4" xfId="13720" xr:uid="{F3008302-761A-4DD7-8A71-91CC0BF2961D}"/>
    <cellStyle name="Normal 8 3 4 2 4" xfId="17940" xr:uid="{87AB164A-0D58-4353-BFC8-8BEF95739729}"/>
    <cellStyle name="Normal 8 3 4 2 5" xfId="26375" xr:uid="{9EAECC56-FADC-419F-BC2D-82925CFE7914}"/>
    <cellStyle name="Normal 8 3 4 2 6" xfId="9502" xr:uid="{73943728-C945-4F0C-8DFE-0791144EDFAA}"/>
    <cellStyle name="Normal 8 3 4 3" xfId="1386" xr:uid="{00000000-0005-0000-0000-0000AE1D0000}"/>
    <cellStyle name="Normal 8 3 4 3 2" xfId="3616" xr:uid="{00000000-0005-0000-0000-0000AF1D0000}"/>
    <cellStyle name="Normal 8 3 4 3 2 2" xfId="7839" xr:uid="{00000000-0005-0000-0000-0000B01D0000}"/>
    <cellStyle name="Normal 8 3 4 3 2 2 2" xfId="24716" xr:uid="{EAF4D329-6734-4937-9852-650835CA4FFD}"/>
    <cellStyle name="Normal 8 3 4 3 2 2 3" xfId="33150" xr:uid="{0A36B867-3FF1-49C4-9FE4-78CEA59517F0}"/>
    <cellStyle name="Normal 8 3 4 3 2 2 4" xfId="16278" xr:uid="{560334C7-62C6-4D49-8C7F-93C8E2F41589}"/>
    <cellStyle name="Normal 8 3 4 3 2 3" xfId="20498" xr:uid="{2F75FEF5-C391-4626-850D-4DE075F578ED}"/>
    <cellStyle name="Normal 8 3 4 3 2 4" xfId="28933" xr:uid="{4B9CEA32-8C23-4D4D-9CBC-40ACE5F518F4}"/>
    <cellStyle name="Normal 8 3 4 3 2 5" xfId="12060" xr:uid="{84C0F30D-F396-4F81-8448-B55280036A80}"/>
    <cellStyle name="Normal 8 3 4 3 3" xfId="5694" xr:uid="{00000000-0005-0000-0000-0000B11D0000}"/>
    <cellStyle name="Normal 8 3 4 3 3 2" xfId="22571" xr:uid="{66F26EAF-D7A6-472B-81ED-C486CF0395CC}"/>
    <cellStyle name="Normal 8 3 4 3 3 3" xfId="31005" xr:uid="{14D51562-599F-485E-A03A-3C5E14901291}"/>
    <cellStyle name="Normal 8 3 4 3 3 4" xfId="14133" xr:uid="{AA367A9B-2B12-4C4F-8231-928D8B32896E}"/>
    <cellStyle name="Normal 8 3 4 3 4" xfId="18353" xr:uid="{D4B8A4B5-DF73-4782-A648-0E3076E50976}"/>
    <cellStyle name="Normal 8 3 4 3 5" xfId="26788" xr:uid="{31AE28D1-9646-412A-9D43-8A760C17A8BD}"/>
    <cellStyle name="Normal 8 3 4 3 6" xfId="9915" xr:uid="{FF662A94-7A3F-4062-9780-A76452BF7EAF}"/>
    <cellStyle name="Normal 8 3 4 4" xfId="1799" xr:uid="{00000000-0005-0000-0000-0000B21D0000}"/>
    <cellStyle name="Normal 8 3 4 4 2" xfId="4029" xr:uid="{00000000-0005-0000-0000-0000B31D0000}"/>
    <cellStyle name="Normal 8 3 4 4 2 2" xfId="8252" xr:uid="{00000000-0005-0000-0000-0000B41D0000}"/>
    <cellStyle name="Normal 8 3 4 4 2 2 2" xfId="25129" xr:uid="{D41D0F19-6BFF-4F27-BAB8-7DCF880733DE}"/>
    <cellStyle name="Normal 8 3 4 4 2 2 3" xfId="33563" xr:uid="{FB758BC2-0322-4214-8FA7-C3CA7757EFA0}"/>
    <cellStyle name="Normal 8 3 4 4 2 2 4" xfId="16691" xr:uid="{273C80BE-421B-42A9-8AB4-42A2F14FC37D}"/>
    <cellStyle name="Normal 8 3 4 4 2 3" xfId="20911" xr:uid="{8BA8E8B2-D8ED-4CB9-B365-231C6341213C}"/>
    <cellStyle name="Normal 8 3 4 4 2 4" xfId="29346" xr:uid="{FC3A872F-CEB3-4110-A349-5EAC220BC206}"/>
    <cellStyle name="Normal 8 3 4 4 2 5" xfId="12473" xr:uid="{68EC89A3-4372-43E3-A5C9-B1E9CEA8ECF8}"/>
    <cellStyle name="Normal 8 3 4 4 3" xfId="6107" xr:uid="{00000000-0005-0000-0000-0000B51D0000}"/>
    <cellStyle name="Normal 8 3 4 4 3 2" xfId="22984" xr:uid="{2ADFF863-6E7C-47E0-A2FC-C462E0A66514}"/>
    <cellStyle name="Normal 8 3 4 4 3 3" xfId="31418" xr:uid="{27B83F04-C2CF-4245-8FDE-29532A69B8B0}"/>
    <cellStyle name="Normal 8 3 4 4 3 4" xfId="14546" xr:uid="{45EF9892-E653-4880-9EE0-E3886050DF49}"/>
    <cellStyle name="Normal 8 3 4 4 4" xfId="18766" xr:uid="{0F8C7D78-C105-4A58-8BF3-16E137779D92}"/>
    <cellStyle name="Normal 8 3 4 4 5" xfId="27201" xr:uid="{F6B486BA-96AB-4FDF-86D3-52A3DB20C760}"/>
    <cellStyle name="Normal 8 3 4 4 6" xfId="10328" xr:uid="{9F72CDF2-A89A-4296-A915-4CAE8A8BA0C0}"/>
    <cellStyle name="Normal 8 3 4 5" xfId="2213" xr:uid="{00000000-0005-0000-0000-0000B61D0000}"/>
    <cellStyle name="Normal 8 3 4 5 2" xfId="4442" xr:uid="{00000000-0005-0000-0000-0000B71D0000}"/>
    <cellStyle name="Normal 8 3 4 5 2 2" xfId="8665" xr:uid="{00000000-0005-0000-0000-0000B81D0000}"/>
    <cellStyle name="Normal 8 3 4 5 2 2 2" xfId="25542" xr:uid="{595C7CAC-2742-427F-B89A-8BCD60208382}"/>
    <cellStyle name="Normal 8 3 4 5 2 2 3" xfId="33976" xr:uid="{BFEC37A8-1C9C-4E24-9FB3-AE75F15A3A93}"/>
    <cellStyle name="Normal 8 3 4 5 2 2 4" xfId="17104" xr:uid="{99DF5ABD-16F7-4818-9F00-5C7756A2921F}"/>
    <cellStyle name="Normal 8 3 4 5 2 3" xfId="21324" xr:uid="{F2AC11A1-122A-492C-A824-ABEBBD640366}"/>
    <cellStyle name="Normal 8 3 4 5 2 4" xfId="29759" xr:uid="{1AB73ED9-45B9-4C10-8B1C-DC730AD8BD26}"/>
    <cellStyle name="Normal 8 3 4 5 2 5" xfId="12886" xr:uid="{05B9C1EE-D925-47DB-9726-C2ADD63FB1C0}"/>
    <cellStyle name="Normal 8 3 4 5 3" xfId="6520" xr:uid="{00000000-0005-0000-0000-0000B91D0000}"/>
    <cellStyle name="Normal 8 3 4 5 3 2" xfId="23397" xr:uid="{25D5952A-818D-4D12-AB6C-48EB3ABE8315}"/>
    <cellStyle name="Normal 8 3 4 5 3 3" xfId="31831" xr:uid="{2E355552-36D0-4FB8-AD70-6357F37EB971}"/>
    <cellStyle name="Normal 8 3 4 5 3 4" xfId="14959" xr:uid="{7273D536-EDCE-4104-AD17-7C2EA5FD269E}"/>
    <cellStyle name="Normal 8 3 4 5 4" xfId="19179" xr:uid="{2AC55DA9-BE5B-4999-8C8C-DB69636FACE7}"/>
    <cellStyle name="Normal 8 3 4 5 5" xfId="27614" xr:uid="{78E676B3-9E51-4A2F-B44D-24E21B7432DF}"/>
    <cellStyle name="Normal 8 3 4 5 6" xfId="10741" xr:uid="{6D92BD87-0352-4CEF-9079-80C7CA5F9EE3}"/>
    <cellStyle name="Normal 8 3 4 6" xfId="2649" xr:uid="{00000000-0005-0000-0000-0000BA1D0000}"/>
    <cellStyle name="Normal 8 3 4 6 2" xfId="6933" xr:uid="{00000000-0005-0000-0000-0000BB1D0000}"/>
    <cellStyle name="Normal 8 3 4 6 2 2" xfId="23810" xr:uid="{B7AAC2F8-0DE9-4883-960F-E768D3E0D633}"/>
    <cellStyle name="Normal 8 3 4 6 2 3" xfId="32244" xr:uid="{FD33241D-9675-435C-A2CA-AC3872F30926}"/>
    <cellStyle name="Normal 8 3 4 6 2 4" xfId="15372" xr:uid="{483199E9-012B-4AF0-9A7E-839853BBC512}"/>
    <cellStyle name="Normal 8 3 4 6 3" xfId="19592" xr:uid="{ADF9B5B8-2946-4E7F-A016-F6732762D9A3}"/>
    <cellStyle name="Normal 8 3 4 6 4" xfId="28027" xr:uid="{99724111-3A78-418D-A57F-DAD2A35ABA24}"/>
    <cellStyle name="Normal 8 3 4 6 5" xfId="11154" xr:uid="{1334E164-AE7A-4ED9-A25D-7B8F8B75E0A6}"/>
    <cellStyle name="Normal 8 3 4 7" xfId="4868" xr:uid="{00000000-0005-0000-0000-0000BC1D0000}"/>
    <cellStyle name="Normal 8 3 4 7 2" xfId="21745" xr:uid="{E0083775-EC8E-48C6-B10C-261CEDE30E21}"/>
    <cellStyle name="Normal 8 3 4 7 3" xfId="30179" xr:uid="{6C500F32-0BBA-406E-BA4F-B2BC0C13E120}"/>
    <cellStyle name="Normal 8 3 4 7 4" xfId="13307" xr:uid="{B9893204-73E0-4E72-9208-46A834FC32B8}"/>
    <cellStyle name="Normal 8 3 4 8" xfId="17527" xr:uid="{22604D1B-9817-4F72-AA04-FF8A70D91417}"/>
    <cellStyle name="Normal 8 3 4 9" xfId="25962" xr:uid="{D58A79F1-105B-4E86-8B66-E5FA17D8C276}"/>
    <cellStyle name="Normal 8 3 5" xfId="962" xr:uid="{00000000-0005-0000-0000-0000BD1D0000}"/>
    <cellStyle name="Normal 8 3 5 2" xfId="3196" xr:uid="{00000000-0005-0000-0000-0000BE1D0000}"/>
    <cellStyle name="Normal 8 3 5 2 2" xfId="7419" xr:uid="{00000000-0005-0000-0000-0000BF1D0000}"/>
    <cellStyle name="Normal 8 3 5 2 2 2" xfId="24296" xr:uid="{3E342B7F-4A57-42D9-959E-82BD5A24EAB2}"/>
    <cellStyle name="Normal 8 3 5 2 2 3" xfId="32730" xr:uid="{EC2A8E6E-0272-47F9-A7AA-0A11EE15B279}"/>
    <cellStyle name="Normal 8 3 5 2 2 4" xfId="15858" xr:uid="{C918F686-CA9B-4772-970B-E9F995D9CF5B}"/>
    <cellStyle name="Normal 8 3 5 2 3" xfId="20078" xr:uid="{F58BDA39-656E-4CEE-8FF0-529E06BE04C0}"/>
    <cellStyle name="Normal 8 3 5 2 4" xfId="28513" xr:uid="{B9983AA8-A320-48C1-8658-6287156C282C}"/>
    <cellStyle name="Normal 8 3 5 2 5" xfId="11640" xr:uid="{8CCFDAC1-8942-4656-B6A9-F1DDD8B45D2C}"/>
    <cellStyle name="Normal 8 3 5 3" xfId="5274" xr:uid="{00000000-0005-0000-0000-0000C01D0000}"/>
    <cellStyle name="Normal 8 3 5 3 2" xfId="22151" xr:uid="{33EE726C-FC53-469B-89D7-02F66B3A1FD4}"/>
    <cellStyle name="Normal 8 3 5 3 3" xfId="30585" xr:uid="{9FD18AA7-6D03-4685-95A6-1B2961481817}"/>
    <cellStyle name="Normal 8 3 5 3 4" xfId="13713" xr:uid="{28BC2185-8FE8-44F9-BFBE-E94B5B7D966C}"/>
    <cellStyle name="Normal 8 3 5 4" xfId="17933" xr:uid="{E5D414B8-598D-45FE-8194-ED23DFFF93E3}"/>
    <cellStyle name="Normal 8 3 5 5" xfId="26368" xr:uid="{58608767-2847-4E6E-A53B-633290FBDE8A}"/>
    <cellStyle name="Normal 8 3 5 6" xfId="9495" xr:uid="{D4ED2694-4D11-4FB4-9273-A6C3431F036D}"/>
    <cellStyle name="Normal 8 3 6" xfId="1379" xr:uid="{00000000-0005-0000-0000-0000C11D0000}"/>
    <cellStyle name="Normal 8 3 6 2" xfId="3609" xr:uid="{00000000-0005-0000-0000-0000C21D0000}"/>
    <cellStyle name="Normal 8 3 6 2 2" xfId="7832" xr:uid="{00000000-0005-0000-0000-0000C31D0000}"/>
    <cellStyle name="Normal 8 3 6 2 2 2" xfId="24709" xr:uid="{4026A885-54F8-49A2-A214-920E2DB05FAB}"/>
    <cellStyle name="Normal 8 3 6 2 2 3" xfId="33143" xr:uid="{818EB775-21A8-478C-B359-BA7D2CE4DB75}"/>
    <cellStyle name="Normal 8 3 6 2 2 4" xfId="16271" xr:uid="{A3F33899-F451-466E-96AE-65C80F71385D}"/>
    <cellStyle name="Normal 8 3 6 2 3" xfId="20491" xr:uid="{BD3D358D-3243-4357-A08C-13288F4F1F0B}"/>
    <cellStyle name="Normal 8 3 6 2 4" xfId="28926" xr:uid="{EE3C17A8-9C3F-49EE-86C3-DF53B1DD5A99}"/>
    <cellStyle name="Normal 8 3 6 2 5" xfId="12053" xr:uid="{9D65EC59-E26F-4E83-85D3-92CA8AC3589C}"/>
    <cellStyle name="Normal 8 3 6 3" xfId="5687" xr:uid="{00000000-0005-0000-0000-0000C41D0000}"/>
    <cellStyle name="Normal 8 3 6 3 2" xfId="22564" xr:uid="{A23EB86C-3B27-4EC3-891D-8F7D7440A285}"/>
    <cellStyle name="Normal 8 3 6 3 3" xfId="30998" xr:uid="{07142980-65DD-4C9B-B2F0-6FB24A52EA7D}"/>
    <cellStyle name="Normal 8 3 6 3 4" xfId="14126" xr:uid="{D7B57683-91C8-4A68-B9F7-F04D08DD04A9}"/>
    <cellStyle name="Normal 8 3 6 4" xfId="18346" xr:uid="{1A701781-3B22-4714-AE1A-F0F03C749D66}"/>
    <cellStyle name="Normal 8 3 6 5" xfId="26781" xr:uid="{AF197ED4-6FE7-4122-BDF8-2C83BDDB1F12}"/>
    <cellStyle name="Normal 8 3 6 6" xfId="9908" xr:uid="{17FA77C7-326B-416F-BF84-3483FF6C9D2C}"/>
    <cellStyle name="Normal 8 3 7" xfId="1792" xr:uid="{00000000-0005-0000-0000-0000C51D0000}"/>
    <cellStyle name="Normal 8 3 7 2" xfId="4022" xr:uid="{00000000-0005-0000-0000-0000C61D0000}"/>
    <cellStyle name="Normal 8 3 7 2 2" xfId="8245" xr:uid="{00000000-0005-0000-0000-0000C71D0000}"/>
    <cellStyle name="Normal 8 3 7 2 2 2" xfId="25122" xr:uid="{D7CE148F-ACD3-48E2-BB56-2AD6F5F35BCA}"/>
    <cellStyle name="Normal 8 3 7 2 2 3" xfId="33556" xr:uid="{BA5C3C90-1615-4089-97AA-0BA34158D8C5}"/>
    <cellStyle name="Normal 8 3 7 2 2 4" xfId="16684" xr:uid="{8FB7984A-1756-4857-BDDA-0101BDBC7193}"/>
    <cellStyle name="Normal 8 3 7 2 3" xfId="20904" xr:uid="{4E661C1E-18D5-4246-9412-96A0BCF542F9}"/>
    <cellStyle name="Normal 8 3 7 2 4" xfId="29339" xr:uid="{3E10BAB7-54B9-44B9-8B52-2EC6C3F0221B}"/>
    <cellStyle name="Normal 8 3 7 2 5" xfId="12466" xr:uid="{FC2CFD35-C1B4-4383-99D3-01C032F88667}"/>
    <cellStyle name="Normal 8 3 7 3" xfId="6100" xr:uid="{00000000-0005-0000-0000-0000C81D0000}"/>
    <cellStyle name="Normal 8 3 7 3 2" xfId="22977" xr:uid="{73BDFE40-981D-4D56-8AD8-9EC705665981}"/>
    <cellStyle name="Normal 8 3 7 3 3" xfId="31411" xr:uid="{38BFE0C8-3572-47CA-9C8D-248FEFF418EC}"/>
    <cellStyle name="Normal 8 3 7 3 4" xfId="14539" xr:uid="{BAD3FCF8-C0A0-418A-BD1A-6F41BADE331F}"/>
    <cellStyle name="Normal 8 3 7 4" xfId="18759" xr:uid="{E12F2C6E-3564-4D96-82E2-ABDE0EBC2B1D}"/>
    <cellStyle name="Normal 8 3 7 5" xfId="27194" xr:uid="{9A80483C-9122-4E16-B30C-B6462A8FB779}"/>
    <cellStyle name="Normal 8 3 7 6" xfId="10321" xr:uid="{477C360B-4D75-4E26-B1A4-E8EA87FC4C36}"/>
    <cellStyle name="Normal 8 3 8" xfId="2206" xr:uid="{00000000-0005-0000-0000-0000C91D0000}"/>
    <cellStyle name="Normal 8 3 8 2" xfId="4435" xr:uid="{00000000-0005-0000-0000-0000CA1D0000}"/>
    <cellStyle name="Normal 8 3 8 2 2" xfId="8658" xr:uid="{00000000-0005-0000-0000-0000CB1D0000}"/>
    <cellStyle name="Normal 8 3 8 2 2 2" xfId="25535" xr:uid="{63445DA7-B2B5-4E7C-A08B-96784F453AA9}"/>
    <cellStyle name="Normal 8 3 8 2 2 3" xfId="33969" xr:uid="{45946D20-F142-4734-BBCD-9AF1E7B34741}"/>
    <cellStyle name="Normal 8 3 8 2 2 4" xfId="17097" xr:uid="{5E4C37A3-6F05-4560-A172-8A8978F81476}"/>
    <cellStyle name="Normal 8 3 8 2 3" xfId="21317" xr:uid="{96430101-C70A-467E-955D-A41DEA2DD590}"/>
    <cellStyle name="Normal 8 3 8 2 4" xfId="29752" xr:uid="{5618A21F-B0C7-4336-A2F6-059302CB6F0C}"/>
    <cellStyle name="Normal 8 3 8 2 5" xfId="12879" xr:uid="{473FC55C-FA7D-4253-8E66-2D0874165AB7}"/>
    <cellStyle name="Normal 8 3 8 3" xfId="6513" xr:uid="{00000000-0005-0000-0000-0000CC1D0000}"/>
    <cellStyle name="Normal 8 3 8 3 2" xfId="23390" xr:uid="{45DCA523-EED2-4756-8783-1C19077DB193}"/>
    <cellStyle name="Normal 8 3 8 3 3" xfId="31824" xr:uid="{36E02980-E68E-4850-B8A1-A0092CF737CF}"/>
    <cellStyle name="Normal 8 3 8 3 4" xfId="14952" xr:uid="{136A5441-D7CF-4EBA-B6DC-A7F36EB6121D}"/>
    <cellStyle name="Normal 8 3 8 4" xfId="19172" xr:uid="{60D30D5F-69B3-4E1A-B719-BC09B1CA9DD7}"/>
    <cellStyle name="Normal 8 3 8 5" xfId="27607" xr:uid="{E71B1A2A-A7F6-4F5E-AE8C-EE43A5D66407}"/>
    <cellStyle name="Normal 8 3 8 6" xfId="10734" xr:uid="{BBBF56E7-D554-4D89-89E9-9B1A337FB95E}"/>
    <cellStyle name="Normal 8 3 9" xfId="2642" xr:uid="{00000000-0005-0000-0000-0000CD1D0000}"/>
    <cellStyle name="Normal 8 3 9 2" xfId="6926" xr:uid="{00000000-0005-0000-0000-0000CE1D0000}"/>
    <cellStyle name="Normal 8 3 9 2 2" xfId="23803" xr:uid="{D802CC2D-3171-4999-A325-3ED26CBB49F1}"/>
    <cellStyle name="Normal 8 3 9 2 3" xfId="32237" xr:uid="{A5F5E1FA-C57A-47FA-BED5-4CE6F8BD5225}"/>
    <cellStyle name="Normal 8 3 9 2 4" xfId="15365" xr:uid="{05E4F4DD-4E8C-424B-A9E1-31B8A2330439}"/>
    <cellStyle name="Normal 8 3 9 3" xfId="19585" xr:uid="{CEF88F83-14AC-45EE-9533-C1B36F21F1A7}"/>
    <cellStyle name="Normal 8 3 9 4" xfId="28020" xr:uid="{309E9880-39F2-47E7-BF4A-EE3FBA0411C7}"/>
    <cellStyle name="Normal 8 3 9 5" xfId="11147" xr:uid="{7ED93350-6658-4A16-88E7-01DC6130E30C}"/>
    <cellStyle name="Normal 8 4" xfId="503" xr:uid="{00000000-0005-0000-0000-0000CF1D0000}"/>
    <cellStyle name="Normal 8 4 10" xfId="17528" xr:uid="{58F0BD31-4E3D-43BB-90CC-C22C33A3AF3A}"/>
    <cellStyle name="Normal 8 4 11" xfId="25963" xr:uid="{0C04B5CB-8652-475A-BB2B-FDE2C735A2EF}"/>
    <cellStyle name="Normal 8 4 12" xfId="9090" xr:uid="{714502FD-008D-4066-AA91-DD4B53AB475A}"/>
    <cellStyle name="Normal 8 4 2" xfId="504" xr:uid="{00000000-0005-0000-0000-0000D01D0000}"/>
    <cellStyle name="Normal 8 4 2 10" xfId="25964" xr:uid="{1F315D70-BD25-4C78-8652-86946A351F38}"/>
    <cellStyle name="Normal 8 4 2 11" xfId="9091" xr:uid="{4AAFB0B6-7271-4E03-B361-B6B0F08DB4A5}"/>
    <cellStyle name="Normal 8 4 2 2" xfId="505" xr:uid="{00000000-0005-0000-0000-0000D11D0000}"/>
    <cellStyle name="Normal 8 4 2 2 10" xfId="9092" xr:uid="{590E2B06-81B3-401E-A500-259B718B4796}"/>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24306" xr:uid="{05277D69-450F-4159-8E37-649BF6C6E4FF}"/>
    <cellStyle name="Normal 8 4 2 2 2 2 2 3" xfId="32740" xr:uid="{CAF1872A-82AF-47A3-BDE7-638ADF0044B0}"/>
    <cellStyle name="Normal 8 4 2 2 2 2 2 4" xfId="15868" xr:uid="{3AD4C2D5-A3C7-45EB-8561-4163D020DF24}"/>
    <cellStyle name="Normal 8 4 2 2 2 2 3" xfId="20088" xr:uid="{28AF4BFF-7566-4F6B-84FE-6F171D414623}"/>
    <cellStyle name="Normal 8 4 2 2 2 2 4" xfId="28523" xr:uid="{179070FC-7AEF-450C-B291-CD6027D45F63}"/>
    <cellStyle name="Normal 8 4 2 2 2 2 5" xfId="11650" xr:uid="{5A440D97-527C-40BF-BB2D-A65E89E4C5A3}"/>
    <cellStyle name="Normal 8 4 2 2 2 3" xfId="5284" xr:uid="{00000000-0005-0000-0000-0000D51D0000}"/>
    <cellStyle name="Normal 8 4 2 2 2 3 2" xfId="22161" xr:uid="{9F70FCA0-652A-4CC9-AC8E-E3720797CD5E}"/>
    <cellStyle name="Normal 8 4 2 2 2 3 3" xfId="30595" xr:uid="{065C2D1E-1E89-4EA8-817C-5E2C85E70E1E}"/>
    <cellStyle name="Normal 8 4 2 2 2 3 4" xfId="13723" xr:uid="{61428857-0022-4F01-90DA-8E95AB57D6E8}"/>
    <cellStyle name="Normal 8 4 2 2 2 4" xfId="17943" xr:uid="{A8C4C70A-AF89-426F-BEF5-FF967B77A6C9}"/>
    <cellStyle name="Normal 8 4 2 2 2 5" xfId="26378" xr:uid="{BD37BCE0-C0E8-4026-B647-08B180698E8D}"/>
    <cellStyle name="Normal 8 4 2 2 2 6" xfId="9505" xr:uid="{125FB7DA-CB86-4197-BED1-480F6EB66AD4}"/>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24719" xr:uid="{FA4609DD-BD4B-4C1B-9C0B-FB9E33DD2429}"/>
    <cellStyle name="Normal 8 4 2 2 3 2 2 3" xfId="33153" xr:uid="{AD8DBF17-1189-4733-80BF-5D5CBE4BD012}"/>
    <cellStyle name="Normal 8 4 2 2 3 2 2 4" xfId="16281" xr:uid="{A2DA70AC-3DB5-4ED1-A7A4-1B610038F022}"/>
    <cellStyle name="Normal 8 4 2 2 3 2 3" xfId="20501" xr:uid="{A6572C48-CC62-4613-B6D4-35DAF007B024}"/>
    <cellStyle name="Normal 8 4 2 2 3 2 4" xfId="28936" xr:uid="{39D171C5-8391-4946-8D9E-F5525DC804C8}"/>
    <cellStyle name="Normal 8 4 2 2 3 2 5" xfId="12063" xr:uid="{054A24F4-EC95-4BE6-B246-F0B24C423598}"/>
    <cellStyle name="Normal 8 4 2 2 3 3" xfId="5697" xr:uid="{00000000-0005-0000-0000-0000D91D0000}"/>
    <cellStyle name="Normal 8 4 2 2 3 3 2" xfId="22574" xr:uid="{CCF066A3-4AFD-4E1B-95AB-5F3E3996FF37}"/>
    <cellStyle name="Normal 8 4 2 2 3 3 3" xfId="31008" xr:uid="{A7C69A6C-E3F6-4CF4-9761-D1A6926A7A2D}"/>
    <cellStyle name="Normal 8 4 2 2 3 3 4" xfId="14136" xr:uid="{BA284016-1C8C-4CD2-8D76-993E6F58298F}"/>
    <cellStyle name="Normal 8 4 2 2 3 4" xfId="18356" xr:uid="{F4554759-F4D3-4CE3-A322-F684907A47B2}"/>
    <cellStyle name="Normal 8 4 2 2 3 5" xfId="26791" xr:uid="{9F88AC5C-62F3-4A33-85BD-C4CA789780BD}"/>
    <cellStyle name="Normal 8 4 2 2 3 6" xfId="9918" xr:uid="{4B8B5DE8-53E6-4534-8401-5E5208B1BCFC}"/>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25132" xr:uid="{5489A8BB-DC0F-48AA-8631-06502B2DC2EB}"/>
    <cellStyle name="Normal 8 4 2 2 4 2 2 3" xfId="33566" xr:uid="{4D306B82-B33E-4CCE-8F4E-30E241F15905}"/>
    <cellStyle name="Normal 8 4 2 2 4 2 2 4" xfId="16694" xr:uid="{13A1DC80-9FD3-4AA8-A812-540AA09F4A43}"/>
    <cellStyle name="Normal 8 4 2 2 4 2 3" xfId="20914" xr:uid="{4A1078EC-CFA5-43BB-A5B6-2A5E54731084}"/>
    <cellStyle name="Normal 8 4 2 2 4 2 4" xfId="29349" xr:uid="{17F1A831-E137-4BFB-B8B1-4D8DC7384628}"/>
    <cellStyle name="Normal 8 4 2 2 4 2 5" xfId="12476" xr:uid="{D8CF774B-40B2-4C5E-8857-A0B5FA3AF2EC}"/>
    <cellStyle name="Normal 8 4 2 2 4 3" xfId="6110" xr:uid="{00000000-0005-0000-0000-0000DD1D0000}"/>
    <cellStyle name="Normal 8 4 2 2 4 3 2" xfId="22987" xr:uid="{9C4C12CB-14DA-48CA-B728-11CEBFA21F76}"/>
    <cellStyle name="Normal 8 4 2 2 4 3 3" xfId="31421" xr:uid="{93913792-E30F-4958-924D-25A17A40334E}"/>
    <cellStyle name="Normal 8 4 2 2 4 3 4" xfId="14549" xr:uid="{0213D608-7280-47F0-9ADE-4D337B21A163}"/>
    <cellStyle name="Normal 8 4 2 2 4 4" xfId="18769" xr:uid="{888DE9B9-3D7A-47C0-B461-1FA9554A71B7}"/>
    <cellStyle name="Normal 8 4 2 2 4 5" xfId="27204" xr:uid="{76661D61-0C87-453D-95FE-83163F67A058}"/>
    <cellStyle name="Normal 8 4 2 2 4 6" xfId="10331" xr:uid="{11845ADB-28C5-4B85-BBD3-3E158F4E1CF5}"/>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25545" xr:uid="{008B18A6-49B7-4815-A0B5-9FB7E311AF73}"/>
    <cellStyle name="Normal 8 4 2 2 5 2 2 3" xfId="33979" xr:uid="{2B16A118-D778-45D4-B2D6-F76004624383}"/>
    <cellStyle name="Normal 8 4 2 2 5 2 2 4" xfId="17107" xr:uid="{64E9FE01-1E8B-405C-8C67-B5548E91FA47}"/>
    <cellStyle name="Normal 8 4 2 2 5 2 3" xfId="21327" xr:uid="{411850D3-8DAA-4BE3-94B9-39C25838EC83}"/>
    <cellStyle name="Normal 8 4 2 2 5 2 4" xfId="29762" xr:uid="{83B632DA-171E-4FCD-81BF-DC5D99F9E8DD}"/>
    <cellStyle name="Normal 8 4 2 2 5 2 5" xfId="12889" xr:uid="{CFE1F5C7-46DB-4A53-959D-0FBD71EC2E2B}"/>
    <cellStyle name="Normal 8 4 2 2 5 3" xfId="6523" xr:uid="{00000000-0005-0000-0000-0000E11D0000}"/>
    <cellStyle name="Normal 8 4 2 2 5 3 2" xfId="23400" xr:uid="{C7BD8D66-6597-49C4-BEEE-5ECD2CB49ACB}"/>
    <cellStyle name="Normal 8 4 2 2 5 3 3" xfId="31834" xr:uid="{94AECE29-6FAC-4AA2-AF86-949B7AE7109E}"/>
    <cellStyle name="Normal 8 4 2 2 5 3 4" xfId="14962" xr:uid="{B0B802A3-37A1-4DA2-A0C1-8FA941BEC567}"/>
    <cellStyle name="Normal 8 4 2 2 5 4" xfId="19182" xr:uid="{5EA8B73A-2374-4BC0-A28C-C0FAC7B0E9B5}"/>
    <cellStyle name="Normal 8 4 2 2 5 5" xfId="27617" xr:uid="{E2F143ED-D578-4836-AC8A-65C984A4257D}"/>
    <cellStyle name="Normal 8 4 2 2 5 6" xfId="10744" xr:uid="{2059C53A-9DA5-4652-9D25-08F6CB92E168}"/>
    <cellStyle name="Normal 8 4 2 2 6" xfId="2652" xr:uid="{00000000-0005-0000-0000-0000E21D0000}"/>
    <cellStyle name="Normal 8 4 2 2 6 2" xfId="6936" xr:uid="{00000000-0005-0000-0000-0000E31D0000}"/>
    <cellStyle name="Normal 8 4 2 2 6 2 2" xfId="23813" xr:uid="{684FBD83-5D8D-4997-9F80-947CC326C63E}"/>
    <cellStyle name="Normal 8 4 2 2 6 2 3" xfId="32247" xr:uid="{C3015CFE-9013-44A4-946A-C569A9293054}"/>
    <cellStyle name="Normal 8 4 2 2 6 2 4" xfId="15375" xr:uid="{3B388831-42C8-4F72-A218-E6F936442C43}"/>
    <cellStyle name="Normal 8 4 2 2 6 3" xfId="19595" xr:uid="{1443BE18-C486-40DD-8CA3-6C4129D90155}"/>
    <cellStyle name="Normal 8 4 2 2 6 4" xfId="28030" xr:uid="{408B8CDC-540B-44C7-BA40-91E87E43ABC9}"/>
    <cellStyle name="Normal 8 4 2 2 6 5" xfId="11157" xr:uid="{AA133BE1-F332-451A-8716-C1B064FBF710}"/>
    <cellStyle name="Normal 8 4 2 2 7" xfId="4871" xr:uid="{00000000-0005-0000-0000-0000E41D0000}"/>
    <cellStyle name="Normal 8 4 2 2 7 2" xfId="21748" xr:uid="{962A2D98-A036-4E79-B960-BA93FE262FA5}"/>
    <cellStyle name="Normal 8 4 2 2 7 3" xfId="30182" xr:uid="{DE6BAD93-3F7D-43F5-B38A-FC6B7B2506EE}"/>
    <cellStyle name="Normal 8 4 2 2 7 4" xfId="13310" xr:uid="{FBA2DCB4-93AB-490A-BD8D-F548133E44FA}"/>
    <cellStyle name="Normal 8 4 2 2 8" xfId="17530" xr:uid="{60ECE40B-28BE-492F-A4B5-0681C1FC2C73}"/>
    <cellStyle name="Normal 8 4 2 2 9" xfId="25965" xr:uid="{C4E2740D-46FD-4E95-A836-384C92E175C7}"/>
    <cellStyle name="Normal 8 4 2 3" xfId="971" xr:uid="{00000000-0005-0000-0000-0000E51D0000}"/>
    <cellStyle name="Normal 8 4 2 3 2" xfId="3205" xr:uid="{00000000-0005-0000-0000-0000E61D0000}"/>
    <cellStyle name="Normal 8 4 2 3 2 2" xfId="7428" xr:uid="{00000000-0005-0000-0000-0000E71D0000}"/>
    <cellStyle name="Normal 8 4 2 3 2 2 2" xfId="24305" xr:uid="{5FBCB22A-AC5F-4BD0-BE90-3F91BAA7151D}"/>
    <cellStyle name="Normal 8 4 2 3 2 2 3" xfId="32739" xr:uid="{9508B0C0-FE73-4CA3-A859-110C8457AA7C}"/>
    <cellStyle name="Normal 8 4 2 3 2 2 4" xfId="15867" xr:uid="{0FBC9FA7-B43A-48AD-BEED-8847E34F67BD}"/>
    <cellStyle name="Normal 8 4 2 3 2 3" xfId="20087" xr:uid="{F4C4EE91-67B1-4319-84B2-D741392DD0ED}"/>
    <cellStyle name="Normal 8 4 2 3 2 4" xfId="28522" xr:uid="{618B761B-BE5E-4308-9035-0E79417A0AE6}"/>
    <cellStyle name="Normal 8 4 2 3 2 5" xfId="11649" xr:uid="{2218C969-2FD7-4B8D-AAE6-AEF400B49218}"/>
    <cellStyle name="Normal 8 4 2 3 3" xfId="5283" xr:uid="{00000000-0005-0000-0000-0000E81D0000}"/>
    <cellStyle name="Normal 8 4 2 3 3 2" xfId="22160" xr:uid="{07EECF1D-8726-4E38-9ECE-B6A6BFDE6916}"/>
    <cellStyle name="Normal 8 4 2 3 3 3" xfId="30594" xr:uid="{FCD580EA-6A37-47F1-9F43-3B7DB7F7E66D}"/>
    <cellStyle name="Normal 8 4 2 3 3 4" xfId="13722" xr:uid="{67541E87-5F80-4AF8-A610-7F7952C18D78}"/>
    <cellStyle name="Normal 8 4 2 3 4" xfId="17942" xr:uid="{BA8923BE-4BC2-4789-AD8B-EA27CF005B17}"/>
    <cellStyle name="Normal 8 4 2 3 5" xfId="26377" xr:uid="{08138B50-C6E4-4C5E-9F46-8245E3D67710}"/>
    <cellStyle name="Normal 8 4 2 3 6" xfId="9504" xr:uid="{C1634D98-26DA-41D5-BF8E-3997EDEA2ED7}"/>
    <cellStyle name="Normal 8 4 2 4" xfId="1388" xr:uid="{00000000-0005-0000-0000-0000E91D0000}"/>
    <cellStyle name="Normal 8 4 2 4 2" xfId="3618" xr:uid="{00000000-0005-0000-0000-0000EA1D0000}"/>
    <cellStyle name="Normal 8 4 2 4 2 2" xfId="7841" xr:uid="{00000000-0005-0000-0000-0000EB1D0000}"/>
    <cellStyle name="Normal 8 4 2 4 2 2 2" xfId="24718" xr:uid="{569B8A03-DEAA-4366-9C11-F6127615D274}"/>
    <cellStyle name="Normal 8 4 2 4 2 2 3" xfId="33152" xr:uid="{FF18154C-B540-48A7-BE48-399387071340}"/>
    <cellStyle name="Normal 8 4 2 4 2 2 4" xfId="16280" xr:uid="{9759A535-4B02-464C-9A27-7BFD9AAEB3B5}"/>
    <cellStyle name="Normal 8 4 2 4 2 3" xfId="20500" xr:uid="{13B1FBDA-90A6-452A-829C-986B7B82EC84}"/>
    <cellStyle name="Normal 8 4 2 4 2 4" xfId="28935" xr:uid="{66895040-C7F9-4751-BFF2-E89ADCD1FEFD}"/>
    <cellStyle name="Normal 8 4 2 4 2 5" xfId="12062" xr:uid="{EB8C3567-71F5-425F-B135-CA6683CC0810}"/>
    <cellStyle name="Normal 8 4 2 4 3" xfId="5696" xr:uid="{00000000-0005-0000-0000-0000EC1D0000}"/>
    <cellStyle name="Normal 8 4 2 4 3 2" xfId="22573" xr:uid="{3A724CEF-BF27-48C8-AABE-797E1E199739}"/>
    <cellStyle name="Normal 8 4 2 4 3 3" xfId="31007" xr:uid="{F145455A-FC12-4309-9395-4B16BED01DB8}"/>
    <cellStyle name="Normal 8 4 2 4 3 4" xfId="14135" xr:uid="{1CD448F1-D339-4E2C-A84C-C145E0665EA5}"/>
    <cellStyle name="Normal 8 4 2 4 4" xfId="18355" xr:uid="{C5FBAAD7-18EA-4D3B-B552-E3901A788AC2}"/>
    <cellStyle name="Normal 8 4 2 4 5" xfId="26790" xr:uid="{048AB873-8217-4FF8-A265-45E43FCCCD57}"/>
    <cellStyle name="Normal 8 4 2 4 6" xfId="9917" xr:uid="{0F5B74F4-A1C8-4198-B16C-01BC607335E9}"/>
    <cellStyle name="Normal 8 4 2 5" xfId="1801" xr:uid="{00000000-0005-0000-0000-0000ED1D0000}"/>
    <cellStyle name="Normal 8 4 2 5 2" xfId="4031" xr:uid="{00000000-0005-0000-0000-0000EE1D0000}"/>
    <cellStyle name="Normal 8 4 2 5 2 2" xfId="8254" xr:uid="{00000000-0005-0000-0000-0000EF1D0000}"/>
    <cellStyle name="Normal 8 4 2 5 2 2 2" xfId="25131" xr:uid="{96D6A31B-2B8E-493F-A7CD-9DCEBD36B780}"/>
    <cellStyle name="Normal 8 4 2 5 2 2 3" xfId="33565" xr:uid="{1F8B8463-6A6D-4AC9-8B73-112741897C24}"/>
    <cellStyle name="Normal 8 4 2 5 2 2 4" xfId="16693" xr:uid="{7F3205EA-EEFB-4EE4-A0D3-1A03F7A3E1C0}"/>
    <cellStyle name="Normal 8 4 2 5 2 3" xfId="20913" xr:uid="{F219E5F3-F514-4FEC-A86D-067CFAED364E}"/>
    <cellStyle name="Normal 8 4 2 5 2 4" xfId="29348" xr:uid="{8572BD70-8EAD-4EE6-B176-692435EE84C7}"/>
    <cellStyle name="Normal 8 4 2 5 2 5" xfId="12475" xr:uid="{498DEE7F-36E0-4446-ACC4-3E6CB0E91930}"/>
    <cellStyle name="Normal 8 4 2 5 3" xfId="6109" xr:uid="{00000000-0005-0000-0000-0000F01D0000}"/>
    <cellStyle name="Normal 8 4 2 5 3 2" xfId="22986" xr:uid="{A115A83F-1277-4183-A6A2-F97D726B99C3}"/>
    <cellStyle name="Normal 8 4 2 5 3 3" xfId="31420" xr:uid="{35D4D29C-14F2-45BD-A954-4C9AA16CE071}"/>
    <cellStyle name="Normal 8 4 2 5 3 4" xfId="14548" xr:uid="{36ABADFD-5214-43E9-8DAB-34141D014698}"/>
    <cellStyle name="Normal 8 4 2 5 4" xfId="18768" xr:uid="{FE1C2112-6283-41C7-8613-2410BF503F19}"/>
    <cellStyle name="Normal 8 4 2 5 5" xfId="27203" xr:uid="{E361CB11-4BED-4BD0-A188-8C6387065027}"/>
    <cellStyle name="Normal 8 4 2 5 6" xfId="10330" xr:uid="{045279A3-741C-4697-9468-BFE64C92203C}"/>
    <cellStyle name="Normal 8 4 2 6" xfId="2215" xr:uid="{00000000-0005-0000-0000-0000F11D0000}"/>
    <cellStyle name="Normal 8 4 2 6 2" xfId="4444" xr:uid="{00000000-0005-0000-0000-0000F21D0000}"/>
    <cellStyle name="Normal 8 4 2 6 2 2" xfId="8667" xr:uid="{00000000-0005-0000-0000-0000F31D0000}"/>
    <cellStyle name="Normal 8 4 2 6 2 2 2" xfId="25544" xr:uid="{DF540B58-831F-4A95-9822-EFD7B21C1D11}"/>
    <cellStyle name="Normal 8 4 2 6 2 2 3" xfId="33978" xr:uid="{6B7F224B-DF11-4FD9-8B03-34D3FF8641FE}"/>
    <cellStyle name="Normal 8 4 2 6 2 2 4" xfId="17106" xr:uid="{62E693F0-DDA3-4C47-AFAD-7FD6F644BE92}"/>
    <cellStyle name="Normal 8 4 2 6 2 3" xfId="21326" xr:uid="{FD158776-514E-48B3-A571-F47998E3A5EE}"/>
    <cellStyle name="Normal 8 4 2 6 2 4" xfId="29761" xr:uid="{2673E93E-45DB-4745-945B-3E0B2A7DE622}"/>
    <cellStyle name="Normal 8 4 2 6 2 5" xfId="12888" xr:uid="{22B9C26F-77B1-4668-9D27-2680E9F3C88F}"/>
    <cellStyle name="Normal 8 4 2 6 3" xfId="6522" xr:uid="{00000000-0005-0000-0000-0000F41D0000}"/>
    <cellStyle name="Normal 8 4 2 6 3 2" xfId="23399" xr:uid="{D36C27D9-4487-4DA7-A874-C9C6098CF0AB}"/>
    <cellStyle name="Normal 8 4 2 6 3 3" xfId="31833" xr:uid="{5327F64F-7E3E-4E79-B8F8-738FEB319FFD}"/>
    <cellStyle name="Normal 8 4 2 6 3 4" xfId="14961" xr:uid="{794DEE3F-852F-40FD-9687-B6DDB1F5B4FD}"/>
    <cellStyle name="Normal 8 4 2 6 4" xfId="19181" xr:uid="{47A8D4E3-2FC4-45A9-B192-3F1EC6921B2D}"/>
    <cellStyle name="Normal 8 4 2 6 5" xfId="27616" xr:uid="{047CB0A3-471B-4FB9-9854-0A5FBF0C9AB8}"/>
    <cellStyle name="Normal 8 4 2 6 6" xfId="10743" xr:uid="{9A41B4DE-C981-4FEE-9EC7-BBC718FC6605}"/>
    <cellStyle name="Normal 8 4 2 7" xfId="2651" xr:uid="{00000000-0005-0000-0000-0000F51D0000}"/>
    <cellStyle name="Normal 8 4 2 7 2" xfId="6935" xr:uid="{00000000-0005-0000-0000-0000F61D0000}"/>
    <cellStyle name="Normal 8 4 2 7 2 2" xfId="23812" xr:uid="{7F3B4FEB-7FC0-4686-B270-4111CFB771A2}"/>
    <cellStyle name="Normal 8 4 2 7 2 3" xfId="32246" xr:uid="{A706ADBD-CCCB-47A9-96B1-F150B5677674}"/>
    <cellStyle name="Normal 8 4 2 7 2 4" xfId="15374" xr:uid="{5BE4AA11-2E51-4D02-82DE-3D898A2FF96B}"/>
    <cellStyle name="Normal 8 4 2 7 3" xfId="19594" xr:uid="{F9085C4F-7B1A-4F84-91F5-1F3C4DA42F31}"/>
    <cellStyle name="Normal 8 4 2 7 4" xfId="28029" xr:uid="{14C9DE97-0029-42A1-BBAF-13356BCEAB47}"/>
    <cellStyle name="Normal 8 4 2 7 5" xfId="11156" xr:uid="{201E5C9A-5364-4CDE-AB21-3AA7153D38A4}"/>
    <cellStyle name="Normal 8 4 2 8" xfId="4870" xr:uid="{00000000-0005-0000-0000-0000F71D0000}"/>
    <cellStyle name="Normal 8 4 2 8 2" xfId="21747" xr:uid="{3F09B6C9-4356-4B80-B360-CAF1FA15C56B}"/>
    <cellStyle name="Normal 8 4 2 8 3" xfId="30181" xr:uid="{6B6E80CB-4F10-4A45-B751-BA5AEB74771A}"/>
    <cellStyle name="Normal 8 4 2 8 4" xfId="13309" xr:uid="{8EE123C3-9877-45EE-ACE7-DC225F97BFFA}"/>
    <cellStyle name="Normal 8 4 2 9" xfId="17529" xr:uid="{284B0B93-896C-4664-B418-AE71BCEB4CF3}"/>
    <cellStyle name="Normal 8 4 3" xfId="506" xr:uid="{00000000-0005-0000-0000-0000F81D0000}"/>
    <cellStyle name="Normal 8 4 3 10" xfId="9093" xr:uid="{8D579E0F-FB8F-4503-B3C3-91B5F1283C7D}"/>
    <cellStyle name="Normal 8 4 3 2" xfId="973" xr:uid="{00000000-0005-0000-0000-0000F91D0000}"/>
    <cellStyle name="Normal 8 4 3 2 2" xfId="3207" xr:uid="{00000000-0005-0000-0000-0000FA1D0000}"/>
    <cellStyle name="Normal 8 4 3 2 2 2" xfId="7430" xr:uid="{00000000-0005-0000-0000-0000FB1D0000}"/>
    <cellStyle name="Normal 8 4 3 2 2 2 2" xfId="24307" xr:uid="{53B13F82-FD8A-4120-B846-F6C012DB6147}"/>
    <cellStyle name="Normal 8 4 3 2 2 2 3" xfId="32741" xr:uid="{AC6CEE83-B4BA-49B2-B46E-2DC1F50FC465}"/>
    <cellStyle name="Normal 8 4 3 2 2 2 4" xfId="15869" xr:uid="{37158C9E-05AD-4CF9-8EB1-7B790DD86815}"/>
    <cellStyle name="Normal 8 4 3 2 2 3" xfId="20089" xr:uid="{CCC1CCEF-ADB5-4795-9C64-394C0C90CB4C}"/>
    <cellStyle name="Normal 8 4 3 2 2 4" xfId="28524" xr:uid="{FB259E4B-6DFF-486D-9EC0-DCF1C9B57383}"/>
    <cellStyle name="Normal 8 4 3 2 2 5" xfId="11651" xr:uid="{EAE37C0B-E8D1-4D0D-A088-E52C8CEBC1AA}"/>
    <cellStyle name="Normal 8 4 3 2 3" xfId="5285" xr:uid="{00000000-0005-0000-0000-0000FC1D0000}"/>
    <cellStyle name="Normal 8 4 3 2 3 2" xfId="22162" xr:uid="{663D3EE6-EBC8-4FE1-BD94-17A6A40E4A1D}"/>
    <cellStyle name="Normal 8 4 3 2 3 3" xfId="30596" xr:uid="{F8E032DD-E4A9-48A4-9AA7-75D0CD408BD1}"/>
    <cellStyle name="Normal 8 4 3 2 3 4" xfId="13724" xr:uid="{96FB7E05-12D9-482F-97F9-7B325AAAC060}"/>
    <cellStyle name="Normal 8 4 3 2 4" xfId="17944" xr:uid="{9E1FC119-A806-4E3A-A118-EB0F15334B3B}"/>
    <cellStyle name="Normal 8 4 3 2 5" xfId="26379" xr:uid="{D02623A5-BEC7-403D-AA43-1C15A64D4E1C}"/>
    <cellStyle name="Normal 8 4 3 2 6" xfId="9506" xr:uid="{9188B0F5-0322-4FDA-9A96-14C9B3A7A665}"/>
    <cellStyle name="Normal 8 4 3 3" xfId="1390" xr:uid="{00000000-0005-0000-0000-0000FD1D0000}"/>
    <cellStyle name="Normal 8 4 3 3 2" xfId="3620" xr:uid="{00000000-0005-0000-0000-0000FE1D0000}"/>
    <cellStyle name="Normal 8 4 3 3 2 2" xfId="7843" xr:uid="{00000000-0005-0000-0000-0000FF1D0000}"/>
    <cellStyle name="Normal 8 4 3 3 2 2 2" xfId="24720" xr:uid="{B7E418F1-4CED-4416-8DC4-20C57429CE63}"/>
    <cellStyle name="Normal 8 4 3 3 2 2 3" xfId="33154" xr:uid="{8BD43BC8-2746-4E92-B98B-42605549A2FF}"/>
    <cellStyle name="Normal 8 4 3 3 2 2 4" xfId="16282" xr:uid="{074C58B1-70BE-413A-B078-9DBB25914F9B}"/>
    <cellStyle name="Normal 8 4 3 3 2 3" xfId="20502" xr:uid="{AD7EF603-5803-47C7-90C1-9F9089864C87}"/>
    <cellStyle name="Normal 8 4 3 3 2 4" xfId="28937" xr:uid="{EFACBF16-9499-4DE7-80B5-9F519C23F2C1}"/>
    <cellStyle name="Normal 8 4 3 3 2 5" xfId="12064" xr:uid="{D637D31A-133A-4688-9517-6ED161484DF8}"/>
    <cellStyle name="Normal 8 4 3 3 3" xfId="5698" xr:uid="{00000000-0005-0000-0000-0000001E0000}"/>
    <cellStyle name="Normal 8 4 3 3 3 2" xfId="22575" xr:uid="{20DF6788-7A48-47A6-8E76-AED7C917052F}"/>
    <cellStyle name="Normal 8 4 3 3 3 3" xfId="31009" xr:uid="{C456E87D-7C6A-4AE2-A1B7-CD900CC81D8B}"/>
    <cellStyle name="Normal 8 4 3 3 3 4" xfId="14137" xr:uid="{D3DADED3-6973-4454-9BCD-65B3DCA97B5C}"/>
    <cellStyle name="Normal 8 4 3 3 4" xfId="18357" xr:uid="{BCBECB87-82C5-4EB8-B20F-84CCC239CF46}"/>
    <cellStyle name="Normal 8 4 3 3 5" xfId="26792" xr:uid="{74FA4E09-E55F-4C62-BB02-E622A433509D}"/>
    <cellStyle name="Normal 8 4 3 3 6" xfId="9919" xr:uid="{D13C936E-184B-446B-A187-960AA8415624}"/>
    <cellStyle name="Normal 8 4 3 4" xfId="1803" xr:uid="{00000000-0005-0000-0000-0000011E0000}"/>
    <cellStyle name="Normal 8 4 3 4 2" xfId="4033" xr:uid="{00000000-0005-0000-0000-0000021E0000}"/>
    <cellStyle name="Normal 8 4 3 4 2 2" xfId="8256" xr:uid="{00000000-0005-0000-0000-0000031E0000}"/>
    <cellStyle name="Normal 8 4 3 4 2 2 2" xfId="25133" xr:uid="{C99FE8C4-ACF1-48D7-B4C9-24638BD8AE68}"/>
    <cellStyle name="Normal 8 4 3 4 2 2 3" xfId="33567" xr:uid="{42876897-9E61-44B5-BB93-DB188B4046EA}"/>
    <cellStyle name="Normal 8 4 3 4 2 2 4" xfId="16695" xr:uid="{D08A9A21-EC0A-48D9-BD7F-26981E32D885}"/>
    <cellStyle name="Normal 8 4 3 4 2 3" xfId="20915" xr:uid="{7F8D9077-7A60-4CAB-A470-24671E93B5B6}"/>
    <cellStyle name="Normal 8 4 3 4 2 4" xfId="29350" xr:uid="{0A4B032F-9067-4DEF-B62A-12433BCA19C2}"/>
    <cellStyle name="Normal 8 4 3 4 2 5" xfId="12477" xr:uid="{6ECB5A4F-9ED9-47E9-9D5E-0D88DA940772}"/>
    <cellStyle name="Normal 8 4 3 4 3" xfId="6111" xr:uid="{00000000-0005-0000-0000-0000041E0000}"/>
    <cellStyle name="Normal 8 4 3 4 3 2" xfId="22988" xr:uid="{62FF3A92-A948-4B74-965F-8A3ED333EBF0}"/>
    <cellStyle name="Normal 8 4 3 4 3 3" xfId="31422" xr:uid="{C4216FD9-B1B4-409F-AEBC-0F932F49B5CD}"/>
    <cellStyle name="Normal 8 4 3 4 3 4" xfId="14550" xr:uid="{51895010-7895-443F-B7D8-467D6089A386}"/>
    <cellStyle name="Normal 8 4 3 4 4" xfId="18770" xr:uid="{95F190DD-DB38-4F9A-B675-459D5E72F6CC}"/>
    <cellStyle name="Normal 8 4 3 4 5" xfId="27205" xr:uid="{11CB3A8F-91EB-4CEF-B667-196B8D43EF27}"/>
    <cellStyle name="Normal 8 4 3 4 6" xfId="10332" xr:uid="{A06362BC-3FC2-4106-B59A-2AEC46348590}"/>
    <cellStyle name="Normal 8 4 3 5" xfId="2217" xr:uid="{00000000-0005-0000-0000-0000051E0000}"/>
    <cellStyle name="Normal 8 4 3 5 2" xfId="4446" xr:uid="{00000000-0005-0000-0000-0000061E0000}"/>
    <cellStyle name="Normal 8 4 3 5 2 2" xfId="8669" xr:uid="{00000000-0005-0000-0000-0000071E0000}"/>
    <cellStyle name="Normal 8 4 3 5 2 2 2" xfId="25546" xr:uid="{16849D4E-30ED-4D6B-984C-53D1F4B71C94}"/>
    <cellStyle name="Normal 8 4 3 5 2 2 3" xfId="33980" xr:uid="{89CA60E3-42FC-4595-9A1F-4AC1DDBD74CA}"/>
    <cellStyle name="Normal 8 4 3 5 2 2 4" xfId="17108" xr:uid="{8653F9A2-E533-4F64-A586-6971A83C4AEB}"/>
    <cellStyle name="Normal 8 4 3 5 2 3" xfId="21328" xr:uid="{F4623D89-B8E5-4DFD-A30D-E84D487CBBB2}"/>
    <cellStyle name="Normal 8 4 3 5 2 4" xfId="29763" xr:uid="{5ED42AF3-D931-41BF-9AFE-00653E1977D7}"/>
    <cellStyle name="Normal 8 4 3 5 2 5" xfId="12890" xr:uid="{5BBB0B75-149C-4794-AB96-B294802B9945}"/>
    <cellStyle name="Normal 8 4 3 5 3" xfId="6524" xr:uid="{00000000-0005-0000-0000-0000081E0000}"/>
    <cellStyle name="Normal 8 4 3 5 3 2" xfId="23401" xr:uid="{7B60386C-BBC4-422A-AA49-596FEAA8CCE8}"/>
    <cellStyle name="Normal 8 4 3 5 3 3" xfId="31835" xr:uid="{7EE784BD-702B-446C-A0D1-DEE80F921156}"/>
    <cellStyle name="Normal 8 4 3 5 3 4" xfId="14963" xr:uid="{3CD4E2B0-5198-4CD3-BE06-615A6816ED24}"/>
    <cellStyle name="Normal 8 4 3 5 4" xfId="19183" xr:uid="{004A9689-238B-4EA6-88CE-6C07BA894DEE}"/>
    <cellStyle name="Normal 8 4 3 5 5" xfId="27618" xr:uid="{5EBF9DEA-5EAD-4496-989B-91E4D05F84DB}"/>
    <cellStyle name="Normal 8 4 3 5 6" xfId="10745" xr:uid="{CC5A2B2A-18D2-4C64-9D89-6BEDB536A69E}"/>
    <cellStyle name="Normal 8 4 3 6" xfId="2653" xr:uid="{00000000-0005-0000-0000-0000091E0000}"/>
    <cellStyle name="Normal 8 4 3 6 2" xfId="6937" xr:uid="{00000000-0005-0000-0000-00000A1E0000}"/>
    <cellStyle name="Normal 8 4 3 6 2 2" xfId="23814" xr:uid="{0E11BFBD-A332-4337-9C6F-486FAF319398}"/>
    <cellStyle name="Normal 8 4 3 6 2 3" xfId="32248" xr:uid="{A1691BB9-6E0B-4ED0-9218-DED25AB1793D}"/>
    <cellStyle name="Normal 8 4 3 6 2 4" xfId="15376" xr:uid="{6DE8888E-85AE-4661-B760-730260BB1877}"/>
    <cellStyle name="Normal 8 4 3 6 3" xfId="19596" xr:uid="{407790D3-1892-434D-A6D1-3E57645C8B90}"/>
    <cellStyle name="Normal 8 4 3 6 4" xfId="28031" xr:uid="{7DE80C47-6C30-4567-8DE9-A0FB5EBA5720}"/>
    <cellStyle name="Normal 8 4 3 6 5" xfId="11158" xr:uid="{3CE759AE-D593-46DA-B6F3-D67478860353}"/>
    <cellStyle name="Normal 8 4 3 7" xfId="4872" xr:uid="{00000000-0005-0000-0000-00000B1E0000}"/>
    <cellStyle name="Normal 8 4 3 7 2" xfId="21749" xr:uid="{368ADF52-E85D-428D-9400-43A4A57AE8B1}"/>
    <cellStyle name="Normal 8 4 3 7 3" xfId="30183" xr:uid="{08326099-4813-4C3B-BF68-3BE308F1B6A2}"/>
    <cellStyle name="Normal 8 4 3 7 4" xfId="13311" xr:uid="{7BB059EE-45E5-4A5D-A7E3-0831B3B6D67E}"/>
    <cellStyle name="Normal 8 4 3 8" xfId="17531" xr:uid="{C9ACF7DC-15A7-4AF9-B231-3FD60927F54F}"/>
    <cellStyle name="Normal 8 4 3 9" xfId="25966" xr:uid="{F942E492-2E15-47F9-802D-4C13182DF70D}"/>
    <cellStyle name="Normal 8 4 4" xfId="970" xr:uid="{00000000-0005-0000-0000-00000C1E0000}"/>
    <cellStyle name="Normal 8 4 4 2" xfId="3204" xr:uid="{00000000-0005-0000-0000-00000D1E0000}"/>
    <cellStyle name="Normal 8 4 4 2 2" xfId="7427" xr:uid="{00000000-0005-0000-0000-00000E1E0000}"/>
    <cellStyle name="Normal 8 4 4 2 2 2" xfId="24304" xr:uid="{0ED8EE79-0FB4-4EF8-BD3C-DDDC99BB14F0}"/>
    <cellStyle name="Normal 8 4 4 2 2 3" xfId="32738" xr:uid="{19CF7DE5-C14B-42AC-BB03-C8AD6F372D69}"/>
    <cellStyle name="Normal 8 4 4 2 2 4" xfId="15866" xr:uid="{03B98249-D803-48E6-9AA3-F0BDA2DC5934}"/>
    <cellStyle name="Normal 8 4 4 2 3" xfId="20086" xr:uid="{3A539942-FB97-4CF1-81A4-384BADA301BF}"/>
    <cellStyle name="Normal 8 4 4 2 4" xfId="28521" xr:uid="{E912835F-37BC-4C68-95FF-5E95DC8296F7}"/>
    <cellStyle name="Normal 8 4 4 2 5" xfId="11648" xr:uid="{19B74D04-8533-43CB-92ED-E7E1D2D5A7C4}"/>
    <cellStyle name="Normal 8 4 4 3" xfId="5282" xr:uid="{00000000-0005-0000-0000-00000F1E0000}"/>
    <cellStyle name="Normal 8 4 4 3 2" xfId="22159" xr:uid="{141D26E8-7ED3-45CF-945C-A12E03F7BA8C}"/>
    <cellStyle name="Normal 8 4 4 3 3" xfId="30593" xr:uid="{017BCD7E-093F-4614-B045-46822B45146E}"/>
    <cellStyle name="Normal 8 4 4 3 4" xfId="13721" xr:uid="{D0FE4D9A-9F61-4A9C-810C-B1B4761A937F}"/>
    <cellStyle name="Normal 8 4 4 4" xfId="17941" xr:uid="{5F08653F-1212-497A-9613-43ACB7EBB1F7}"/>
    <cellStyle name="Normal 8 4 4 5" xfId="26376" xr:uid="{F866C79F-A085-4D70-87E1-0644247710F6}"/>
    <cellStyle name="Normal 8 4 4 6" xfId="9503" xr:uid="{75562BED-337E-488A-862A-28AFCD1B5A18}"/>
    <cellStyle name="Normal 8 4 5" xfId="1387" xr:uid="{00000000-0005-0000-0000-0000101E0000}"/>
    <cellStyle name="Normal 8 4 5 2" xfId="3617" xr:uid="{00000000-0005-0000-0000-0000111E0000}"/>
    <cellStyle name="Normal 8 4 5 2 2" xfId="7840" xr:uid="{00000000-0005-0000-0000-0000121E0000}"/>
    <cellStyle name="Normal 8 4 5 2 2 2" xfId="24717" xr:uid="{4C53CAF7-125B-4156-812C-3CFF368AC653}"/>
    <cellStyle name="Normal 8 4 5 2 2 3" xfId="33151" xr:uid="{5CBE47DB-C0C8-4BF5-871E-F6422761D909}"/>
    <cellStyle name="Normal 8 4 5 2 2 4" xfId="16279" xr:uid="{E96B6304-42FF-443D-A2B8-1086613206F7}"/>
    <cellStyle name="Normal 8 4 5 2 3" xfId="20499" xr:uid="{CD21CD4D-ACEC-49C1-835B-DEA9198B1268}"/>
    <cellStyle name="Normal 8 4 5 2 4" xfId="28934" xr:uid="{1A44BDD7-8537-4871-AFE4-52F7A4AAE61A}"/>
    <cellStyle name="Normal 8 4 5 2 5" xfId="12061" xr:uid="{85859B5A-31F4-486D-8237-369447790BA4}"/>
    <cellStyle name="Normal 8 4 5 3" xfId="5695" xr:uid="{00000000-0005-0000-0000-0000131E0000}"/>
    <cellStyle name="Normal 8 4 5 3 2" xfId="22572" xr:uid="{FAE5AEC4-F4E5-4FF2-9FB2-45CF7EF3D034}"/>
    <cellStyle name="Normal 8 4 5 3 3" xfId="31006" xr:uid="{70C16861-7774-4374-A551-73094EC81ECF}"/>
    <cellStyle name="Normal 8 4 5 3 4" xfId="14134" xr:uid="{3820783A-A016-493E-B99D-06B328AB42BA}"/>
    <cellStyle name="Normal 8 4 5 4" xfId="18354" xr:uid="{0619FA43-022A-4F8B-807B-FC890A39CED3}"/>
    <cellStyle name="Normal 8 4 5 5" xfId="26789" xr:uid="{209A7087-7F20-438A-AF39-2FF678D03663}"/>
    <cellStyle name="Normal 8 4 5 6" xfId="9916" xr:uid="{7117296E-9826-4C74-8523-9601AA3F37D4}"/>
    <cellStyle name="Normal 8 4 6" xfId="1800" xr:uid="{00000000-0005-0000-0000-0000141E0000}"/>
    <cellStyle name="Normal 8 4 6 2" xfId="4030" xr:uid="{00000000-0005-0000-0000-0000151E0000}"/>
    <cellStyle name="Normal 8 4 6 2 2" xfId="8253" xr:uid="{00000000-0005-0000-0000-0000161E0000}"/>
    <cellStyle name="Normal 8 4 6 2 2 2" xfId="25130" xr:uid="{8EDF1990-4878-4FBD-8D2C-5E132C8009ED}"/>
    <cellStyle name="Normal 8 4 6 2 2 3" xfId="33564" xr:uid="{7DEEB866-05A4-48C3-90A0-B05EF2692EF7}"/>
    <cellStyle name="Normal 8 4 6 2 2 4" xfId="16692" xr:uid="{F543771A-F653-4811-A9FF-DFEC90714C9A}"/>
    <cellStyle name="Normal 8 4 6 2 3" xfId="20912" xr:uid="{11D0EC77-7491-4BB7-89A5-776118816C2C}"/>
    <cellStyle name="Normal 8 4 6 2 4" xfId="29347" xr:uid="{488F5C21-61B6-4DB0-8835-7DEE2F24BC74}"/>
    <cellStyle name="Normal 8 4 6 2 5" xfId="12474" xr:uid="{2FEB5594-8C3D-4B64-8923-ABE7B55F441C}"/>
    <cellStyle name="Normal 8 4 6 3" xfId="6108" xr:uid="{00000000-0005-0000-0000-0000171E0000}"/>
    <cellStyle name="Normal 8 4 6 3 2" xfId="22985" xr:uid="{D01CB192-9BE5-4366-8216-0659F87A6AB2}"/>
    <cellStyle name="Normal 8 4 6 3 3" xfId="31419" xr:uid="{7179375E-1622-4212-A60D-7CD4200D13F9}"/>
    <cellStyle name="Normal 8 4 6 3 4" xfId="14547" xr:uid="{0FB8A090-D87D-4314-BABF-D9A1F110A7DA}"/>
    <cellStyle name="Normal 8 4 6 4" xfId="18767" xr:uid="{52DDB19F-128E-4E16-912D-19749E877514}"/>
    <cellStyle name="Normal 8 4 6 5" xfId="27202" xr:uid="{0EAD250F-D696-444F-9208-9547073407A0}"/>
    <cellStyle name="Normal 8 4 6 6" xfId="10329" xr:uid="{208CE73E-169D-4A87-AFFC-5658DC7EFAA0}"/>
    <cellStyle name="Normal 8 4 7" xfId="2214" xr:uid="{00000000-0005-0000-0000-0000181E0000}"/>
    <cellStyle name="Normal 8 4 7 2" xfId="4443" xr:uid="{00000000-0005-0000-0000-0000191E0000}"/>
    <cellStyle name="Normal 8 4 7 2 2" xfId="8666" xr:uid="{00000000-0005-0000-0000-00001A1E0000}"/>
    <cellStyle name="Normal 8 4 7 2 2 2" xfId="25543" xr:uid="{ACAD1A7C-3CAB-4A78-8478-927F683E2A8B}"/>
    <cellStyle name="Normal 8 4 7 2 2 3" xfId="33977" xr:uid="{760A453F-CD2E-4AD4-B746-5ABAB7B982D0}"/>
    <cellStyle name="Normal 8 4 7 2 2 4" xfId="17105" xr:uid="{BBF32089-C211-49B9-86B8-3385A33AE3D7}"/>
    <cellStyle name="Normal 8 4 7 2 3" xfId="21325" xr:uid="{77675B78-2817-49BE-AC3F-1C9AF0067BAB}"/>
    <cellStyle name="Normal 8 4 7 2 4" xfId="29760" xr:uid="{58997A84-EC14-4491-9050-D20A69F91289}"/>
    <cellStyle name="Normal 8 4 7 2 5" xfId="12887" xr:uid="{E488E5C9-1885-49D6-8686-FE6E391AA379}"/>
    <cellStyle name="Normal 8 4 7 3" xfId="6521" xr:uid="{00000000-0005-0000-0000-00001B1E0000}"/>
    <cellStyle name="Normal 8 4 7 3 2" xfId="23398" xr:uid="{A12B47C1-1450-4D1B-90D4-0909C014D125}"/>
    <cellStyle name="Normal 8 4 7 3 3" xfId="31832" xr:uid="{0ADAEAC8-DB02-4898-AAF0-72651C04A9EF}"/>
    <cellStyle name="Normal 8 4 7 3 4" xfId="14960" xr:uid="{8A9D8274-EAC9-4707-8BF8-8FA25C46CD43}"/>
    <cellStyle name="Normal 8 4 7 4" xfId="19180" xr:uid="{B665D80D-C363-4A45-931F-E1D36749B020}"/>
    <cellStyle name="Normal 8 4 7 5" xfId="27615" xr:uid="{223A4437-6818-4F80-96DA-CDA1B66C67FC}"/>
    <cellStyle name="Normal 8 4 7 6" xfId="10742" xr:uid="{B6F821CC-39D9-43E8-B2A2-B3F329D678D0}"/>
    <cellStyle name="Normal 8 4 8" xfId="2650" xr:uid="{00000000-0005-0000-0000-00001C1E0000}"/>
    <cellStyle name="Normal 8 4 8 2" xfId="6934" xr:uid="{00000000-0005-0000-0000-00001D1E0000}"/>
    <cellStyle name="Normal 8 4 8 2 2" xfId="23811" xr:uid="{87FAD1B2-66B6-46EF-BFBE-A773D6AD0863}"/>
    <cellStyle name="Normal 8 4 8 2 3" xfId="32245" xr:uid="{DE30D649-3E43-47D4-A4AA-7839F477F37C}"/>
    <cellStyle name="Normal 8 4 8 2 4" xfId="15373" xr:uid="{C24BAA6C-2108-4C8F-8A21-66B3A2036923}"/>
    <cellStyle name="Normal 8 4 8 3" xfId="19593" xr:uid="{48B3C2AA-792B-4E6C-B926-D2FCA1B6938C}"/>
    <cellStyle name="Normal 8 4 8 4" xfId="28028" xr:uid="{43A29374-BCF2-44E4-806A-93C94D945A28}"/>
    <cellStyle name="Normal 8 4 8 5" xfId="11155" xr:uid="{B5A7E793-AA10-4AFA-AC09-98A73D1F07BB}"/>
    <cellStyle name="Normal 8 4 9" xfId="4869" xr:uid="{00000000-0005-0000-0000-00001E1E0000}"/>
    <cellStyle name="Normal 8 4 9 2" xfId="21746" xr:uid="{8910DD79-F7A8-4288-87D7-2A3C849D415F}"/>
    <cellStyle name="Normal 8 4 9 3" xfId="30180" xr:uid="{8F8EF216-90A4-4CA5-9406-060CA9F40C43}"/>
    <cellStyle name="Normal 8 4 9 4" xfId="13308" xr:uid="{19B55192-8C59-43AB-9F0F-0F334406B7E4}"/>
    <cellStyle name="Normal 8 5" xfId="507" xr:uid="{00000000-0005-0000-0000-00001F1E0000}"/>
    <cellStyle name="Normal 8 5 10" xfId="25967" xr:uid="{9B020079-76F3-4FE0-B40F-610DFA9EAEE1}"/>
    <cellStyle name="Normal 8 5 11" xfId="9094" xr:uid="{A59A2292-FECF-410B-8F93-1E60A0F1CF08}"/>
    <cellStyle name="Normal 8 5 2" xfId="508" xr:uid="{00000000-0005-0000-0000-0000201E0000}"/>
    <cellStyle name="Normal 8 5 2 10" xfId="9095" xr:uid="{8E4F3DD6-31D0-44FD-9347-F950AF6F3123}"/>
    <cellStyle name="Normal 8 5 2 2" xfId="975" xr:uid="{00000000-0005-0000-0000-0000211E0000}"/>
    <cellStyle name="Normal 8 5 2 2 2" xfId="3209" xr:uid="{00000000-0005-0000-0000-0000221E0000}"/>
    <cellStyle name="Normal 8 5 2 2 2 2" xfId="7432" xr:uid="{00000000-0005-0000-0000-0000231E0000}"/>
    <cellStyle name="Normal 8 5 2 2 2 2 2" xfId="24309" xr:uid="{15C3D40F-CF07-476D-8ACB-179CB81313A7}"/>
    <cellStyle name="Normal 8 5 2 2 2 2 3" xfId="32743" xr:uid="{61E3C83A-591B-4EFE-8F37-10CAB0EC1039}"/>
    <cellStyle name="Normal 8 5 2 2 2 2 4" xfId="15871" xr:uid="{C66D1252-2885-4B1D-9742-CB1628781207}"/>
    <cellStyle name="Normal 8 5 2 2 2 3" xfId="20091" xr:uid="{C564BA6B-0DC8-447D-B2D7-ECFF67D01897}"/>
    <cellStyle name="Normal 8 5 2 2 2 4" xfId="28526" xr:uid="{B207A95B-10E6-4B06-8449-E4D51781703D}"/>
    <cellStyle name="Normal 8 5 2 2 2 5" xfId="11653" xr:uid="{405D8230-6FC1-4799-9362-F24E7B788351}"/>
    <cellStyle name="Normal 8 5 2 2 3" xfId="5287" xr:uid="{00000000-0005-0000-0000-0000241E0000}"/>
    <cellStyle name="Normal 8 5 2 2 3 2" xfId="22164" xr:uid="{3F955561-F018-42F6-AB70-B03A396B0E10}"/>
    <cellStyle name="Normal 8 5 2 2 3 3" xfId="30598" xr:uid="{27B0534E-7865-4376-B87F-46E7BC473F2B}"/>
    <cellStyle name="Normal 8 5 2 2 3 4" xfId="13726" xr:uid="{28D7DF2B-D3B2-4081-9E9B-8E799695B8C6}"/>
    <cellStyle name="Normal 8 5 2 2 4" xfId="17946" xr:uid="{E313E06F-003C-4ECF-A9DB-B1129B8B7D2C}"/>
    <cellStyle name="Normal 8 5 2 2 5" xfId="26381" xr:uid="{AF88782D-2086-480C-A76D-CCE1F17195C5}"/>
    <cellStyle name="Normal 8 5 2 2 6" xfId="9508" xr:uid="{C37728CA-A2AC-44A9-9959-D19EBE4E3F52}"/>
    <cellStyle name="Normal 8 5 2 3" xfId="1392" xr:uid="{00000000-0005-0000-0000-0000251E0000}"/>
    <cellStyle name="Normal 8 5 2 3 2" xfId="3622" xr:uid="{00000000-0005-0000-0000-0000261E0000}"/>
    <cellStyle name="Normal 8 5 2 3 2 2" xfId="7845" xr:uid="{00000000-0005-0000-0000-0000271E0000}"/>
    <cellStyle name="Normal 8 5 2 3 2 2 2" xfId="24722" xr:uid="{6B2CD60B-998B-4E89-8D89-84E7B616534B}"/>
    <cellStyle name="Normal 8 5 2 3 2 2 3" xfId="33156" xr:uid="{B4A6AC4C-4137-4BA4-8D48-7F45CA3BE662}"/>
    <cellStyle name="Normal 8 5 2 3 2 2 4" xfId="16284" xr:uid="{38CD42C3-7229-4231-85B1-A0419390763F}"/>
    <cellStyle name="Normal 8 5 2 3 2 3" xfId="20504" xr:uid="{965D1823-615A-4E84-B6FC-ED9CA4C1B28E}"/>
    <cellStyle name="Normal 8 5 2 3 2 4" xfId="28939" xr:uid="{C999A568-6AA1-4D79-BBAA-63EB3159DBFC}"/>
    <cellStyle name="Normal 8 5 2 3 2 5" xfId="12066" xr:uid="{800FBF32-9B8F-4B19-A2E1-6686A19D3C54}"/>
    <cellStyle name="Normal 8 5 2 3 3" xfId="5700" xr:uid="{00000000-0005-0000-0000-0000281E0000}"/>
    <cellStyle name="Normal 8 5 2 3 3 2" xfId="22577" xr:uid="{EB3ED2D2-B815-4DEB-B004-589CD7A2FC79}"/>
    <cellStyle name="Normal 8 5 2 3 3 3" xfId="31011" xr:uid="{EEF646FC-7A44-4F00-B605-CA4AB4E98449}"/>
    <cellStyle name="Normal 8 5 2 3 3 4" xfId="14139" xr:uid="{B58664F2-4012-4787-9BA9-423C196CD1B3}"/>
    <cellStyle name="Normal 8 5 2 3 4" xfId="18359" xr:uid="{06B64EDC-5E54-4CA2-BAE5-53808E104E73}"/>
    <cellStyle name="Normal 8 5 2 3 5" xfId="26794" xr:uid="{AA4BB1ED-1A9F-4913-82CC-981203F07AC8}"/>
    <cellStyle name="Normal 8 5 2 3 6" xfId="9921" xr:uid="{B286351C-77A1-4642-8710-0F4CBB349E75}"/>
    <cellStyle name="Normal 8 5 2 4" xfId="1805" xr:uid="{00000000-0005-0000-0000-0000291E0000}"/>
    <cellStyle name="Normal 8 5 2 4 2" xfId="4035" xr:uid="{00000000-0005-0000-0000-00002A1E0000}"/>
    <cellStyle name="Normal 8 5 2 4 2 2" xfId="8258" xr:uid="{00000000-0005-0000-0000-00002B1E0000}"/>
    <cellStyle name="Normal 8 5 2 4 2 2 2" xfId="25135" xr:uid="{7B5174FA-5670-456D-B2FD-C8C43DE580D7}"/>
    <cellStyle name="Normal 8 5 2 4 2 2 3" xfId="33569" xr:uid="{B49AB4C0-2EE2-493B-B3D2-9A2D9F46ED76}"/>
    <cellStyle name="Normal 8 5 2 4 2 2 4" xfId="16697" xr:uid="{F5B79557-05AA-4C4A-A63F-95C46060A432}"/>
    <cellStyle name="Normal 8 5 2 4 2 3" xfId="20917" xr:uid="{C3699937-179B-4290-9E2B-9CE773C190AB}"/>
    <cellStyle name="Normal 8 5 2 4 2 4" xfId="29352" xr:uid="{AF8943A5-7BA8-4584-89E3-D9205DF405F0}"/>
    <cellStyle name="Normal 8 5 2 4 2 5" xfId="12479" xr:uid="{428144FB-1642-498D-AA5C-4C27C72E03B0}"/>
    <cellStyle name="Normal 8 5 2 4 3" xfId="6113" xr:uid="{00000000-0005-0000-0000-00002C1E0000}"/>
    <cellStyle name="Normal 8 5 2 4 3 2" xfId="22990" xr:uid="{96636E4B-30AA-4031-AB8E-DD55D607EA0B}"/>
    <cellStyle name="Normal 8 5 2 4 3 3" xfId="31424" xr:uid="{4A1D31CA-F94D-42B2-8B34-DDE14FC30DB5}"/>
    <cellStyle name="Normal 8 5 2 4 3 4" xfId="14552" xr:uid="{711051FF-7979-43ED-B9C1-80890547E5A0}"/>
    <cellStyle name="Normal 8 5 2 4 4" xfId="18772" xr:uid="{0FDC0599-497F-4437-824E-41E5B5811A3C}"/>
    <cellStyle name="Normal 8 5 2 4 5" xfId="27207" xr:uid="{EA530165-C5F6-472D-A463-53E2E326DA78}"/>
    <cellStyle name="Normal 8 5 2 4 6" xfId="10334" xr:uid="{E4389C6A-2617-4B78-B6C2-73747757468D}"/>
    <cellStyle name="Normal 8 5 2 5" xfId="2219" xr:uid="{00000000-0005-0000-0000-00002D1E0000}"/>
    <cellStyle name="Normal 8 5 2 5 2" xfId="4448" xr:uid="{00000000-0005-0000-0000-00002E1E0000}"/>
    <cellStyle name="Normal 8 5 2 5 2 2" xfId="8671" xr:uid="{00000000-0005-0000-0000-00002F1E0000}"/>
    <cellStyle name="Normal 8 5 2 5 2 2 2" xfId="25548" xr:uid="{4055DCF5-5AC4-4665-B3CA-156858545EEA}"/>
    <cellStyle name="Normal 8 5 2 5 2 2 3" xfId="33982" xr:uid="{397EA3B4-CE03-45E6-A384-6490745FE217}"/>
    <cellStyle name="Normal 8 5 2 5 2 2 4" xfId="17110" xr:uid="{8B3F955F-4055-4BCB-9E6B-E75D7AD84BCE}"/>
    <cellStyle name="Normal 8 5 2 5 2 3" xfId="21330" xr:uid="{6E753588-3904-462B-A659-214EF669F551}"/>
    <cellStyle name="Normal 8 5 2 5 2 4" xfId="29765" xr:uid="{FE16BFFB-6B6A-4F83-85A9-63F2822B9C46}"/>
    <cellStyle name="Normal 8 5 2 5 2 5" xfId="12892" xr:uid="{FF8EE001-0032-48FA-8DDA-9B05C5BAAD6D}"/>
    <cellStyle name="Normal 8 5 2 5 3" xfId="6526" xr:uid="{00000000-0005-0000-0000-0000301E0000}"/>
    <cellStyle name="Normal 8 5 2 5 3 2" xfId="23403" xr:uid="{B01033F1-BA8F-4802-AE28-B51A04500F25}"/>
    <cellStyle name="Normal 8 5 2 5 3 3" xfId="31837" xr:uid="{8D52D717-9F91-4DAD-9E7A-9DBC9E53D916}"/>
    <cellStyle name="Normal 8 5 2 5 3 4" xfId="14965" xr:uid="{756E31AA-756E-4892-9EC1-6AA3000E804E}"/>
    <cellStyle name="Normal 8 5 2 5 4" xfId="19185" xr:uid="{38A9F60E-22F1-4437-B721-00FFD394DFB3}"/>
    <cellStyle name="Normal 8 5 2 5 5" xfId="27620" xr:uid="{CCF06C6E-0236-4CAA-84A6-F63F5E91A350}"/>
    <cellStyle name="Normal 8 5 2 5 6" xfId="10747" xr:uid="{25D6FFCE-DDD6-428B-A563-1B5D79CE7149}"/>
    <cellStyle name="Normal 8 5 2 6" xfId="2655" xr:uid="{00000000-0005-0000-0000-0000311E0000}"/>
    <cellStyle name="Normal 8 5 2 6 2" xfId="6939" xr:uid="{00000000-0005-0000-0000-0000321E0000}"/>
    <cellStyle name="Normal 8 5 2 6 2 2" xfId="23816" xr:uid="{7293C9D6-D12B-4589-9579-A4FECA1FB2EC}"/>
    <cellStyle name="Normal 8 5 2 6 2 3" xfId="32250" xr:uid="{6F7474DA-9850-40D7-AE5E-06CAD0B55103}"/>
    <cellStyle name="Normal 8 5 2 6 2 4" xfId="15378" xr:uid="{D72577CF-3F67-4461-910F-35C5A3F5E5B1}"/>
    <cellStyle name="Normal 8 5 2 6 3" xfId="19598" xr:uid="{771D7565-E08B-4F79-997D-B84CE2B73803}"/>
    <cellStyle name="Normal 8 5 2 6 4" xfId="28033" xr:uid="{A05EF44F-41F2-45EA-85D9-F098496C34F9}"/>
    <cellStyle name="Normal 8 5 2 6 5" xfId="11160" xr:uid="{0BFC31FD-E36D-445F-8206-B125C40F6C4B}"/>
    <cellStyle name="Normal 8 5 2 7" xfId="4874" xr:uid="{00000000-0005-0000-0000-0000331E0000}"/>
    <cellStyle name="Normal 8 5 2 7 2" xfId="21751" xr:uid="{6B22DB07-B360-4D8B-B73B-87AED3E39B26}"/>
    <cellStyle name="Normal 8 5 2 7 3" xfId="30185" xr:uid="{14341645-E2DB-418F-88DE-C994499F3898}"/>
    <cellStyle name="Normal 8 5 2 7 4" xfId="13313" xr:uid="{4ED00583-8A16-439C-8408-F7ED2D3229C5}"/>
    <cellStyle name="Normal 8 5 2 8" xfId="17533" xr:uid="{37379E6C-8A37-430E-B0C3-EF4D3E353A92}"/>
    <cellStyle name="Normal 8 5 2 9" xfId="25968" xr:uid="{D443F66C-85A1-4F1F-9212-7CD28E22048C}"/>
    <cellStyle name="Normal 8 5 3" xfId="974" xr:uid="{00000000-0005-0000-0000-0000341E0000}"/>
    <cellStyle name="Normal 8 5 3 2" xfId="3208" xr:uid="{00000000-0005-0000-0000-0000351E0000}"/>
    <cellStyle name="Normal 8 5 3 2 2" xfId="7431" xr:uid="{00000000-0005-0000-0000-0000361E0000}"/>
    <cellStyle name="Normal 8 5 3 2 2 2" xfId="24308" xr:uid="{FB91B883-4525-4E23-A356-828F2384E696}"/>
    <cellStyle name="Normal 8 5 3 2 2 3" xfId="32742" xr:uid="{E2B140AE-933D-41F4-9EEC-A48785C21B96}"/>
    <cellStyle name="Normal 8 5 3 2 2 4" xfId="15870" xr:uid="{4BD5E9C3-0CD5-4336-B15E-36BEA8281A39}"/>
    <cellStyle name="Normal 8 5 3 2 3" xfId="20090" xr:uid="{08FDBE03-74BD-4E41-8D48-12517683BE9D}"/>
    <cellStyle name="Normal 8 5 3 2 4" xfId="28525" xr:uid="{3515BCBF-D349-4643-BDFD-9507609356AB}"/>
    <cellStyle name="Normal 8 5 3 2 5" xfId="11652" xr:uid="{261B7529-40DE-4383-A1F0-236C299CEBC5}"/>
    <cellStyle name="Normal 8 5 3 3" xfId="5286" xr:uid="{00000000-0005-0000-0000-0000371E0000}"/>
    <cellStyle name="Normal 8 5 3 3 2" xfId="22163" xr:uid="{2733DA72-5B22-4B4C-B2D8-87294D1A603A}"/>
    <cellStyle name="Normal 8 5 3 3 3" xfId="30597" xr:uid="{4BD188D8-D79A-4627-B39D-16EF793C1A85}"/>
    <cellStyle name="Normal 8 5 3 3 4" xfId="13725" xr:uid="{DF18A862-BFC6-4F8D-8457-9C88AE17F212}"/>
    <cellStyle name="Normal 8 5 3 4" xfId="17945" xr:uid="{BAB57B78-4B50-4FC4-9DCC-2CF81697CDAF}"/>
    <cellStyle name="Normal 8 5 3 5" xfId="26380" xr:uid="{C67E1661-F7A2-4E94-9868-6CB1EE9FFA5D}"/>
    <cellStyle name="Normal 8 5 3 6" xfId="9507" xr:uid="{B2BDD724-CDA4-44D3-8AEF-22A36A2E4A0C}"/>
    <cellStyle name="Normal 8 5 4" xfId="1391" xr:uid="{00000000-0005-0000-0000-0000381E0000}"/>
    <cellStyle name="Normal 8 5 4 2" xfId="3621" xr:uid="{00000000-0005-0000-0000-0000391E0000}"/>
    <cellStyle name="Normal 8 5 4 2 2" xfId="7844" xr:uid="{00000000-0005-0000-0000-00003A1E0000}"/>
    <cellStyle name="Normal 8 5 4 2 2 2" xfId="24721" xr:uid="{7E2E8B7A-6719-46C6-A040-7324F52D5611}"/>
    <cellStyle name="Normal 8 5 4 2 2 3" xfId="33155" xr:uid="{B80E7036-82C5-426D-A5B1-AD443EC187A6}"/>
    <cellStyle name="Normal 8 5 4 2 2 4" xfId="16283" xr:uid="{54645209-5473-4E3E-A89B-0C0DE6D75510}"/>
    <cellStyle name="Normal 8 5 4 2 3" xfId="20503" xr:uid="{E23203B2-9836-4F27-8EA1-16D74768C377}"/>
    <cellStyle name="Normal 8 5 4 2 4" xfId="28938" xr:uid="{25AE40F7-D09C-4458-8FD0-A7EC7E528CE1}"/>
    <cellStyle name="Normal 8 5 4 2 5" xfId="12065" xr:uid="{DDD2834A-A8A7-40ED-98F4-9EEC8BE4665B}"/>
    <cellStyle name="Normal 8 5 4 3" xfId="5699" xr:uid="{00000000-0005-0000-0000-00003B1E0000}"/>
    <cellStyle name="Normal 8 5 4 3 2" xfId="22576" xr:uid="{6DD7A8D8-F48A-453E-BDB4-A9098192B7A9}"/>
    <cellStyle name="Normal 8 5 4 3 3" xfId="31010" xr:uid="{E99A76AA-A19D-4865-9927-75FC99DDA86F}"/>
    <cellStyle name="Normal 8 5 4 3 4" xfId="14138" xr:uid="{0D3D9E03-842E-42BA-B592-4226F733B9B2}"/>
    <cellStyle name="Normal 8 5 4 4" xfId="18358" xr:uid="{DD07A801-B220-4AF9-B6AA-AAC83251EB9C}"/>
    <cellStyle name="Normal 8 5 4 5" xfId="26793" xr:uid="{3DA1A103-C41F-4A93-8E0B-79EF6D4652A2}"/>
    <cellStyle name="Normal 8 5 4 6" xfId="9920" xr:uid="{77AF6B1D-4858-4927-BBEB-163F4C183D7C}"/>
    <cellStyle name="Normal 8 5 5" xfId="1804" xr:uid="{00000000-0005-0000-0000-00003C1E0000}"/>
    <cellStyle name="Normal 8 5 5 2" xfId="4034" xr:uid="{00000000-0005-0000-0000-00003D1E0000}"/>
    <cellStyle name="Normal 8 5 5 2 2" xfId="8257" xr:uid="{00000000-0005-0000-0000-00003E1E0000}"/>
    <cellStyle name="Normal 8 5 5 2 2 2" xfId="25134" xr:uid="{8CF4A412-AF23-4931-A9DF-B7BB319517BA}"/>
    <cellStyle name="Normal 8 5 5 2 2 3" xfId="33568" xr:uid="{ADBD02CB-FEE5-402F-800D-51E1DBE2D1B7}"/>
    <cellStyle name="Normal 8 5 5 2 2 4" xfId="16696" xr:uid="{7FAF4473-03B7-4D63-9608-70CE49035C1F}"/>
    <cellStyle name="Normal 8 5 5 2 3" xfId="20916" xr:uid="{7C224FC1-31F1-4ABE-BC25-07BB2663D4E1}"/>
    <cellStyle name="Normal 8 5 5 2 4" xfId="29351" xr:uid="{A625DC48-CA8B-469A-84C6-1BC9C834DA8E}"/>
    <cellStyle name="Normal 8 5 5 2 5" xfId="12478" xr:uid="{05A2438F-789D-492A-8E4D-2289570AB069}"/>
    <cellStyle name="Normal 8 5 5 3" xfId="6112" xr:uid="{00000000-0005-0000-0000-00003F1E0000}"/>
    <cellStyle name="Normal 8 5 5 3 2" xfId="22989" xr:uid="{D97831B8-056D-4D54-91E2-B363252F40FB}"/>
    <cellStyle name="Normal 8 5 5 3 3" xfId="31423" xr:uid="{1A60788B-1718-4689-B431-4704B6F6C9BD}"/>
    <cellStyle name="Normal 8 5 5 3 4" xfId="14551" xr:uid="{89AD83EA-A0AE-4045-AE41-76D5451EAEDC}"/>
    <cellStyle name="Normal 8 5 5 4" xfId="18771" xr:uid="{965CFA8A-CD44-40A7-BB3A-EE23BF9E953A}"/>
    <cellStyle name="Normal 8 5 5 5" xfId="27206" xr:uid="{425ADADB-B0CA-4884-966F-05179A006F2B}"/>
    <cellStyle name="Normal 8 5 5 6" xfId="10333" xr:uid="{A76A5611-DB58-416C-9C14-C52809064B54}"/>
    <cellStyle name="Normal 8 5 6" xfId="2218" xr:uid="{00000000-0005-0000-0000-0000401E0000}"/>
    <cellStyle name="Normal 8 5 6 2" xfId="4447" xr:uid="{00000000-0005-0000-0000-0000411E0000}"/>
    <cellStyle name="Normal 8 5 6 2 2" xfId="8670" xr:uid="{00000000-0005-0000-0000-0000421E0000}"/>
    <cellStyle name="Normal 8 5 6 2 2 2" xfId="25547" xr:uid="{E513BD38-73CF-4F19-ADB3-7970215B9F8F}"/>
    <cellStyle name="Normal 8 5 6 2 2 3" xfId="33981" xr:uid="{A5F1252D-5462-4EBF-AEEF-EC1382052CB7}"/>
    <cellStyle name="Normal 8 5 6 2 2 4" xfId="17109" xr:uid="{482235C5-6963-4802-ACF0-D2332CFA8955}"/>
    <cellStyle name="Normal 8 5 6 2 3" xfId="21329" xr:uid="{FFD4E3BA-806B-4139-9838-B5E7EC993CA5}"/>
    <cellStyle name="Normal 8 5 6 2 4" xfId="29764" xr:uid="{A223CDF8-BB4B-4399-918E-C792216E7B6E}"/>
    <cellStyle name="Normal 8 5 6 2 5" xfId="12891" xr:uid="{5A3CEE3A-4DB1-4F7C-B00B-AA82DFDCE384}"/>
    <cellStyle name="Normal 8 5 6 3" xfId="6525" xr:uid="{00000000-0005-0000-0000-0000431E0000}"/>
    <cellStyle name="Normal 8 5 6 3 2" xfId="23402" xr:uid="{93CFA6BD-4D90-4F77-942C-52A5657F4CDE}"/>
    <cellStyle name="Normal 8 5 6 3 3" xfId="31836" xr:uid="{B97378F7-7BC1-4BC3-ADDE-06BF79D30680}"/>
    <cellStyle name="Normal 8 5 6 3 4" xfId="14964" xr:uid="{1FED1B68-BD22-4EC5-95F0-9B4E7F1D7BC6}"/>
    <cellStyle name="Normal 8 5 6 4" xfId="19184" xr:uid="{CD61F6EF-3A8F-45B3-9E56-0E54D2D1C7EB}"/>
    <cellStyle name="Normal 8 5 6 5" xfId="27619" xr:uid="{823C7BA3-D18E-44BF-BE07-24B5EA44239C}"/>
    <cellStyle name="Normal 8 5 6 6" xfId="10746" xr:uid="{E806DA16-59F5-4910-89A0-48E60C64E2F0}"/>
    <cellStyle name="Normal 8 5 7" xfId="2654" xr:uid="{00000000-0005-0000-0000-0000441E0000}"/>
    <cellStyle name="Normal 8 5 7 2" xfId="6938" xr:uid="{00000000-0005-0000-0000-0000451E0000}"/>
    <cellStyle name="Normal 8 5 7 2 2" xfId="23815" xr:uid="{47918BB9-78E4-4F57-AE8D-7B8042EA9F01}"/>
    <cellStyle name="Normal 8 5 7 2 3" xfId="32249" xr:uid="{4423DB5B-6F40-4FAD-BCBD-749FF7012B07}"/>
    <cellStyle name="Normal 8 5 7 2 4" xfId="15377" xr:uid="{84D8F076-E864-4CD3-B887-75DFCA3C068E}"/>
    <cellStyle name="Normal 8 5 7 3" xfId="19597" xr:uid="{56E5F4CE-493C-435E-B4C8-DE4DFB540C7F}"/>
    <cellStyle name="Normal 8 5 7 4" xfId="28032" xr:uid="{B752B7B0-F0FF-4D1A-B048-D94F2C9349E0}"/>
    <cellStyle name="Normal 8 5 7 5" xfId="11159" xr:uid="{B73EB44D-AB02-4F2C-B227-3BD5C820A67E}"/>
    <cellStyle name="Normal 8 5 8" xfId="4873" xr:uid="{00000000-0005-0000-0000-0000461E0000}"/>
    <cellStyle name="Normal 8 5 8 2" xfId="21750" xr:uid="{2529205B-5630-4E3A-953C-FE6925781433}"/>
    <cellStyle name="Normal 8 5 8 3" xfId="30184" xr:uid="{61565FB0-66A8-42EF-AA6A-64D9D15F1825}"/>
    <cellStyle name="Normal 8 5 8 4" xfId="13312" xr:uid="{9A7B14C0-E531-44AB-A4D1-9A102D895378}"/>
    <cellStyle name="Normal 8 5 9" xfId="17532" xr:uid="{22B2E57D-9B4E-48B5-B2CB-05B31690E7A9}"/>
    <cellStyle name="Normal 8 6" xfId="509" xr:uid="{00000000-0005-0000-0000-0000471E0000}"/>
    <cellStyle name="Normal 8 6 10" xfId="9096" xr:uid="{EC89E6DE-5C58-4F94-84BD-D16E3D2C9B21}"/>
    <cellStyle name="Normal 8 6 2" xfId="976" xr:uid="{00000000-0005-0000-0000-0000481E0000}"/>
    <cellStyle name="Normal 8 6 2 2" xfId="3210" xr:uid="{00000000-0005-0000-0000-0000491E0000}"/>
    <cellStyle name="Normal 8 6 2 2 2" xfId="7433" xr:uid="{00000000-0005-0000-0000-00004A1E0000}"/>
    <cellStyle name="Normal 8 6 2 2 2 2" xfId="24310" xr:uid="{5AD7710B-7F46-4B7D-85AD-13355AE65E3D}"/>
    <cellStyle name="Normal 8 6 2 2 2 3" xfId="32744" xr:uid="{57C840D7-9D94-4B18-BB60-543B4BEB02CC}"/>
    <cellStyle name="Normal 8 6 2 2 2 4" xfId="15872" xr:uid="{AC248FD6-C0BA-4870-A390-D471F390F9AC}"/>
    <cellStyle name="Normal 8 6 2 2 3" xfId="20092" xr:uid="{B71BD35A-A038-429E-BF51-8A1E87E928C4}"/>
    <cellStyle name="Normal 8 6 2 2 4" xfId="28527" xr:uid="{512C67A5-4CB3-4028-B7E4-3A28F68291EE}"/>
    <cellStyle name="Normal 8 6 2 2 5" xfId="11654" xr:uid="{FB6A922E-CE83-4256-97C1-B9E60BA3A795}"/>
    <cellStyle name="Normal 8 6 2 3" xfId="5288" xr:uid="{00000000-0005-0000-0000-00004B1E0000}"/>
    <cellStyle name="Normal 8 6 2 3 2" xfId="22165" xr:uid="{0EEDE954-B14D-4E17-9F28-444AD19BD228}"/>
    <cellStyle name="Normal 8 6 2 3 3" xfId="30599" xr:uid="{DE66B879-A749-4023-9779-203DE7C21B11}"/>
    <cellStyle name="Normal 8 6 2 3 4" xfId="13727" xr:uid="{D5913AFB-204B-4178-81C6-64C3AAD89711}"/>
    <cellStyle name="Normal 8 6 2 4" xfId="17947" xr:uid="{BDB11B7B-44F8-4423-85DB-D99C544912A2}"/>
    <cellStyle name="Normal 8 6 2 5" xfId="26382" xr:uid="{B7C1C141-6286-4EB1-AA02-8E975E9861C9}"/>
    <cellStyle name="Normal 8 6 2 6" xfId="9509" xr:uid="{39E32244-E88E-437C-8DC9-EBE230D7EC6C}"/>
    <cellStyle name="Normal 8 6 3" xfId="1393" xr:uid="{00000000-0005-0000-0000-00004C1E0000}"/>
    <cellStyle name="Normal 8 6 3 2" xfId="3623" xr:uid="{00000000-0005-0000-0000-00004D1E0000}"/>
    <cellStyle name="Normal 8 6 3 2 2" xfId="7846" xr:uid="{00000000-0005-0000-0000-00004E1E0000}"/>
    <cellStyle name="Normal 8 6 3 2 2 2" xfId="24723" xr:uid="{22E3544F-E6CD-4795-B72E-1DA8888A2EA1}"/>
    <cellStyle name="Normal 8 6 3 2 2 3" xfId="33157" xr:uid="{B5BC2FCF-4A50-4F32-8BE5-57A5FE91F635}"/>
    <cellStyle name="Normal 8 6 3 2 2 4" xfId="16285" xr:uid="{D022BECD-FBC8-40D9-A480-23402FB8E23C}"/>
    <cellStyle name="Normal 8 6 3 2 3" xfId="20505" xr:uid="{BA2DDF9B-A189-47F4-9520-D4A0AD5A4165}"/>
    <cellStyle name="Normal 8 6 3 2 4" xfId="28940" xr:uid="{80318E0A-B553-4E6B-B8E6-5AEF346F76B4}"/>
    <cellStyle name="Normal 8 6 3 2 5" xfId="12067" xr:uid="{8999D5EE-C279-4858-A836-DEA7F31749AE}"/>
    <cellStyle name="Normal 8 6 3 3" xfId="5701" xr:uid="{00000000-0005-0000-0000-00004F1E0000}"/>
    <cellStyle name="Normal 8 6 3 3 2" xfId="22578" xr:uid="{04EF4B2D-FBFB-45A1-9DB9-775F0D7551B3}"/>
    <cellStyle name="Normal 8 6 3 3 3" xfId="31012" xr:uid="{A2D55939-F0C8-4131-88A5-A4CD0FE8AE5A}"/>
    <cellStyle name="Normal 8 6 3 3 4" xfId="14140" xr:uid="{06517942-6632-460F-83DB-C403E1B876CD}"/>
    <cellStyle name="Normal 8 6 3 4" xfId="18360" xr:uid="{A5BEFB16-B4FD-4AA1-BB4F-05BE535D165B}"/>
    <cellStyle name="Normal 8 6 3 5" xfId="26795" xr:uid="{049B7E23-A85C-49EA-AFCC-F37E8781C8B8}"/>
    <cellStyle name="Normal 8 6 3 6" xfId="9922" xr:uid="{E9C4830E-FFD7-4F0E-80FA-DA6C1D774E47}"/>
    <cellStyle name="Normal 8 6 4" xfId="1806" xr:uid="{00000000-0005-0000-0000-0000501E0000}"/>
    <cellStyle name="Normal 8 6 4 2" xfId="4036" xr:uid="{00000000-0005-0000-0000-0000511E0000}"/>
    <cellStyle name="Normal 8 6 4 2 2" xfId="8259" xr:uid="{00000000-0005-0000-0000-0000521E0000}"/>
    <cellStyle name="Normal 8 6 4 2 2 2" xfId="25136" xr:uid="{2EAE3BE3-63E1-4476-B9D8-2675452321B1}"/>
    <cellStyle name="Normal 8 6 4 2 2 3" xfId="33570" xr:uid="{A76CECB3-2CD6-4236-9764-CED9CC5BD21D}"/>
    <cellStyle name="Normal 8 6 4 2 2 4" xfId="16698" xr:uid="{C873D702-915B-409A-840E-BA3EAC0584C2}"/>
    <cellStyle name="Normal 8 6 4 2 3" xfId="20918" xr:uid="{96B2ADBE-B859-4BFC-896B-FD14F9F7B35C}"/>
    <cellStyle name="Normal 8 6 4 2 4" xfId="29353" xr:uid="{9E93ED75-D6B3-4C1D-A02F-B29EF1228AB2}"/>
    <cellStyle name="Normal 8 6 4 2 5" xfId="12480" xr:uid="{F534DF7E-D840-421C-9099-015A1CF356B7}"/>
    <cellStyle name="Normal 8 6 4 3" xfId="6114" xr:uid="{00000000-0005-0000-0000-0000531E0000}"/>
    <cellStyle name="Normal 8 6 4 3 2" xfId="22991" xr:uid="{A98AFB54-81BC-434C-8E1F-B88222B5C97F}"/>
    <cellStyle name="Normal 8 6 4 3 3" xfId="31425" xr:uid="{F729357A-B446-4B38-8907-473087A0E873}"/>
    <cellStyle name="Normal 8 6 4 3 4" xfId="14553" xr:uid="{8B7370D3-7FAB-4F4D-BC3A-8B711AB61D28}"/>
    <cellStyle name="Normal 8 6 4 4" xfId="18773" xr:uid="{C97203B0-79E9-4E79-A9FB-BB9F5C4B7AC8}"/>
    <cellStyle name="Normal 8 6 4 5" xfId="27208" xr:uid="{1C60B698-8949-473C-AC6D-AAD2CAE11DD6}"/>
    <cellStyle name="Normal 8 6 4 6" xfId="10335" xr:uid="{97F25753-AD97-48E7-894B-5B8AEE9E48C9}"/>
    <cellStyle name="Normal 8 6 5" xfId="2220" xr:uid="{00000000-0005-0000-0000-0000541E0000}"/>
    <cellStyle name="Normal 8 6 5 2" xfId="4449" xr:uid="{00000000-0005-0000-0000-0000551E0000}"/>
    <cellStyle name="Normal 8 6 5 2 2" xfId="8672" xr:uid="{00000000-0005-0000-0000-0000561E0000}"/>
    <cellStyle name="Normal 8 6 5 2 2 2" xfId="25549" xr:uid="{5929C356-5EC6-4A4A-8D86-6E8F738AB701}"/>
    <cellStyle name="Normal 8 6 5 2 2 3" xfId="33983" xr:uid="{B79CCD2D-B955-4F4A-B412-D3A9D87008E2}"/>
    <cellStyle name="Normal 8 6 5 2 2 4" xfId="17111" xr:uid="{4FBA542B-CE5A-4701-9E20-AC986BB49EC0}"/>
    <cellStyle name="Normal 8 6 5 2 3" xfId="21331" xr:uid="{F463B226-B40A-49F9-A925-45E794D50C2C}"/>
    <cellStyle name="Normal 8 6 5 2 4" xfId="29766" xr:uid="{ADE8CC36-D9B6-4158-A18A-078F72A415D1}"/>
    <cellStyle name="Normal 8 6 5 2 5" xfId="12893" xr:uid="{9F751BFD-119A-40E6-8FA9-03A8DFCA75BC}"/>
    <cellStyle name="Normal 8 6 5 3" xfId="6527" xr:uid="{00000000-0005-0000-0000-0000571E0000}"/>
    <cellStyle name="Normal 8 6 5 3 2" xfId="23404" xr:uid="{7CF11A40-BE5B-4AD8-82F7-B97EF2247401}"/>
    <cellStyle name="Normal 8 6 5 3 3" xfId="31838" xr:uid="{60199D02-99DC-4664-88E4-ED4430287B30}"/>
    <cellStyle name="Normal 8 6 5 3 4" xfId="14966" xr:uid="{168706EB-F7DD-4A2C-B9D6-8FD62A1D61EC}"/>
    <cellStyle name="Normal 8 6 5 4" xfId="19186" xr:uid="{30620553-3359-4DF9-A19D-89471B72F4B7}"/>
    <cellStyle name="Normal 8 6 5 5" xfId="27621" xr:uid="{D366F0EE-22C9-4883-9D62-2450308D4CB1}"/>
    <cellStyle name="Normal 8 6 5 6" xfId="10748" xr:uid="{7974FE7C-FCF4-43DA-BAF7-C6ECD5D182CE}"/>
    <cellStyle name="Normal 8 6 6" xfId="2656" xr:uid="{00000000-0005-0000-0000-0000581E0000}"/>
    <cellStyle name="Normal 8 6 6 2" xfId="6940" xr:uid="{00000000-0005-0000-0000-0000591E0000}"/>
    <cellStyle name="Normal 8 6 6 2 2" xfId="23817" xr:uid="{DFAE43CA-3EF4-4703-B8B1-53C24C1C5EB1}"/>
    <cellStyle name="Normal 8 6 6 2 3" xfId="32251" xr:uid="{D9DCF5DC-AA3E-4C19-9668-ED3B168F9E95}"/>
    <cellStyle name="Normal 8 6 6 2 4" xfId="15379" xr:uid="{CA45674E-525D-40BD-A49C-042AE9022304}"/>
    <cellStyle name="Normal 8 6 6 3" xfId="19599" xr:uid="{D04EF880-9B62-4EFC-B03F-2CC152E448C4}"/>
    <cellStyle name="Normal 8 6 6 4" xfId="28034" xr:uid="{DC20322D-9AFE-4356-8F29-6036A3EDB3CB}"/>
    <cellStyle name="Normal 8 6 6 5" xfId="11161" xr:uid="{157F9AB6-0E14-4678-AB65-4C339C1FFB7D}"/>
    <cellStyle name="Normal 8 6 7" xfId="4875" xr:uid="{00000000-0005-0000-0000-00005A1E0000}"/>
    <cellStyle name="Normal 8 6 7 2" xfId="21752" xr:uid="{0EF6A138-FC8C-4037-B75C-6EBC4293ABA0}"/>
    <cellStyle name="Normal 8 6 7 3" xfId="30186" xr:uid="{31D95DF0-31C5-42F3-8723-AF209F450271}"/>
    <cellStyle name="Normal 8 6 7 4" xfId="13314" xr:uid="{880F1A76-64F7-49A0-BA77-EC80EE90512C}"/>
    <cellStyle name="Normal 8 6 8" xfId="17534" xr:uid="{CD8648C0-CCE6-4E6F-A880-E2FEC14893C6}"/>
    <cellStyle name="Normal 8 6 9" xfId="25969" xr:uid="{9920D783-4EFD-42F5-B515-C0E02EBC55CC}"/>
    <cellStyle name="Normal 8 7" xfId="945" xr:uid="{00000000-0005-0000-0000-00005B1E0000}"/>
    <cellStyle name="Normal 8 7 2" xfId="3179" xr:uid="{00000000-0005-0000-0000-00005C1E0000}"/>
    <cellStyle name="Normal 8 7 2 2" xfId="7402" xr:uid="{00000000-0005-0000-0000-00005D1E0000}"/>
    <cellStyle name="Normal 8 7 2 2 2" xfId="24279" xr:uid="{841E55D5-AC5C-412F-B258-D69ED90F9430}"/>
    <cellStyle name="Normal 8 7 2 2 3" xfId="32713" xr:uid="{D1BD8CE6-FCC7-456F-9E65-CDC59E9E95B2}"/>
    <cellStyle name="Normal 8 7 2 2 4" xfId="15841" xr:uid="{40211617-0F08-4991-A5E9-76741AADC29C}"/>
    <cellStyle name="Normal 8 7 2 3" xfId="20061" xr:uid="{F49B1ACC-572F-43B1-9489-AE7BEC1E7910}"/>
    <cellStyle name="Normal 8 7 2 4" xfId="28496" xr:uid="{DE81E837-4387-4CE1-BD09-AB91734AC19F}"/>
    <cellStyle name="Normal 8 7 2 5" xfId="11623" xr:uid="{78B50D02-E6A2-4106-B0D1-5F16FF034483}"/>
    <cellStyle name="Normal 8 7 3" xfId="5257" xr:uid="{00000000-0005-0000-0000-00005E1E0000}"/>
    <cellStyle name="Normal 8 7 3 2" xfId="22134" xr:uid="{A0DD50EA-8410-4BAF-82B9-4279456C68E8}"/>
    <cellStyle name="Normal 8 7 3 3" xfId="30568" xr:uid="{85D54EE3-3BCA-43FC-9657-4847F3AC54BF}"/>
    <cellStyle name="Normal 8 7 3 4" xfId="13696" xr:uid="{BD6992AE-1E21-4A15-AE6D-12782FBFBA01}"/>
    <cellStyle name="Normal 8 7 4" xfId="17916" xr:uid="{D4DCDF6C-2203-4660-9864-4524CA296349}"/>
    <cellStyle name="Normal 8 7 5" xfId="26351" xr:uid="{F93E2E7F-E004-4DD9-AD62-970557F25D81}"/>
    <cellStyle name="Normal 8 7 6" xfId="9478" xr:uid="{271D3229-C264-454B-B504-8038D41B7B58}"/>
    <cellStyle name="Normal 8 8" xfId="1362" xr:uid="{00000000-0005-0000-0000-00005F1E0000}"/>
    <cellStyle name="Normal 8 8 2" xfId="3592" xr:uid="{00000000-0005-0000-0000-0000601E0000}"/>
    <cellStyle name="Normal 8 8 2 2" xfId="7815" xr:uid="{00000000-0005-0000-0000-0000611E0000}"/>
    <cellStyle name="Normal 8 8 2 2 2" xfId="24692" xr:uid="{0CDA0183-9689-44FD-8EF9-1CA4E4204323}"/>
    <cellStyle name="Normal 8 8 2 2 3" xfId="33126" xr:uid="{1B0BF1B8-3627-41B1-8B26-9FDDF59ADC8C}"/>
    <cellStyle name="Normal 8 8 2 2 4" xfId="16254" xr:uid="{EDF9166A-B4DA-47C2-B434-A5BB17C35D3C}"/>
    <cellStyle name="Normal 8 8 2 3" xfId="20474" xr:uid="{C83CC265-6329-4847-ACFD-AC062522D673}"/>
    <cellStyle name="Normal 8 8 2 4" xfId="28909" xr:uid="{63166779-0308-4044-93BD-BA2B3E81BB47}"/>
    <cellStyle name="Normal 8 8 2 5" xfId="12036" xr:uid="{A9A012BD-F33A-4554-92AA-7491AEC18708}"/>
    <cellStyle name="Normal 8 8 3" xfId="5670" xr:uid="{00000000-0005-0000-0000-0000621E0000}"/>
    <cellStyle name="Normal 8 8 3 2" xfId="22547" xr:uid="{8CC44F3B-C2AC-4E7C-9A54-824DE7A91E4D}"/>
    <cellStyle name="Normal 8 8 3 3" xfId="30981" xr:uid="{AE52B0FA-0065-4E4A-952D-6608200F0F85}"/>
    <cellStyle name="Normal 8 8 3 4" xfId="14109" xr:uid="{7D8D5875-11C9-45DD-898D-2C440BD97FEA}"/>
    <cellStyle name="Normal 8 8 4" xfId="18329" xr:uid="{21A87DD6-A3EB-4EAD-BBA4-DFCA84D7031B}"/>
    <cellStyle name="Normal 8 8 5" xfId="26764" xr:uid="{4642DAAE-2FE9-4F4F-B66C-DCEE3ECAF512}"/>
    <cellStyle name="Normal 8 8 6" xfId="9891" xr:uid="{70DEF76C-8C5F-4E55-859E-EF8C1D593746}"/>
    <cellStyle name="Normal 8 9" xfId="1775" xr:uid="{00000000-0005-0000-0000-0000631E0000}"/>
    <cellStyle name="Normal 8 9 2" xfId="4005" xr:uid="{00000000-0005-0000-0000-0000641E0000}"/>
    <cellStyle name="Normal 8 9 2 2" xfId="8228" xr:uid="{00000000-0005-0000-0000-0000651E0000}"/>
    <cellStyle name="Normal 8 9 2 2 2" xfId="25105" xr:uid="{09537206-C645-4BAC-9337-89EE54574645}"/>
    <cellStyle name="Normal 8 9 2 2 3" xfId="33539" xr:uid="{BEA36010-B5EC-482F-B43A-6E0AEB305FA2}"/>
    <cellStyle name="Normal 8 9 2 2 4" xfId="16667" xr:uid="{32D51081-EB83-449C-8420-18C968EC123D}"/>
    <cellStyle name="Normal 8 9 2 3" xfId="20887" xr:uid="{B076C1C7-67EB-47CD-A41E-B414792A6C42}"/>
    <cellStyle name="Normal 8 9 2 4" xfId="29322" xr:uid="{84B84A07-27F2-464F-AA39-94C6A6C491AC}"/>
    <cellStyle name="Normal 8 9 2 5" xfId="12449" xr:uid="{48BE2659-7190-49B5-B410-20E50A5CED33}"/>
    <cellStyle name="Normal 8 9 3" xfId="6083" xr:uid="{00000000-0005-0000-0000-0000661E0000}"/>
    <cellStyle name="Normal 8 9 3 2" xfId="22960" xr:uid="{FFBCCAB8-2D47-4AE8-A847-3F7CBD99272B}"/>
    <cellStyle name="Normal 8 9 3 3" xfId="31394" xr:uid="{416A0303-0FFA-4E85-8401-28E6047AEA6F}"/>
    <cellStyle name="Normal 8 9 3 4" xfId="14522" xr:uid="{2C5240F6-FF1C-4FFA-8EF5-98ED1611000D}"/>
    <cellStyle name="Normal 8 9 4" xfId="18742" xr:uid="{E8B8985F-BA5B-40D0-8C8F-0B4072CE61BD}"/>
    <cellStyle name="Normal 8 9 5" xfId="27177" xr:uid="{2AE30FCE-26BD-4A67-91F0-AA0CE09CF09C}"/>
    <cellStyle name="Normal 8 9 6" xfId="10304" xr:uid="{E197C041-1872-443B-8389-69474574F903}"/>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23818" xr:uid="{79100B39-66CD-455D-AEAC-7B82D8A11A8B}"/>
    <cellStyle name="Normal 9 2 10 2 3" xfId="32252" xr:uid="{7793562B-011C-4EA5-9079-D318AFE4E206}"/>
    <cellStyle name="Normal 9 2 10 2 4" xfId="15380" xr:uid="{24E11AD6-1061-4D65-8F6C-87906EFD0AA9}"/>
    <cellStyle name="Normal 9 2 10 3" xfId="19600" xr:uid="{2EA99EC8-279E-4DDB-BA09-C2D20A4EC6AF}"/>
    <cellStyle name="Normal 9 2 10 4" xfId="28035" xr:uid="{8742B4EC-3E56-4780-8D29-A564571A3D23}"/>
    <cellStyle name="Normal 9 2 10 5" xfId="11162" xr:uid="{FFCAC4E3-113A-47C0-842B-77E1A27AD530}"/>
    <cellStyle name="Normal 9 2 11" xfId="4876" xr:uid="{00000000-0005-0000-0000-00006B1E0000}"/>
    <cellStyle name="Normal 9 2 11 2" xfId="21753" xr:uid="{2E7FBE81-B97C-47E2-B730-0269D48F7656}"/>
    <cellStyle name="Normal 9 2 11 3" xfId="30187" xr:uid="{A769DE1D-6DF0-4639-B6D3-6E2389966F6E}"/>
    <cellStyle name="Normal 9 2 11 4" xfId="13315" xr:uid="{DA6F1595-7214-44D2-B336-AE542BFC36AF}"/>
    <cellStyle name="Normal 9 2 12" xfId="17535" xr:uid="{B8B78A2F-572F-4EF6-8384-0B9022234DD6}"/>
    <cellStyle name="Normal 9 2 13" xfId="25970" xr:uid="{F77C01E9-50E4-4948-A221-6BC59912FEB7}"/>
    <cellStyle name="Normal 9 2 14" xfId="9097" xr:uid="{301C8007-DEF0-4269-B158-650F03EF0B89}"/>
    <cellStyle name="Normal 9 2 2" xfId="512" xr:uid="{00000000-0005-0000-0000-00006C1E0000}"/>
    <cellStyle name="Normal 9 2 2 10" xfId="4877" xr:uid="{00000000-0005-0000-0000-00006D1E0000}"/>
    <cellStyle name="Normal 9 2 2 10 2" xfId="21754" xr:uid="{66E5CDFE-2B84-47A2-B4D4-BC8AE36AC180}"/>
    <cellStyle name="Normal 9 2 2 10 3" xfId="30188" xr:uid="{DA84B863-64C0-45B6-A97D-E6AAEA110FF9}"/>
    <cellStyle name="Normal 9 2 2 10 4" xfId="13316" xr:uid="{7695F30C-2F60-4BF2-99A3-8BF55A46F968}"/>
    <cellStyle name="Normal 9 2 2 11" xfId="17536" xr:uid="{7737E933-818A-4BF3-8F01-9B2C94262C9A}"/>
    <cellStyle name="Normal 9 2 2 12" xfId="25971" xr:uid="{B81C76FC-82F8-4D89-9D51-CEB65519190B}"/>
    <cellStyle name="Normal 9 2 2 13" xfId="9098" xr:uid="{7E986B0D-98DB-4915-9EDF-7A036E84D5C2}"/>
    <cellStyle name="Normal 9 2 2 2" xfId="513" xr:uid="{00000000-0005-0000-0000-00006E1E0000}"/>
    <cellStyle name="Normal 9 2 2 2 10" xfId="17537" xr:uid="{9A92C61F-49B5-4FFB-B77E-4874B8B9EB20}"/>
    <cellStyle name="Normal 9 2 2 2 11" xfId="25972" xr:uid="{C4A5C088-01F1-4293-BD2E-FBD7EFBD6B62}"/>
    <cellStyle name="Normal 9 2 2 2 12" xfId="9099" xr:uid="{41D9B4E6-3E06-4850-A58A-71C0C0C01A5C}"/>
    <cellStyle name="Normal 9 2 2 2 2" xfId="514" xr:uid="{00000000-0005-0000-0000-00006F1E0000}"/>
    <cellStyle name="Normal 9 2 2 2 2 10" xfId="25973" xr:uid="{1F86C389-3AEA-4AE9-A67E-C6716DCF8434}"/>
    <cellStyle name="Normal 9 2 2 2 2 11" xfId="9100" xr:uid="{35D676B5-949B-4CE5-9667-3E2767EC18A6}"/>
    <cellStyle name="Normal 9 2 2 2 2 2" xfId="515" xr:uid="{00000000-0005-0000-0000-0000701E0000}"/>
    <cellStyle name="Normal 9 2 2 2 2 2 10" xfId="9101" xr:uid="{88BEB00E-4ADD-43C5-9E81-746420146B85}"/>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24315" xr:uid="{5A5287EE-7B96-4E7A-940F-CE0821E7988A}"/>
    <cellStyle name="Normal 9 2 2 2 2 2 2 2 2 3" xfId="32749" xr:uid="{85DC6340-CE1E-4D53-A631-F06C8EA4F002}"/>
    <cellStyle name="Normal 9 2 2 2 2 2 2 2 2 4" xfId="15877" xr:uid="{EB3AE48E-1749-4DE5-BCA8-18889B531B36}"/>
    <cellStyle name="Normal 9 2 2 2 2 2 2 2 3" xfId="20097" xr:uid="{0F3EFFB1-D0DF-46BD-B367-1D49A8DACBEA}"/>
    <cellStyle name="Normal 9 2 2 2 2 2 2 2 4" xfId="28532" xr:uid="{E0365FFC-8681-49E9-B85B-4D10B9C91561}"/>
    <cellStyle name="Normal 9 2 2 2 2 2 2 2 5" xfId="11659" xr:uid="{D4E5F333-5CE7-43C5-A1DE-A632A3EE9D05}"/>
    <cellStyle name="Normal 9 2 2 2 2 2 2 3" xfId="5293" xr:uid="{00000000-0005-0000-0000-0000741E0000}"/>
    <cellStyle name="Normal 9 2 2 2 2 2 2 3 2" xfId="22170" xr:uid="{504A0CD9-1ECB-4C3E-80B9-DBED0051C797}"/>
    <cellStyle name="Normal 9 2 2 2 2 2 2 3 3" xfId="30604" xr:uid="{54D43F94-53F7-4747-95D2-3C98661B0B3A}"/>
    <cellStyle name="Normal 9 2 2 2 2 2 2 3 4" xfId="13732" xr:uid="{6F981D85-DE16-464B-B3A2-539145CE44B3}"/>
    <cellStyle name="Normal 9 2 2 2 2 2 2 4" xfId="17952" xr:uid="{F2A2ECC8-D175-496E-BD0D-8F4589659AC6}"/>
    <cellStyle name="Normal 9 2 2 2 2 2 2 5" xfId="26387" xr:uid="{6944A12E-0A63-4E63-8307-AA9DEF330954}"/>
    <cellStyle name="Normal 9 2 2 2 2 2 2 6" xfId="9514" xr:uid="{E1635C4A-EE57-42E1-B88C-7AA680081A87}"/>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24728" xr:uid="{C0A8C578-B114-412A-9D2F-F9D1A5E5955F}"/>
    <cellStyle name="Normal 9 2 2 2 2 2 3 2 2 3" xfId="33162" xr:uid="{0A66A606-BDA2-4E4C-8D30-E5C398079DC4}"/>
    <cellStyle name="Normal 9 2 2 2 2 2 3 2 2 4" xfId="16290" xr:uid="{F88042B8-D6CE-4093-A283-96125FFCC867}"/>
    <cellStyle name="Normal 9 2 2 2 2 2 3 2 3" xfId="20510" xr:uid="{BA68FE88-6428-4ED8-8748-606A8D304B87}"/>
    <cellStyle name="Normal 9 2 2 2 2 2 3 2 4" xfId="28945" xr:uid="{EA0B2ABD-F145-4D23-97FA-EC674FC4D1BD}"/>
    <cellStyle name="Normal 9 2 2 2 2 2 3 2 5" xfId="12072" xr:uid="{59EA8255-BCEF-4763-8065-1E540C3959DD}"/>
    <cellStyle name="Normal 9 2 2 2 2 2 3 3" xfId="5706" xr:uid="{00000000-0005-0000-0000-0000781E0000}"/>
    <cellStyle name="Normal 9 2 2 2 2 2 3 3 2" xfId="22583" xr:uid="{F4A16086-32C4-4C53-A7BC-5244DBAD371E}"/>
    <cellStyle name="Normal 9 2 2 2 2 2 3 3 3" xfId="31017" xr:uid="{7E673E5A-2256-482A-93F6-D0F7F8DD1EC6}"/>
    <cellStyle name="Normal 9 2 2 2 2 2 3 3 4" xfId="14145" xr:uid="{CC24B1B8-339F-4EF7-9CCB-6851E2CF9BB2}"/>
    <cellStyle name="Normal 9 2 2 2 2 2 3 4" xfId="18365" xr:uid="{E1272547-DFDA-4168-B803-E905B15629F2}"/>
    <cellStyle name="Normal 9 2 2 2 2 2 3 5" xfId="26800" xr:uid="{5625CC5C-E210-4F30-B648-7C59B278385E}"/>
    <cellStyle name="Normal 9 2 2 2 2 2 3 6" xfId="9927" xr:uid="{8FBCCD70-5D36-43C6-B493-E660151AC7D9}"/>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25141" xr:uid="{3964248F-1864-40FB-97BB-D4F183323AEB}"/>
    <cellStyle name="Normal 9 2 2 2 2 2 4 2 2 3" xfId="33575" xr:uid="{53A07F20-1FA4-4AB1-BCC3-98FF7047E1D4}"/>
    <cellStyle name="Normal 9 2 2 2 2 2 4 2 2 4" xfId="16703" xr:uid="{DDFF05D0-5146-4CDC-ADF2-B0A25D313A9A}"/>
    <cellStyle name="Normal 9 2 2 2 2 2 4 2 3" xfId="20923" xr:uid="{99579084-38AF-40A3-B384-3FD47E7C7C34}"/>
    <cellStyle name="Normal 9 2 2 2 2 2 4 2 4" xfId="29358" xr:uid="{E8320607-BD02-4352-B19B-7E5B43951142}"/>
    <cellStyle name="Normal 9 2 2 2 2 2 4 2 5" xfId="12485" xr:uid="{86969815-28D6-4B9F-BD50-2BEA226B3DF2}"/>
    <cellStyle name="Normal 9 2 2 2 2 2 4 3" xfId="6119" xr:uid="{00000000-0005-0000-0000-00007C1E0000}"/>
    <cellStyle name="Normal 9 2 2 2 2 2 4 3 2" xfId="22996" xr:uid="{00E68A6A-C6FF-486B-A1ED-B2BD75E4DF4A}"/>
    <cellStyle name="Normal 9 2 2 2 2 2 4 3 3" xfId="31430" xr:uid="{178026DB-750E-4C09-9CC5-9F3C017A3D65}"/>
    <cellStyle name="Normal 9 2 2 2 2 2 4 3 4" xfId="14558" xr:uid="{7A0EBFF1-B9AB-4EBA-9645-0E6F7F96FECB}"/>
    <cellStyle name="Normal 9 2 2 2 2 2 4 4" xfId="18778" xr:uid="{268E549C-A2F3-4E01-B59B-F0FD2298DCD2}"/>
    <cellStyle name="Normal 9 2 2 2 2 2 4 5" xfId="27213" xr:uid="{5F07999D-A58A-47DE-89EE-131800F24AE7}"/>
    <cellStyle name="Normal 9 2 2 2 2 2 4 6" xfId="10340" xr:uid="{E18D9D3E-BA35-4FDE-BBC6-73CE11FAD1ED}"/>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25554" xr:uid="{B8321B94-6249-4138-BCFC-54A6DB824FE9}"/>
    <cellStyle name="Normal 9 2 2 2 2 2 5 2 2 3" xfId="33988" xr:uid="{01FE5D6B-3ECF-469D-BF2B-0531952E07CB}"/>
    <cellStyle name="Normal 9 2 2 2 2 2 5 2 2 4" xfId="17116" xr:uid="{6AA61E2E-9778-427B-9933-76DBB18E0022}"/>
    <cellStyle name="Normal 9 2 2 2 2 2 5 2 3" xfId="21336" xr:uid="{95589F89-9E20-4930-B3B5-9B9BBA78D9F1}"/>
    <cellStyle name="Normal 9 2 2 2 2 2 5 2 4" xfId="29771" xr:uid="{ACEF2D15-C755-4F40-B6E0-91D751F34DDA}"/>
    <cellStyle name="Normal 9 2 2 2 2 2 5 2 5" xfId="12898" xr:uid="{CAB5E5B1-43BD-4E11-A566-1B6536AF6029}"/>
    <cellStyle name="Normal 9 2 2 2 2 2 5 3" xfId="6532" xr:uid="{00000000-0005-0000-0000-0000801E0000}"/>
    <cellStyle name="Normal 9 2 2 2 2 2 5 3 2" xfId="23409" xr:uid="{73721919-4D28-4B20-BE72-00DF88F74D86}"/>
    <cellStyle name="Normal 9 2 2 2 2 2 5 3 3" xfId="31843" xr:uid="{4672675F-5B34-41C3-B9E4-9CA9F3146C67}"/>
    <cellStyle name="Normal 9 2 2 2 2 2 5 3 4" xfId="14971" xr:uid="{DC33335C-5A9C-482C-A1CA-9C69E503348D}"/>
    <cellStyle name="Normal 9 2 2 2 2 2 5 4" xfId="19191" xr:uid="{4ADD3598-9F65-46A4-A52B-CAC33773AD5F}"/>
    <cellStyle name="Normal 9 2 2 2 2 2 5 5" xfId="27626" xr:uid="{DB5B5C4F-B039-4719-8A39-E9D301FA7519}"/>
    <cellStyle name="Normal 9 2 2 2 2 2 5 6" xfId="10753" xr:uid="{B9DB3F53-3D80-46E5-8F8D-11EFB352F026}"/>
    <cellStyle name="Normal 9 2 2 2 2 2 6" xfId="2661" xr:uid="{00000000-0005-0000-0000-0000811E0000}"/>
    <cellStyle name="Normal 9 2 2 2 2 2 6 2" xfId="6945" xr:uid="{00000000-0005-0000-0000-0000821E0000}"/>
    <cellStyle name="Normal 9 2 2 2 2 2 6 2 2" xfId="23822" xr:uid="{3573DBAD-B704-4285-AA26-02357D1D309C}"/>
    <cellStyle name="Normal 9 2 2 2 2 2 6 2 3" xfId="32256" xr:uid="{250197D6-F6C4-4D56-AC6C-FFC12576EBB3}"/>
    <cellStyle name="Normal 9 2 2 2 2 2 6 2 4" xfId="15384" xr:uid="{57A20463-A060-4F20-868B-6F606A10A6B2}"/>
    <cellStyle name="Normal 9 2 2 2 2 2 6 3" xfId="19604" xr:uid="{52A2BCEF-7CDD-468E-AAD5-16A9B7A05266}"/>
    <cellStyle name="Normal 9 2 2 2 2 2 6 4" xfId="28039" xr:uid="{46FC4C7E-E070-4037-8208-8463B2AC7C1B}"/>
    <cellStyle name="Normal 9 2 2 2 2 2 6 5" xfId="11166" xr:uid="{998839AE-6B2C-4802-AC06-ABF3C20EB008}"/>
    <cellStyle name="Normal 9 2 2 2 2 2 7" xfId="4880" xr:uid="{00000000-0005-0000-0000-0000831E0000}"/>
    <cellStyle name="Normal 9 2 2 2 2 2 7 2" xfId="21757" xr:uid="{3312FA68-C61E-4DFE-80EB-D1F8889E0B92}"/>
    <cellStyle name="Normal 9 2 2 2 2 2 7 3" xfId="30191" xr:uid="{21D82522-6E3C-4113-9F9F-86DE7DC009E8}"/>
    <cellStyle name="Normal 9 2 2 2 2 2 7 4" xfId="13319" xr:uid="{254CDD2D-A8F8-4584-9A18-FBCB0E798F26}"/>
    <cellStyle name="Normal 9 2 2 2 2 2 8" xfId="17539" xr:uid="{8AAA8552-8AAE-46AB-90B7-04AFF62B498F}"/>
    <cellStyle name="Normal 9 2 2 2 2 2 9" xfId="25974" xr:uid="{E74B05E1-F09E-466A-B445-C84F445A8FD2}"/>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24314" xr:uid="{7127BF8E-F05F-4B40-B846-55D8D394F3C4}"/>
    <cellStyle name="Normal 9 2 2 2 2 3 2 2 3" xfId="32748" xr:uid="{11EC459B-C023-4CFA-A538-85ED53CB4016}"/>
    <cellStyle name="Normal 9 2 2 2 2 3 2 2 4" xfId="15876" xr:uid="{312C4310-F2D0-485E-A12E-27548B25AF15}"/>
    <cellStyle name="Normal 9 2 2 2 2 3 2 3" xfId="20096" xr:uid="{DBEE8FAB-E879-4029-BFB7-5847013813F9}"/>
    <cellStyle name="Normal 9 2 2 2 2 3 2 4" xfId="28531" xr:uid="{62759CF4-6F5F-4FE0-BCE6-ECADE37DBE46}"/>
    <cellStyle name="Normal 9 2 2 2 2 3 2 5" xfId="11658" xr:uid="{9F906ECE-DB1C-4A92-809D-88463320FA46}"/>
    <cellStyle name="Normal 9 2 2 2 2 3 3" xfId="5292" xr:uid="{00000000-0005-0000-0000-0000871E0000}"/>
    <cellStyle name="Normal 9 2 2 2 2 3 3 2" xfId="22169" xr:uid="{D463E23E-4FC5-4C79-8226-27659D652B2E}"/>
    <cellStyle name="Normal 9 2 2 2 2 3 3 3" xfId="30603" xr:uid="{B97C148B-FA0F-4D36-81B0-7E3191CEF84C}"/>
    <cellStyle name="Normal 9 2 2 2 2 3 3 4" xfId="13731" xr:uid="{3DB63314-8088-4379-96F3-BA62B92A4817}"/>
    <cellStyle name="Normal 9 2 2 2 2 3 4" xfId="17951" xr:uid="{557572EB-00B3-4F42-9329-BFF8E4001C29}"/>
    <cellStyle name="Normal 9 2 2 2 2 3 5" xfId="26386" xr:uid="{C0A66FC2-C4CF-4E1E-9F69-6935499F3D6E}"/>
    <cellStyle name="Normal 9 2 2 2 2 3 6" xfId="9513" xr:uid="{DAEF796E-54D7-48CA-A895-B2F982DC642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24727" xr:uid="{64237B1E-2E8F-4C4E-A2F1-1568786CE725}"/>
    <cellStyle name="Normal 9 2 2 2 2 4 2 2 3" xfId="33161" xr:uid="{B220BC7B-80AE-4D3A-B735-24A596CCB697}"/>
    <cellStyle name="Normal 9 2 2 2 2 4 2 2 4" xfId="16289" xr:uid="{3FA944C7-02F5-4E6E-A985-669A2D7BF50C}"/>
    <cellStyle name="Normal 9 2 2 2 2 4 2 3" xfId="20509" xr:uid="{C4745E80-E382-4A5E-9F72-DE1832CEE14B}"/>
    <cellStyle name="Normal 9 2 2 2 2 4 2 4" xfId="28944" xr:uid="{ADAD4A1F-6416-4F9B-9FD3-0677E69F42C1}"/>
    <cellStyle name="Normal 9 2 2 2 2 4 2 5" xfId="12071" xr:uid="{E2683CDA-F325-464F-BBB8-BC306EC24AC0}"/>
    <cellStyle name="Normal 9 2 2 2 2 4 3" xfId="5705" xr:uid="{00000000-0005-0000-0000-00008B1E0000}"/>
    <cellStyle name="Normal 9 2 2 2 2 4 3 2" xfId="22582" xr:uid="{EF38F7D7-5BAC-4711-A869-9228084C1C69}"/>
    <cellStyle name="Normal 9 2 2 2 2 4 3 3" xfId="31016" xr:uid="{49FCE3E4-AE93-434E-9A6B-E7F7BBB4A97E}"/>
    <cellStyle name="Normal 9 2 2 2 2 4 3 4" xfId="14144" xr:uid="{D979B72B-E569-4EF9-B77D-8DED11003AE1}"/>
    <cellStyle name="Normal 9 2 2 2 2 4 4" xfId="18364" xr:uid="{ED5D70CA-67BD-4BE7-9988-749AAEFF05CD}"/>
    <cellStyle name="Normal 9 2 2 2 2 4 5" xfId="26799" xr:uid="{43D6A244-02CA-445C-9AC8-600FA7D9CAF5}"/>
    <cellStyle name="Normal 9 2 2 2 2 4 6" xfId="9926" xr:uid="{935360B0-F742-4AC4-B6B8-60F9FF91FE1F}"/>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25140" xr:uid="{47EB67A6-8C22-4AC1-9F09-E439A15C9809}"/>
    <cellStyle name="Normal 9 2 2 2 2 5 2 2 3" xfId="33574" xr:uid="{F8BE98D0-7D92-4FBA-A6EF-F4BCD6CB3201}"/>
    <cellStyle name="Normal 9 2 2 2 2 5 2 2 4" xfId="16702" xr:uid="{339C7DF2-C022-4AE2-8AA7-33AA5E3E701A}"/>
    <cellStyle name="Normal 9 2 2 2 2 5 2 3" xfId="20922" xr:uid="{2A002069-E66E-424B-A395-DD4D73760BA1}"/>
    <cellStyle name="Normal 9 2 2 2 2 5 2 4" xfId="29357" xr:uid="{A871D3CC-0C01-4FD2-AD3E-3EDA1AF15B07}"/>
    <cellStyle name="Normal 9 2 2 2 2 5 2 5" xfId="12484" xr:uid="{7D855AC9-FC82-4851-8CDD-A15BE7C36E42}"/>
    <cellStyle name="Normal 9 2 2 2 2 5 3" xfId="6118" xr:uid="{00000000-0005-0000-0000-00008F1E0000}"/>
    <cellStyle name="Normal 9 2 2 2 2 5 3 2" xfId="22995" xr:uid="{255C5590-A2EA-4760-A334-09CF44C17644}"/>
    <cellStyle name="Normal 9 2 2 2 2 5 3 3" xfId="31429" xr:uid="{2ED55FED-90C4-4479-8BF8-9B4BD298BCD2}"/>
    <cellStyle name="Normal 9 2 2 2 2 5 3 4" xfId="14557" xr:uid="{D4E42715-FCDC-4345-80AF-99B6B837D019}"/>
    <cellStyle name="Normal 9 2 2 2 2 5 4" xfId="18777" xr:uid="{4EB8D48F-436D-4278-8A37-37EA2A3B3BF3}"/>
    <cellStyle name="Normal 9 2 2 2 2 5 5" xfId="27212" xr:uid="{D785CE2D-76FC-4134-A019-C1A79A263F73}"/>
    <cellStyle name="Normal 9 2 2 2 2 5 6" xfId="10339" xr:uid="{761EB330-EC81-4D33-9155-FECEF35BEE65}"/>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25553" xr:uid="{57E1FD6D-7BC5-48A0-A3B6-EBC34FE727B2}"/>
    <cellStyle name="Normal 9 2 2 2 2 6 2 2 3" xfId="33987" xr:uid="{D1DBCF32-2683-4713-8CD1-BC9CEBD5CBDC}"/>
    <cellStyle name="Normal 9 2 2 2 2 6 2 2 4" xfId="17115" xr:uid="{01321546-5527-46A2-94AA-A384B3C26E46}"/>
    <cellStyle name="Normal 9 2 2 2 2 6 2 3" xfId="21335" xr:uid="{8C225653-957A-4A81-B0C6-64851AA900EF}"/>
    <cellStyle name="Normal 9 2 2 2 2 6 2 4" xfId="29770" xr:uid="{DFC441C9-F08B-4FCA-B1F8-DDB5EDB594BD}"/>
    <cellStyle name="Normal 9 2 2 2 2 6 2 5" xfId="12897" xr:uid="{37E2BC74-5EBD-4052-A2D5-E91209EE0002}"/>
    <cellStyle name="Normal 9 2 2 2 2 6 3" xfId="6531" xr:uid="{00000000-0005-0000-0000-0000931E0000}"/>
    <cellStyle name="Normal 9 2 2 2 2 6 3 2" xfId="23408" xr:uid="{EBEDD65B-23D2-406A-8364-922CAAC6F8E2}"/>
    <cellStyle name="Normal 9 2 2 2 2 6 3 3" xfId="31842" xr:uid="{07FD5E4F-FC6B-4B48-B93F-B00B5682C327}"/>
    <cellStyle name="Normal 9 2 2 2 2 6 3 4" xfId="14970" xr:uid="{E5C16CBC-EE1B-460A-90EE-66D4730C2EEC}"/>
    <cellStyle name="Normal 9 2 2 2 2 6 4" xfId="19190" xr:uid="{46153941-7A61-4C8E-9A92-3FD8B8916313}"/>
    <cellStyle name="Normal 9 2 2 2 2 6 5" xfId="27625" xr:uid="{202575AD-A7C7-4F1D-A582-A45C97DFDFAA}"/>
    <cellStyle name="Normal 9 2 2 2 2 6 6" xfId="10752" xr:uid="{49DA771F-6159-4853-B0EE-216CABB03119}"/>
    <cellStyle name="Normal 9 2 2 2 2 7" xfId="2660" xr:uid="{00000000-0005-0000-0000-0000941E0000}"/>
    <cellStyle name="Normal 9 2 2 2 2 7 2" xfId="6944" xr:uid="{00000000-0005-0000-0000-0000951E0000}"/>
    <cellStyle name="Normal 9 2 2 2 2 7 2 2" xfId="23821" xr:uid="{BE6CC1FF-F816-4D4B-9B40-59565F42EA07}"/>
    <cellStyle name="Normal 9 2 2 2 2 7 2 3" xfId="32255" xr:uid="{98196EFB-C380-4836-9AD8-72A207D740E6}"/>
    <cellStyle name="Normal 9 2 2 2 2 7 2 4" xfId="15383" xr:uid="{E047B348-9362-41F4-9021-643B508F51DF}"/>
    <cellStyle name="Normal 9 2 2 2 2 7 3" xfId="19603" xr:uid="{A62BF005-E419-4D67-A17C-69BB61206C77}"/>
    <cellStyle name="Normal 9 2 2 2 2 7 4" xfId="28038" xr:uid="{79A69F27-EBFB-4000-BAA7-45487EF69FED}"/>
    <cellStyle name="Normal 9 2 2 2 2 7 5" xfId="11165" xr:uid="{4183FF67-7904-4F78-B41A-88938FCD2B6C}"/>
    <cellStyle name="Normal 9 2 2 2 2 8" xfId="4879" xr:uid="{00000000-0005-0000-0000-0000961E0000}"/>
    <cellStyle name="Normal 9 2 2 2 2 8 2" xfId="21756" xr:uid="{2B464763-8FF4-4D78-9392-95BF5FB6EC94}"/>
    <cellStyle name="Normal 9 2 2 2 2 8 3" xfId="30190" xr:uid="{6F4A58E6-448F-4B5A-AD68-66FFAE461652}"/>
    <cellStyle name="Normal 9 2 2 2 2 8 4" xfId="13318" xr:uid="{9055C2FA-5E43-43A1-9D81-DA848F6BE01A}"/>
    <cellStyle name="Normal 9 2 2 2 2 9" xfId="17538" xr:uid="{4A1D6328-9ED0-4800-BE3B-F35A11AF6840}"/>
    <cellStyle name="Normal 9 2 2 2 3" xfId="516" xr:uid="{00000000-0005-0000-0000-0000971E0000}"/>
    <cellStyle name="Normal 9 2 2 2 3 10" xfId="9102" xr:uid="{29A22652-3316-49CE-A29A-AE3AC564805B}"/>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24316" xr:uid="{AFB68670-DCB1-4344-8461-5FBF9C281640}"/>
    <cellStyle name="Normal 9 2 2 2 3 2 2 2 3" xfId="32750" xr:uid="{6464D472-8C76-4A2C-90B5-1B6A1B71E453}"/>
    <cellStyle name="Normal 9 2 2 2 3 2 2 2 4" xfId="15878" xr:uid="{984EA5B7-CC59-4036-B364-47B99F1538EA}"/>
    <cellStyle name="Normal 9 2 2 2 3 2 2 3" xfId="20098" xr:uid="{B24FEA21-E57E-41CA-AAA9-744D87963430}"/>
    <cellStyle name="Normal 9 2 2 2 3 2 2 4" xfId="28533" xr:uid="{56AA9691-CCF0-4683-B5EE-DE74A8A0AB01}"/>
    <cellStyle name="Normal 9 2 2 2 3 2 2 5" xfId="11660" xr:uid="{141BDFA9-B598-4E76-AA4C-1DD6CD126A88}"/>
    <cellStyle name="Normal 9 2 2 2 3 2 3" xfId="5294" xr:uid="{00000000-0005-0000-0000-00009B1E0000}"/>
    <cellStyle name="Normal 9 2 2 2 3 2 3 2" xfId="22171" xr:uid="{68062454-CB78-4416-8228-D46342BFCD75}"/>
    <cellStyle name="Normal 9 2 2 2 3 2 3 3" xfId="30605" xr:uid="{4F16B5DB-C145-4AF7-B4ED-BC7705AD6C69}"/>
    <cellStyle name="Normal 9 2 2 2 3 2 3 4" xfId="13733" xr:uid="{5B5B5DAC-3A19-4851-847F-326A59E31061}"/>
    <cellStyle name="Normal 9 2 2 2 3 2 4" xfId="17953" xr:uid="{261D37DF-05F2-4E76-9038-BCC6C78F46D2}"/>
    <cellStyle name="Normal 9 2 2 2 3 2 5" xfId="26388" xr:uid="{94987B38-6A4D-4B0E-BA0A-3692CFDBE10E}"/>
    <cellStyle name="Normal 9 2 2 2 3 2 6" xfId="9515" xr:uid="{4F92139D-62F4-4F21-BE97-89D198BFBCC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24729" xr:uid="{FF78DBFB-3AA5-4EDB-A39F-224CAF64B2F0}"/>
    <cellStyle name="Normal 9 2 2 2 3 3 2 2 3" xfId="33163" xr:uid="{DC95C984-C8F5-4896-B62E-B4F10CF08D41}"/>
    <cellStyle name="Normal 9 2 2 2 3 3 2 2 4" xfId="16291" xr:uid="{91455BF0-9908-4D81-B468-CD91EF357219}"/>
    <cellStyle name="Normal 9 2 2 2 3 3 2 3" xfId="20511" xr:uid="{7000689B-5BAC-437B-B3E1-C493F03355CA}"/>
    <cellStyle name="Normal 9 2 2 2 3 3 2 4" xfId="28946" xr:uid="{E7E54B4F-50B2-4A8C-83A3-9080AAEC1852}"/>
    <cellStyle name="Normal 9 2 2 2 3 3 2 5" xfId="12073" xr:uid="{81BB9A7A-A4CC-4DFC-B0FF-4C5B0F9F06EA}"/>
    <cellStyle name="Normal 9 2 2 2 3 3 3" xfId="5707" xr:uid="{00000000-0005-0000-0000-00009F1E0000}"/>
    <cellStyle name="Normal 9 2 2 2 3 3 3 2" xfId="22584" xr:uid="{9EA724FE-E7C5-4638-AB8F-27FD23396032}"/>
    <cellStyle name="Normal 9 2 2 2 3 3 3 3" xfId="31018" xr:uid="{B2A74639-C5E8-45A7-9FBB-BCA5D41ADFAF}"/>
    <cellStyle name="Normal 9 2 2 2 3 3 3 4" xfId="14146" xr:uid="{D0DA295E-F71B-4613-AB2D-982B279BB5BF}"/>
    <cellStyle name="Normal 9 2 2 2 3 3 4" xfId="18366" xr:uid="{5A7AF3EF-0A9B-43F0-91EE-C6E4E887A102}"/>
    <cellStyle name="Normal 9 2 2 2 3 3 5" xfId="26801" xr:uid="{211B6220-1F6E-4EF6-8AFC-F81EFF82FD19}"/>
    <cellStyle name="Normal 9 2 2 2 3 3 6" xfId="9928" xr:uid="{359B95A1-2C22-4A3C-80BD-3D5A5D69FCCA}"/>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25142" xr:uid="{9482BEE4-4533-4086-AF4E-D2C1FD3E484C}"/>
    <cellStyle name="Normal 9 2 2 2 3 4 2 2 3" xfId="33576" xr:uid="{E2D39914-1092-4F5C-A0AA-6513ECAAAEA0}"/>
    <cellStyle name="Normal 9 2 2 2 3 4 2 2 4" xfId="16704" xr:uid="{CFA27B8B-3840-4FA6-8DC7-7C3A5AA03D93}"/>
    <cellStyle name="Normal 9 2 2 2 3 4 2 3" xfId="20924" xr:uid="{5975906C-AE86-4CF9-9608-3138C721617B}"/>
    <cellStyle name="Normal 9 2 2 2 3 4 2 4" xfId="29359" xr:uid="{4AEF239F-607C-468E-B70B-E425F5512C56}"/>
    <cellStyle name="Normal 9 2 2 2 3 4 2 5" xfId="12486" xr:uid="{843238AA-10E0-4878-B898-202E7999929C}"/>
    <cellStyle name="Normal 9 2 2 2 3 4 3" xfId="6120" xr:uid="{00000000-0005-0000-0000-0000A31E0000}"/>
    <cellStyle name="Normal 9 2 2 2 3 4 3 2" xfId="22997" xr:uid="{7BC3292A-E0FE-43F3-894E-74B0168A556F}"/>
    <cellStyle name="Normal 9 2 2 2 3 4 3 3" xfId="31431" xr:uid="{FC1A03EF-E502-47FC-A692-05FDF1786901}"/>
    <cellStyle name="Normal 9 2 2 2 3 4 3 4" xfId="14559" xr:uid="{30DB5887-3302-4299-B19E-EFAE8D8B0959}"/>
    <cellStyle name="Normal 9 2 2 2 3 4 4" xfId="18779" xr:uid="{756777CD-0545-456F-A43E-22BEBD3BD900}"/>
    <cellStyle name="Normal 9 2 2 2 3 4 5" xfId="27214" xr:uid="{90F831B9-4494-46CA-B6B4-24C94D0D5520}"/>
    <cellStyle name="Normal 9 2 2 2 3 4 6" xfId="10341" xr:uid="{BE7FFA93-3A1B-4D5D-8E46-FAFB9218580E}"/>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25555" xr:uid="{2B20E160-0BE2-47D6-94A1-5C4D987EC716}"/>
    <cellStyle name="Normal 9 2 2 2 3 5 2 2 3" xfId="33989" xr:uid="{F00F998B-667B-499C-B8D4-E3DB689975F1}"/>
    <cellStyle name="Normal 9 2 2 2 3 5 2 2 4" xfId="17117" xr:uid="{337DAC95-B59E-462F-8BFE-25118DDC0C25}"/>
    <cellStyle name="Normal 9 2 2 2 3 5 2 3" xfId="21337" xr:uid="{535F7BD6-E71D-41AF-9C45-E1FA952FE64E}"/>
    <cellStyle name="Normal 9 2 2 2 3 5 2 4" xfId="29772" xr:uid="{17E5C5F6-A7DB-481C-B977-E842F04C8096}"/>
    <cellStyle name="Normal 9 2 2 2 3 5 2 5" xfId="12899" xr:uid="{CDFD0D15-1AF8-4005-BD53-A86461D12FE3}"/>
    <cellStyle name="Normal 9 2 2 2 3 5 3" xfId="6533" xr:uid="{00000000-0005-0000-0000-0000A71E0000}"/>
    <cellStyle name="Normal 9 2 2 2 3 5 3 2" xfId="23410" xr:uid="{EE502C0E-0793-48ED-8C77-CA2A27F0DC4B}"/>
    <cellStyle name="Normal 9 2 2 2 3 5 3 3" xfId="31844" xr:uid="{C796AF59-C184-42A8-8B19-FBFF8D270110}"/>
    <cellStyle name="Normal 9 2 2 2 3 5 3 4" xfId="14972" xr:uid="{579EB5D3-2568-49BB-9E5F-9AA541E54AA4}"/>
    <cellStyle name="Normal 9 2 2 2 3 5 4" xfId="19192" xr:uid="{C7E83C53-E60D-43E1-A9E6-2004733288BB}"/>
    <cellStyle name="Normal 9 2 2 2 3 5 5" xfId="27627" xr:uid="{79F34D38-9EB5-4203-8920-6997303F39F5}"/>
    <cellStyle name="Normal 9 2 2 2 3 5 6" xfId="10754" xr:uid="{886CE79F-3EF9-4DBF-BB62-1C8A54DD1444}"/>
    <cellStyle name="Normal 9 2 2 2 3 6" xfId="2662" xr:uid="{00000000-0005-0000-0000-0000A81E0000}"/>
    <cellStyle name="Normal 9 2 2 2 3 6 2" xfId="6946" xr:uid="{00000000-0005-0000-0000-0000A91E0000}"/>
    <cellStyle name="Normal 9 2 2 2 3 6 2 2" xfId="23823" xr:uid="{9E394F9B-4333-452A-B152-6E4772F7EC29}"/>
    <cellStyle name="Normal 9 2 2 2 3 6 2 3" xfId="32257" xr:uid="{B26305A5-0827-41D5-9033-FF34B285C2B2}"/>
    <cellStyle name="Normal 9 2 2 2 3 6 2 4" xfId="15385" xr:uid="{37DAE16B-9868-49FE-85EB-7D5825AD5CCA}"/>
    <cellStyle name="Normal 9 2 2 2 3 6 3" xfId="19605" xr:uid="{74EA393A-1291-45D1-AF8F-6B8335AE7A0C}"/>
    <cellStyle name="Normal 9 2 2 2 3 6 4" xfId="28040" xr:uid="{C3AA8601-4B7E-49DA-8139-815462CB5CCA}"/>
    <cellStyle name="Normal 9 2 2 2 3 6 5" xfId="11167" xr:uid="{F44CE678-B2CB-49CD-ACE3-4ABC9C76F117}"/>
    <cellStyle name="Normal 9 2 2 2 3 7" xfId="4881" xr:uid="{00000000-0005-0000-0000-0000AA1E0000}"/>
    <cellStyle name="Normal 9 2 2 2 3 7 2" xfId="21758" xr:uid="{80663B42-19F8-4265-8B14-3A3F3E9F3F1F}"/>
    <cellStyle name="Normal 9 2 2 2 3 7 3" xfId="30192" xr:uid="{287095F8-4E36-4CAE-885E-8FDDEF6BDB3F}"/>
    <cellStyle name="Normal 9 2 2 2 3 7 4" xfId="13320" xr:uid="{D8B1E90D-3CB3-4A41-B19E-50BFAB58EA77}"/>
    <cellStyle name="Normal 9 2 2 2 3 8" xfId="17540" xr:uid="{DC530E5E-F459-49B4-B484-FA06B93A9051}"/>
    <cellStyle name="Normal 9 2 2 2 3 9" xfId="25975" xr:uid="{68D10208-DAB6-417F-B15F-E4FB301F62DD}"/>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24313" xr:uid="{45670A96-8027-4465-B0C4-C114C225592D}"/>
    <cellStyle name="Normal 9 2 2 2 4 2 2 3" xfId="32747" xr:uid="{0796F95F-3938-4E4A-ABBC-EAC2977DE141}"/>
    <cellStyle name="Normal 9 2 2 2 4 2 2 4" xfId="15875" xr:uid="{06FB08ED-CF2C-41A6-8C2F-BC73BB99A2AC}"/>
    <cellStyle name="Normal 9 2 2 2 4 2 3" xfId="20095" xr:uid="{8BCE1CB3-A1F5-4226-A06C-59D435605164}"/>
    <cellStyle name="Normal 9 2 2 2 4 2 4" xfId="28530" xr:uid="{148E82B9-9DCE-4263-A61C-1AFEC0AA83F6}"/>
    <cellStyle name="Normal 9 2 2 2 4 2 5" xfId="11657" xr:uid="{887CDD9A-7A2E-4532-B246-26251A39B026}"/>
    <cellStyle name="Normal 9 2 2 2 4 3" xfId="5291" xr:uid="{00000000-0005-0000-0000-0000AE1E0000}"/>
    <cellStyle name="Normal 9 2 2 2 4 3 2" xfId="22168" xr:uid="{795F5607-303C-4484-8536-62072C5A5391}"/>
    <cellStyle name="Normal 9 2 2 2 4 3 3" xfId="30602" xr:uid="{92FE155A-C352-4C01-A533-E0D3ECD843F8}"/>
    <cellStyle name="Normal 9 2 2 2 4 3 4" xfId="13730" xr:uid="{7D176887-CD1E-4443-BA1B-A9AE5F9C7F92}"/>
    <cellStyle name="Normal 9 2 2 2 4 4" xfId="17950" xr:uid="{BAAF6ED0-A57E-46D8-8626-344BC6C5DAAC}"/>
    <cellStyle name="Normal 9 2 2 2 4 5" xfId="26385" xr:uid="{6132366A-C49D-4E74-B470-A4B41B1EDE2D}"/>
    <cellStyle name="Normal 9 2 2 2 4 6" xfId="9512" xr:uid="{27E085CE-F32A-43A9-B3DB-239D5CD466EA}"/>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24726" xr:uid="{789E88D5-CBAA-4C0C-92A5-5C7ECBC24D27}"/>
    <cellStyle name="Normal 9 2 2 2 5 2 2 3" xfId="33160" xr:uid="{0F5E359B-5627-4C3D-B46F-324502BB473A}"/>
    <cellStyle name="Normal 9 2 2 2 5 2 2 4" xfId="16288" xr:uid="{218163D8-EDA4-4F16-BBA9-E775176DC9B1}"/>
    <cellStyle name="Normal 9 2 2 2 5 2 3" xfId="20508" xr:uid="{595D5E10-C874-472E-B32C-C7C2CDD366B0}"/>
    <cellStyle name="Normal 9 2 2 2 5 2 4" xfId="28943" xr:uid="{D48B4CD6-8C4A-4411-A627-29FEAE59DB79}"/>
    <cellStyle name="Normal 9 2 2 2 5 2 5" xfId="12070" xr:uid="{7FF49B20-CB19-49CC-840C-D86366F70249}"/>
    <cellStyle name="Normal 9 2 2 2 5 3" xfId="5704" xr:uid="{00000000-0005-0000-0000-0000B21E0000}"/>
    <cellStyle name="Normal 9 2 2 2 5 3 2" xfId="22581" xr:uid="{774460CD-FC7F-440C-AA08-5F8E8C4F4270}"/>
    <cellStyle name="Normal 9 2 2 2 5 3 3" xfId="31015" xr:uid="{3986DCF6-DD78-469B-8BBA-C3B5439729F4}"/>
    <cellStyle name="Normal 9 2 2 2 5 3 4" xfId="14143" xr:uid="{150F997E-2723-4C0B-84BD-B1DC5429CBEF}"/>
    <cellStyle name="Normal 9 2 2 2 5 4" xfId="18363" xr:uid="{FC4F30C6-DC29-43B3-B870-50864851D3F8}"/>
    <cellStyle name="Normal 9 2 2 2 5 5" xfId="26798" xr:uid="{CDD1BAE3-B189-4093-83C3-5332A9973E12}"/>
    <cellStyle name="Normal 9 2 2 2 5 6" xfId="9925" xr:uid="{83ACBF68-19F6-4D43-8D32-49A88BB42C1A}"/>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25139" xr:uid="{8927D203-9649-471A-8E96-B2D39600EA47}"/>
    <cellStyle name="Normal 9 2 2 2 6 2 2 3" xfId="33573" xr:uid="{FB1F2279-176D-458C-9712-161DE2B41EEF}"/>
    <cellStyle name="Normal 9 2 2 2 6 2 2 4" xfId="16701" xr:uid="{67523F67-B02C-4740-A22D-61C56075A238}"/>
    <cellStyle name="Normal 9 2 2 2 6 2 3" xfId="20921" xr:uid="{A6899862-6406-4C48-85E0-73E00CF4CCB1}"/>
    <cellStyle name="Normal 9 2 2 2 6 2 4" xfId="29356" xr:uid="{39574127-261C-4588-B5E2-2A067AF8CBE3}"/>
    <cellStyle name="Normal 9 2 2 2 6 2 5" xfId="12483" xr:uid="{2F031BF9-2A7F-4BFE-9EC1-67CEED5C37B5}"/>
    <cellStyle name="Normal 9 2 2 2 6 3" xfId="6117" xr:uid="{00000000-0005-0000-0000-0000B61E0000}"/>
    <cellStyle name="Normal 9 2 2 2 6 3 2" xfId="22994" xr:uid="{41E0DAA5-B405-4E52-A957-690C48279DEB}"/>
    <cellStyle name="Normal 9 2 2 2 6 3 3" xfId="31428" xr:uid="{15585E6C-4463-416B-A1E2-60CAB6085EB1}"/>
    <cellStyle name="Normal 9 2 2 2 6 3 4" xfId="14556" xr:uid="{9720A4C6-E2D4-4875-B123-4670F65F901E}"/>
    <cellStyle name="Normal 9 2 2 2 6 4" xfId="18776" xr:uid="{352C4E2E-2849-4F88-8230-D6E40C0CFEC6}"/>
    <cellStyle name="Normal 9 2 2 2 6 5" xfId="27211" xr:uid="{78CEE368-564F-44E2-8F93-8DFF2ECD77FC}"/>
    <cellStyle name="Normal 9 2 2 2 6 6" xfId="10338" xr:uid="{EBD7A407-41BA-4090-A743-ECBCD0AA0ADD}"/>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25552" xr:uid="{A52FA98E-4F40-4DC2-A96D-0CB401042E62}"/>
    <cellStyle name="Normal 9 2 2 2 7 2 2 3" xfId="33986" xr:uid="{C03EAF70-7081-475D-AC84-6FAF8ABCD863}"/>
    <cellStyle name="Normal 9 2 2 2 7 2 2 4" xfId="17114" xr:uid="{73A00E76-DB8E-443B-B537-5F16E90D78FB}"/>
    <cellStyle name="Normal 9 2 2 2 7 2 3" xfId="21334" xr:uid="{11388A8E-1C4B-4E7E-A0CF-ACC9B6D53F9A}"/>
    <cellStyle name="Normal 9 2 2 2 7 2 4" xfId="29769" xr:uid="{B747211E-5674-45EB-BE73-423CEC9E1B3F}"/>
    <cellStyle name="Normal 9 2 2 2 7 2 5" xfId="12896" xr:uid="{4526F6A0-F143-40B3-9B49-29679B7024CB}"/>
    <cellStyle name="Normal 9 2 2 2 7 3" xfId="6530" xr:uid="{00000000-0005-0000-0000-0000BA1E0000}"/>
    <cellStyle name="Normal 9 2 2 2 7 3 2" xfId="23407" xr:uid="{EFD1AAE8-EAF8-4446-9C61-E20FF81167C9}"/>
    <cellStyle name="Normal 9 2 2 2 7 3 3" xfId="31841" xr:uid="{B4B1E65F-9C76-4E61-8EE5-64331AD7C2B1}"/>
    <cellStyle name="Normal 9 2 2 2 7 3 4" xfId="14969" xr:uid="{1AF9142A-A305-4F83-B9DC-3DA43BD31D30}"/>
    <cellStyle name="Normal 9 2 2 2 7 4" xfId="19189" xr:uid="{11DD733D-ED44-4352-9FEB-A3269316254E}"/>
    <cellStyle name="Normal 9 2 2 2 7 5" xfId="27624" xr:uid="{0E121344-0CE3-446D-8405-A9C776577849}"/>
    <cellStyle name="Normal 9 2 2 2 7 6" xfId="10751" xr:uid="{D8CADCFE-C89B-42A3-B7E5-721946A53813}"/>
    <cellStyle name="Normal 9 2 2 2 8" xfId="2659" xr:uid="{00000000-0005-0000-0000-0000BB1E0000}"/>
    <cellStyle name="Normal 9 2 2 2 8 2" xfId="6943" xr:uid="{00000000-0005-0000-0000-0000BC1E0000}"/>
    <cellStyle name="Normal 9 2 2 2 8 2 2" xfId="23820" xr:uid="{14C6D892-D307-4031-9638-6FA9E4FB2540}"/>
    <cellStyle name="Normal 9 2 2 2 8 2 3" xfId="32254" xr:uid="{7E7A1AB8-7B36-47EA-B791-2AEB91410325}"/>
    <cellStyle name="Normal 9 2 2 2 8 2 4" xfId="15382" xr:uid="{CA7A9FAB-AAAB-4704-9378-4C06A7618A40}"/>
    <cellStyle name="Normal 9 2 2 2 8 3" xfId="19602" xr:uid="{31A495F2-3565-4CD0-877D-A15F90DCC6A5}"/>
    <cellStyle name="Normal 9 2 2 2 8 4" xfId="28037" xr:uid="{DAAF7AE1-58E5-4A40-8803-56800EF1CABB}"/>
    <cellStyle name="Normal 9 2 2 2 8 5" xfId="11164" xr:uid="{EF5DA5F8-CBBC-4AD3-A8D8-AC51D4C40C23}"/>
    <cellStyle name="Normal 9 2 2 2 9" xfId="4878" xr:uid="{00000000-0005-0000-0000-0000BD1E0000}"/>
    <cellStyle name="Normal 9 2 2 2 9 2" xfId="21755" xr:uid="{7862711D-2382-4F1B-B33E-19E2C55DE75B}"/>
    <cellStyle name="Normal 9 2 2 2 9 3" xfId="30189" xr:uid="{C3CB9B6A-5E63-4A8D-A75B-B264AD286A8C}"/>
    <cellStyle name="Normal 9 2 2 2 9 4" xfId="13317" xr:uid="{14693584-4E42-4EE5-956B-11455AB2D6BF}"/>
    <cellStyle name="Normal 9 2 2 3" xfId="517" xr:uid="{00000000-0005-0000-0000-0000BE1E0000}"/>
    <cellStyle name="Normal 9 2 2 3 10" xfId="25976" xr:uid="{703BB14F-4613-468B-BFFE-C8020FB34E82}"/>
    <cellStyle name="Normal 9 2 2 3 11" xfId="9103" xr:uid="{8F3442F8-E731-4D24-80E2-6E6A0BDCE83E}"/>
    <cellStyle name="Normal 9 2 2 3 2" xfId="518" xr:uid="{00000000-0005-0000-0000-0000BF1E0000}"/>
    <cellStyle name="Normal 9 2 2 3 2 10" xfId="9104" xr:uid="{13F223BB-CE60-411B-A06B-939D8C9559F9}"/>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24318" xr:uid="{FA7E7271-8514-441A-9311-4804BFD817B9}"/>
    <cellStyle name="Normal 9 2 2 3 2 2 2 2 3" xfId="32752" xr:uid="{31C85F7A-749D-4B56-B46F-C8F745E390E0}"/>
    <cellStyle name="Normal 9 2 2 3 2 2 2 2 4" xfId="15880" xr:uid="{1A7FB320-6EAB-4595-AD81-60CAABA7FB6C}"/>
    <cellStyle name="Normal 9 2 2 3 2 2 2 3" xfId="20100" xr:uid="{B776BC37-8C80-4B1B-98FC-7745330DDE1C}"/>
    <cellStyle name="Normal 9 2 2 3 2 2 2 4" xfId="28535" xr:uid="{3815191D-043D-4272-9470-33651E5D1937}"/>
    <cellStyle name="Normal 9 2 2 3 2 2 2 5" xfId="11662" xr:uid="{7AF965CA-FD8B-4825-A7D0-4A1DB1A04171}"/>
    <cellStyle name="Normal 9 2 2 3 2 2 3" xfId="5296" xr:uid="{00000000-0005-0000-0000-0000C31E0000}"/>
    <cellStyle name="Normal 9 2 2 3 2 2 3 2" xfId="22173" xr:uid="{D867BF72-F001-44FE-AEAF-3EEE8E2A52BF}"/>
    <cellStyle name="Normal 9 2 2 3 2 2 3 3" xfId="30607" xr:uid="{C4473882-4089-4E7C-81AC-897B79507B24}"/>
    <cellStyle name="Normal 9 2 2 3 2 2 3 4" xfId="13735" xr:uid="{08670D86-5691-40AC-918E-90B8E0E898EF}"/>
    <cellStyle name="Normal 9 2 2 3 2 2 4" xfId="17955" xr:uid="{412B18B9-6F3D-40D7-86C9-E6ABBDA0EA86}"/>
    <cellStyle name="Normal 9 2 2 3 2 2 5" xfId="26390" xr:uid="{59E96B6E-E3E7-477D-99AD-085A67C145A9}"/>
    <cellStyle name="Normal 9 2 2 3 2 2 6" xfId="9517" xr:uid="{06AA1F2E-BDF7-4F98-98E4-AFE42A5CCA1B}"/>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24731" xr:uid="{0EB8BE2E-C088-46B3-9F77-812CEAB33BB7}"/>
    <cellStyle name="Normal 9 2 2 3 2 3 2 2 3" xfId="33165" xr:uid="{D09F3D85-F08A-4FC7-9158-E1DEA4D072BF}"/>
    <cellStyle name="Normal 9 2 2 3 2 3 2 2 4" xfId="16293" xr:uid="{17C8BEA0-8328-4A20-B3F9-3A0560BC097D}"/>
    <cellStyle name="Normal 9 2 2 3 2 3 2 3" xfId="20513" xr:uid="{CFA63278-1C4D-4CA9-AFD7-14BCA1E49187}"/>
    <cellStyle name="Normal 9 2 2 3 2 3 2 4" xfId="28948" xr:uid="{BE9C25F9-9E29-4BFB-AD4F-50918D32AA40}"/>
    <cellStyle name="Normal 9 2 2 3 2 3 2 5" xfId="12075" xr:uid="{27FED9A4-9121-4769-84AD-7FE3A06461CC}"/>
    <cellStyle name="Normal 9 2 2 3 2 3 3" xfId="5709" xr:uid="{00000000-0005-0000-0000-0000C71E0000}"/>
    <cellStyle name="Normal 9 2 2 3 2 3 3 2" xfId="22586" xr:uid="{D38C79F7-31E8-4E3D-BAC3-4B588F01B7B7}"/>
    <cellStyle name="Normal 9 2 2 3 2 3 3 3" xfId="31020" xr:uid="{FCB1CF3C-CB54-4DE9-9272-178E89BA54FC}"/>
    <cellStyle name="Normal 9 2 2 3 2 3 3 4" xfId="14148" xr:uid="{9598B537-5B85-46D0-8D4A-E9DDD2827B9F}"/>
    <cellStyle name="Normal 9 2 2 3 2 3 4" xfId="18368" xr:uid="{18C67051-8210-4D48-A04E-F2A3966C79E8}"/>
    <cellStyle name="Normal 9 2 2 3 2 3 5" xfId="26803" xr:uid="{B07072A1-24C4-4C6E-A082-FB4AD5D07952}"/>
    <cellStyle name="Normal 9 2 2 3 2 3 6" xfId="9930" xr:uid="{ACED76F6-3AAE-4BC5-9CA1-FCF12443A16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25144" xr:uid="{20562D6B-8E5D-4090-AC16-49F45EC9B9F3}"/>
    <cellStyle name="Normal 9 2 2 3 2 4 2 2 3" xfId="33578" xr:uid="{50436C78-10E6-466A-A11A-35B79365BC56}"/>
    <cellStyle name="Normal 9 2 2 3 2 4 2 2 4" xfId="16706" xr:uid="{6DF34885-6B43-4D23-A424-42D0E9A6CF43}"/>
    <cellStyle name="Normal 9 2 2 3 2 4 2 3" xfId="20926" xr:uid="{D6829AC5-4B6D-4D07-8312-30B877BBD53E}"/>
    <cellStyle name="Normal 9 2 2 3 2 4 2 4" xfId="29361" xr:uid="{CD060609-25AE-4270-8910-058DEA6293F5}"/>
    <cellStyle name="Normal 9 2 2 3 2 4 2 5" xfId="12488" xr:uid="{1E2A028C-E0D0-4D7D-B810-0088071DFEA6}"/>
    <cellStyle name="Normal 9 2 2 3 2 4 3" xfId="6122" xr:uid="{00000000-0005-0000-0000-0000CB1E0000}"/>
    <cellStyle name="Normal 9 2 2 3 2 4 3 2" xfId="22999" xr:uid="{881EDD3D-3D67-4BC0-8C57-28A6CC546887}"/>
    <cellStyle name="Normal 9 2 2 3 2 4 3 3" xfId="31433" xr:uid="{1D2F33A3-DFA3-4445-9CC9-FB0996F90937}"/>
    <cellStyle name="Normal 9 2 2 3 2 4 3 4" xfId="14561" xr:uid="{8F1BB8D3-222F-4CCA-812A-D99C20189042}"/>
    <cellStyle name="Normal 9 2 2 3 2 4 4" xfId="18781" xr:uid="{72967799-1112-4140-A3CB-0DDCFBA72DAE}"/>
    <cellStyle name="Normal 9 2 2 3 2 4 5" xfId="27216" xr:uid="{581998C2-107F-49B5-A6F9-49E08DA8A2CF}"/>
    <cellStyle name="Normal 9 2 2 3 2 4 6" xfId="10343" xr:uid="{92D717D0-9D52-439A-A726-342C85F3BDAD}"/>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25557" xr:uid="{CBE414B1-0CC4-4DC3-B818-626B3BC2AA1E}"/>
    <cellStyle name="Normal 9 2 2 3 2 5 2 2 3" xfId="33991" xr:uid="{B5D2DD96-94E9-4158-AEA4-3E5AE1FF8493}"/>
    <cellStyle name="Normal 9 2 2 3 2 5 2 2 4" xfId="17119" xr:uid="{FC105FBC-DC9C-462C-9D82-EF0C04998A85}"/>
    <cellStyle name="Normal 9 2 2 3 2 5 2 3" xfId="21339" xr:uid="{2EF3ADE2-1AB2-4A89-9EC3-2F72EC158CE5}"/>
    <cellStyle name="Normal 9 2 2 3 2 5 2 4" xfId="29774" xr:uid="{88211147-5DB3-44EB-9C6C-96E990C091D5}"/>
    <cellStyle name="Normal 9 2 2 3 2 5 2 5" xfId="12901" xr:uid="{773D087D-BC8C-482B-85DE-F7EAAA30DAE2}"/>
    <cellStyle name="Normal 9 2 2 3 2 5 3" xfId="6535" xr:uid="{00000000-0005-0000-0000-0000CF1E0000}"/>
    <cellStyle name="Normal 9 2 2 3 2 5 3 2" xfId="23412" xr:uid="{34AA7D91-D92D-460F-9FF0-B2BE41AC32A6}"/>
    <cellStyle name="Normal 9 2 2 3 2 5 3 3" xfId="31846" xr:uid="{228455AC-DF15-4F3B-837B-42B651289B73}"/>
    <cellStyle name="Normal 9 2 2 3 2 5 3 4" xfId="14974" xr:uid="{81C450AF-A08A-44DB-B342-FD373EB1B870}"/>
    <cellStyle name="Normal 9 2 2 3 2 5 4" xfId="19194" xr:uid="{B68B5926-1280-483F-8ADB-9454B797DBAF}"/>
    <cellStyle name="Normal 9 2 2 3 2 5 5" xfId="27629" xr:uid="{6CE048B4-5810-40E1-BF26-7525E6B35CC8}"/>
    <cellStyle name="Normal 9 2 2 3 2 5 6" xfId="10756" xr:uid="{564B69DD-096E-4782-BAC5-2BB2ECC54ACA}"/>
    <cellStyle name="Normal 9 2 2 3 2 6" xfId="2664" xr:uid="{00000000-0005-0000-0000-0000D01E0000}"/>
    <cellStyle name="Normal 9 2 2 3 2 6 2" xfId="6948" xr:uid="{00000000-0005-0000-0000-0000D11E0000}"/>
    <cellStyle name="Normal 9 2 2 3 2 6 2 2" xfId="23825" xr:uid="{6759D566-3D21-4652-A6EE-C21677C4790A}"/>
    <cellStyle name="Normal 9 2 2 3 2 6 2 3" xfId="32259" xr:uid="{CC426C99-17C7-4383-90ED-8D84C9A7C38D}"/>
    <cellStyle name="Normal 9 2 2 3 2 6 2 4" xfId="15387" xr:uid="{E3116D43-4DF5-4616-9591-8A4AB0C52390}"/>
    <cellStyle name="Normal 9 2 2 3 2 6 3" xfId="19607" xr:uid="{A300F27E-840A-46C2-B3D1-D0CFE1977099}"/>
    <cellStyle name="Normal 9 2 2 3 2 6 4" xfId="28042" xr:uid="{1A91B72E-4DB9-4DF7-8E64-697EE4A52ED2}"/>
    <cellStyle name="Normal 9 2 2 3 2 6 5" xfId="11169" xr:uid="{F91C7943-CA8D-4C5B-B0FD-758551226C07}"/>
    <cellStyle name="Normal 9 2 2 3 2 7" xfId="4883" xr:uid="{00000000-0005-0000-0000-0000D21E0000}"/>
    <cellStyle name="Normal 9 2 2 3 2 7 2" xfId="21760" xr:uid="{EF8D9873-AE1C-4FA1-BF0E-9E3ED97E78D0}"/>
    <cellStyle name="Normal 9 2 2 3 2 7 3" xfId="30194" xr:uid="{072F3E14-3AEB-4D88-8D3A-FCC876CDE8FA}"/>
    <cellStyle name="Normal 9 2 2 3 2 7 4" xfId="13322" xr:uid="{A38B1D96-A236-43A4-89C1-22B749CE903E}"/>
    <cellStyle name="Normal 9 2 2 3 2 8" xfId="17542" xr:uid="{E330D06C-5CB2-4A17-8BE2-3B96F6652F8C}"/>
    <cellStyle name="Normal 9 2 2 3 2 9" xfId="25977" xr:uid="{F038CF6B-B417-4A3A-ACE0-E4FA9495B265}"/>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24317" xr:uid="{1948583C-8C0F-45E8-BE3E-6782AB91F7ED}"/>
    <cellStyle name="Normal 9 2 2 3 3 2 2 3" xfId="32751" xr:uid="{3C4591D1-8A7C-4788-9D49-1105B6B17AF1}"/>
    <cellStyle name="Normal 9 2 2 3 3 2 2 4" xfId="15879" xr:uid="{63D10802-4E57-4D2D-9786-0BEA96051F28}"/>
    <cellStyle name="Normal 9 2 2 3 3 2 3" xfId="20099" xr:uid="{E6506A3C-A6CF-459B-967F-08892981D6BF}"/>
    <cellStyle name="Normal 9 2 2 3 3 2 4" xfId="28534" xr:uid="{9EBCA3A9-8F11-424C-A783-33A77B2CD72E}"/>
    <cellStyle name="Normal 9 2 2 3 3 2 5" xfId="11661" xr:uid="{F2875033-2C4C-4BAB-AADE-45C1352A0CDE}"/>
    <cellStyle name="Normal 9 2 2 3 3 3" xfId="5295" xr:uid="{00000000-0005-0000-0000-0000D61E0000}"/>
    <cellStyle name="Normal 9 2 2 3 3 3 2" xfId="22172" xr:uid="{9F0A5D99-3FBF-48B1-B053-08B296943A0C}"/>
    <cellStyle name="Normal 9 2 2 3 3 3 3" xfId="30606" xr:uid="{68293C47-FFB5-4DDA-9CE0-0BD8063BC1A5}"/>
    <cellStyle name="Normal 9 2 2 3 3 3 4" xfId="13734" xr:uid="{6FDF0387-A1D2-403D-98BE-F97E1547FF58}"/>
    <cellStyle name="Normal 9 2 2 3 3 4" xfId="17954" xr:uid="{C9E6CBA7-766D-445D-9B2F-B7CE2161CF14}"/>
    <cellStyle name="Normal 9 2 2 3 3 5" xfId="26389" xr:uid="{874A7411-D6D4-4A8A-93C9-6E1296BCDDEA}"/>
    <cellStyle name="Normal 9 2 2 3 3 6" xfId="9516" xr:uid="{E4BF7F9C-6AA5-47DF-B431-A9C41BF09737}"/>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24730" xr:uid="{B78F3E8D-4199-4730-B656-61F96D7B9CDF}"/>
    <cellStyle name="Normal 9 2 2 3 4 2 2 3" xfId="33164" xr:uid="{A91C3220-31D5-4DED-93C4-674E86E5600E}"/>
    <cellStyle name="Normal 9 2 2 3 4 2 2 4" xfId="16292" xr:uid="{9499D251-9D89-4F88-84D0-6EC5D2BB2488}"/>
    <cellStyle name="Normal 9 2 2 3 4 2 3" xfId="20512" xr:uid="{9DFB2665-355F-46FC-AE1E-5B6DDF257549}"/>
    <cellStyle name="Normal 9 2 2 3 4 2 4" xfId="28947" xr:uid="{6B559F06-1CC3-45AE-815C-DB0C526BB168}"/>
    <cellStyle name="Normal 9 2 2 3 4 2 5" xfId="12074" xr:uid="{121E1828-CFC5-4300-ADF0-3ECE0A3C6F6A}"/>
    <cellStyle name="Normal 9 2 2 3 4 3" xfId="5708" xr:uid="{00000000-0005-0000-0000-0000DA1E0000}"/>
    <cellStyle name="Normal 9 2 2 3 4 3 2" xfId="22585" xr:uid="{4F6684C6-3030-4CDF-8EFD-A98822BC0D97}"/>
    <cellStyle name="Normal 9 2 2 3 4 3 3" xfId="31019" xr:uid="{A9D85786-E645-4DB6-83C5-19ADE0695C60}"/>
    <cellStyle name="Normal 9 2 2 3 4 3 4" xfId="14147" xr:uid="{8754FD69-4269-4E72-9A6A-EB27BA638F71}"/>
    <cellStyle name="Normal 9 2 2 3 4 4" xfId="18367" xr:uid="{1382A6A9-BC9B-4EA0-9294-AC35690DF2C4}"/>
    <cellStyle name="Normal 9 2 2 3 4 5" xfId="26802" xr:uid="{D0912253-F259-429B-BC09-5D491C683FC1}"/>
    <cellStyle name="Normal 9 2 2 3 4 6" xfId="9929" xr:uid="{61B17AFC-A38F-44FB-88A4-1316D5244A81}"/>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25143" xr:uid="{29BCEF19-B495-411E-8112-93715500961B}"/>
    <cellStyle name="Normal 9 2 2 3 5 2 2 3" xfId="33577" xr:uid="{ADB0327C-9D47-472E-A678-9EFBBB5095BE}"/>
    <cellStyle name="Normal 9 2 2 3 5 2 2 4" xfId="16705" xr:uid="{91A0B2FA-9B9E-4E9E-98C9-F198EEEE9A0A}"/>
    <cellStyle name="Normal 9 2 2 3 5 2 3" xfId="20925" xr:uid="{2C0ED267-9488-4ADD-9776-620ACD86EED8}"/>
    <cellStyle name="Normal 9 2 2 3 5 2 4" xfId="29360" xr:uid="{46940AF0-4CF0-42D1-B5FA-1099E08F706E}"/>
    <cellStyle name="Normal 9 2 2 3 5 2 5" xfId="12487" xr:uid="{FB338268-2D22-48A5-945C-7F2D20C60FC7}"/>
    <cellStyle name="Normal 9 2 2 3 5 3" xfId="6121" xr:uid="{00000000-0005-0000-0000-0000DE1E0000}"/>
    <cellStyle name="Normal 9 2 2 3 5 3 2" xfId="22998" xr:uid="{E69C51AE-B7B8-4195-82B6-243231BE2B13}"/>
    <cellStyle name="Normal 9 2 2 3 5 3 3" xfId="31432" xr:uid="{A5B1A87A-772F-42A3-AB02-DCBE3036B835}"/>
    <cellStyle name="Normal 9 2 2 3 5 3 4" xfId="14560" xr:uid="{DD9E2206-B1EA-45AC-AF3E-2FBE6543AC96}"/>
    <cellStyle name="Normal 9 2 2 3 5 4" xfId="18780" xr:uid="{BFBB96DD-9D90-4144-8613-08CEC7D367AC}"/>
    <cellStyle name="Normal 9 2 2 3 5 5" xfId="27215" xr:uid="{28AA93EB-4B09-4C04-A518-FCA0F3D335B7}"/>
    <cellStyle name="Normal 9 2 2 3 5 6" xfId="10342" xr:uid="{80CF7FDF-18EC-49F2-88DE-1B93AEB09A42}"/>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25556" xr:uid="{4A3C491F-712F-4971-B26B-6E662033449B}"/>
    <cellStyle name="Normal 9 2 2 3 6 2 2 3" xfId="33990" xr:uid="{C3CA10C5-791E-4116-8252-48E17446E7B1}"/>
    <cellStyle name="Normal 9 2 2 3 6 2 2 4" xfId="17118" xr:uid="{9B0B13DE-4BAD-4084-AE54-701F82CB5868}"/>
    <cellStyle name="Normal 9 2 2 3 6 2 3" xfId="21338" xr:uid="{C612C3A2-4E16-40A6-B458-9CBCB8ABA09D}"/>
    <cellStyle name="Normal 9 2 2 3 6 2 4" xfId="29773" xr:uid="{1E9A4CB1-2F23-41B4-BF94-56371D88D7BA}"/>
    <cellStyle name="Normal 9 2 2 3 6 2 5" xfId="12900" xr:uid="{F46E210E-0B31-4669-80EA-6049345EFFFF}"/>
    <cellStyle name="Normal 9 2 2 3 6 3" xfId="6534" xr:uid="{00000000-0005-0000-0000-0000E21E0000}"/>
    <cellStyle name="Normal 9 2 2 3 6 3 2" xfId="23411" xr:uid="{0B4A7FB5-AFD0-4241-8BED-047487632741}"/>
    <cellStyle name="Normal 9 2 2 3 6 3 3" xfId="31845" xr:uid="{93059528-E8B4-4AC4-96FD-49755D52ABBF}"/>
    <cellStyle name="Normal 9 2 2 3 6 3 4" xfId="14973" xr:uid="{86C2FE53-2B0E-49B2-BCA5-24791469E2AB}"/>
    <cellStyle name="Normal 9 2 2 3 6 4" xfId="19193" xr:uid="{1A8F8985-12B3-4AFA-9EC5-65E4F6225C83}"/>
    <cellStyle name="Normal 9 2 2 3 6 5" xfId="27628" xr:uid="{4645EE25-199B-44D7-AF73-A7C06F28B282}"/>
    <cellStyle name="Normal 9 2 2 3 6 6" xfId="10755" xr:uid="{00B1484C-FAD3-45E6-912B-73E1DB96DFC3}"/>
    <cellStyle name="Normal 9 2 2 3 7" xfId="2663" xr:uid="{00000000-0005-0000-0000-0000E31E0000}"/>
    <cellStyle name="Normal 9 2 2 3 7 2" xfId="6947" xr:uid="{00000000-0005-0000-0000-0000E41E0000}"/>
    <cellStyle name="Normal 9 2 2 3 7 2 2" xfId="23824" xr:uid="{B7899F0F-E6FF-4DAA-9C7E-BB445AD78F52}"/>
    <cellStyle name="Normal 9 2 2 3 7 2 3" xfId="32258" xr:uid="{96D941A0-1BBA-483F-A05D-896FD8E18655}"/>
    <cellStyle name="Normal 9 2 2 3 7 2 4" xfId="15386" xr:uid="{8235C95F-B3F6-4ED4-B882-1E79726844DA}"/>
    <cellStyle name="Normal 9 2 2 3 7 3" xfId="19606" xr:uid="{71574D0D-2DE1-4F90-AD53-6E75D4FFD7CD}"/>
    <cellStyle name="Normal 9 2 2 3 7 4" xfId="28041" xr:uid="{7AACE117-801B-4B02-97C2-366EE43F2592}"/>
    <cellStyle name="Normal 9 2 2 3 7 5" xfId="11168" xr:uid="{F3145537-B9EE-4D53-837B-4EB80A271AA5}"/>
    <cellStyle name="Normal 9 2 2 3 8" xfId="4882" xr:uid="{00000000-0005-0000-0000-0000E51E0000}"/>
    <cellStyle name="Normal 9 2 2 3 8 2" xfId="21759" xr:uid="{5AF260A9-CCEA-4B7C-8EA9-6B9C1B8A1438}"/>
    <cellStyle name="Normal 9 2 2 3 8 3" xfId="30193" xr:uid="{EDC293C2-BFD8-4F11-8DAE-82186F0F5081}"/>
    <cellStyle name="Normal 9 2 2 3 8 4" xfId="13321" xr:uid="{581DCE46-3079-4C5D-A692-76DDEA1BD93A}"/>
    <cellStyle name="Normal 9 2 2 3 9" xfId="17541" xr:uid="{6816E7E6-67D4-49CE-BD48-399A15FD37C1}"/>
    <cellStyle name="Normal 9 2 2 4" xfId="519" xr:uid="{00000000-0005-0000-0000-0000E61E0000}"/>
    <cellStyle name="Normal 9 2 2 4 10" xfId="9105" xr:uid="{F3838CE1-6767-4F92-B1EE-4E79E49BE84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24319" xr:uid="{968EED83-3545-4AC4-BDA5-58422BF0BF3E}"/>
    <cellStyle name="Normal 9 2 2 4 2 2 2 3" xfId="32753" xr:uid="{DAA3FA68-A826-4E8A-8EB4-E6E84AAC0230}"/>
    <cellStyle name="Normal 9 2 2 4 2 2 2 4" xfId="15881" xr:uid="{D20ECCE0-A288-46A3-8D8B-FE874902F255}"/>
    <cellStyle name="Normal 9 2 2 4 2 2 3" xfId="20101" xr:uid="{6009473B-A69A-446E-AEE7-AE1DA39B1B58}"/>
    <cellStyle name="Normal 9 2 2 4 2 2 4" xfId="28536" xr:uid="{B794391B-69E9-4379-B65A-0FF1D21C05C3}"/>
    <cellStyle name="Normal 9 2 2 4 2 2 5" xfId="11663" xr:uid="{04599DF9-652F-497D-B6FB-3A3A85812CA8}"/>
    <cellStyle name="Normal 9 2 2 4 2 3" xfId="5297" xr:uid="{00000000-0005-0000-0000-0000EA1E0000}"/>
    <cellStyle name="Normal 9 2 2 4 2 3 2" xfId="22174" xr:uid="{0EB99F82-CC1B-47C1-96A3-DC6CAB8F0B01}"/>
    <cellStyle name="Normal 9 2 2 4 2 3 3" xfId="30608" xr:uid="{AAA05BC0-F562-47DD-AB37-D5DE7DA74467}"/>
    <cellStyle name="Normal 9 2 2 4 2 3 4" xfId="13736" xr:uid="{10B56CD3-6AFB-42F7-919F-DEEC5C59C8A0}"/>
    <cellStyle name="Normal 9 2 2 4 2 4" xfId="17956" xr:uid="{1A93BDDE-3466-416D-B599-3DE1EB3355A7}"/>
    <cellStyle name="Normal 9 2 2 4 2 5" xfId="26391" xr:uid="{0589570B-AEAF-49FF-B45B-2E9AD71EB7B0}"/>
    <cellStyle name="Normal 9 2 2 4 2 6" xfId="9518" xr:uid="{CDC0FDDE-6D7D-4469-9E2E-FDF6140539CF}"/>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24732" xr:uid="{55D4D7AF-DDC6-461C-8E1E-14E157ACD0C2}"/>
    <cellStyle name="Normal 9 2 2 4 3 2 2 3" xfId="33166" xr:uid="{7A708017-270C-401C-A0D9-AB722327EF2F}"/>
    <cellStyle name="Normal 9 2 2 4 3 2 2 4" xfId="16294" xr:uid="{8A6DB3FB-CC7D-4DAB-9468-2EA62983B3A5}"/>
    <cellStyle name="Normal 9 2 2 4 3 2 3" xfId="20514" xr:uid="{9A1C3310-F725-41EE-A39F-BD9D64C2E942}"/>
    <cellStyle name="Normal 9 2 2 4 3 2 4" xfId="28949" xr:uid="{F289A20B-929C-491C-AEC2-F340C4CDEE07}"/>
    <cellStyle name="Normal 9 2 2 4 3 2 5" xfId="12076" xr:uid="{50663BDC-6922-4E13-B22F-31B2AAC52547}"/>
    <cellStyle name="Normal 9 2 2 4 3 3" xfId="5710" xr:uid="{00000000-0005-0000-0000-0000EE1E0000}"/>
    <cellStyle name="Normal 9 2 2 4 3 3 2" xfId="22587" xr:uid="{229CB256-1E02-4B57-AEA0-6FC740574AA6}"/>
    <cellStyle name="Normal 9 2 2 4 3 3 3" xfId="31021" xr:uid="{9D601417-9800-4A16-A481-F980AA1856E7}"/>
    <cellStyle name="Normal 9 2 2 4 3 3 4" xfId="14149" xr:uid="{04D01AA6-27F3-4A52-8B4C-4FA4CCA24842}"/>
    <cellStyle name="Normal 9 2 2 4 3 4" xfId="18369" xr:uid="{7B6B973B-17DB-4403-9E1B-8471C31D8593}"/>
    <cellStyle name="Normal 9 2 2 4 3 5" xfId="26804" xr:uid="{B43A4089-9B0E-48DA-A31B-9BC48F176FE8}"/>
    <cellStyle name="Normal 9 2 2 4 3 6" xfId="9931" xr:uid="{F96B499E-E8BF-419E-8E9A-D22B4CB20EF5}"/>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25145" xr:uid="{BC58029D-179C-495B-BB93-15C69DF10B7B}"/>
    <cellStyle name="Normal 9 2 2 4 4 2 2 3" xfId="33579" xr:uid="{60A21C71-FFFA-4A93-B7D3-D4B4309F55C4}"/>
    <cellStyle name="Normal 9 2 2 4 4 2 2 4" xfId="16707" xr:uid="{46B93955-CBEB-4C3C-92CE-12703A9AF241}"/>
    <cellStyle name="Normal 9 2 2 4 4 2 3" xfId="20927" xr:uid="{C8D65133-8082-40C7-AC8F-542FE20ECB75}"/>
    <cellStyle name="Normal 9 2 2 4 4 2 4" xfId="29362" xr:uid="{E6CF02E7-2FB1-4211-B3B6-04777E9C0DB9}"/>
    <cellStyle name="Normal 9 2 2 4 4 2 5" xfId="12489" xr:uid="{53CD7282-A29A-41C7-A7AF-BFABE19D3BCA}"/>
    <cellStyle name="Normal 9 2 2 4 4 3" xfId="6123" xr:uid="{00000000-0005-0000-0000-0000F21E0000}"/>
    <cellStyle name="Normal 9 2 2 4 4 3 2" xfId="23000" xr:uid="{D6D39B6D-5CBF-4159-9FCB-F690448D4141}"/>
    <cellStyle name="Normal 9 2 2 4 4 3 3" xfId="31434" xr:uid="{0F7A6361-F7A5-41BC-B766-1837CC02F949}"/>
    <cellStyle name="Normal 9 2 2 4 4 3 4" xfId="14562" xr:uid="{563E601B-06EF-45EC-A9B4-52EF3A45FF33}"/>
    <cellStyle name="Normal 9 2 2 4 4 4" xfId="18782" xr:uid="{E3E8A1B8-68AE-4B27-B4A4-793AF9A529DD}"/>
    <cellStyle name="Normal 9 2 2 4 4 5" xfId="27217" xr:uid="{3937F140-E5C6-4B9E-9394-069C598426DC}"/>
    <cellStyle name="Normal 9 2 2 4 4 6" xfId="10344" xr:uid="{2516E903-79DF-4504-8B8F-24E702F918FB}"/>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25558" xr:uid="{76697F3D-482E-4CDF-A32D-AB0B0BA4187D}"/>
    <cellStyle name="Normal 9 2 2 4 5 2 2 3" xfId="33992" xr:uid="{CD2B51BC-F5C2-4A19-B7FA-D58A4AC33048}"/>
    <cellStyle name="Normal 9 2 2 4 5 2 2 4" xfId="17120" xr:uid="{14ADE017-A279-4EB8-8E62-ACAE27DCC0C6}"/>
    <cellStyle name="Normal 9 2 2 4 5 2 3" xfId="21340" xr:uid="{621A4093-D81D-47DD-A7EB-0E5C8CEA2E00}"/>
    <cellStyle name="Normal 9 2 2 4 5 2 4" xfId="29775" xr:uid="{136FEDBB-A3C8-496F-BF02-3A5C24449DCA}"/>
    <cellStyle name="Normal 9 2 2 4 5 2 5" xfId="12902" xr:uid="{1077C2B7-D54D-4CFE-9205-4613A0D83C22}"/>
    <cellStyle name="Normal 9 2 2 4 5 3" xfId="6536" xr:uid="{00000000-0005-0000-0000-0000F61E0000}"/>
    <cellStyle name="Normal 9 2 2 4 5 3 2" xfId="23413" xr:uid="{7F672A7F-1651-401A-9D21-BB8F180E7BF8}"/>
    <cellStyle name="Normal 9 2 2 4 5 3 3" xfId="31847" xr:uid="{6AD5DCE9-A76A-4E4C-BF69-4139BA92E1DF}"/>
    <cellStyle name="Normal 9 2 2 4 5 3 4" xfId="14975" xr:uid="{16928FE4-A7D8-4A18-8A07-A7545C0E572B}"/>
    <cellStyle name="Normal 9 2 2 4 5 4" xfId="19195" xr:uid="{1633C124-CDEA-44E3-8C6A-A5F0D3D46E56}"/>
    <cellStyle name="Normal 9 2 2 4 5 5" xfId="27630" xr:uid="{C22C3890-799F-45C5-A50A-4BB7556EA1A5}"/>
    <cellStyle name="Normal 9 2 2 4 5 6" xfId="10757" xr:uid="{A305AF60-10A7-439C-8EF6-7D05E82F72F0}"/>
    <cellStyle name="Normal 9 2 2 4 6" xfId="2665" xr:uid="{00000000-0005-0000-0000-0000F71E0000}"/>
    <cellStyle name="Normal 9 2 2 4 6 2" xfId="6949" xr:uid="{00000000-0005-0000-0000-0000F81E0000}"/>
    <cellStyle name="Normal 9 2 2 4 6 2 2" xfId="23826" xr:uid="{FA6B168A-153C-474D-A8F8-18E21C1DEAE8}"/>
    <cellStyle name="Normal 9 2 2 4 6 2 3" xfId="32260" xr:uid="{E237F87F-9AF8-4EA5-9AF8-244AC87AD709}"/>
    <cellStyle name="Normal 9 2 2 4 6 2 4" xfId="15388" xr:uid="{7E7BD4F4-9322-4F2D-8AB5-481CAC30383B}"/>
    <cellStyle name="Normal 9 2 2 4 6 3" xfId="19608" xr:uid="{7E15D15B-FB1A-443A-91D0-CB906829EDE6}"/>
    <cellStyle name="Normal 9 2 2 4 6 4" xfId="28043" xr:uid="{37DB3452-8B25-4FA8-82FE-E37E18D828E4}"/>
    <cellStyle name="Normal 9 2 2 4 6 5" xfId="11170" xr:uid="{A996C689-3AD6-4214-BFEA-FDF6D62A07A2}"/>
    <cellStyle name="Normal 9 2 2 4 7" xfId="4884" xr:uid="{00000000-0005-0000-0000-0000F91E0000}"/>
    <cellStyle name="Normal 9 2 2 4 7 2" xfId="21761" xr:uid="{F4F78B22-0BE5-4AF6-9C3F-300170557785}"/>
    <cellStyle name="Normal 9 2 2 4 7 3" xfId="30195" xr:uid="{8A3CD7BA-4244-48CB-AEC1-FD9A1A26E41B}"/>
    <cellStyle name="Normal 9 2 2 4 7 4" xfId="13323" xr:uid="{BEAB2E9A-0375-472C-A062-7746110AB857}"/>
    <cellStyle name="Normal 9 2 2 4 8" xfId="17543" xr:uid="{5F7B7A12-FEFF-4B24-A256-D31E17F43337}"/>
    <cellStyle name="Normal 9 2 2 4 9" xfId="25978" xr:uid="{882B119C-90C3-488D-92F6-AE4307A43962}"/>
    <cellStyle name="Normal 9 2 2 5" xfId="979" xr:uid="{00000000-0005-0000-0000-0000FA1E0000}"/>
    <cellStyle name="Normal 9 2 2 5 2" xfId="3212" xr:uid="{00000000-0005-0000-0000-0000FB1E0000}"/>
    <cellStyle name="Normal 9 2 2 5 2 2" xfId="7435" xr:uid="{00000000-0005-0000-0000-0000FC1E0000}"/>
    <cellStyle name="Normal 9 2 2 5 2 2 2" xfId="24312" xr:uid="{7F9F6B21-83F4-4837-B45D-22FD562B0542}"/>
    <cellStyle name="Normal 9 2 2 5 2 2 3" xfId="32746" xr:uid="{CC1317D3-3766-42E8-BD48-BEB342380DE1}"/>
    <cellStyle name="Normal 9 2 2 5 2 2 4" xfId="15874" xr:uid="{7353D987-B317-4D36-B070-21ED1F2F9520}"/>
    <cellStyle name="Normal 9 2 2 5 2 3" xfId="20094" xr:uid="{6F7DCC6B-1A57-4CB8-B64B-C79932800E74}"/>
    <cellStyle name="Normal 9 2 2 5 2 4" xfId="28529" xr:uid="{92A061E8-5682-4752-875D-14A9E673963A}"/>
    <cellStyle name="Normal 9 2 2 5 2 5" xfId="11656" xr:uid="{93362B73-8FDA-4C67-849D-DFC0CBC7404F}"/>
    <cellStyle name="Normal 9 2 2 5 3" xfId="5290" xr:uid="{00000000-0005-0000-0000-0000FD1E0000}"/>
    <cellStyle name="Normal 9 2 2 5 3 2" xfId="22167" xr:uid="{EBF3373F-62B1-4FFF-844E-167C44D6DAD3}"/>
    <cellStyle name="Normal 9 2 2 5 3 3" xfId="30601" xr:uid="{69640D53-D3B7-41C0-963D-DAE95916AF65}"/>
    <cellStyle name="Normal 9 2 2 5 3 4" xfId="13729" xr:uid="{6892619B-7E70-4B10-80F2-E3C6CF766FBA}"/>
    <cellStyle name="Normal 9 2 2 5 4" xfId="17949" xr:uid="{2A470D00-8D5F-47AB-841E-7C621144B28E}"/>
    <cellStyle name="Normal 9 2 2 5 5" xfId="26384" xr:uid="{DD01B48F-A625-4DA4-BA9F-FE5BBD2D9D85}"/>
    <cellStyle name="Normal 9 2 2 5 6" xfId="9511" xr:uid="{5935DC24-CF45-43A7-9861-3FA715544B6F}"/>
    <cellStyle name="Normal 9 2 2 6" xfId="1395" xr:uid="{00000000-0005-0000-0000-0000FE1E0000}"/>
    <cellStyle name="Normal 9 2 2 6 2" xfId="3625" xr:uid="{00000000-0005-0000-0000-0000FF1E0000}"/>
    <cellStyle name="Normal 9 2 2 6 2 2" xfId="7848" xr:uid="{00000000-0005-0000-0000-0000001F0000}"/>
    <cellStyle name="Normal 9 2 2 6 2 2 2" xfId="24725" xr:uid="{C6DB049D-4876-4E2F-BEDA-7CBD3CA19FE4}"/>
    <cellStyle name="Normal 9 2 2 6 2 2 3" xfId="33159" xr:uid="{C65220B4-57C0-4761-A29D-F8EBEF4CEDB6}"/>
    <cellStyle name="Normal 9 2 2 6 2 2 4" xfId="16287" xr:uid="{36EDE85A-C2BC-4AA2-BC42-BCB1E3713C32}"/>
    <cellStyle name="Normal 9 2 2 6 2 3" xfId="20507" xr:uid="{FD7C59F5-866A-4CD8-8E4C-26C111700CE7}"/>
    <cellStyle name="Normal 9 2 2 6 2 4" xfId="28942" xr:uid="{86312980-69A1-4DBF-ADC4-22ADA00D003D}"/>
    <cellStyle name="Normal 9 2 2 6 2 5" xfId="12069" xr:uid="{53FAF42B-A574-4684-B38A-D754C28F15C9}"/>
    <cellStyle name="Normal 9 2 2 6 3" xfId="5703" xr:uid="{00000000-0005-0000-0000-0000011F0000}"/>
    <cellStyle name="Normal 9 2 2 6 3 2" xfId="22580" xr:uid="{D6C7C2B7-799D-4078-A257-BF90D9B65046}"/>
    <cellStyle name="Normal 9 2 2 6 3 3" xfId="31014" xr:uid="{8535E0F1-7C6F-4623-AD5D-6463F6C025CD}"/>
    <cellStyle name="Normal 9 2 2 6 3 4" xfId="14142" xr:uid="{09A24848-4D46-4234-B9CE-63DBF1ECF7BD}"/>
    <cellStyle name="Normal 9 2 2 6 4" xfId="18362" xr:uid="{86C3BD48-6403-458B-BF07-B6EF5EC5D668}"/>
    <cellStyle name="Normal 9 2 2 6 5" xfId="26797" xr:uid="{F7BB4BB8-B085-450A-9642-965A88816C0E}"/>
    <cellStyle name="Normal 9 2 2 6 6" xfId="9924" xr:uid="{100403D0-9E64-4F03-A176-442C513C4145}"/>
    <cellStyle name="Normal 9 2 2 7" xfId="1808" xr:uid="{00000000-0005-0000-0000-0000021F0000}"/>
    <cellStyle name="Normal 9 2 2 7 2" xfId="4038" xr:uid="{00000000-0005-0000-0000-0000031F0000}"/>
    <cellStyle name="Normal 9 2 2 7 2 2" xfId="8261" xr:uid="{00000000-0005-0000-0000-0000041F0000}"/>
    <cellStyle name="Normal 9 2 2 7 2 2 2" xfId="25138" xr:uid="{ABCC9EC3-3C69-49D1-81D2-9084B571B4C8}"/>
    <cellStyle name="Normal 9 2 2 7 2 2 3" xfId="33572" xr:uid="{D234BE82-E1AA-4D99-8547-33805BE359CC}"/>
    <cellStyle name="Normal 9 2 2 7 2 2 4" xfId="16700" xr:uid="{5279C620-6749-4683-BF1B-F6F8C4BEA053}"/>
    <cellStyle name="Normal 9 2 2 7 2 3" xfId="20920" xr:uid="{652FD55E-1271-4FB2-9744-27FBB7A87A4D}"/>
    <cellStyle name="Normal 9 2 2 7 2 4" xfId="29355" xr:uid="{2CB86526-83D9-42B9-8116-A60D889BC19F}"/>
    <cellStyle name="Normal 9 2 2 7 2 5" xfId="12482" xr:uid="{483241D4-180F-4DC4-9524-BC7740D4F776}"/>
    <cellStyle name="Normal 9 2 2 7 3" xfId="6116" xr:uid="{00000000-0005-0000-0000-0000051F0000}"/>
    <cellStyle name="Normal 9 2 2 7 3 2" xfId="22993" xr:uid="{49FF33C9-964C-47DF-A3E1-687EF661CA63}"/>
    <cellStyle name="Normal 9 2 2 7 3 3" xfId="31427" xr:uid="{0B46B299-1F85-41DD-AC7F-F66D354F2639}"/>
    <cellStyle name="Normal 9 2 2 7 3 4" xfId="14555" xr:uid="{03F9D1C5-622B-43B2-A3A6-8CF20C651963}"/>
    <cellStyle name="Normal 9 2 2 7 4" xfId="18775" xr:uid="{33D87E87-4040-4E84-A526-0FCA8ACA984A}"/>
    <cellStyle name="Normal 9 2 2 7 5" xfId="27210" xr:uid="{75AE8490-3B57-4811-954A-6454CF3C4F55}"/>
    <cellStyle name="Normal 9 2 2 7 6" xfId="10337" xr:uid="{A4AEB460-7DCD-4E02-B7FD-36DE068CB507}"/>
    <cellStyle name="Normal 9 2 2 8" xfId="2222" xr:uid="{00000000-0005-0000-0000-0000061F0000}"/>
    <cellStyle name="Normal 9 2 2 8 2" xfId="4451" xr:uid="{00000000-0005-0000-0000-0000071F0000}"/>
    <cellStyle name="Normal 9 2 2 8 2 2" xfId="8674" xr:uid="{00000000-0005-0000-0000-0000081F0000}"/>
    <cellStyle name="Normal 9 2 2 8 2 2 2" xfId="25551" xr:uid="{B2AA74A4-F5D1-43FA-8C53-5B60FA454979}"/>
    <cellStyle name="Normal 9 2 2 8 2 2 3" xfId="33985" xr:uid="{DE241992-D6BA-4CBF-84DB-2382729AA187}"/>
    <cellStyle name="Normal 9 2 2 8 2 2 4" xfId="17113" xr:uid="{E14C64DA-ECE1-4E4F-A306-C39408145BA6}"/>
    <cellStyle name="Normal 9 2 2 8 2 3" xfId="21333" xr:uid="{AF795C01-439D-4B1D-B709-12448EB944BD}"/>
    <cellStyle name="Normal 9 2 2 8 2 4" xfId="29768" xr:uid="{753FA503-86EB-4E4C-9800-234303ED3EF3}"/>
    <cellStyle name="Normal 9 2 2 8 2 5" xfId="12895" xr:uid="{C9C62F11-89CC-4D6A-A678-6F9C2D1F8DE2}"/>
    <cellStyle name="Normal 9 2 2 8 3" xfId="6529" xr:uid="{00000000-0005-0000-0000-0000091F0000}"/>
    <cellStyle name="Normal 9 2 2 8 3 2" xfId="23406" xr:uid="{483C6F74-F53E-425D-9F10-9CD412A3CE29}"/>
    <cellStyle name="Normal 9 2 2 8 3 3" xfId="31840" xr:uid="{47A0F16C-FA78-483E-A13E-F6D578753050}"/>
    <cellStyle name="Normal 9 2 2 8 3 4" xfId="14968" xr:uid="{D57725FC-ABA3-48BA-9D6C-ADCCE3FBFFEC}"/>
    <cellStyle name="Normal 9 2 2 8 4" xfId="19188" xr:uid="{C4D4F709-FD03-45C3-BA5D-3936A17D8066}"/>
    <cellStyle name="Normal 9 2 2 8 5" xfId="27623" xr:uid="{EB7A8B37-DECE-4A01-BB33-34AE71DC6FEC}"/>
    <cellStyle name="Normal 9 2 2 8 6" xfId="10750" xr:uid="{A199F324-26C5-4BEE-B981-9E58C4754EA0}"/>
    <cellStyle name="Normal 9 2 2 9" xfId="2658" xr:uid="{00000000-0005-0000-0000-00000A1F0000}"/>
    <cellStyle name="Normal 9 2 2 9 2" xfId="6942" xr:uid="{00000000-0005-0000-0000-00000B1F0000}"/>
    <cellStyle name="Normal 9 2 2 9 2 2" xfId="23819" xr:uid="{504F5779-1109-493A-99C4-ED01E2744871}"/>
    <cellStyle name="Normal 9 2 2 9 2 3" xfId="32253" xr:uid="{E0A30FDE-6912-452D-8A95-9A6EA7F56F79}"/>
    <cellStyle name="Normal 9 2 2 9 2 4" xfId="15381" xr:uid="{5968000B-EE0F-462C-BE29-F62B13F4FCF9}"/>
    <cellStyle name="Normal 9 2 2 9 3" xfId="19601" xr:uid="{4EEE837D-C7F8-421B-9644-C083FCA7B0AF}"/>
    <cellStyle name="Normal 9 2 2 9 4" xfId="28036" xr:uid="{22FA89EE-376C-4B47-9308-79526362826A}"/>
    <cellStyle name="Normal 9 2 2 9 5" xfId="11163" xr:uid="{0EAE9A66-8A93-42C9-8BD4-59B38A727BF8}"/>
    <cellStyle name="Normal 9 2 3" xfId="520" xr:uid="{00000000-0005-0000-0000-00000C1F0000}"/>
    <cellStyle name="Normal 9 2 3 10" xfId="17544" xr:uid="{D2B3AF12-005D-42CA-AAB8-A72B5B1E5A3D}"/>
    <cellStyle name="Normal 9 2 3 11" xfId="25979" xr:uid="{1C929D8A-C6F9-4150-9B1C-CD6FAEF6298E}"/>
    <cellStyle name="Normal 9 2 3 12" xfId="9106" xr:uid="{335261AA-CB24-4F7C-83DF-E429AF0FA3ED}"/>
    <cellStyle name="Normal 9 2 3 2" xfId="521" xr:uid="{00000000-0005-0000-0000-00000D1F0000}"/>
    <cellStyle name="Normal 9 2 3 2 10" xfId="25980" xr:uid="{FD998008-9301-48CC-8984-F6BEAF413348}"/>
    <cellStyle name="Normal 9 2 3 2 11" xfId="9107" xr:uid="{4FE1F250-CEC5-4904-B4D6-2E2A00ABC58F}"/>
    <cellStyle name="Normal 9 2 3 2 2" xfId="522" xr:uid="{00000000-0005-0000-0000-00000E1F0000}"/>
    <cellStyle name="Normal 9 2 3 2 2 10" xfId="9108" xr:uid="{22F4E4D4-411A-4170-80A3-FE85CF8AF0BF}"/>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24322" xr:uid="{42153AA9-EF48-40E6-BE95-1D1039981282}"/>
    <cellStyle name="Normal 9 2 3 2 2 2 2 2 3" xfId="32756" xr:uid="{333E6C28-3F7D-44C7-8E90-8B2768D67E1D}"/>
    <cellStyle name="Normal 9 2 3 2 2 2 2 2 4" xfId="15884" xr:uid="{A4D528F8-A981-44AF-98B7-4BC100CC0BE3}"/>
    <cellStyle name="Normal 9 2 3 2 2 2 2 3" xfId="20104" xr:uid="{2BFF4BE7-24FE-413D-B0F9-A731D9022F6F}"/>
    <cellStyle name="Normal 9 2 3 2 2 2 2 4" xfId="28539" xr:uid="{E7BC4BC0-D00D-4D67-80A7-B04E113F64F0}"/>
    <cellStyle name="Normal 9 2 3 2 2 2 2 5" xfId="11666" xr:uid="{F038BD4D-0268-4E95-B9B4-A4B37029EA5F}"/>
    <cellStyle name="Normal 9 2 3 2 2 2 3" xfId="5300" xr:uid="{00000000-0005-0000-0000-0000121F0000}"/>
    <cellStyle name="Normal 9 2 3 2 2 2 3 2" xfId="22177" xr:uid="{1FDD2E35-4509-4D53-A900-D1E642194854}"/>
    <cellStyle name="Normal 9 2 3 2 2 2 3 3" xfId="30611" xr:uid="{368BCA2F-38A6-4D17-A8F1-D544C5EA5855}"/>
    <cellStyle name="Normal 9 2 3 2 2 2 3 4" xfId="13739" xr:uid="{8684A620-D814-40E8-B050-142FFC6C50A6}"/>
    <cellStyle name="Normal 9 2 3 2 2 2 4" xfId="17959" xr:uid="{A336ACF1-644B-4169-80C1-0F255FF97836}"/>
    <cellStyle name="Normal 9 2 3 2 2 2 5" xfId="26394" xr:uid="{7E1410C9-B6A7-4FCD-A4C0-EFF154E97E40}"/>
    <cellStyle name="Normal 9 2 3 2 2 2 6" xfId="9521" xr:uid="{5B990C31-6E27-44D6-BA05-5A22440566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24735" xr:uid="{400A1DF9-50CE-4122-96E7-F386EA506F5E}"/>
    <cellStyle name="Normal 9 2 3 2 2 3 2 2 3" xfId="33169" xr:uid="{19F45C5E-88D2-4AB7-8FA8-EEC8A0207707}"/>
    <cellStyle name="Normal 9 2 3 2 2 3 2 2 4" xfId="16297" xr:uid="{0D06587F-04B4-48DF-9D2F-EBF23E91FF20}"/>
    <cellStyle name="Normal 9 2 3 2 2 3 2 3" xfId="20517" xr:uid="{FB227ED9-F20E-4F5F-B7FE-639652B2AB99}"/>
    <cellStyle name="Normal 9 2 3 2 2 3 2 4" xfId="28952" xr:uid="{9D72802E-6DDE-49CC-9EFD-A9A765E36FF9}"/>
    <cellStyle name="Normal 9 2 3 2 2 3 2 5" xfId="12079" xr:uid="{C5F98F1E-9683-4E23-B15E-0EA53D7DBFC8}"/>
    <cellStyle name="Normal 9 2 3 2 2 3 3" xfId="5713" xr:uid="{00000000-0005-0000-0000-0000161F0000}"/>
    <cellStyle name="Normal 9 2 3 2 2 3 3 2" xfId="22590" xr:uid="{DB492548-25C6-4A7A-A96C-CA35D4B4AF7C}"/>
    <cellStyle name="Normal 9 2 3 2 2 3 3 3" xfId="31024" xr:uid="{F99CE10B-0F3F-4585-A9B8-3305DAD6EDCB}"/>
    <cellStyle name="Normal 9 2 3 2 2 3 3 4" xfId="14152" xr:uid="{4097CC9A-FBCD-4CCF-BD98-35CF4003B285}"/>
    <cellStyle name="Normal 9 2 3 2 2 3 4" xfId="18372" xr:uid="{8298AFE1-9616-4959-A63B-C6D968E94B4F}"/>
    <cellStyle name="Normal 9 2 3 2 2 3 5" xfId="26807" xr:uid="{8A2109D6-77C4-4A24-89CA-8B34B29490D5}"/>
    <cellStyle name="Normal 9 2 3 2 2 3 6" xfId="9934" xr:uid="{0394700D-D756-41E4-9C92-178214178AE4}"/>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25148" xr:uid="{50FF69BC-6D4A-44F9-886C-954934C18BE2}"/>
    <cellStyle name="Normal 9 2 3 2 2 4 2 2 3" xfId="33582" xr:uid="{DFF7B5B9-15DC-4003-AF41-5E7CB9C85A96}"/>
    <cellStyle name="Normal 9 2 3 2 2 4 2 2 4" xfId="16710" xr:uid="{09E91DEB-ED5F-43E7-B534-35E612EF35EE}"/>
    <cellStyle name="Normal 9 2 3 2 2 4 2 3" xfId="20930" xr:uid="{0E92B723-8779-4737-BBFD-09CF7E34314D}"/>
    <cellStyle name="Normal 9 2 3 2 2 4 2 4" xfId="29365" xr:uid="{C06AA830-70C2-4BAE-8FD5-6B9A349594DF}"/>
    <cellStyle name="Normal 9 2 3 2 2 4 2 5" xfId="12492" xr:uid="{51BB062C-1ECA-49AA-B475-89F88DA7EDDE}"/>
    <cellStyle name="Normal 9 2 3 2 2 4 3" xfId="6126" xr:uid="{00000000-0005-0000-0000-00001A1F0000}"/>
    <cellStyle name="Normal 9 2 3 2 2 4 3 2" xfId="23003" xr:uid="{3802BBEB-22B8-407E-9579-124745805B33}"/>
    <cellStyle name="Normal 9 2 3 2 2 4 3 3" xfId="31437" xr:uid="{1971743E-2C74-499A-B27D-1FC05D34E023}"/>
    <cellStyle name="Normal 9 2 3 2 2 4 3 4" xfId="14565" xr:uid="{7FFDBBB4-7635-4C23-968C-C0B5C52CB36A}"/>
    <cellStyle name="Normal 9 2 3 2 2 4 4" xfId="18785" xr:uid="{8AEA6F12-60D4-4471-A8E9-B2D14A2A0B4C}"/>
    <cellStyle name="Normal 9 2 3 2 2 4 5" xfId="27220" xr:uid="{E9EC94C7-4009-4952-AA53-6F271622B1B9}"/>
    <cellStyle name="Normal 9 2 3 2 2 4 6" xfId="10347" xr:uid="{07650E87-0808-4DEF-970F-B8E8EDB58E56}"/>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25561" xr:uid="{F25DFCAD-4649-4D26-93B3-4832A24850E2}"/>
    <cellStyle name="Normal 9 2 3 2 2 5 2 2 3" xfId="33995" xr:uid="{73E8E693-5DC3-4416-9E63-CABAF6C2C3EB}"/>
    <cellStyle name="Normal 9 2 3 2 2 5 2 2 4" xfId="17123" xr:uid="{3903F8ED-A183-47E7-8215-E130D8F01453}"/>
    <cellStyle name="Normal 9 2 3 2 2 5 2 3" xfId="21343" xr:uid="{F3DA631A-613C-48ED-BF4E-3EA1C6FDED84}"/>
    <cellStyle name="Normal 9 2 3 2 2 5 2 4" xfId="29778" xr:uid="{0DB31613-8D7E-43B1-9717-A8EE65186982}"/>
    <cellStyle name="Normal 9 2 3 2 2 5 2 5" xfId="12905" xr:uid="{B0EAB352-639E-4711-81E8-9E1BBF4E31FD}"/>
    <cellStyle name="Normal 9 2 3 2 2 5 3" xfId="6539" xr:uid="{00000000-0005-0000-0000-00001E1F0000}"/>
    <cellStyle name="Normal 9 2 3 2 2 5 3 2" xfId="23416" xr:uid="{264C9951-54D8-4A22-8674-CFE646EF95DF}"/>
    <cellStyle name="Normal 9 2 3 2 2 5 3 3" xfId="31850" xr:uid="{92273858-B5F9-4B96-B629-87F2C6576F50}"/>
    <cellStyle name="Normal 9 2 3 2 2 5 3 4" xfId="14978" xr:uid="{CA36FD4B-C2FD-49AC-910E-325DABAEEFA9}"/>
    <cellStyle name="Normal 9 2 3 2 2 5 4" xfId="19198" xr:uid="{022938DE-FCCB-48D7-B990-DA362E37F409}"/>
    <cellStyle name="Normal 9 2 3 2 2 5 5" xfId="27633" xr:uid="{BFCE804E-42B5-4581-80E0-0A60EF70CD34}"/>
    <cellStyle name="Normal 9 2 3 2 2 5 6" xfId="10760" xr:uid="{A282786E-E816-4852-9FAC-ADB07E5EADC4}"/>
    <cellStyle name="Normal 9 2 3 2 2 6" xfId="2668" xr:uid="{00000000-0005-0000-0000-00001F1F0000}"/>
    <cellStyle name="Normal 9 2 3 2 2 6 2" xfId="6952" xr:uid="{00000000-0005-0000-0000-0000201F0000}"/>
    <cellStyle name="Normal 9 2 3 2 2 6 2 2" xfId="23829" xr:uid="{F44484A2-E5DD-4BDA-A6FD-859E32742FA4}"/>
    <cellStyle name="Normal 9 2 3 2 2 6 2 3" xfId="32263" xr:uid="{5F080468-28EE-4947-8378-1A83DCD4D28C}"/>
    <cellStyle name="Normal 9 2 3 2 2 6 2 4" xfId="15391" xr:uid="{F01F2191-9C16-4921-A193-FB7504D2FD57}"/>
    <cellStyle name="Normal 9 2 3 2 2 6 3" xfId="19611" xr:uid="{9D9C0F00-BE7B-4949-8D2E-A2A8D01ABE1C}"/>
    <cellStyle name="Normal 9 2 3 2 2 6 4" xfId="28046" xr:uid="{C2DA5B4B-CC9D-4D3A-A120-F8A00292E434}"/>
    <cellStyle name="Normal 9 2 3 2 2 6 5" xfId="11173" xr:uid="{D5D92994-4273-4E66-BA3E-7FFC8FA9E940}"/>
    <cellStyle name="Normal 9 2 3 2 2 7" xfId="4887" xr:uid="{00000000-0005-0000-0000-0000211F0000}"/>
    <cellStyle name="Normal 9 2 3 2 2 7 2" xfId="21764" xr:uid="{9718B4DC-1435-4BFA-9342-FA6759574E3C}"/>
    <cellStyle name="Normal 9 2 3 2 2 7 3" xfId="30198" xr:uid="{A5B30C39-FC9A-45DE-8CA8-25FB59C1392B}"/>
    <cellStyle name="Normal 9 2 3 2 2 7 4" xfId="13326" xr:uid="{17F7A103-C011-486B-866A-FE2D432A8B9F}"/>
    <cellStyle name="Normal 9 2 3 2 2 8" xfId="17546" xr:uid="{87D057D3-FFB7-4FB7-84D2-9CEF09517C70}"/>
    <cellStyle name="Normal 9 2 3 2 2 9" xfId="25981" xr:uid="{15C4C761-1C04-496F-B998-DE8149C3B569}"/>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24321" xr:uid="{AF10CE69-5DBE-45EF-B6B5-ED05CCC6DB23}"/>
    <cellStyle name="Normal 9 2 3 2 3 2 2 3" xfId="32755" xr:uid="{C1999FC0-84F1-49EC-B1DE-A1A7FA266B4B}"/>
    <cellStyle name="Normal 9 2 3 2 3 2 2 4" xfId="15883" xr:uid="{500F557C-0F99-4F73-8BDC-C5B8BC3F2485}"/>
    <cellStyle name="Normal 9 2 3 2 3 2 3" xfId="20103" xr:uid="{9853F58C-569C-4860-901D-9272AEB7941B}"/>
    <cellStyle name="Normal 9 2 3 2 3 2 4" xfId="28538" xr:uid="{88700014-811F-4AFB-803C-C8E65BB8C84E}"/>
    <cellStyle name="Normal 9 2 3 2 3 2 5" xfId="11665" xr:uid="{5C3C0013-DF3A-4C74-B859-1FA8E0B11318}"/>
    <cellStyle name="Normal 9 2 3 2 3 3" xfId="5299" xr:uid="{00000000-0005-0000-0000-0000251F0000}"/>
    <cellStyle name="Normal 9 2 3 2 3 3 2" xfId="22176" xr:uid="{3ED00BEC-1E97-40E5-BFF9-CF087DF9C179}"/>
    <cellStyle name="Normal 9 2 3 2 3 3 3" xfId="30610" xr:uid="{60305F27-1B81-4FD0-AC3C-DA5DF60EC942}"/>
    <cellStyle name="Normal 9 2 3 2 3 3 4" xfId="13738" xr:uid="{7EE75FD4-D380-4EEC-8BD4-9F3A256DBB58}"/>
    <cellStyle name="Normal 9 2 3 2 3 4" xfId="17958" xr:uid="{C06626E0-4B75-44FC-9B25-847E3966E1E3}"/>
    <cellStyle name="Normal 9 2 3 2 3 5" xfId="26393" xr:uid="{D698C38B-99DB-4BC7-9702-5B7C96106408}"/>
    <cellStyle name="Normal 9 2 3 2 3 6" xfId="9520" xr:uid="{07408CC7-6602-4AC5-93F2-F329580376A4}"/>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24734" xr:uid="{D838AB84-5501-4D20-88C9-A2C457F83009}"/>
    <cellStyle name="Normal 9 2 3 2 4 2 2 3" xfId="33168" xr:uid="{1ABC92E0-64D8-4F55-A3A9-C1596D80C0F2}"/>
    <cellStyle name="Normal 9 2 3 2 4 2 2 4" xfId="16296" xr:uid="{3E875BE3-8DF1-488A-864E-C114E9EF4DBC}"/>
    <cellStyle name="Normal 9 2 3 2 4 2 3" xfId="20516" xr:uid="{55AD49C7-73E9-4B15-BE83-DAFDC0ADA876}"/>
    <cellStyle name="Normal 9 2 3 2 4 2 4" xfId="28951" xr:uid="{543E0E78-3130-4DED-ACFD-E66829184E6B}"/>
    <cellStyle name="Normal 9 2 3 2 4 2 5" xfId="12078" xr:uid="{5A327A96-E800-423D-91B7-FC094A714577}"/>
    <cellStyle name="Normal 9 2 3 2 4 3" xfId="5712" xr:uid="{00000000-0005-0000-0000-0000291F0000}"/>
    <cellStyle name="Normal 9 2 3 2 4 3 2" xfId="22589" xr:uid="{82A8588E-D2BA-44C9-B326-D75E7DC1E151}"/>
    <cellStyle name="Normal 9 2 3 2 4 3 3" xfId="31023" xr:uid="{A1E62F05-961C-4557-B7FE-BE0EB42E17FB}"/>
    <cellStyle name="Normal 9 2 3 2 4 3 4" xfId="14151" xr:uid="{5C179CFF-6D44-4E03-9FCF-5288F68ADC9C}"/>
    <cellStyle name="Normal 9 2 3 2 4 4" xfId="18371" xr:uid="{41120541-2AA3-4859-91AD-224269E3AA7D}"/>
    <cellStyle name="Normal 9 2 3 2 4 5" xfId="26806" xr:uid="{6B32BC0A-7438-4DC8-9C25-DD143F21282F}"/>
    <cellStyle name="Normal 9 2 3 2 4 6" xfId="9933" xr:uid="{19DEE218-9EDE-4853-AE03-B87FC7A9DD4E}"/>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25147" xr:uid="{BAAE6385-A901-401B-A476-77AE1B6C9C39}"/>
    <cellStyle name="Normal 9 2 3 2 5 2 2 3" xfId="33581" xr:uid="{372B949A-C472-41F4-9BCD-13EE8149E781}"/>
    <cellStyle name="Normal 9 2 3 2 5 2 2 4" xfId="16709" xr:uid="{0D5EDBCF-199F-4C28-A83C-8BE7E35E2A53}"/>
    <cellStyle name="Normal 9 2 3 2 5 2 3" xfId="20929" xr:uid="{54A46418-332F-45C8-AE35-67E955036F4D}"/>
    <cellStyle name="Normal 9 2 3 2 5 2 4" xfId="29364" xr:uid="{AD84D2DA-E038-422A-ABAA-F5546360CFBD}"/>
    <cellStyle name="Normal 9 2 3 2 5 2 5" xfId="12491" xr:uid="{6BF379E1-D2C1-4BEC-91FA-354559F67B6B}"/>
    <cellStyle name="Normal 9 2 3 2 5 3" xfId="6125" xr:uid="{00000000-0005-0000-0000-00002D1F0000}"/>
    <cellStyle name="Normal 9 2 3 2 5 3 2" xfId="23002" xr:uid="{43E26327-E2F4-45B8-BF8E-59B42157A5F2}"/>
    <cellStyle name="Normal 9 2 3 2 5 3 3" xfId="31436" xr:uid="{21731FBB-1265-4C44-9143-DAAE1C70B205}"/>
    <cellStyle name="Normal 9 2 3 2 5 3 4" xfId="14564" xr:uid="{4773F576-938C-48BD-BA1D-086FB2397704}"/>
    <cellStyle name="Normal 9 2 3 2 5 4" xfId="18784" xr:uid="{4E6A2F4F-8D03-4EAE-920A-6CB9FD4F433A}"/>
    <cellStyle name="Normal 9 2 3 2 5 5" xfId="27219" xr:uid="{3EDDC9EB-9F10-4371-85B9-0861354168F2}"/>
    <cellStyle name="Normal 9 2 3 2 5 6" xfId="10346" xr:uid="{62C1CA21-995A-4221-AFBA-A1F7A974BD1B}"/>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25560" xr:uid="{D6591393-E144-4AC9-953A-6A5547DCF9DC}"/>
    <cellStyle name="Normal 9 2 3 2 6 2 2 3" xfId="33994" xr:uid="{46B71DF7-F014-4202-ACAE-6C1FBBD5FDD5}"/>
    <cellStyle name="Normal 9 2 3 2 6 2 2 4" xfId="17122" xr:uid="{98C64A7A-A23C-48ED-A495-EF90F843B0AA}"/>
    <cellStyle name="Normal 9 2 3 2 6 2 3" xfId="21342" xr:uid="{D8CE0AE5-3D83-46EB-B1DE-8DF3EC9D3C17}"/>
    <cellStyle name="Normal 9 2 3 2 6 2 4" xfId="29777" xr:uid="{1D2CCF37-0C0E-4904-9B9C-D74E0D4538DD}"/>
    <cellStyle name="Normal 9 2 3 2 6 2 5" xfId="12904" xr:uid="{9A2915B7-4072-4CAB-9511-A116F07031BD}"/>
    <cellStyle name="Normal 9 2 3 2 6 3" xfId="6538" xr:uid="{00000000-0005-0000-0000-0000311F0000}"/>
    <cellStyle name="Normal 9 2 3 2 6 3 2" xfId="23415" xr:uid="{294F6E28-5D14-4F69-8384-420F2E441D2F}"/>
    <cellStyle name="Normal 9 2 3 2 6 3 3" xfId="31849" xr:uid="{D4030AF1-3D69-42DA-9622-84F3BDB8E543}"/>
    <cellStyle name="Normal 9 2 3 2 6 3 4" xfId="14977" xr:uid="{269A9890-BD01-40CC-8BB4-86A55D7C4A74}"/>
    <cellStyle name="Normal 9 2 3 2 6 4" xfId="19197" xr:uid="{0D5539A9-81D4-4351-ACB3-DCBC7A93E1E2}"/>
    <cellStyle name="Normal 9 2 3 2 6 5" xfId="27632" xr:uid="{BDF8762D-3EE3-4BC5-B386-6D19AA13510A}"/>
    <cellStyle name="Normal 9 2 3 2 6 6" xfId="10759" xr:uid="{5CA775A7-85CA-43F8-B1C5-7E8CB62AD932}"/>
    <cellStyle name="Normal 9 2 3 2 7" xfId="2667" xr:uid="{00000000-0005-0000-0000-0000321F0000}"/>
    <cellStyle name="Normal 9 2 3 2 7 2" xfId="6951" xr:uid="{00000000-0005-0000-0000-0000331F0000}"/>
    <cellStyle name="Normal 9 2 3 2 7 2 2" xfId="23828" xr:uid="{0FC27514-9E41-45AC-89E2-49A1C8C40312}"/>
    <cellStyle name="Normal 9 2 3 2 7 2 3" xfId="32262" xr:uid="{10E676CA-414C-45BC-BDF0-CEE3DB3CE6C3}"/>
    <cellStyle name="Normal 9 2 3 2 7 2 4" xfId="15390" xr:uid="{E621B869-279F-44A0-BEB1-DFD792ADCD56}"/>
    <cellStyle name="Normal 9 2 3 2 7 3" xfId="19610" xr:uid="{966581F9-9105-466B-9C09-84902497BAAD}"/>
    <cellStyle name="Normal 9 2 3 2 7 4" xfId="28045" xr:uid="{5446E2F3-C223-49C7-9DE1-0145B6D516FB}"/>
    <cellStyle name="Normal 9 2 3 2 7 5" xfId="11172" xr:uid="{3A03D7C5-EA66-450F-A85B-D4E0316BA202}"/>
    <cellStyle name="Normal 9 2 3 2 8" xfId="4886" xr:uid="{00000000-0005-0000-0000-0000341F0000}"/>
    <cellStyle name="Normal 9 2 3 2 8 2" xfId="21763" xr:uid="{3CF0A4C3-B0A4-4AB1-B835-754083C2FF7B}"/>
    <cellStyle name="Normal 9 2 3 2 8 3" xfId="30197" xr:uid="{FA57BC69-FC57-4F45-9254-33807D778AFC}"/>
    <cellStyle name="Normal 9 2 3 2 8 4" xfId="13325" xr:uid="{F12DEA97-9CEE-4FD1-9E62-E4D7B62C507B}"/>
    <cellStyle name="Normal 9 2 3 2 9" xfId="17545" xr:uid="{59B289A9-0F9D-429A-A0E2-F4620F27C708}"/>
    <cellStyle name="Normal 9 2 3 3" xfId="523" xr:uid="{00000000-0005-0000-0000-0000351F0000}"/>
    <cellStyle name="Normal 9 2 3 3 10" xfId="9109" xr:uid="{EFD44854-A4D0-4BDE-A244-AE0D67D7041D}"/>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24323" xr:uid="{CAB113F3-9184-409F-812D-BE033CA4C57A}"/>
    <cellStyle name="Normal 9 2 3 3 2 2 2 3" xfId="32757" xr:uid="{C1B9B9CD-D694-4777-BC55-7695F661878A}"/>
    <cellStyle name="Normal 9 2 3 3 2 2 2 4" xfId="15885" xr:uid="{214DCE6D-03DE-4AF4-BA02-7DF7C812DEE1}"/>
    <cellStyle name="Normal 9 2 3 3 2 2 3" xfId="20105" xr:uid="{35AC2EA6-2647-450A-8BB4-6653136FCBAF}"/>
    <cellStyle name="Normal 9 2 3 3 2 2 4" xfId="28540" xr:uid="{DF70F97E-EE2F-4E3A-BC36-1F84437B2643}"/>
    <cellStyle name="Normal 9 2 3 3 2 2 5" xfId="11667" xr:uid="{1B5E6145-09D6-4D56-ABED-EA74D463FCA3}"/>
    <cellStyle name="Normal 9 2 3 3 2 3" xfId="5301" xr:uid="{00000000-0005-0000-0000-0000391F0000}"/>
    <cellStyle name="Normal 9 2 3 3 2 3 2" xfId="22178" xr:uid="{1C8AB31C-D611-4C91-AE30-FB1AE2D0835A}"/>
    <cellStyle name="Normal 9 2 3 3 2 3 3" xfId="30612" xr:uid="{F168B385-7F6E-4473-8AA6-248B3987A839}"/>
    <cellStyle name="Normal 9 2 3 3 2 3 4" xfId="13740" xr:uid="{A5C3DAD3-6BEC-4D91-8955-78BF002F7685}"/>
    <cellStyle name="Normal 9 2 3 3 2 4" xfId="17960" xr:uid="{D5B30F85-32B0-4404-BF5C-D70CD058FF89}"/>
    <cellStyle name="Normal 9 2 3 3 2 5" xfId="26395" xr:uid="{2B09B9DC-D580-4732-86B9-A665F40CAB21}"/>
    <cellStyle name="Normal 9 2 3 3 2 6" xfId="9522" xr:uid="{A70F235D-E2A0-4C57-AFBE-2D8FDE59C77D}"/>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24736" xr:uid="{4BDFE036-BA6E-4EB9-A5F1-6AF63BB4DF3F}"/>
    <cellStyle name="Normal 9 2 3 3 3 2 2 3" xfId="33170" xr:uid="{605026F9-1ADC-46FA-9873-35FE908B3C5B}"/>
    <cellStyle name="Normal 9 2 3 3 3 2 2 4" xfId="16298" xr:uid="{AC033415-62E7-4CCD-8F51-0808621FC4A7}"/>
    <cellStyle name="Normal 9 2 3 3 3 2 3" xfId="20518" xr:uid="{88403A30-2242-41A4-9807-1A73ABC81BE5}"/>
    <cellStyle name="Normal 9 2 3 3 3 2 4" xfId="28953" xr:uid="{D2A4D7FA-20AD-4A51-8525-9420C4AC6D79}"/>
    <cellStyle name="Normal 9 2 3 3 3 2 5" xfId="12080" xr:uid="{844ABC2A-7131-4E12-A6AE-53C0064D7DD6}"/>
    <cellStyle name="Normal 9 2 3 3 3 3" xfId="5714" xr:uid="{00000000-0005-0000-0000-00003D1F0000}"/>
    <cellStyle name="Normal 9 2 3 3 3 3 2" xfId="22591" xr:uid="{80C43DCC-60C0-4F6F-B66C-75AA7C208A83}"/>
    <cellStyle name="Normal 9 2 3 3 3 3 3" xfId="31025" xr:uid="{32676463-69AE-402E-8C8D-F96B59A462D4}"/>
    <cellStyle name="Normal 9 2 3 3 3 3 4" xfId="14153" xr:uid="{BE8C317E-1B86-4634-8717-87A3DA34117A}"/>
    <cellStyle name="Normal 9 2 3 3 3 4" xfId="18373" xr:uid="{9DEF9C3C-6BF5-4E1C-9B26-CEAA4E423409}"/>
    <cellStyle name="Normal 9 2 3 3 3 5" xfId="26808" xr:uid="{38D043EA-AE2A-4039-9A24-EA5E92DAC8DE}"/>
    <cellStyle name="Normal 9 2 3 3 3 6" xfId="9935" xr:uid="{64C8BC36-B1B5-47D1-9923-AC118D8EB41E}"/>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25149" xr:uid="{B670E7E9-A28B-4A37-80F0-8F9FA8B6F1DF}"/>
    <cellStyle name="Normal 9 2 3 3 4 2 2 3" xfId="33583" xr:uid="{ACC30A73-2754-4D52-BF4F-D7CC28AA9FD7}"/>
    <cellStyle name="Normal 9 2 3 3 4 2 2 4" xfId="16711" xr:uid="{78BC2B20-B3B0-43DA-BA1A-5E11FEBDA25C}"/>
    <cellStyle name="Normal 9 2 3 3 4 2 3" xfId="20931" xr:uid="{A2269387-AB3B-464A-B918-AEBF762BDABF}"/>
    <cellStyle name="Normal 9 2 3 3 4 2 4" xfId="29366" xr:uid="{00A32601-87BD-4800-B705-2D4E7A293F34}"/>
    <cellStyle name="Normal 9 2 3 3 4 2 5" xfId="12493" xr:uid="{0763F8B7-F61D-4781-943C-6D56FD932447}"/>
    <cellStyle name="Normal 9 2 3 3 4 3" xfId="6127" xr:uid="{00000000-0005-0000-0000-0000411F0000}"/>
    <cellStyle name="Normal 9 2 3 3 4 3 2" xfId="23004" xr:uid="{FA05A4C4-05BC-406E-B88D-98780B261F1D}"/>
    <cellStyle name="Normal 9 2 3 3 4 3 3" xfId="31438" xr:uid="{197CF62E-E9B4-44CE-AEF8-D4477B898FEC}"/>
    <cellStyle name="Normal 9 2 3 3 4 3 4" xfId="14566" xr:uid="{B2234DD9-E071-4375-A7ED-D261A2C61E79}"/>
    <cellStyle name="Normal 9 2 3 3 4 4" xfId="18786" xr:uid="{81BDC495-4AC0-4A4A-AEAE-2F8C58EA0FA8}"/>
    <cellStyle name="Normal 9 2 3 3 4 5" xfId="27221" xr:uid="{E05B15F1-574F-46B2-9FE1-1CBBF1D316CC}"/>
    <cellStyle name="Normal 9 2 3 3 4 6" xfId="10348" xr:uid="{D3881AAC-7DEB-46CF-BDF8-816092120C40}"/>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25562" xr:uid="{C2648D03-7041-4012-B113-ACFACEE24898}"/>
    <cellStyle name="Normal 9 2 3 3 5 2 2 3" xfId="33996" xr:uid="{C3545EBA-62D2-4F54-B79E-A5ED996B2233}"/>
    <cellStyle name="Normal 9 2 3 3 5 2 2 4" xfId="17124" xr:uid="{1EF41EA8-C189-46FC-B0C5-239DE53FDE4A}"/>
    <cellStyle name="Normal 9 2 3 3 5 2 3" xfId="21344" xr:uid="{5E7F4698-7091-4748-B0D9-EA5D3BBBFD17}"/>
    <cellStyle name="Normal 9 2 3 3 5 2 4" xfId="29779" xr:uid="{5BD08AB5-067F-4AF1-9CDF-731F3BC55289}"/>
    <cellStyle name="Normal 9 2 3 3 5 2 5" xfId="12906" xr:uid="{A2DFBBFA-89C6-47D7-AE42-B347E6F8B051}"/>
    <cellStyle name="Normal 9 2 3 3 5 3" xfId="6540" xr:uid="{00000000-0005-0000-0000-0000451F0000}"/>
    <cellStyle name="Normal 9 2 3 3 5 3 2" xfId="23417" xr:uid="{6C1D8034-31C8-414D-9B8E-34EAAF2A75D5}"/>
    <cellStyle name="Normal 9 2 3 3 5 3 3" xfId="31851" xr:uid="{D132F271-CF87-4B43-99AA-BA32753534E5}"/>
    <cellStyle name="Normal 9 2 3 3 5 3 4" xfId="14979" xr:uid="{80969B55-761E-48CC-B239-88543413C910}"/>
    <cellStyle name="Normal 9 2 3 3 5 4" xfId="19199" xr:uid="{CCE3ED21-E482-4FC4-865E-49A722D48807}"/>
    <cellStyle name="Normal 9 2 3 3 5 5" xfId="27634" xr:uid="{1D865BD7-DD57-4016-AB04-B3C241EDE486}"/>
    <cellStyle name="Normal 9 2 3 3 5 6" xfId="10761" xr:uid="{8DE74B2E-6A96-4C3C-A243-B0CDCD056B11}"/>
    <cellStyle name="Normal 9 2 3 3 6" xfId="2669" xr:uid="{00000000-0005-0000-0000-0000461F0000}"/>
    <cellStyle name="Normal 9 2 3 3 6 2" xfId="6953" xr:uid="{00000000-0005-0000-0000-0000471F0000}"/>
    <cellStyle name="Normal 9 2 3 3 6 2 2" xfId="23830" xr:uid="{F1305817-DC88-48D5-88ED-8EAFE0B80E7C}"/>
    <cellStyle name="Normal 9 2 3 3 6 2 3" xfId="32264" xr:uid="{78BF5F09-97CF-44AE-B996-948BBCF2C03C}"/>
    <cellStyle name="Normal 9 2 3 3 6 2 4" xfId="15392" xr:uid="{7B861C5F-DBD8-452D-B6CB-D503E0BF964F}"/>
    <cellStyle name="Normal 9 2 3 3 6 3" xfId="19612" xr:uid="{C66F4727-6093-454C-9483-27C227D48893}"/>
    <cellStyle name="Normal 9 2 3 3 6 4" xfId="28047" xr:uid="{C0AB2B57-E8B8-416A-AB3E-54F5BF045ED8}"/>
    <cellStyle name="Normal 9 2 3 3 6 5" xfId="11174" xr:uid="{DFE3A4FF-FDD1-48D7-BB6C-A0C7CFE27B1E}"/>
    <cellStyle name="Normal 9 2 3 3 7" xfId="4888" xr:uid="{00000000-0005-0000-0000-0000481F0000}"/>
    <cellStyle name="Normal 9 2 3 3 7 2" xfId="21765" xr:uid="{921E8297-B727-472A-97A1-2060BBF795B2}"/>
    <cellStyle name="Normal 9 2 3 3 7 3" xfId="30199" xr:uid="{784CD6F7-5EF2-433E-8947-F4656ED767A2}"/>
    <cellStyle name="Normal 9 2 3 3 7 4" xfId="13327" xr:uid="{3B1FA36E-2553-4BED-81A5-E6CDED014A57}"/>
    <cellStyle name="Normal 9 2 3 3 8" xfId="17547" xr:uid="{3A5AA29B-F829-445B-8515-E008631A6F86}"/>
    <cellStyle name="Normal 9 2 3 3 9" xfId="25982" xr:uid="{D912B94D-ADCD-4476-9467-EA8AA2BD6EDF}"/>
    <cellStyle name="Normal 9 2 3 4" xfId="987" xr:uid="{00000000-0005-0000-0000-0000491F0000}"/>
    <cellStyle name="Normal 9 2 3 4 2" xfId="3220" xr:uid="{00000000-0005-0000-0000-00004A1F0000}"/>
    <cellStyle name="Normal 9 2 3 4 2 2" xfId="7443" xr:uid="{00000000-0005-0000-0000-00004B1F0000}"/>
    <cellStyle name="Normal 9 2 3 4 2 2 2" xfId="24320" xr:uid="{8F23A189-A77A-4A9C-A512-3FCE4FA56469}"/>
    <cellStyle name="Normal 9 2 3 4 2 2 3" xfId="32754" xr:uid="{630D2836-439F-473A-86E1-441D80F974AD}"/>
    <cellStyle name="Normal 9 2 3 4 2 2 4" xfId="15882" xr:uid="{9EF4F0EC-AEEE-4028-A0C5-E8B5E2A4BD77}"/>
    <cellStyle name="Normal 9 2 3 4 2 3" xfId="20102" xr:uid="{E8A30C02-7FA3-4838-BB2C-D41BA9B17350}"/>
    <cellStyle name="Normal 9 2 3 4 2 4" xfId="28537" xr:uid="{DAD22BDF-7784-4ADD-AC86-8FE61C99F9D0}"/>
    <cellStyle name="Normal 9 2 3 4 2 5" xfId="11664" xr:uid="{FD192FF4-4DA5-4EE4-A083-23F9205444E0}"/>
    <cellStyle name="Normal 9 2 3 4 3" xfId="5298" xr:uid="{00000000-0005-0000-0000-00004C1F0000}"/>
    <cellStyle name="Normal 9 2 3 4 3 2" xfId="22175" xr:uid="{0604C7F0-64A5-4618-8E71-B8BCED586FE6}"/>
    <cellStyle name="Normal 9 2 3 4 3 3" xfId="30609" xr:uid="{05D0F3FB-0183-4E89-ADB4-826F2BFC542E}"/>
    <cellStyle name="Normal 9 2 3 4 3 4" xfId="13737" xr:uid="{C13238B7-F5E1-42CC-B546-718CB4266A83}"/>
    <cellStyle name="Normal 9 2 3 4 4" xfId="17957" xr:uid="{E2B865ED-0FA8-4DE4-81CF-9B9256F1BE06}"/>
    <cellStyle name="Normal 9 2 3 4 5" xfId="26392" xr:uid="{DEE8620C-1881-4184-9246-FFACD34A86B5}"/>
    <cellStyle name="Normal 9 2 3 4 6" xfId="9519" xr:uid="{0308FB7C-696D-4BC3-9BB4-F178CE2F0624}"/>
    <cellStyle name="Normal 9 2 3 5" xfId="1403" xr:uid="{00000000-0005-0000-0000-00004D1F0000}"/>
    <cellStyle name="Normal 9 2 3 5 2" xfId="3633" xr:uid="{00000000-0005-0000-0000-00004E1F0000}"/>
    <cellStyle name="Normal 9 2 3 5 2 2" xfId="7856" xr:uid="{00000000-0005-0000-0000-00004F1F0000}"/>
    <cellStyle name="Normal 9 2 3 5 2 2 2" xfId="24733" xr:uid="{677C78F8-C0D5-48A2-B1BA-3A6A4CA5174B}"/>
    <cellStyle name="Normal 9 2 3 5 2 2 3" xfId="33167" xr:uid="{05E47EA9-8BB6-4561-AA88-27AB66C68424}"/>
    <cellStyle name="Normal 9 2 3 5 2 2 4" xfId="16295" xr:uid="{1A651741-E904-49B5-A740-5BE621DFC143}"/>
    <cellStyle name="Normal 9 2 3 5 2 3" xfId="20515" xr:uid="{095DED2F-B25C-4365-9801-7FC13CE52E26}"/>
    <cellStyle name="Normal 9 2 3 5 2 4" xfId="28950" xr:uid="{AFCE0FFA-5CBE-44DF-840A-60065CD7143C}"/>
    <cellStyle name="Normal 9 2 3 5 2 5" xfId="12077" xr:uid="{6A064D2F-6DA3-4E04-A182-5862BCEA8BAD}"/>
    <cellStyle name="Normal 9 2 3 5 3" xfId="5711" xr:uid="{00000000-0005-0000-0000-0000501F0000}"/>
    <cellStyle name="Normal 9 2 3 5 3 2" xfId="22588" xr:uid="{8FA8FFF2-40F2-4E38-9492-EB6D59160DFD}"/>
    <cellStyle name="Normal 9 2 3 5 3 3" xfId="31022" xr:uid="{1FE2582B-4B5E-44E1-BCA4-F33A0C1139A9}"/>
    <cellStyle name="Normal 9 2 3 5 3 4" xfId="14150" xr:uid="{8D073069-C570-4291-9320-A9B67D4B3778}"/>
    <cellStyle name="Normal 9 2 3 5 4" xfId="18370" xr:uid="{751A50B7-A155-4C6C-B0D5-1A1A323B8777}"/>
    <cellStyle name="Normal 9 2 3 5 5" xfId="26805" xr:uid="{A8B301F1-6FDC-4001-BC5D-41F5C41949DE}"/>
    <cellStyle name="Normal 9 2 3 5 6" xfId="9932" xr:uid="{403398CB-4801-41DB-BB52-DED0908F246E}"/>
    <cellStyle name="Normal 9 2 3 6" xfId="1816" xr:uid="{00000000-0005-0000-0000-0000511F0000}"/>
    <cellStyle name="Normal 9 2 3 6 2" xfId="4046" xr:uid="{00000000-0005-0000-0000-0000521F0000}"/>
    <cellStyle name="Normal 9 2 3 6 2 2" xfId="8269" xr:uid="{00000000-0005-0000-0000-0000531F0000}"/>
    <cellStyle name="Normal 9 2 3 6 2 2 2" xfId="25146" xr:uid="{A0BB50BD-78F6-45EB-AE8D-B633D2202909}"/>
    <cellStyle name="Normal 9 2 3 6 2 2 3" xfId="33580" xr:uid="{8FC5A943-A0B0-40E3-AD45-E96C9A847675}"/>
    <cellStyle name="Normal 9 2 3 6 2 2 4" xfId="16708" xr:uid="{66225E27-76E8-4E6E-A94F-A440A2436C01}"/>
    <cellStyle name="Normal 9 2 3 6 2 3" xfId="20928" xr:uid="{B9845F65-F59F-4876-8DF3-3E82AB440002}"/>
    <cellStyle name="Normal 9 2 3 6 2 4" xfId="29363" xr:uid="{E3B5328C-3DF7-46CD-972E-A9ABC960EC44}"/>
    <cellStyle name="Normal 9 2 3 6 2 5" xfId="12490" xr:uid="{A5103F4A-53E5-4EAD-A5C6-B09CBE43D47B}"/>
    <cellStyle name="Normal 9 2 3 6 3" xfId="6124" xr:uid="{00000000-0005-0000-0000-0000541F0000}"/>
    <cellStyle name="Normal 9 2 3 6 3 2" xfId="23001" xr:uid="{9984F275-F4EF-4D1C-9C3D-18A52FCDBC8B}"/>
    <cellStyle name="Normal 9 2 3 6 3 3" xfId="31435" xr:uid="{DE1CEFD3-9803-4B35-899D-4D81717D7300}"/>
    <cellStyle name="Normal 9 2 3 6 3 4" xfId="14563" xr:uid="{E67B9DCF-6589-4ED0-B8BD-399105BD7D9B}"/>
    <cellStyle name="Normal 9 2 3 6 4" xfId="18783" xr:uid="{28F9EBE5-8A2B-4288-8EAD-7316F5EF7EF4}"/>
    <cellStyle name="Normal 9 2 3 6 5" xfId="27218" xr:uid="{2D266BCA-BEEC-4F82-8C74-BA3E15D5AA4A}"/>
    <cellStyle name="Normal 9 2 3 6 6" xfId="10345" xr:uid="{D49121F0-D8E7-4F25-AEDE-EA398A3FA3EA}"/>
    <cellStyle name="Normal 9 2 3 7" xfId="2230" xr:uid="{00000000-0005-0000-0000-0000551F0000}"/>
    <cellStyle name="Normal 9 2 3 7 2" xfId="4459" xr:uid="{00000000-0005-0000-0000-0000561F0000}"/>
    <cellStyle name="Normal 9 2 3 7 2 2" xfId="8682" xr:uid="{00000000-0005-0000-0000-0000571F0000}"/>
    <cellStyle name="Normal 9 2 3 7 2 2 2" xfId="25559" xr:uid="{7A8C8D80-B818-45CF-8B76-FEB22827A772}"/>
    <cellStyle name="Normal 9 2 3 7 2 2 3" xfId="33993" xr:uid="{175639BB-2D69-49FC-BB47-81036870831B}"/>
    <cellStyle name="Normal 9 2 3 7 2 2 4" xfId="17121" xr:uid="{448AEAD2-E699-4DF1-8A66-DFBFEB419B1E}"/>
    <cellStyle name="Normal 9 2 3 7 2 3" xfId="21341" xr:uid="{AEA6BFC1-FFF2-43F0-B820-EDA1E8D0C5BD}"/>
    <cellStyle name="Normal 9 2 3 7 2 4" xfId="29776" xr:uid="{2A3ED943-5DB5-462F-8766-BD833E591C4F}"/>
    <cellStyle name="Normal 9 2 3 7 2 5" xfId="12903" xr:uid="{3CBF4F8A-12FB-4B78-B96B-59E74053AD01}"/>
    <cellStyle name="Normal 9 2 3 7 3" xfId="6537" xr:uid="{00000000-0005-0000-0000-0000581F0000}"/>
    <cellStyle name="Normal 9 2 3 7 3 2" xfId="23414" xr:uid="{6D8CDF9E-837E-4907-87B9-77E539F2C083}"/>
    <cellStyle name="Normal 9 2 3 7 3 3" xfId="31848" xr:uid="{DCA42DA0-EB24-4A22-844F-6D924634EA20}"/>
    <cellStyle name="Normal 9 2 3 7 3 4" xfId="14976" xr:uid="{EDB55305-475E-435F-9FC5-81807A43D186}"/>
    <cellStyle name="Normal 9 2 3 7 4" xfId="19196" xr:uid="{344EF2C9-D804-459A-9D41-CE78614AC550}"/>
    <cellStyle name="Normal 9 2 3 7 5" xfId="27631" xr:uid="{04605DFF-3684-45F1-93C8-E542D5937C62}"/>
    <cellStyle name="Normal 9 2 3 7 6" xfId="10758" xr:uid="{3AD85680-A317-45BC-A187-63BD227D5A41}"/>
    <cellStyle name="Normal 9 2 3 8" xfId="2666" xr:uid="{00000000-0005-0000-0000-0000591F0000}"/>
    <cellStyle name="Normal 9 2 3 8 2" xfId="6950" xr:uid="{00000000-0005-0000-0000-00005A1F0000}"/>
    <cellStyle name="Normal 9 2 3 8 2 2" xfId="23827" xr:uid="{B5260381-1EA3-44C4-BD2E-905784EED5F2}"/>
    <cellStyle name="Normal 9 2 3 8 2 3" xfId="32261" xr:uid="{336FDB6D-09E6-482D-B85F-611EC57E5D7F}"/>
    <cellStyle name="Normal 9 2 3 8 2 4" xfId="15389" xr:uid="{469BFD24-BF9A-4220-8213-0495E24C94FA}"/>
    <cellStyle name="Normal 9 2 3 8 3" xfId="19609" xr:uid="{CC60E945-BEE9-420B-ABA7-374F9A468BFC}"/>
    <cellStyle name="Normal 9 2 3 8 4" xfId="28044" xr:uid="{7734F08E-CB99-4F64-AAA7-27D09576C77F}"/>
    <cellStyle name="Normal 9 2 3 8 5" xfId="11171" xr:uid="{A041605E-4451-47EF-943E-C168D7D34416}"/>
    <cellStyle name="Normal 9 2 3 9" xfId="4885" xr:uid="{00000000-0005-0000-0000-00005B1F0000}"/>
    <cellStyle name="Normal 9 2 3 9 2" xfId="21762" xr:uid="{98F8158A-5B1D-477B-B86E-4A8FF5DB29AF}"/>
    <cellStyle name="Normal 9 2 3 9 3" xfId="30196" xr:uid="{ED473128-7795-46EC-AD19-D9BD918670C3}"/>
    <cellStyle name="Normal 9 2 3 9 4" xfId="13324" xr:uid="{15A60809-3569-4484-A72A-307A97DF9068}"/>
    <cellStyle name="Normal 9 2 4" xfId="524" xr:uid="{00000000-0005-0000-0000-00005C1F0000}"/>
    <cellStyle name="Normal 9 2 4 10" xfId="25983" xr:uid="{1ECCAD06-044D-49D7-AEF3-3B331452F675}"/>
    <cellStyle name="Normal 9 2 4 11" xfId="9110" xr:uid="{8C5F4054-50C2-4B7E-8DDD-16F0FB3618EB}"/>
    <cellStyle name="Normal 9 2 4 2" xfId="525" xr:uid="{00000000-0005-0000-0000-00005D1F0000}"/>
    <cellStyle name="Normal 9 2 4 2 10" xfId="9111" xr:uid="{15468969-5564-4C07-9860-AF5D1AF0C102}"/>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24325" xr:uid="{D3735247-F4B0-44DF-A1A7-0136DDBD5831}"/>
    <cellStyle name="Normal 9 2 4 2 2 2 2 3" xfId="32759" xr:uid="{4F54A0E5-B7EA-47C8-B358-C90BC4CE2F14}"/>
    <cellStyle name="Normal 9 2 4 2 2 2 2 4" xfId="15887" xr:uid="{470556AD-4A36-4B14-B4C7-4A8336E7DB88}"/>
    <cellStyle name="Normal 9 2 4 2 2 2 3" xfId="20107" xr:uid="{2A758AC3-B248-4366-9F6A-EAFA1AED8160}"/>
    <cellStyle name="Normal 9 2 4 2 2 2 4" xfId="28542" xr:uid="{08600C1F-05E1-4FA3-975D-3EDB1068B499}"/>
    <cellStyle name="Normal 9 2 4 2 2 2 5" xfId="11669" xr:uid="{B2F43326-2761-4F92-A410-01220785BFD2}"/>
    <cellStyle name="Normal 9 2 4 2 2 3" xfId="5303" xr:uid="{00000000-0005-0000-0000-0000611F0000}"/>
    <cellStyle name="Normal 9 2 4 2 2 3 2" xfId="22180" xr:uid="{D174CE31-0A63-48E5-9C41-4DC1DB0EB554}"/>
    <cellStyle name="Normal 9 2 4 2 2 3 3" xfId="30614" xr:uid="{29EDD6C6-729B-4A6D-A1C8-A029890FC2BF}"/>
    <cellStyle name="Normal 9 2 4 2 2 3 4" xfId="13742" xr:uid="{D835BC99-9EFE-4ACA-BCD4-9EA9475585AA}"/>
    <cellStyle name="Normal 9 2 4 2 2 4" xfId="17962" xr:uid="{A7CF27E4-2D2B-43AA-BA19-E23983F0415C}"/>
    <cellStyle name="Normal 9 2 4 2 2 5" xfId="26397" xr:uid="{C021B4B1-156F-48FE-94F7-C545CD4AC53B}"/>
    <cellStyle name="Normal 9 2 4 2 2 6" xfId="9524" xr:uid="{EA1B77B6-0BE3-4366-AD27-99CAB5DBAB69}"/>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24738" xr:uid="{3E854B90-F6D6-4FF7-A06D-CEECEB248D8D}"/>
    <cellStyle name="Normal 9 2 4 2 3 2 2 3" xfId="33172" xr:uid="{A8B93AAE-DAD4-46F0-977C-9D0CD22B77F7}"/>
    <cellStyle name="Normal 9 2 4 2 3 2 2 4" xfId="16300" xr:uid="{A0448F2D-9181-481B-9B04-FBCD397AF00B}"/>
    <cellStyle name="Normal 9 2 4 2 3 2 3" xfId="20520" xr:uid="{620E96CA-8032-46D9-8FBC-FF6EBBA82091}"/>
    <cellStyle name="Normal 9 2 4 2 3 2 4" xfId="28955" xr:uid="{F851C600-B58C-4DA8-91EB-2D928DF479CE}"/>
    <cellStyle name="Normal 9 2 4 2 3 2 5" xfId="12082" xr:uid="{025F786B-C42C-4A5E-9BCE-BEC376AD6EE1}"/>
    <cellStyle name="Normal 9 2 4 2 3 3" xfId="5716" xr:uid="{00000000-0005-0000-0000-0000651F0000}"/>
    <cellStyle name="Normal 9 2 4 2 3 3 2" xfId="22593" xr:uid="{F228652C-CD8C-4CF8-9778-9551F5A85FDD}"/>
    <cellStyle name="Normal 9 2 4 2 3 3 3" xfId="31027" xr:uid="{51E4DF62-0D41-4AFE-875C-8D1CFC714415}"/>
    <cellStyle name="Normal 9 2 4 2 3 3 4" xfId="14155" xr:uid="{22D0E7F8-463D-48B4-A57C-4CD5B883CA84}"/>
    <cellStyle name="Normal 9 2 4 2 3 4" xfId="18375" xr:uid="{390C18F9-CD5B-4D2E-8176-77B39A0AF0A3}"/>
    <cellStyle name="Normal 9 2 4 2 3 5" xfId="26810" xr:uid="{43373A68-63A2-4C73-AC9E-5304704EBBFF}"/>
    <cellStyle name="Normal 9 2 4 2 3 6" xfId="9937" xr:uid="{BDA0E510-4848-43C3-A7B4-A0090EB6BDF9}"/>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25151" xr:uid="{32E7AC03-215F-40D2-9B9F-9AD4D2BFB63E}"/>
    <cellStyle name="Normal 9 2 4 2 4 2 2 3" xfId="33585" xr:uid="{F7290C78-0DA8-410C-A9BE-F243EAC4B2B3}"/>
    <cellStyle name="Normal 9 2 4 2 4 2 2 4" xfId="16713" xr:uid="{32FD0BCF-5FF1-4ECC-B5AF-210E79831746}"/>
    <cellStyle name="Normal 9 2 4 2 4 2 3" xfId="20933" xr:uid="{E366CB42-E5C4-4B2E-97A9-A46C048F8F81}"/>
    <cellStyle name="Normal 9 2 4 2 4 2 4" xfId="29368" xr:uid="{1A2D4BBE-DEC7-4077-ADE4-9806695993ED}"/>
    <cellStyle name="Normal 9 2 4 2 4 2 5" xfId="12495" xr:uid="{BF4D6899-9167-4CE2-83D1-DD9E5C176972}"/>
    <cellStyle name="Normal 9 2 4 2 4 3" xfId="6129" xr:uid="{00000000-0005-0000-0000-0000691F0000}"/>
    <cellStyle name="Normal 9 2 4 2 4 3 2" xfId="23006" xr:uid="{171D21FE-F7BA-44DE-9E23-0C38C0702F8B}"/>
    <cellStyle name="Normal 9 2 4 2 4 3 3" xfId="31440" xr:uid="{D4F21347-046E-4553-8969-661F3DFD6BCB}"/>
    <cellStyle name="Normal 9 2 4 2 4 3 4" xfId="14568" xr:uid="{BD89DFB2-54CD-4195-83B2-7D5FDCCC7D81}"/>
    <cellStyle name="Normal 9 2 4 2 4 4" xfId="18788" xr:uid="{9DEF07A1-820A-4010-95F1-F4F3DA551B7E}"/>
    <cellStyle name="Normal 9 2 4 2 4 5" xfId="27223" xr:uid="{144BF620-BE14-4D3B-BE90-2FC2EC14914E}"/>
    <cellStyle name="Normal 9 2 4 2 4 6" xfId="10350" xr:uid="{6CB2BD33-5397-49D3-A540-E93760165BB5}"/>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25564" xr:uid="{2D710331-99F6-484F-9AF2-E9642B66D85D}"/>
    <cellStyle name="Normal 9 2 4 2 5 2 2 3" xfId="33998" xr:uid="{F750230D-E118-4948-BC97-A2941E81AAC0}"/>
    <cellStyle name="Normal 9 2 4 2 5 2 2 4" xfId="17126" xr:uid="{6A4A613B-E9E3-4F28-9D7A-84CD6F7DB17D}"/>
    <cellStyle name="Normal 9 2 4 2 5 2 3" xfId="21346" xr:uid="{CB0307FA-4342-4409-98C4-85D9E7F13B33}"/>
    <cellStyle name="Normal 9 2 4 2 5 2 4" xfId="29781" xr:uid="{0E3B29CD-13A5-43D5-8FC4-86C2117272C2}"/>
    <cellStyle name="Normal 9 2 4 2 5 2 5" xfId="12908" xr:uid="{E5322AB8-2327-4D5B-BC7D-05EAA44C0015}"/>
    <cellStyle name="Normal 9 2 4 2 5 3" xfId="6542" xr:uid="{00000000-0005-0000-0000-00006D1F0000}"/>
    <cellStyle name="Normal 9 2 4 2 5 3 2" xfId="23419" xr:uid="{DAEAEB64-9015-466F-B07A-F0C1A3A32EAA}"/>
    <cellStyle name="Normal 9 2 4 2 5 3 3" xfId="31853" xr:uid="{6918B507-BF52-4D55-B0ED-2CCF2856A2DB}"/>
    <cellStyle name="Normal 9 2 4 2 5 3 4" xfId="14981" xr:uid="{552A5A75-6995-4968-B96C-35909FF77E80}"/>
    <cellStyle name="Normal 9 2 4 2 5 4" xfId="19201" xr:uid="{9146F0EA-4D83-41C5-A16D-2A8A8227DBF3}"/>
    <cellStyle name="Normal 9 2 4 2 5 5" xfId="27636" xr:uid="{61F0CDFF-AFD1-4FEB-AAF0-3EDD5366A064}"/>
    <cellStyle name="Normal 9 2 4 2 5 6" xfId="10763" xr:uid="{939631D4-B753-4762-9CFF-C30C101AA201}"/>
    <cellStyle name="Normal 9 2 4 2 6" xfId="2671" xr:uid="{00000000-0005-0000-0000-00006E1F0000}"/>
    <cellStyle name="Normal 9 2 4 2 6 2" xfId="6955" xr:uid="{00000000-0005-0000-0000-00006F1F0000}"/>
    <cellStyle name="Normal 9 2 4 2 6 2 2" xfId="23832" xr:uid="{E7F46C82-8DCC-4842-BE78-22B62C28CECB}"/>
    <cellStyle name="Normal 9 2 4 2 6 2 3" xfId="32266" xr:uid="{16F02FA7-CF73-4874-A1CE-D623442D2E9A}"/>
    <cellStyle name="Normal 9 2 4 2 6 2 4" xfId="15394" xr:uid="{E08C7099-8C28-480C-B872-7E5C95F7427E}"/>
    <cellStyle name="Normal 9 2 4 2 6 3" xfId="19614" xr:uid="{94E2E697-6C38-433A-814D-17FE830B132C}"/>
    <cellStyle name="Normal 9 2 4 2 6 4" xfId="28049" xr:uid="{94A57CDF-1994-470E-963A-BAB83C5646E3}"/>
    <cellStyle name="Normal 9 2 4 2 6 5" xfId="11176" xr:uid="{6FCF0883-7B32-441D-8443-AEF32F64DC1C}"/>
    <cellStyle name="Normal 9 2 4 2 7" xfId="4890" xr:uid="{00000000-0005-0000-0000-0000701F0000}"/>
    <cellStyle name="Normal 9 2 4 2 7 2" xfId="21767" xr:uid="{1B25EDC9-4A8A-4330-8248-8556B449CE74}"/>
    <cellStyle name="Normal 9 2 4 2 7 3" xfId="30201" xr:uid="{D9A9C36B-97C1-4F82-8B26-32237E5BA2B6}"/>
    <cellStyle name="Normal 9 2 4 2 7 4" xfId="13329" xr:uid="{C13344C2-F94F-4997-8F57-801C123622B7}"/>
    <cellStyle name="Normal 9 2 4 2 8" xfId="17549" xr:uid="{A8F6E3FC-799E-4277-8316-14A935C33D6C}"/>
    <cellStyle name="Normal 9 2 4 2 9" xfId="25984" xr:uid="{12105597-CFFC-4C21-907E-5D85C8885E10}"/>
    <cellStyle name="Normal 9 2 4 3" xfId="991" xr:uid="{00000000-0005-0000-0000-0000711F0000}"/>
    <cellStyle name="Normal 9 2 4 3 2" xfId="3224" xr:uid="{00000000-0005-0000-0000-0000721F0000}"/>
    <cellStyle name="Normal 9 2 4 3 2 2" xfId="7447" xr:uid="{00000000-0005-0000-0000-0000731F0000}"/>
    <cellStyle name="Normal 9 2 4 3 2 2 2" xfId="24324" xr:uid="{E08F88CD-835A-4DFC-82CA-1AF26DAC4482}"/>
    <cellStyle name="Normal 9 2 4 3 2 2 3" xfId="32758" xr:uid="{601AA07B-A716-4B45-AC7B-04B71279D05E}"/>
    <cellStyle name="Normal 9 2 4 3 2 2 4" xfId="15886" xr:uid="{F8174DEE-A50F-429D-A53D-768FD71E944C}"/>
    <cellStyle name="Normal 9 2 4 3 2 3" xfId="20106" xr:uid="{553FD729-F09A-4A65-9068-FEABBB7CAA82}"/>
    <cellStyle name="Normal 9 2 4 3 2 4" xfId="28541" xr:uid="{70ECA38D-AED6-48C7-8C57-F0CCE9102F2F}"/>
    <cellStyle name="Normal 9 2 4 3 2 5" xfId="11668" xr:uid="{59D7410D-BA57-4F34-8467-299D59EAEC5C}"/>
    <cellStyle name="Normal 9 2 4 3 3" xfId="5302" xr:uid="{00000000-0005-0000-0000-0000741F0000}"/>
    <cellStyle name="Normal 9 2 4 3 3 2" xfId="22179" xr:uid="{1411BC81-A743-4AAF-8021-E0D19A9EFA72}"/>
    <cellStyle name="Normal 9 2 4 3 3 3" xfId="30613" xr:uid="{74FAD0F5-F219-40CA-844D-5950CFBC034D}"/>
    <cellStyle name="Normal 9 2 4 3 3 4" xfId="13741" xr:uid="{C5519566-97CA-4FD2-8B7F-AFE093175823}"/>
    <cellStyle name="Normal 9 2 4 3 4" xfId="17961" xr:uid="{DBFF76DA-E7FE-41CA-8D4A-E2E419B5121A}"/>
    <cellStyle name="Normal 9 2 4 3 5" xfId="26396" xr:uid="{2477563C-501E-4403-A5A6-1AFEEDAF3B85}"/>
    <cellStyle name="Normal 9 2 4 3 6" xfId="9523" xr:uid="{480D8253-5027-44DD-9741-972409B51496}"/>
    <cellStyle name="Normal 9 2 4 4" xfId="1407" xr:uid="{00000000-0005-0000-0000-0000751F0000}"/>
    <cellStyle name="Normal 9 2 4 4 2" xfId="3637" xr:uid="{00000000-0005-0000-0000-0000761F0000}"/>
    <cellStyle name="Normal 9 2 4 4 2 2" xfId="7860" xr:uid="{00000000-0005-0000-0000-0000771F0000}"/>
    <cellStyle name="Normal 9 2 4 4 2 2 2" xfId="24737" xr:uid="{AD11B2B1-3FEB-49F8-8163-D26766FBD330}"/>
    <cellStyle name="Normal 9 2 4 4 2 2 3" xfId="33171" xr:uid="{5C6F7B24-FA3C-4BFB-992B-E234F964678C}"/>
    <cellStyle name="Normal 9 2 4 4 2 2 4" xfId="16299" xr:uid="{94B38389-ADB3-433D-BACF-524F391E88D9}"/>
    <cellStyle name="Normal 9 2 4 4 2 3" xfId="20519" xr:uid="{88EE6303-73D0-4747-B72D-C4EDA2454C69}"/>
    <cellStyle name="Normal 9 2 4 4 2 4" xfId="28954" xr:uid="{6B3B0C5B-712B-4DFB-ADCF-2E75BD771F5B}"/>
    <cellStyle name="Normal 9 2 4 4 2 5" xfId="12081" xr:uid="{DC13930D-BDED-46C0-A8F3-9F3B800CBB7E}"/>
    <cellStyle name="Normal 9 2 4 4 3" xfId="5715" xr:uid="{00000000-0005-0000-0000-0000781F0000}"/>
    <cellStyle name="Normal 9 2 4 4 3 2" xfId="22592" xr:uid="{CD0BC861-F3DD-4B4B-91BB-62BCA9EF64D1}"/>
    <cellStyle name="Normal 9 2 4 4 3 3" xfId="31026" xr:uid="{C87A477A-0585-42F5-9E97-96AD78C64CF5}"/>
    <cellStyle name="Normal 9 2 4 4 3 4" xfId="14154" xr:uid="{53B1AEAD-3A95-4F6C-9BC9-986E6D7B6F65}"/>
    <cellStyle name="Normal 9 2 4 4 4" xfId="18374" xr:uid="{F2FA1C2D-E57D-4E6E-B769-D566DECEBAD4}"/>
    <cellStyle name="Normal 9 2 4 4 5" xfId="26809" xr:uid="{02565852-2FAB-4DDF-8ED7-B324207B9A6B}"/>
    <cellStyle name="Normal 9 2 4 4 6" xfId="9936" xr:uid="{FB48C88F-AF56-4E3B-8531-E999522322C2}"/>
    <cellStyle name="Normal 9 2 4 5" xfId="1820" xr:uid="{00000000-0005-0000-0000-0000791F0000}"/>
    <cellStyle name="Normal 9 2 4 5 2" xfId="4050" xr:uid="{00000000-0005-0000-0000-00007A1F0000}"/>
    <cellStyle name="Normal 9 2 4 5 2 2" xfId="8273" xr:uid="{00000000-0005-0000-0000-00007B1F0000}"/>
    <cellStyle name="Normal 9 2 4 5 2 2 2" xfId="25150" xr:uid="{DE3BD5CF-B396-40F4-8E8A-027C90951B28}"/>
    <cellStyle name="Normal 9 2 4 5 2 2 3" xfId="33584" xr:uid="{07D0BDE7-F3DD-485A-96DF-AA02A2EAE414}"/>
    <cellStyle name="Normal 9 2 4 5 2 2 4" xfId="16712" xr:uid="{4862693F-3E83-4961-B0CE-94D2A06B5C9A}"/>
    <cellStyle name="Normal 9 2 4 5 2 3" xfId="20932" xr:uid="{302E24E1-1B9E-41E3-BCEC-15BE99B9B628}"/>
    <cellStyle name="Normal 9 2 4 5 2 4" xfId="29367" xr:uid="{4022C4D9-A513-421E-BC51-8D83CCCE2B3D}"/>
    <cellStyle name="Normal 9 2 4 5 2 5" xfId="12494" xr:uid="{42DFCFEE-4BED-4570-85AD-4C41471A36BF}"/>
    <cellStyle name="Normal 9 2 4 5 3" xfId="6128" xr:uid="{00000000-0005-0000-0000-00007C1F0000}"/>
    <cellStyle name="Normal 9 2 4 5 3 2" xfId="23005" xr:uid="{21786918-130E-4C33-B1E5-5A915700C1C4}"/>
    <cellStyle name="Normal 9 2 4 5 3 3" xfId="31439" xr:uid="{E19AF247-AA7B-4F03-A75B-8FC526AA7B39}"/>
    <cellStyle name="Normal 9 2 4 5 3 4" xfId="14567" xr:uid="{7D34C264-AAEE-430A-A555-883EF52C9A73}"/>
    <cellStyle name="Normal 9 2 4 5 4" xfId="18787" xr:uid="{2895713E-EB2C-4793-8922-66FF9B6A26C1}"/>
    <cellStyle name="Normal 9 2 4 5 5" xfId="27222" xr:uid="{AAF61983-C979-40BB-BFA5-63E1AB68A77D}"/>
    <cellStyle name="Normal 9 2 4 5 6" xfId="10349" xr:uid="{AF76CB91-98D3-40F8-8D74-9E9B6ABF8A6B}"/>
    <cellStyle name="Normal 9 2 4 6" xfId="2234" xr:uid="{00000000-0005-0000-0000-00007D1F0000}"/>
    <cellStyle name="Normal 9 2 4 6 2" xfId="4463" xr:uid="{00000000-0005-0000-0000-00007E1F0000}"/>
    <cellStyle name="Normal 9 2 4 6 2 2" xfId="8686" xr:uid="{00000000-0005-0000-0000-00007F1F0000}"/>
    <cellStyle name="Normal 9 2 4 6 2 2 2" xfId="25563" xr:uid="{F4F84F09-A0A9-471C-B710-7CBA81337166}"/>
    <cellStyle name="Normal 9 2 4 6 2 2 3" xfId="33997" xr:uid="{A72F1C8B-DA42-48DD-B6FD-4F5CD270D191}"/>
    <cellStyle name="Normal 9 2 4 6 2 2 4" xfId="17125" xr:uid="{0389AB10-9DE2-48AB-B07F-FDABFEB0F5B4}"/>
    <cellStyle name="Normal 9 2 4 6 2 3" xfId="21345" xr:uid="{8A42460C-5B56-4B62-B880-1BE288FC62EA}"/>
    <cellStyle name="Normal 9 2 4 6 2 4" xfId="29780" xr:uid="{1423182F-B50E-4D0F-9323-CA6CCAB394D1}"/>
    <cellStyle name="Normal 9 2 4 6 2 5" xfId="12907" xr:uid="{A3EAB23B-9403-4D12-A3A8-5EC9A61D54C9}"/>
    <cellStyle name="Normal 9 2 4 6 3" xfId="6541" xr:uid="{00000000-0005-0000-0000-0000801F0000}"/>
    <cellStyle name="Normal 9 2 4 6 3 2" xfId="23418" xr:uid="{96DED56D-EF84-4798-A750-A04A3BCC6E2C}"/>
    <cellStyle name="Normal 9 2 4 6 3 3" xfId="31852" xr:uid="{82979629-6DEF-4988-B996-9BB3E38C7173}"/>
    <cellStyle name="Normal 9 2 4 6 3 4" xfId="14980" xr:uid="{3A025DF2-02DC-436A-BACA-12087A97D3B9}"/>
    <cellStyle name="Normal 9 2 4 6 4" xfId="19200" xr:uid="{523E8903-AE21-4FE2-B791-8E68704DBCCD}"/>
    <cellStyle name="Normal 9 2 4 6 5" xfId="27635" xr:uid="{D5F6B735-8107-445A-BD2A-4DDA0354B69F}"/>
    <cellStyle name="Normal 9 2 4 6 6" xfId="10762" xr:uid="{6EC45D0B-FCC1-4F9F-B605-A5CC87BF0ED8}"/>
    <cellStyle name="Normal 9 2 4 7" xfId="2670" xr:uid="{00000000-0005-0000-0000-0000811F0000}"/>
    <cellStyle name="Normal 9 2 4 7 2" xfId="6954" xr:uid="{00000000-0005-0000-0000-0000821F0000}"/>
    <cellStyle name="Normal 9 2 4 7 2 2" xfId="23831" xr:uid="{A4CC3455-026E-4577-952E-9B2E1AA65112}"/>
    <cellStyle name="Normal 9 2 4 7 2 3" xfId="32265" xr:uid="{F82BE4D6-D43F-436E-B799-209FAA122F52}"/>
    <cellStyle name="Normal 9 2 4 7 2 4" xfId="15393" xr:uid="{8F924CAF-9343-436C-A772-C32CD7AEED26}"/>
    <cellStyle name="Normal 9 2 4 7 3" xfId="19613" xr:uid="{1F420599-4712-412C-BEFD-3FA44F5A3DF0}"/>
    <cellStyle name="Normal 9 2 4 7 4" xfId="28048" xr:uid="{189D64E6-02B6-45DE-BC8D-16D15A08232C}"/>
    <cellStyle name="Normal 9 2 4 7 5" xfId="11175" xr:uid="{21A9E024-21FD-484B-A8B6-EAA8F26F4AC6}"/>
    <cellStyle name="Normal 9 2 4 8" xfId="4889" xr:uid="{00000000-0005-0000-0000-0000831F0000}"/>
    <cellStyle name="Normal 9 2 4 8 2" xfId="21766" xr:uid="{44C5AA5E-215F-4616-ABD5-416DE7AA440C}"/>
    <cellStyle name="Normal 9 2 4 8 3" xfId="30200" xr:uid="{F81261F6-B304-4288-BE83-CA476D244B0B}"/>
    <cellStyle name="Normal 9 2 4 8 4" xfId="13328" xr:uid="{9C5BFC3C-9F0C-4A10-B3BF-49F8B182E714}"/>
    <cellStyle name="Normal 9 2 4 9" xfId="17548" xr:uid="{5374534B-A2D8-4C26-9F71-374C4AF7AB02}"/>
    <cellStyle name="Normal 9 2 5" xfId="526" xr:uid="{00000000-0005-0000-0000-0000841F0000}"/>
    <cellStyle name="Normal 9 2 5 10" xfId="9112" xr:uid="{FD87A641-4DA7-4204-B929-E98C33E07753}"/>
    <cellStyle name="Normal 9 2 5 2" xfId="993" xr:uid="{00000000-0005-0000-0000-0000851F0000}"/>
    <cellStyle name="Normal 9 2 5 2 2" xfId="3226" xr:uid="{00000000-0005-0000-0000-0000861F0000}"/>
    <cellStyle name="Normal 9 2 5 2 2 2" xfId="7449" xr:uid="{00000000-0005-0000-0000-0000871F0000}"/>
    <cellStyle name="Normal 9 2 5 2 2 2 2" xfId="24326" xr:uid="{2B647A05-334E-419D-BCBF-957C2A4EA9BE}"/>
    <cellStyle name="Normal 9 2 5 2 2 2 3" xfId="32760" xr:uid="{72A62DDF-5C28-4D01-8F61-1BB4BCEC5986}"/>
    <cellStyle name="Normal 9 2 5 2 2 2 4" xfId="15888" xr:uid="{A8725C68-65C1-4D54-A08A-D7A41ABBABAD}"/>
    <cellStyle name="Normal 9 2 5 2 2 3" xfId="20108" xr:uid="{A651D053-3BE3-4A72-B231-D72DE970572A}"/>
    <cellStyle name="Normal 9 2 5 2 2 4" xfId="28543" xr:uid="{F88B2FE0-A8EE-4D8C-AB90-4DCA03528992}"/>
    <cellStyle name="Normal 9 2 5 2 2 5" xfId="11670" xr:uid="{6A0FF028-241B-4DEA-B81D-851366F9FBDD}"/>
    <cellStyle name="Normal 9 2 5 2 3" xfId="5304" xr:uid="{00000000-0005-0000-0000-0000881F0000}"/>
    <cellStyle name="Normal 9 2 5 2 3 2" xfId="22181" xr:uid="{44B215AA-C2C1-443A-B060-90533CBA7E1D}"/>
    <cellStyle name="Normal 9 2 5 2 3 3" xfId="30615" xr:uid="{20400170-2F41-4129-B9F4-5FC471D5C8A3}"/>
    <cellStyle name="Normal 9 2 5 2 3 4" xfId="13743" xr:uid="{069AD6A0-4B9B-4297-A6EC-B137C08B630A}"/>
    <cellStyle name="Normal 9 2 5 2 4" xfId="17963" xr:uid="{F0646F3E-A313-4E68-B866-ED7FACFA1D6E}"/>
    <cellStyle name="Normal 9 2 5 2 5" xfId="26398" xr:uid="{37690FB9-D698-4BA1-9860-156A49DE76B6}"/>
    <cellStyle name="Normal 9 2 5 2 6" xfId="9525" xr:uid="{ECE7CFCC-9C78-4DF1-9709-13EEB607A6B6}"/>
    <cellStyle name="Normal 9 2 5 3" xfId="1409" xr:uid="{00000000-0005-0000-0000-0000891F0000}"/>
    <cellStyle name="Normal 9 2 5 3 2" xfId="3639" xr:uid="{00000000-0005-0000-0000-00008A1F0000}"/>
    <cellStyle name="Normal 9 2 5 3 2 2" xfId="7862" xr:uid="{00000000-0005-0000-0000-00008B1F0000}"/>
    <cellStyle name="Normal 9 2 5 3 2 2 2" xfId="24739" xr:uid="{08EA1239-83B9-4343-8EDE-6FB33933C71A}"/>
    <cellStyle name="Normal 9 2 5 3 2 2 3" xfId="33173" xr:uid="{420CD29A-29E1-4036-AEF7-5BAD8A79534B}"/>
    <cellStyle name="Normal 9 2 5 3 2 2 4" xfId="16301" xr:uid="{5ADF6792-9790-4BE8-9A81-CA9DD0DE824B}"/>
    <cellStyle name="Normal 9 2 5 3 2 3" xfId="20521" xr:uid="{C68B3D55-BE86-4422-90D2-CAF76BC18027}"/>
    <cellStyle name="Normal 9 2 5 3 2 4" xfId="28956" xr:uid="{CB54794E-6418-4168-96E3-07730A754EF4}"/>
    <cellStyle name="Normal 9 2 5 3 2 5" xfId="12083" xr:uid="{6C8C22A5-7A7E-4585-8D95-F9B6FC525C50}"/>
    <cellStyle name="Normal 9 2 5 3 3" xfId="5717" xr:uid="{00000000-0005-0000-0000-00008C1F0000}"/>
    <cellStyle name="Normal 9 2 5 3 3 2" xfId="22594" xr:uid="{125AF075-A8EA-4F88-9B5B-A2A4E46D44FC}"/>
    <cellStyle name="Normal 9 2 5 3 3 3" xfId="31028" xr:uid="{6B83A0A5-3270-4446-9361-E7DB5F77A5ED}"/>
    <cellStyle name="Normal 9 2 5 3 3 4" xfId="14156" xr:uid="{F9507C3C-40BF-49AB-A8FC-AB71B654BAA1}"/>
    <cellStyle name="Normal 9 2 5 3 4" xfId="18376" xr:uid="{8BD6DBB6-E146-44EB-A933-A8E864557AF1}"/>
    <cellStyle name="Normal 9 2 5 3 5" xfId="26811" xr:uid="{765A86B7-DD94-4FCA-A3BC-093E83D32025}"/>
    <cellStyle name="Normal 9 2 5 3 6" xfId="9938" xr:uid="{50B88BE5-E83F-4033-81CC-1C2EEF8A9894}"/>
    <cellStyle name="Normal 9 2 5 4" xfId="1822" xr:uid="{00000000-0005-0000-0000-00008D1F0000}"/>
    <cellStyle name="Normal 9 2 5 4 2" xfId="4052" xr:uid="{00000000-0005-0000-0000-00008E1F0000}"/>
    <cellStyle name="Normal 9 2 5 4 2 2" xfId="8275" xr:uid="{00000000-0005-0000-0000-00008F1F0000}"/>
    <cellStyle name="Normal 9 2 5 4 2 2 2" xfId="25152" xr:uid="{24DC8E8C-C18A-479C-9832-54ED8015A0C9}"/>
    <cellStyle name="Normal 9 2 5 4 2 2 3" xfId="33586" xr:uid="{B3A83ED9-DB1D-4F50-AE41-7B1608EBC37E}"/>
    <cellStyle name="Normal 9 2 5 4 2 2 4" xfId="16714" xr:uid="{ED7BFDDB-3CB7-453F-B6E5-882ACE553E3C}"/>
    <cellStyle name="Normal 9 2 5 4 2 3" xfId="20934" xr:uid="{E46DEA1C-7AC7-4825-A938-87F0C7A2780A}"/>
    <cellStyle name="Normal 9 2 5 4 2 4" xfId="29369" xr:uid="{733AAA62-D2FF-4DAC-B2FC-0C4DDCBA3CB2}"/>
    <cellStyle name="Normal 9 2 5 4 2 5" xfId="12496" xr:uid="{8AC676F2-B322-44E5-A28C-2802E217BA5E}"/>
    <cellStyle name="Normal 9 2 5 4 3" xfId="6130" xr:uid="{00000000-0005-0000-0000-0000901F0000}"/>
    <cellStyle name="Normal 9 2 5 4 3 2" xfId="23007" xr:uid="{0C1AB42D-432C-49C9-B09C-338D1A5295D3}"/>
    <cellStyle name="Normal 9 2 5 4 3 3" xfId="31441" xr:uid="{A1E666E5-DE4B-411C-9692-937DC449B363}"/>
    <cellStyle name="Normal 9 2 5 4 3 4" xfId="14569" xr:uid="{136B143A-5719-4F9A-821F-B9E155E5F803}"/>
    <cellStyle name="Normal 9 2 5 4 4" xfId="18789" xr:uid="{432E417D-5821-4947-A11B-75AB82A50ABF}"/>
    <cellStyle name="Normal 9 2 5 4 5" xfId="27224" xr:uid="{6262A9AB-BEC7-430E-B3F2-578AC8CA1E16}"/>
    <cellStyle name="Normal 9 2 5 4 6" xfId="10351" xr:uid="{B63A04BD-16FD-44B1-B172-50BC745B3B62}"/>
    <cellStyle name="Normal 9 2 5 5" xfId="2236" xr:uid="{00000000-0005-0000-0000-0000911F0000}"/>
    <cellStyle name="Normal 9 2 5 5 2" xfId="4465" xr:uid="{00000000-0005-0000-0000-0000921F0000}"/>
    <cellStyle name="Normal 9 2 5 5 2 2" xfId="8688" xr:uid="{00000000-0005-0000-0000-0000931F0000}"/>
    <cellStyle name="Normal 9 2 5 5 2 2 2" xfId="25565" xr:uid="{BA17D5CA-BBF0-4E19-9B33-DA2D81FF5824}"/>
    <cellStyle name="Normal 9 2 5 5 2 2 3" xfId="33999" xr:uid="{D3C1AB89-0465-4239-A3C4-5C28BDC04456}"/>
    <cellStyle name="Normal 9 2 5 5 2 2 4" xfId="17127" xr:uid="{45DD2156-AA82-4D78-9E6C-0F86E0419E4B}"/>
    <cellStyle name="Normal 9 2 5 5 2 3" xfId="21347" xr:uid="{D81C534F-C577-4E1D-902E-10029F6977AE}"/>
    <cellStyle name="Normal 9 2 5 5 2 4" xfId="29782" xr:uid="{FDB3D87C-1A00-4B16-9D03-A5803F904038}"/>
    <cellStyle name="Normal 9 2 5 5 2 5" xfId="12909" xr:uid="{D8BAA901-D1C4-4938-9117-45704D7435E7}"/>
    <cellStyle name="Normal 9 2 5 5 3" xfId="6543" xr:uid="{00000000-0005-0000-0000-0000941F0000}"/>
    <cellStyle name="Normal 9 2 5 5 3 2" xfId="23420" xr:uid="{5475F68F-2719-42A5-8D47-60F298446982}"/>
    <cellStyle name="Normal 9 2 5 5 3 3" xfId="31854" xr:uid="{FCAA5904-4723-4E18-9DAF-625F45B7C3D1}"/>
    <cellStyle name="Normal 9 2 5 5 3 4" xfId="14982" xr:uid="{40C52ED3-520B-4FB5-8355-840115C4A572}"/>
    <cellStyle name="Normal 9 2 5 5 4" xfId="19202" xr:uid="{5B804F67-4A87-488E-ABD9-B806386E5663}"/>
    <cellStyle name="Normal 9 2 5 5 5" xfId="27637" xr:uid="{3EF40105-31F9-4260-ADD9-CB7925293C2F}"/>
    <cellStyle name="Normal 9 2 5 5 6" xfId="10764" xr:uid="{B11E3EE0-54ED-4698-A1EF-9D5838CB6E5C}"/>
    <cellStyle name="Normal 9 2 5 6" xfId="2672" xr:uid="{00000000-0005-0000-0000-0000951F0000}"/>
    <cellStyle name="Normal 9 2 5 6 2" xfId="6956" xr:uid="{00000000-0005-0000-0000-0000961F0000}"/>
    <cellStyle name="Normal 9 2 5 6 2 2" xfId="23833" xr:uid="{43CEDC02-18FE-49CA-AF09-0D58E28DDFEB}"/>
    <cellStyle name="Normal 9 2 5 6 2 3" xfId="32267" xr:uid="{DF31C350-123A-418B-BCD8-8F627273F6F2}"/>
    <cellStyle name="Normal 9 2 5 6 2 4" xfId="15395" xr:uid="{CD2AE10B-E809-4B53-8520-09AA1E1AD2D5}"/>
    <cellStyle name="Normal 9 2 5 6 3" xfId="19615" xr:uid="{3E460FB0-1741-44D6-BC67-1E43758E80BB}"/>
    <cellStyle name="Normal 9 2 5 6 4" xfId="28050" xr:uid="{472F976C-8A4D-477B-8805-E77B6DD301FA}"/>
    <cellStyle name="Normal 9 2 5 6 5" xfId="11177" xr:uid="{39EE9AB6-58BF-4F95-A0F0-4C56FC72AAB3}"/>
    <cellStyle name="Normal 9 2 5 7" xfId="4891" xr:uid="{00000000-0005-0000-0000-0000971F0000}"/>
    <cellStyle name="Normal 9 2 5 7 2" xfId="21768" xr:uid="{C1C97239-1E83-4D32-86B1-E76AFBD065EF}"/>
    <cellStyle name="Normal 9 2 5 7 3" xfId="30202" xr:uid="{99E465DB-BC60-4F3E-B15B-E0E6D7BC9D52}"/>
    <cellStyle name="Normal 9 2 5 7 4" xfId="13330" xr:uid="{DE75F48C-F0AF-44CB-A699-FDBF8D4334C4}"/>
    <cellStyle name="Normal 9 2 5 8" xfId="17550" xr:uid="{2EC33D1F-C7EE-4EC1-9F0E-6521F44D9F2F}"/>
    <cellStyle name="Normal 9 2 5 9" xfId="25985" xr:uid="{92F147B5-6213-4BE2-8D71-667F9FD73DD7}"/>
    <cellStyle name="Normal 9 2 6" xfId="978" xr:uid="{00000000-0005-0000-0000-0000981F0000}"/>
    <cellStyle name="Normal 9 2 6 2" xfId="3211" xr:uid="{00000000-0005-0000-0000-0000991F0000}"/>
    <cellStyle name="Normal 9 2 6 2 2" xfId="7434" xr:uid="{00000000-0005-0000-0000-00009A1F0000}"/>
    <cellStyle name="Normal 9 2 6 2 2 2" xfId="24311" xr:uid="{FAB0FAAD-6A41-4362-B49D-6959C454BF33}"/>
    <cellStyle name="Normal 9 2 6 2 2 3" xfId="32745" xr:uid="{E46A146B-4BDE-4FC4-BA64-D275CCAD7074}"/>
    <cellStyle name="Normal 9 2 6 2 2 4" xfId="15873" xr:uid="{D8FC6D10-D6DA-40EB-9193-714E622546A2}"/>
    <cellStyle name="Normal 9 2 6 2 3" xfId="20093" xr:uid="{D7A8C16B-EB21-4386-BD8D-859C5EA3866C}"/>
    <cellStyle name="Normal 9 2 6 2 4" xfId="28528" xr:uid="{A300D4DA-B0DE-48B2-8A5D-98929C4B36FC}"/>
    <cellStyle name="Normal 9 2 6 2 5" xfId="11655" xr:uid="{470B2117-DFA7-4C51-AA37-9E5693BAB5F2}"/>
    <cellStyle name="Normal 9 2 6 3" xfId="5289" xr:uid="{00000000-0005-0000-0000-00009B1F0000}"/>
    <cellStyle name="Normal 9 2 6 3 2" xfId="22166" xr:uid="{5C7B85EB-831D-4F83-8FF4-3017C9121CF4}"/>
    <cellStyle name="Normal 9 2 6 3 3" xfId="30600" xr:uid="{E6D72AC1-6430-4B6E-A723-D3CCDD7F02E0}"/>
    <cellStyle name="Normal 9 2 6 3 4" xfId="13728" xr:uid="{1C3DF4C6-75B9-4181-85A4-6D0C705E7FEA}"/>
    <cellStyle name="Normal 9 2 6 4" xfId="17948" xr:uid="{9BCC9B3A-B0D7-4FD7-82AD-BEC4C2556387}"/>
    <cellStyle name="Normal 9 2 6 5" xfId="26383" xr:uid="{18650F9F-6D04-404C-9D02-7F5BFA757854}"/>
    <cellStyle name="Normal 9 2 6 6" xfId="9510" xr:uid="{CA9D860A-A943-438C-A251-2BD0D5EA0948}"/>
    <cellStyle name="Normal 9 2 7" xfId="1394" xr:uid="{00000000-0005-0000-0000-00009C1F0000}"/>
    <cellStyle name="Normal 9 2 7 2" xfId="3624" xr:uid="{00000000-0005-0000-0000-00009D1F0000}"/>
    <cellStyle name="Normal 9 2 7 2 2" xfId="7847" xr:uid="{00000000-0005-0000-0000-00009E1F0000}"/>
    <cellStyle name="Normal 9 2 7 2 2 2" xfId="24724" xr:uid="{97132467-AAAE-4BEB-AE39-715983F83AAB}"/>
    <cellStyle name="Normal 9 2 7 2 2 3" xfId="33158" xr:uid="{42CE9096-45E0-4047-96F1-A000E33F9FA1}"/>
    <cellStyle name="Normal 9 2 7 2 2 4" xfId="16286" xr:uid="{BA72F627-7C6E-4E94-87A3-078FC0BB7469}"/>
    <cellStyle name="Normal 9 2 7 2 3" xfId="20506" xr:uid="{DEC8FE7F-375A-43D7-B0FF-C9874A65F326}"/>
    <cellStyle name="Normal 9 2 7 2 4" xfId="28941" xr:uid="{CAC5F316-138A-423F-AB10-3E2769C7EDE7}"/>
    <cellStyle name="Normal 9 2 7 2 5" xfId="12068" xr:uid="{49DDE710-546D-4AB4-9C77-A048737085F5}"/>
    <cellStyle name="Normal 9 2 7 3" xfId="5702" xr:uid="{00000000-0005-0000-0000-00009F1F0000}"/>
    <cellStyle name="Normal 9 2 7 3 2" xfId="22579" xr:uid="{AACB80F1-E8F0-4EC7-BD64-8C2CA6A5C3BC}"/>
    <cellStyle name="Normal 9 2 7 3 3" xfId="31013" xr:uid="{8AF5C78D-F156-443D-AF29-7952CDBE3580}"/>
    <cellStyle name="Normal 9 2 7 3 4" xfId="14141" xr:uid="{E30A5FF0-3B07-4248-8494-CE869EE5383F}"/>
    <cellStyle name="Normal 9 2 7 4" xfId="18361" xr:uid="{C2E18855-81FF-4C4B-8257-032593B3C87C}"/>
    <cellStyle name="Normal 9 2 7 5" xfId="26796" xr:uid="{C0F47CA6-610D-4876-8D1F-989B6FA8C236}"/>
    <cellStyle name="Normal 9 2 7 6" xfId="9923" xr:uid="{21751DC0-DC3F-437B-932D-502B86B22FC0}"/>
    <cellStyle name="Normal 9 2 8" xfId="1807" xr:uid="{00000000-0005-0000-0000-0000A01F0000}"/>
    <cellStyle name="Normal 9 2 8 2" xfId="4037" xr:uid="{00000000-0005-0000-0000-0000A11F0000}"/>
    <cellStyle name="Normal 9 2 8 2 2" xfId="8260" xr:uid="{00000000-0005-0000-0000-0000A21F0000}"/>
    <cellStyle name="Normal 9 2 8 2 2 2" xfId="25137" xr:uid="{6C633B3D-43F1-44C1-A01F-AB1D3FEF7CE2}"/>
    <cellStyle name="Normal 9 2 8 2 2 3" xfId="33571" xr:uid="{3987D6E8-F262-4F0F-9924-AE7FF99C4727}"/>
    <cellStyle name="Normal 9 2 8 2 2 4" xfId="16699" xr:uid="{AFF03936-9C42-49AA-A07F-6CC1951238FB}"/>
    <cellStyle name="Normal 9 2 8 2 3" xfId="20919" xr:uid="{9BBC86D5-7303-45C8-BC95-EF9FE77E146D}"/>
    <cellStyle name="Normal 9 2 8 2 4" xfId="29354" xr:uid="{C85C2E18-718C-4FFC-816D-0ADB0C3F7509}"/>
    <cellStyle name="Normal 9 2 8 2 5" xfId="12481" xr:uid="{91251467-2D23-4A95-87E6-2DBB0E4ED5E3}"/>
    <cellStyle name="Normal 9 2 8 3" xfId="6115" xr:uid="{00000000-0005-0000-0000-0000A31F0000}"/>
    <cellStyle name="Normal 9 2 8 3 2" xfId="22992" xr:uid="{C365B5BC-3641-456A-BA28-2D2BD84387D8}"/>
    <cellStyle name="Normal 9 2 8 3 3" xfId="31426" xr:uid="{8B40AAE0-031A-4AE9-A318-C87178CAFBD9}"/>
    <cellStyle name="Normal 9 2 8 3 4" xfId="14554" xr:uid="{7DF03AFE-0B08-491C-B23D-F5A99F08496C}"/>
    <cellStyle name="Normal 9 2 8 4" xfId="18774" xr:uid="{6A4647C0-E9EF-42D6-BB00-FD2187D1BCA3}"/>
    <cellStyle name="Normal 9 2 8 5" xfId="27209" xr:uid="{C85A5D66-FDF3-441B-94EC-43ADE757115B}"/>
    <cellStyle name="Normal 9 2 8 6" xfId="10336" xr:uid="{20A13F79-83D6-437D-9730-B4AD770CCCC4}"/>
    <cellStyle name="Normal 9 2 9" xfId="2221" xr:uid="{00000000-0005-0000-0000-0000A41F0000}"/>
    <cellStyle name="Normal 9 2 9 2" xfId="4450" xr:uid="{00000000-0005-0000-0000-0000A51F0000}"/>
    <cellStyle name="Normal 9 2 9 2 2" xfId="8673" xr:uid="{00000000-0005-0000-0000-0000A61F0000}"/>
    <cellStyle name="Normal 9 2 9 2 2 2" xfId="25550" xr:uid="{D216FF47-A7A0-4A6D-8CA9-8037928EB81A}"/>
    <cellStyle name="Normal 9 2 9 2 2 3" xfId="33984" xr:uid="{AAA5E56E-647B-4776-B67C-F6E699928709}"/>
    <cellStyle name="Normal 9 2 9 2 2 4" xfId="17112" xr:uid="{AF8EA5F5-E572-4B6E-97A3-C76075831C24}"/>
    <cellStyle name="Normal 9 2 9 2 3" xfId="21332" xr:uid="{26EFB935-B1ED-4F81-A416-F9EBF8909633}"/>
    <cellStyle name="Normal 9 2 9 2 4" xfId="29767" xr:uid="{429E2EA7-44E1-4A76-9E3B-446AC0567BF2}"/>
    <cellStyle name="Normal 9 2 9 2 5" xfId="12894" xr:uid="{ECA6FCC8-616E-4ACF-AB31-1C0599A5FFC7}"/>
    <cellStyle name="Normal 9 2 9 3" xfId="6528" xr:uid="{00000000-0005-0000-0000-0000A71F0000}"/>
    <cellStyle name="Normal 9 2 9 3 2" xfId="23405" xr:uid="{B0E45D30-B10F-49D2-84C0-F24C59B1155E}"/>
    <cellStyle name="Normal 9 2 9 3 3" xfId="31839" xr:uid="{EC679C34-2406-49E2-8482-8C9B94B4C944}"/>
    <cellStyle name="Normal 9 2 9 3 4" xfId="14967" xr:uid="{341EC912-D141-4392-83BB-D03A7F7C2327}"/>
    <cellStyle name="Normal 9 2 9 4" xfId="19187" xr:uid="{8E4907B6-3C17-4C9B-81FD-D1C558DA3134}"/>
    <cellStyle name="Normal 9 2 9 5" xfId="27622" xr:uid="{6007A513-D611-4A72-80FA-E46D52FB824E}"/>
    <cellStyle name="Normal 9 2 9 6" xfId="10749" xr:uid="{B9BC528A-CB0D-4F8D-A491-7F1BE0210170}"/>
    <cellStyle name="Normal 9 3" xfId="527" xr:uid="{00000000-0005-0000-0000-0000A81F0000}"/>
    <cellStyle name="Normal 9 3 10" xfId="4892" xr:uid="{00000000-0005-0000-0000-0000A91F0000}"/>
    <cellStyle name="Normal 9 3 10 2" xfId="21769" xr:uid="{15E1777A-739A-42D7-B27E-6EB9CE32BF2D}"/>
    <cellStyle name="Normal 9 3 10 3" xfId="30203" xr:uid="{86B1D9E0-6249-464C-843F-3951ED48C439}"/>
    <cellStyle name="Normal 9 3 10 4" xfId="13331" xr:uid="{F9DCD118-CB93-4F16-AB1E-1F769562DA83}"/>
    <cellStyle name="Normal 9 3 11" xfId="17551" xr:uid="{3ECECB9F-50A8-4E29-99FF-FD3647A2264B}"/>
    <cellStyle name="Normal 9 3 12" xfId="25986" xr:uid="{0C007F22-2033-4569-8D35-B149454E98C5}"/>
    <cellStyle name="Normal 9 3 13" xfId="9113" xr:uid="{3E289DD2-3D7E-47EB-BBB9-0B1BEDA9B101}"/>
    <cellStyle name="Normal 9 3 2" xfId="528" xr:uid="{00000000-0005-0000-0000-0000AA1F0000}"/>
    <cellStyle name="Normal 9 3 2 10" xfId="17552" xr:uid="{E0CCA6B3-DFDB-4975-B1AF-8BED864A8EE8}"/>
    <cellStyle name="Normal 9 3 2 11" xfId="25987" xr:uid="{00369E3A-8683-4AF2-AADA-BE69E8757A64}"/>
    <cellStyle name="Normal 9 3 2 12" xfId="9114" xr:uid="{504E9823-82F7-46A7-9B46-F03730AC5B62}"/>
    <cellStyle name="Normal 9 3 2 2" xfId="529" xr:uid="{00000000-0005-0000-0000-0000AB1F0000}"/>
    <cellStyle name="Normal 9 3 2 2 10" xfId="25988" xr:uid="{70061A53-90FA-4B5C-B948-458D2F85DD34}"/>
    <cellStyle name="Normal 9 3 2 2 11" xfId="9115" xr:uid="{F3A02A33-2B08-4792-9D9C-25F2DCF7AF3D}"/>
    <cellStyle name="Normal 9 3 2 2 2" xfId="530" xr:uid="{00000000-0005-0000-0000-0000AC1F0000}"/>
    <cellStyle name="Normal 9 3 2 2 2 10" xfId="9116" xr:uid="{9CEFF5BC-757C-4A83-A442-7FBAB51D1B2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24330" xr:uid="{70F178AD-1D67-400F-A8F7-34F1BD8247ED}"/>
    <cellStyle name="Normal 9 3 2 2 2 2 2 2 3" xfId="32764" xr:uid="{FD4D5416-0A46-4C67-9011-13B8AADFBF03}"/>
    <cellStyle name="Normal 9 3 2 2 2 2 2 2 4" xfId="15892" xr:uid="{BC7A211A-CBF8-4D54-B813-0A99EE74252D}"/>
    <cellStyle name="Normal 9 3 2 2 2 2 2 3" xfId="20112" xr:uid="{B59283E5-8DBE-49BF-8C82-C35739706021}"/>
    <cellStyle name="Normal 9 3 2 2 2 2 2 4" xfId="28547" xr:uid="{F087B8B1-B4EF-428D-B771-A7475AFD60E5}"/>
    <cellStyle name="Normal 9 3 2 2 2 2 2 5" xfId="11674" xr:uid="{0F1DE192-BF83-4871-A278-740D0EAC7F22}"/>
    <cellStyle name="Normal 9 3 2 2 2 2 3" xfId="5308" xr:uid="{00000000-0005-0000-0000-0000B01F0000}"/>
    <cellStyle name="Normal 9 3 2 2 2 2 3 2" xfId="22185" xr:uid="{76A51F30-9670-4DF4-807A-E290F69C1C7D}"/>
    <cellStyle name="Normal 9 3 2 2 2 2 3 3" xfId="30619" xr:uid="{C8F9AC4F-D7DC-46CB-AA17-8EAF37B4220C}"/>
    <cellStyle name="Normal 9 3 2 2 2 2 3 4" xfId="13747" xr:uid="{9C38BC27-1A73-4E74-9456-9BACD05C7CAF}"/>
    <cellStyle name="Normal 9 3 2 2 2 2 4" xfId="17967" xr:uid="{8F533444-BF11-4A3E-BA62-EDE1BD60A07D}"/>
    <cellStyle name="Normal 9 3 2 2 2 2 5" xfId="26402" xr:uid="{1E0146C3-1E4E-4926-AF9B-5322AE0B597B}"/>
    <cellStyle name="Normal 9 3 2 2 2 2 6" xfId="9529" xr:uid="{482898DF-F4AF-48E0-A94E-DD22D4DF4A5C}"/>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24743" xr:uid="{87224DB7-7711-41EF-83D2-D6F79CE5568D}"/>
    <cellStyle name="Normal 9 3 2 2 2 3 2 2 3" xfId="33177" xr:uid="{DDAE114A-0B0E-47A6-A88F-FF91C058D7FD}"/>
    <cellStyle name="Normal 9 3 2 2 2 3 2 2 4" xfId="16305" xr:uid="{82D4D8F2-BB8D-47AA-93A7-1DDD0F62817C}"/>
    <cellStyle name="Normal 9 3 2 2 2 3 2 3" xfId="20525" xr:uid="{CC7F8CE8-A129-429B-94B9-EB37942707F7}"/>
    <cellStyle name="Normal 9 3 2 2 2 3 2 4" xfId="28960" xr:uid="{865DBDD5-AD2A-45B8-B56A-1FC8FE69BF17}"/>
    <cellStyle name="Normal 9 3 2 2 2 3 2 5" xfId="12087" xr:uid="{C8BE5E4A-987C-49CB-A6FC-8A086BD2006B}"/>
    <cellStyle name="Normal 9 3 2 2 2 3 3" xfId="5721" xr:uid="{00000000-0005-0000-0000-0000B41F0000}"/>
    <cellStyle name="Normal 9 3 2 2 2 3 3 2" xfId="22598" xr:uid="{C5DBFA39-F848-4BE6-82DD-404668B6F92B}"/>
    <cellStyle name="Normal 9 3 2 2 2 3 3 3" xfId="31032" xr:uid="{7A93C3BF-0E65-4647-8F6A-0CF6CAEA10C4}"/>
    <cellStyle name="Normal 9 3 2 2 2 3 3 4" xfId="14160" xr:uid="{B818FC44-E570-40AD-81E9-D5BAA481DD3A}"/>
    <cellStyle name="Normal 9 3 2 2 2 3 4" xfId="18380" xr:uid="{05EDCE5C-708D-48EB-A0D7-E12737B0642D}"/>
    <cellStyle name="Normal 9 3 2 2 2 3 5" xfId="26815" xr:uid="{EE879BD3-A3BD-40AC-BE15-7F68F362CFA4}"/>
    <cellStyle name="Normal 9 3 2 2 2 3 6" xfId="9942" xr:uid="{40A53586-FF27-40A1-B84D-8AEC1B17A52F}"/>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25156" xr:uid="{79B05F91-198E-4B79-A140-021CCD75CE49}"/>
    <cellStyle name="Normal 9 3 2 2 2 4 2 2 3" xfId="33590" xr:uid="{90F84E33-8FE3-4F2C-B8BC-582650811888}"/>
    <cellStyle name="Normal 9 3 2 2 2 4 2 2 4" xfId="16718" xr:uid="{95A19994-B7FF-46DF-85F5-42549AD8C23D}"/>
    <cellStyle name="Normal 9 3 2 2 2 4 2 3" xfId="20938" xr:uid="{9F33CD69-D484-477C-8D3F-D58C2EADDC93}"/>
    <cellStyle name="Normal 9 3 2 2 2 4 2 4" xfId="29373" xr:uid="{DC471D6F-7275-4696-8A8B-176295053E32}"/>
    <cellStyle name="Normal 9 3 2 2 2 4 2 5" xfId="12500" xr:uid="{6452051B-828F-4B7A-8631-A56A743E5641}"/>
    <cellStyle name="Normal 9 3 2 2 2 4 3" xfId="6134" xr:uid="{00000000-0005-0000-0000-0000B81F0000}"/>
    <cellStyle name="Normal 9 3 2 2 2 4 3 2" xfId="23011" xr:uid="{842BB44B-D2B3-4766-9D0D-A23E5160C894}"/>
    <cellStyle name="Normal 9 3 2 2 2 4 3 3" xfId="31445" xr:uid="{A8C6A308-9B39-4027-AB38-D1E854F6FC37}"/>
    <cellStyle name="Normal 9 3 2 2 2 4 3 4" xfId="14573" xr:uid="{CDB840CE-044A-4F36-88F7-6A0E3B5EE92F}"/>
    <cellStyle name="Normal 9 3 2 2 2 4 4" xfId="18793" xr:uid="{16F18301-D5F5-42B2-9C25-7F58C61F94CA}"/>
    <cellStyle name="Normal 9 3 2 2 2 4 5" xfId="27228" xr:uid="{929C8509-D752-453E-86E2-A01E18F185D2}"/>
    <cellStyle name="Normal 9 3 2 2 2 4 6" xfId="10355" xr:uid="{F3F3FD89-36B7-48D1-BA70-27F52CAB3643}"/>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25569" xr:uid="{9FC4A782-C6E9-4275-A429-6D8F5B022F59}"/>
    <cellStyle name="Normal 9 3 2 2 2 5 2 2 3" xfId="34003" xr:uid="{90D1F40C-2853-4853-B68E-0AAEDD992992}"/>
    <cellStyle name="Normal 9 3 2 2 2 5 2 2 4" xfId="17131" xr:uid="{61A01EDB-E1F4-4B29-9563-C1CAFD0A318E}"/>
    <cellStyle name="Normal 9 3 2 2 2 5 2 3" xfId="21351" xr:uid="{46C42DEA-FB86-45CD-B16C-99C953A78AE0}"/>
    <cellStyle name="Normal 9 3 2 2 2 5 2 4" xfId="29786" xr:uid="{1D8767B1-D215-4A50-B684-F1E01D4376E5}"/>
    <cellStyle name="Normal 9 3 2 2 2 5 2 5" xfId="12913" xr:uid="{33FB6DA7-20ED-42D7-89DA-3E459F31D849}"/>
    <cellStyle name="Normal 9 3 2 2 2 5 3" xfId="6547" xr:uid="{00000000-0005-0000-0000-0000BC1F0000}"/>
    <cellStyle name="Normal 9 3 2 2 2 5 3 2" xfId="23424" xr:uid="{DFD56F89-C956-4A05-A54D-AA395A8D377F}"/>
    <cellStyle name="Normal 9 3 2 2 2 5 3 3" xfId="31858" xr:uid="{5C232486-9ABB-4D9C-AE5A-C32DEEA1765F}"/>
    <cellStyle name="Normal 9 3 2 2 2 5 3 4" xfId="14986" xr:uid="{3AD09800-4351-4B91-B816-3D088677FD82}"/>
    <cellStyle name="Normal 9 3 2 2 2 5 4" xfId="19206" xr:uid="{245E1698-E9E9-435F-8885-25457C2866EE}"/>
    <cellStyle name="Normal 9 3 2 2 2 5 5" xfId="27641" xr:uid="{CAFD39B7-CC21-4B8C-A221-D9C20AA289AD}"/>
    <cellStyle name="Normal 9 3 2 2 2 5 6" xfId="10768" xr:uid="{7DDBB8E1-18CE-4ADE-B6F5-0C8751513852}"/>
    <cellStyle name="Normal 9 3 2 2 2 6" xfId="2676" xr:uid="{00000000-0005-0000-0000-0000BD1F0000}"/>
    <cellStyle name="Normal 9 3 2 2 2 6 2" xfId="6960" xr:uid="{00000000-0005-0000-0000-0000BE1F0000}"/>
    <cellStyle name="Normal 9 3 2 2 2 6 2 2" xfId="23837" xr:uid="{71C6F961-32D4-41BC-9CE4-E94AE67DBFB3}"/>
    <cellStyle name="Normal 9 3 2 2 2 6 2 3" xfId="32271" xr:uid="{622D3431-5FA1-4248-BD18-7C1AD19AC527}"/>
    <cellStyle name="Normal 9 3 2 2 2 6 2 4" xfId="15399" xr:uid="{FFBAE7D1-AFE8-480D-80A3-48224D80AA36}"/>
    <cellStyle name="Normal 9 3 2 2 2 6 3" xfId="19619" xr:uid="{0003F763-57F6-4CE4-8DE7-61B29096685A}"/>
    <cellStyle name="Normal 9 3 2 2 2 6 4" xfId="28054" xr:uid="{E0E0879D-4295-4FB2-A8EC-28D4D390E6BC}"/>
    <cellStyle name="Normal 9 3 2 2 2 6 5" xfId="11181" xr:uid="{EF2309AF-C2F1-4406-8AC7-7146598E953C}"/>
    <cellStyle name="Normal 9 3 2 2 2 7" xfId="4895" xr:uid="{00000000-0005-0000-0000-0000BF1F0000}"/>
    <cellStyle name="Normal 9 3 2 2 2 7 2" xfId="21772" xr:uid="{361C3FFE-A307-459D-A210-DB48B5C7AE0B}"/>
    <cellStyle name="Normal 9 3 2 2 2 7 3" xfId="30206" xr:uid="{B4F514D8-5F45-41AC-B08D-C6FB59044211}"/>
    <cellStyle name="Normal 9 3 2 2 2 7 4" xfId="13334" xr:uid="{1588CB08-52D8-4AF5-AD4B-C0853F54BC65}"/>
    <cellStyle name="Normal 9 3 2 2 2 8" xfId="17554" xr:uid="{C6D64342-82A5-4503-AAC3-67CB931F709E}"/>
    <cellStyle name="Normal 9 3 2 2 2 9" xfId="25989" xr:uid="{2F396749-7482-4877-8679-6A593BF0A0AF}"/>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24329" xr:uid="{BAC25CCB-823E-4997-8CBD-DF5FA5085A86}"/>
    <cellStyle name="Normal 9 3 2 2 3 2 2 3" xfId="32763" xr:uid="{8FC3F268-2E0F-48C3-8B02-AAA82BB5D9A7}"/>
    <cellStyle name="Normal 9 3 2 2 3 2 2 4" xfId="15891" xr:uid="{526CAEDA-0A7E-4720-BD9C-C5A8D71D5C1B}"/>
    <cellStyle name="Normal 9 3 2 2 3 2 3" xfId="20111" xr:uid="{5138100A-BB09-402B-AB06-61DDD8F84BD9}"/>
    <cellStyle name="Normal 9 3 2 2 3 2 4" xfId="28546" xr:uid="{A2010BA2-8E9B-4C8B-91EF-DE925267B6E7}"/>
    <cellStyle name="Normal 9 3 2 2 3 2 5" xfId="11673" xr:uid="{9FC870F8-BCCA-468F-9739-18121281B948}"/>
    <cellStyle name="Normal 9 3 2 2 3 3" xfId="5307" xr:uid="{00000000-0005-0000-0000-0000C31F0000}"/>
    <cellStyle name="Normal 9 3 2 2 3 3 2" xfId="22184" xr:uid="{EA9ED730-12AC-403F-ABBD-EBC4F150FBFB}"/>
    <cellStyle name="Normal 9 3 2 2 3 3 3" xfId="30618" xr:uid="{9671E8E1-6F0B-4C17-94EE-3E7AE5A3CA39}"/>
    <cellStyle name="Normal 9 3 2 2 3 3 4" xfId="13746" xr:uid="{166C695F-9135-4E9F-895A-2F7E5A705C5E}"/>
    <cellStyle name="Normal 9 3 2 2 3 4" xfId="17966" xr:uid="{FDB4060C-E91F-47CF-92AC-9E3BF711AF2F}"/>
    <cellStyle name="Normal 9 3 2 2 3 5" xfId="26401" xr:uid="{80204C85-8C22-4B60-B115-1649BCAFEAE9}"/>
    <cellStyle name="Normal 9 3 2 2 3 6" xfId="9528" xr:uid="{16DA308B-A422-4EAC-B7FD-0217D1E7E47C}"/>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24742" xr:uid="{11DC32EC-251F-4CC3-A780-9A9DA422D592}"/>
    <cellStyle name="Normal 9 3 2 2 4 2 2 3" xfId="33176" xr:uid="{A58DCED1-EEAF-4559-AF10-E14870E57B09}"/>
    <cellStyle name="Normal 9 3 2 2 4 2 2 4" xfId="16304" xr:uid="{2CB96F0E-2104-418C-9588-CBB6620517BC}"/>
    <cellStyle name="Normal 9 3 2 2 4 2 3" xfId="20524" xr:uid="{64C6AF83-520D-41AF-8162-5DD85099462A}"/>
    <cellStyle name="Normal 9 3 2 2 4 2 4" xfId="28959" xr:uid="{C6ABBDF6-FBF7-4D91-BF54-A05B7964F55F}"/>
    <cellStyle name="Normal 9 3 2 2 4 2 5" xfId="12086" xr:uid="{1C8BB991-ECE9-4841-8667-BDB68C0F0D15}"/>
    <cellStyle name="Normal 9 3 2 2 4 3" xfId="5720" xr:uid="{00000000-0005-0000-0000-0000C71F0000}"/>
    <cellStyle name="Normal 9 3 2 2 4 3 2" xfId="22597" xr:uid="{73354F62-784F-4F9A-AC47-DE24F337791E}"/>
    <cellStyle name="Normal 9 3 2 2 4 3 3" xfId="31031" xr:uid="{E02F9913-AF28-4C42-B500-C6F2169E7380}"/>
    <cellStyle name="Normal 9 3 2 2 4 3 4" xfId="14159" xr:uid="{BD712C18-2E92-4393-B3A5-7B50AAEFE9AA}"/>
    <cellStyle name="Normal 9 3 2 2 4 4" xfId="18379" xr:uid="{C84FC25C-17D4-466F-9B32-8149C82A4E9A}"/>
    <cellStyle name="Normal 9 3 2 2 4 5" xfId="26814" xr:uid="{7297F9BF-E825-41FE-B236-594BE691DE7F}"/>
    <cellStyle name="Normal 9 3 2 2 4 6" xfId="9941" xr:uid="{051CF5B5-59B5-4D70-8044-08D3ECBA9A88}"/>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25155" xr:uid="{8537DE3D-97ED-4DAF-9273-50611284BF93}"/>
    <cellStyle name="Normal 9 3 2 2 5 2 2 3" xfId="33589" xr:uid="{A7F25CD5-42FA-4708-8081-18119CB6510D}"/>
    <cellStyle name="Normal 9 3 2 2 5 2 2 4" xfId="16717" xr:uid="{9341D072-1988-41D0-A33B-16028734284E}"/>
    <cellStyle name="Normal 9 3 2 2 5 2 3" xfId="20937" xr:uid="{60AC64E8-F3F9-41CB-837A-339FBCFADCA0}"/>
    <cellStyle name="Normal 9 3 2 2 5 2 4" xfId="29372" xr:uid="{E25F66D2-B935-41CA-BAD4-B07AB3D4F8D1}"/>
    <cellStyle name="Normal 9 3 2 2 5 2 5" xfId="12499" xr:uid="{5F9BBF43-6EFB-4B92-AB09-E6EC8C62308F}"/>
    <cellStyle name="Normal 9 3 2 2 5 3" xfId="6133" xr:uid="{00000000-0005-0000-0000-0000CB1F0000}"/>
    <cellStyle name="Normal 9 3 2 2 5 3 2" xfId="23010" xr:uid="{73C88D88-6DC1-4A9B-8EB3-9113419B57FB}"/>
    <cellStyle name="Normal 9 3 2 2 5 3 3" xfId="31444" xr:uid="{3D478165-EB17-401D-BC83-5FF221025F25}"/>
    <cellStyle name="Normal 9 3 2 2 5 3 4" xfId="14572" xr:uid="{F14E6877-6550-4940-973B-495B9F7D4EC5}"/>
    <cellStyle name="Normal 9 3 2 2 5 4" xfId="18792" xr:uid="{44BD1E18-E784-430C-BF90-F8FFC6E64F6B}"/>
    <cellStyle name="Normal 9 3 2 2 5 5" xfId="27227" xr:uid="{2FB31317-BA8C-49B9-8EA8-9AA87B200424}"/>
    <cellStyle name="Normal 9 3 2 2 5 6" xfId="10354" xr:uid="{3AC08942-7E91-4882-B731-65E475F5228F}"/>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25568" xr:uid="{7E9C4EF3-341A-478F-9F56-BAAB5C5788E9}"/>
    <cellStyle name="Normal 9 3 2 2 6 2 2 3" xfId="34002" xr:uid="{8E46F794-DDBC-4A1A-AB3A-F1842AEE5149}"/>
    <cellStyle name="Normal 9 3 2 2 6 2 2 4" xfId="17130" xr:uid="{B5341080-68AB-4832-9760-922E0AB94F93}"/>
    <cellStyle name="Normal 9 3 2 2 6 2 3" xfId="21350" xr:uid="{1C641480-483B-4223-AA39-62E5F5A8B140}"/>
    <cellStyle name="Normal 9 3 2 2 6 2 4" xfId="29785" xr:uid="{D67DA093-507A-4ABB-961D-6C9D1A7C1ADA}"/>
    <cellStyle name="Normal 9 3 2 2 6 2 5" xfId="12912" xr:uid="{6C4234BF-1AA2-4AFC-8786-A5F319B96FF6}"/>
    <cellStyle name="Normal 9 3 2 2 6 3" xfId="6546" xr:uid="{00000000-0005-0000-0000-0000CF1F0000}"/>
    <cellStyle name="Normal 9 3 2 2 6 3 2" xfId="23423" xr:uid="{CE2D307C-32DF-40C8-B04D-6F693C70A099}"/>
    <cellStyle name="Normal 9 3 2 2 6 3 3" xfId="31857" xr:uid="{6A31F569-B9A7-493C-B997-77777689FB2A}"/>
    <cellStyle name="Normal 9 3 2 2 6 3 4" xfId="14985" xr:uid="{B67A5F7D-6C58-46BF-A549-05A53FA2A3C1}"/>
    <cellStyle name="Normal 9 3 2 2 6 4" xfId="19205" xr:uid="{38E272F2-491D-48F7-964D-99BFFEB62D04}"/>
    <cellStyle name="Normal 9 3 2 2 6 5" xfId="27640" xr:uid="{F21E45E0-4F14-4E49-9B8C-375A3C20DD65}"/>
    <cellStyle name="Normal 9 3 2 2 6 6" xfId="10767" xr:uid="{CCB758DD-559A-4AEB-99D6-DA9114CDEE73}"/>
    <cellStyle name="Normal 9 3 2 2 7" xfId="2675" xr:uid="{00000000-0005-0000-0000-0000D01F0000}"/>
    <cellStyle name="Normal 9 3 2 2 7 2" xfId="6959" xr:uid="{00000000-0005-0000-0000-0000D11F0000}"/>
    <cellStyle name="Normal 9 3 2 2 7 2 2" xfId="23836" xr:uid="{EB412D62-7167-406F-BD87-6C9C7E4CED62}"/>
    <cellStyle name="Normal 9 3 2 2 7 2 3" xfId="32270" xr:uid="{238CDEDB-F387-4E6C-B2AC-D2E5D87B6935}"/>
    <cellStyle name="Normal 9 3 2 2 7 2 4" xfId="15398" xr:uid="{23DC6583-761D-4C49-AF7B-A852C098E32A}"/>
    <cellStyle name="Normal 9 3 2 2 7 3" xfId="19618" xr:uid="{B03749BC-C9E6-4891-A8CA-E8BFFDD23D10}"/>
    <cellStyle name="Normal 9 3 2 2 7 4" xfId="28053" xr:uid="{E493B518-0AFC-4FD9-A1CD-3E87A76143D4}"/>
    <cellStyle name="Normal 9 3 2 2 7 5" xfId="11180" xr:uid="{4BC13030-B876-42D1-ADE9-8087ED28E712}"/>
    <cellStyle name="Normal 9 3 2 2 8" xfId="4894" xr:uid="{00000000-0005-0000-0000-0000D21F0000}"/>
    <cellStyle name="Normal 9 3 2 2 8 2" xfId="21771" xr:uid="{6F10BCBB-C674-427E-AF39-296BFBDE5340}"/>
    <cellStyle name="Normal 9 3 2 2 8 3" xfId="30205" xr:uid="{763661D9-201D-4F91-AC61-A83908074887}"/>
    <cellStyle name="Normal 9 3 2 2 8 4" xfId="13333" xr:uid="{E8254C13-23DF-4698-9044-A51F2D160D57}"/>
    <cellStyle name="Normal 9 3 2 2 9" xfId="17553" xr:uid="{A699429B-9392-4B66-B769-699F7B17A43C}"/>
    <cellStyle name="Normal 9 3 2 3" xfId="531" xr:uid="{00000000-0005-0000-0000-0000D31F0000}"/>
    <cellStyle name="Normal 9 3 2 3 10" xfId="9117" xr:uid="{EC087317-F717-4709-9A12-BE658A57A082}"/>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24331" xr:uid="{88253664-B300-46AE-AEC8-23C6034B65BF}"/>
    <cellStyle name="Normal 9 3 2 3 2 2 2 3" xfId="32765" xr:uid="{7545350F-5C83-4598-A20B-B1B973C36666}"/>
    <cellStyle name="Normal 9 3 2 3 2 2 2 4" xfId="15893" xr:uid="{2041AFD7-AB7E-4B78-AE22-91D5C605B1FA}"/>
    <cellStyle name="Normal 9 3 2 3 2 2 3" xfId="20113" xr:uid="{B2203DB9-084F-43AC-98DB-87719D128C5A}"/>
    <cellStyle name="Normal 9 3 2 3 2 2 4" xfId="28548" xr:uid="{DEB1F05D-5D10-4B83-9D0D-8034BC00E312}"/>
    <cellStyle name="Normal 9 3 2 3 2 2 5" xfId="11675" xr:uid="{58384907-BDA5-4FA7-8BD7-28330CAB105D}"/>
    <cellStyle name="Normal 9 3 2 3 2 3" xfId="5309" xr:uid="{00000000-0005-0000-0000-0000D71F0000}"/>
    <cellStyle name="Normal 9 3 2 3 2 3 2" xfId="22186" xr:uid="{396EEA81-EB39-4938-A669-B20A30F2E98F}"/>
    <cellStyle name="Normal 9 3 2 3 2 3 3" xfId="30620" xr:uid="{EB4523E6-E933-4E26-93B5-D217417F9409}"/>
    <cellStyle name="Normal 9 3 2 3 2 3 4" xfId="13748" xr:uid="{652524B3-3A34-4AB4-98FA-C9DBAB52BE39}"/>
    <cellStyle name="Normal 9 3 2 3 2 4" xfId="17968" xr:uid="{3145C8D1-E3B7-45BB-86C2-C604401931B9}"/>
    <cellStyle name="Normal 9 3 2 3 2 5" xfId="26403" xr:uid="{68BDECC4-A063-4798-B9AE-6C2ED9F53333}"/>
    <cellStyle name="Normal 9 3 2 3 2 6" xfId="9530" xr:uid="{3DA98FB8-A15D-4D77-AC40-5C25AFD95401}"/>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24744" xr:uid="{E5CB09DB-5611-47BD-9351-49FD1A929557}"/>
    <cellStyle name="Normal 9 3 2 3 3 2 2 3" xfId="33178" xr:uid="{EBB7CAAC-B31F-44A5-A05E-03C2F6CEAFD4}"/>
    <cellStyle name="Normal 9 3 2 3 3 2 2 4" xfId="16306" xr:uid="{154220BE-6978-4E51-87F6-1A3F1A1357AC}"/>
    <cellStyle name="Normal 9 3 2 3 3 2 3" xfId="20526" xr:uid="{61FCA9CD-2992-4084-BC1A-FA83EFC778B3}"/>
    <cellStyle name="Normal 9 3 2 3 3 2 4" xfId="28961" xr:uid="{B6837D7E-22FF-4503-A8DF-5FC43E77F379}"/>
    <cellStyle name="Normal 9 3 2 3 3 2 5" xfId="12088" xr:uid="{934350F3-4E75-46D9-9939-1083D626D3EE}"/>
    <cellStyle name="Normal 9 3 2 3 3 3" xfId="5722" xr:uid="{00000000-0005-0000-0000-0000DB1F0000}"/>
    <cellStyle name="Normal 9 3 2 3 3 3 2" xfId="22599" xr:uid="{C88D8105-C768-4D48-8EC4-679937ABA1E2}"/>
    <cellStyle name="Normal 9 3 2 3 3 3 3" xfId="31033" xr:uid="{47D33ABD-AE7B-4921-8DD7-F8C55350BC5B}"/>
    <cellStyle name="Normal 9 3 2 3 3 3 4" xfId="14161" xr:uid="{5F9AF9C2-5373-4564-9D05-0E86BD729081}"/>
    <cellStyle name="Normal 9 3 2 3 3 4" xfId="18381" xr:uid="{0E258145-E203-45D7-84BE-7ACFE0FEB3F1}"/>
    <cellStyle name="Normal 9 3 2 3 3 5" xfId="26816" xr:uid="{95493067-FDF0-43D5-AEE1-98188D458F4D}"/>
    <cellStyle name="Normal 9 3 2 3 3 6" xfId="9943" xr:uid="{68E45FF2-A376-4448-95C9-A039B7308CBE}"/>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25157" xr:uid="{1F018D59-216D-4435-B02D-F42C4873A3A7}"/>
    <cellStyle name="Normal 9 3 2 3 4 2 2 3" xfId="33591" xr:uid="{D542A42E-A564-4D0E-867B-B6A247C76223}"/>
    <cellStyle name="Normal 9 3 2 3 4 2 2 4" xfId="16719" xr:uid="{96FDF302-3678-4713-9658-10ECCF9A233D}"/>
    <cellStyle name="Normal 9 3 2 3 4 2 3" xfId="20939" xr:uid="{6D3A4AEA-DEA8-43FA-B780-4727ACC38EF5}"/>
    <cellStyle name="Normal 9 3 2 3 4 2 4" xfId="29374" xr:uid="{E78CDF15-A834-409F-A34A-0BE5409E1C8C}"/>
    <cellStyle name="Normal 9 3 2 3 4 2 5" xfId="12501" xr:uid="{7A395627-6E9A-4BE3-A434-8B14E437E24D}"/>
    <cellStyle name="Normal 9 3 2 3 4 3" xfId="6135" xr:uid="{00000000-0005-0000-0000-0000DF1F0000}"/>
    <cellStyle name="Normal 9 3 2 3 4 3 2" xfId="23012" xr:uid="{B6590422-AF1F-476B-8DC1-ED48EA2A2516}"/>
    <cellStyle name="Normal 9 3 2 3 4 3 3" xfId="31446" xr:uid="{9497C056-A73A-4C5A-8482-C6F0B0F1224F}"/>
    <cellStyle name="Normal 9 3 2 3 4 3 4" xfId="14574" xr:uid="{3A8DF790-BE7E-48C7-9BC0-79CE267E963E}"/>
    <cellStyle name="Normal 9 3 2 3 4 4" xfId="18794" xr:uid="{2FADBB17-9D80-4EB7-852A-F54A1FDDAB81}"/>
    <cellStyle name="Normal 9 3 2 3 4 5" xfId="27229" xr:uid="{EABE60D5-51C1-4947-AEBB-DE841184EA27}"/>
    <cellStyle name="Normal 9 3 2 3 4 6" xfId="10356" xr:uid="{2D4BE3C4-97A3-4B89-98FF-791E5FB047D5}"/>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25570" xr:uid="{AA9D28C7-FFE9-4369-8D58-5231088C3ECC}"/>
    <cellStyle name="Normal 9 3 2 3 5 2 2 3" xfId="34004" xr:uid="{0E5A298F-5EA2-4044-BCDB-2503E7DF3ECE}"/>
    <cellStyle name="Normal 9 3 2 3 5 2 2 4" xfId="17132" xr:uid="{A59AED5A-6456-4CB0-B72C-9D41849AF2F3}"/>
    <cellStyle name="Normal 9 3 2 3 5 2 3" xfId="21352" xr:uid="{930BF856-9A9C-48A2-A924-4BF0DC1F103D}"/>
    <cellStyle name="Normal 9 3 2 3 5 2 4" xfId="29787" xr:uid="{0449EF29-E3DF-4C1E-A7D6-DE27B4BE6F8F}"/>
    <cellStyle name="Normal 9 3 2 3 5 2 5" xfId="12914" xr:uid="{F40B0328-15A0-4801-B62C-1722F2B32454}"/>
    <cellStyle name="Normal 9 3 2 3 5 3" xfId="6548" xr:uid="{00000000-0005-0000-0000-0000E31F0000}"/>
    <cellStyle name="Normal 9 3 2 3 5 3 2" xfId="23425" xr:uid="{8B2C2DF8-BE96-457A-A026-70FA28E4827C}"/>
    <cellStyle name="Normal 9 3 2 3 5 3 3" xfId="31859" xr:uid="{10B2BCAA-C9C4-43DC-BBA0-D4BFB969C00C}"/>
    <cellStyle name="Normal 9 3 2 3 5 3 4" xfId="14987" xr:uid="{B3DFB77C-3E80-40B4-8E4A-05F446575D85}"/>
    <cellStyle name="Normal 9 3 2 3 5 4" xfId="19207" xr:uid="{15F34E97-EA1D-40D3-90AF-598FC4000965}"/>
    <cellStyle name="Normal 9 3 2 3 5 5" xfId="27642" xr:uid="{47A89DA9-DE83-4109-888B-BFE97A8D3617}"/>
    <cellStyle name="Normal 9 3 2 3 5 6" xfId="10769" xr:uid="{93035840-2A07-41DC-96F5-E2443B10EA09}"/>
    <cellStyle name="Normal 9 3 2 3 6" xfId="2677" xr:uid="{00000000-0005-0000-0000-0000E41F0000}"/>
    <cellStyle name="Normal 9 3 2 3 6 2" xfId="6961" xr:uid="{00000000-0005-0000-0000-0000E51F0000}"/>
    <cellStyle name="Normal 9 3 2 3 6 2 2" xfId="23838" xr:uid="{2F62B1AD-9E28-4BEB-848A-1F361653E834}"/>
    <cellStyle name="Normal 9 3 2 3 6 2 3" xfId="32272" xr:uid="{EC7B1DD3-A5F8-4891-A75A-5F55E1F9752C}"/>
    <cellStyle name="Normal 9 3 2 3 6 2 4" xfId="15400" xr:uid="{0F472850-D4D8-45C7-8768-37B7C68E25EB}"/>
    <cellStyle name="Normal 9 3 2 3 6 3" xfId="19620" xr:uid="{9E276232-1A12-498A-A232-9E18AF9D69C3}"/>
    <cellStyle name="Normal 9 3 2 3 6 4" xfId="28055" xr:uid="{791A552D-39DE-473D-8A42-F0964D88146B}"/>
    <cellStyle name="Normal 9 3 2 3 6 5" xfId="11182" xr:uid="{30A431C8-1ACE-4A23-8026-87F18FC2BA6E}"/>
    <cellStyle name="Normal 9 3 2 3 7" xfId="4896" xr:uid="{00000000-0005-0000-0000-0000E61F0000}"/>
    <cellStyle name="Normal 9 3 2 3 7 2" xfId="21773" xr:uid="{5B00A1EE-3340-425F-BF2F-AF4D68A5B649}"/>
    <cellStyle name="Normal 9 3 2 3 7 3" xfId="30207" xr:uid="{BD2722F3-3B2A-4C87-BFE0-7B3614B38281}"/>
    <cellStyle name="Normal 9 3 2 3 7 4" xfId="13335" xr:uid="{555B0721-EA07-4EB8-B41E-F2AAEE90D5FA}"/>
    <cellStyle name="Normal 9 3 2 3 8" xfId="17555" xr:uid="{AB219455-536F-4016-A275-6C804B6CEDCC}"/>
    <cellStyle name="Normal 9 3 2 3 9" xfId="25990" xr:uid="{BF1EDC45-641F-4ADF-8E78-FD6C7F48A08D}"/>
    <cellStyle name="Normal 9 3 2 4" xfId="995" xr:uid="{00000000-0005-0000-0000-0000E71F0000}"/>
    <cellStyle name="Normal 9 3 2 4 2" xfId="3228" xr:uid="{00000000-0005-0000-0000-0000E81F0000}"/>
    <cellStyle name="Normal 9 3 2 4 2 2" xfId="7451" xr:uid="{00000000-0005-0000-0000-0000E91F0000}"/>
    <cellStyle name="Normal 9 3 2 4 2 2 2" xfId="24328" xr:uid="{2728988C-BE0F-475A-AB79-E405794EEBE1}"/>
    <cellStyle name="Normal 9 3 2 4 2 2 3" xfId="32762" xr:uid="{03A3878B-A7AE-4C0B-A8A9-DDE97C0A44BB}"/>
    <cellStyle name="Normal 9 3 2 4 2 2 4" xfId="15890" xr:uid="{192065A7-52ED-4BDD-9339-BC3470CDD251}"/>
    <cellStyle name="Normal 9 3 2 4 2 3" xfId="20110" xr:uid="{B3F90199-982C-43CA-B24D-0628E5390302}"/>
    <cellStyle name="Normal 9 3 2 4 2 4" xfId="28545" xr:uid="{D04B9CFE-18A7-470B-9F5B-BE2AA7E2632F}"/>
    <cellStyle name="Normal 9 3 2 4 2 5" xfId="11672" xr:uid="{3A470181-10CE-40BD-B315-B6FB371415F0}"/>
    <cellStyle name="Normal 9 3 2 4 3" xfId="5306" xr:uid="{00000000-0005-0000-0000-0000EA1F0000}"/>
    <cellStyle name="Normal 9 3 2 4 3 2" xfId="22183" xr:uid="{946F00F3-B989-4666-A0A1-835BB2F5FA1C}"/>
    <cellStyle name="Normal 9 3 2 4 3 3" xfId="30617" xr:uid="{91E09A54-CD25-4847-A66D-E0E8B5B3DFEA}"/>
    <cellStyle name="Normal 9 3 2 4 3 4" xfId="13745" xr:uid="{FAB97391-B9DB-4EC0-A709-36E97B8B5B39}"/>
    <cellStyle name="Normal 9 3 2 4 4" xfId="17965" xr:uid="{109D0AE1-02D6-4624-AC0B-E6C19C08983F}"/>
    <cellStyle name="Normal 9 3 2 4 5" xfId="26400" xr:uid="{DF43482A-C114-40C3-9488-55BD30E1FF72}"/>
    <cellStyle name="Normal 9 3 2 4 6" xfId="9527" xr:uid="{A6AEC115-6DC1-4798-8D62-1D0209522E07}"/>
    <cellStyle name="Normal 9 3 2 5" xfId="1411" xr:uid="{00000000-0005-0000-0000-0000EB1F0000}"/>
    <cellStyle name="Normal 9 3 2 5 2" xfId="3641" xr:uid="{00000000-0005-0000-0000-0000EC1F0000}"/>
    <cellStyle name="Normal 9 3 2 5 2 2" xfId="7864" xr:uid="{00000000-0005-0000-0000-0000ED1F0000}"/>
    <cellStyle name="Normal 9 3 2 5 2 2 2" xfId="24741" xr:uid="{5B974698-F10C-4245-B88F-0A7465F201D0}"/>
    <cellStyle name="Normal 9 3 2 5 2 2 3" xfId="33175" xr:uid="{FE3553D5-D566-4079-BA29-C17CB518BAC8}"/>
    <cellStyle name="Normal 9 3 2 5 2 2 4" xfId="16303" xr:uid="{11381BBE-B019-4430-AB65-5A30B146C9A5}"/>
    <cellStyle name="Normal 9 3 2 5 2 3" xfId="20523" xr:uid="{20FE93C9-FE40-4E68-BAB3-71576E6E6395}"/>
    <cellStyle name="Normal 9 3 2 5 2 4" xfId="28958" xr:uid="{A6EE3513-3AA7-4725-B0C1-B521FE902D54}"/>
    <cellStyle name="Normal 9 3 2 5 2 5" xfId="12085" xr:uid="{29911AB3-BE37-4990-B12A-4424AA648A04}"/>
    <cellStyle name="Normal 9 3 2 5 3" xfId="5719" xr:uid="{00000000-0005-0000-0000-0000EE1F0000}"/>
    <cellStyle name="Normal 9 3 2 5 3 2" xfId="22596" xr:uid="{AA2B5EBA-79A2-40C6-8757-66ECF1195820}"/>
    <cellStyle name="Normal 9 3 2 5 3 3" xfId="31030" xr:uid="{99539490-F17F-4AB7-B61C-F41D63DCA428}"/>
    <cellStyle name="Normal 9 3 2 5 3 4" xfId="14158" xr:uid="{1E945A93-31C8-4575-98A0-317D84768A55}"/>
    <cellStyle name="Normal 9 3 2 5 4" xfId="18378" xr:uid="{0AB1F902-EBD1-48F7-A5F3-1FEA46D50BDA}"/>
    <cellStyle name="Normal 9 3 2 5 5" xfId="26813" xr:uid="{5AB776E1-E88E-4743-AAA9-1723742C0597}"/>
    <cellStyle name="Normal 9 3 2 5 6" xfId="9940" xr:uid="{6EB3F955-EA6A-4550-8D08-04ABBE1C3F47}"/>
    <cellStyle name="Normal 9 3 2 6" xfId="1824" xr:uid="{00000000-0005-0000-0000-0000EF1F0000}"/>
    <cellStyle name="Normal 9 3 2 6 2" xfId="4054" xr:uid="{00000000-0005-0000-0000-0000F01F0000}"/>
    <cellStyle name="Normal 9 3 2 6 2 2" xfId="8277" xr:uid="{00000000-0005-0000-0000-0000F11F0000}"/>
    <cellStyle name="Normal 9 3 2 6 2 2 2" xfId="25154" xr:uid="{A6B80913-333B-427F-8853-EF1C78C40541}"/>
    <cellStyle name="Normal 9 3 2 6 2 2 3" xfId="33588" xr:uid="{0AB93AF8-B697-4EE6-88B1-66CFE26ACE8E}"/>
    <cellStyle name="Normal 9 3 2 6 2 2 4" xfId="16716" xr:uid="{D45ED4FF-FB3C-4CBA-B717-3C935B52A1EB}"/>
    <cellStyle name="Normal 9 3 2 6 2 3" xfId="20936" xr:uid="{9C73FC6B-342C-4597-BAE3-86F09807C292}"/>
    <cellStyle name="Normal 9 3 2 6 2 4" xfId="29371" xr:uid="{6FE6C443-9A1D-48DC-9EC6-38FC85B7EF52}"/>
    <cellStyle name="Normal 9 3 2 6 2 5" xfId="12498" xr:uid="{89CB6782-6086-468B-9038-7C7BE157BEBF}"/>
    <cellStyle name="Normal 9 3 2 6 3" xfId="6132" xr:uid="{00000000-0005-0000-0000-0000F21F0000}"/>
    <cellStyle name="Normal 9 3 2 6 3 2" xfId="23009" xr:uid="{747E4BE0-DE56-43D4-8B0A-D10BB14AFDD9}"/>
    <cellStyle name="Normal 9 3 2 6 3 3" xfId="31443" xr:uid="{1276C4E0-9F27-4A82-9E29-55B5ECB64E23}"/>
    <cellStyle name="Normal 9 3 2 6 3 4" xfId="14571" xr:uid="{46490B5B-C78C-4B83-9410-A7A82B803FC0}"/>
    <cellStyle name="Normal 9 3 2 6 4" xfId="18791" xr:uid="{271C1F30-1D29-4A44-9B7A-DD9A3DEC2DA5}"/>
    <cellStyle name="Normal 9 3 2 6 5" xfId="27226" xr:uid="{A437681C-B840-4236-9A9F-848EC289E70F}"/>
    <cellStyle name="Normal 9 3 2 6 6" xfId="10353" xr:uid="{89C9B642-DF7D-476E-9E75-B5B762FB5D1B}"/>
    <cellStyle name="Normal 9 3 2 7" xfId="2238" xr:uid="{00000000-0005-0000-0000-0000F31F0000}"/>
    <cellStyle name="Normal 9 3 2 7 2" xfId="4467" xr:uid="{00000000-0005-0000-0000-0000F41F0000}"/>
    <cellStyle name="Normal 9 3 2 7 2 2" xfId="8690" xr:uid="{00000000-0005-0000-0000-0000F51F0000}"/>
    <cellStyle name="Normal 9 3 2 7 2 2 2" xfId="25567" xr:uid="{34A2F18E-3558-413C-9352-C526B459B5FE}"/>
    <cellStyle name="Normal 9 3 2 7 2 2 3" xfId="34001" xr:uid="{4A4EC86E-FCF1-412E-8BF7-EAE0DBD74C36}"/>
    <cellStyle name="Normal 9 3 2 7 2 2 4" xfId="17129" xr:uid="{BC0D316C-F3D8-4333-AAB0-FA10353259D9}"/>
    <cellStyle name="Normal 9 3 2 7 2 3" xfId="21349" xr:uid="{2483F234-316A-4FAC-82F5-124E087E246D}"/>
    <cellStyle name="Normal 9 3 2 7 2 4" xfId="29784" xr:uid="{FD62DD26-E33E-4311-BF07-DD3D730B07D3}"/>
    <cellStyle name="Normal 9 3 2 7 2 5" xfId="12911" xr:uid="{9A0F64FD-3CB9-41D5-9367-1F0C3ED7C304}"/>
    <cellStyle name="Normal 9 3 2 7 3" xfId="6545" xr:uid="{00000000-0005-0000-0000-0000F61F0000}"/>
    <cellStyle name="Normal 9 3 2 7 3 2" xfId="23422" xr:uid="{198F94D3-D6AE-4ED9-B406-6E59055A4181}"/>
    <cellStyle name="Normal 9 3 2 7 3 3" xfId="31856" xr:uid="{DAE433CA-C5FF-44E2-B7FB-1CE8D5550CCE}"/>
    <cellStyle name="Normal 9 3 2 7 3 4" xfId="14984" xr:uid="{A922C16E-9641-4311-BFEE-92900FA581D8}"/>
    <cellStyle name="Normal 9 3 2 7 4" xfId="19204" xr:uid="{DE24FA25-265B-4411-841C-D272AAB21ACF}"/>
    <cellStyle name="Normal 9 3 2 7 5" xfId="27639" xr:uid="{BEB3883E-8CA8-4C11-BF09-C6B6303D59A8}"/>
    <cellStyle name="Normal 9 3 2 7 6" xfId="10766" xr:uid="{0F6CA57A-008C-499E-9C99-F6D367C09F52}"/>
    <cellStyle name="Normal 9 3 2 8" xfId="2674" xr:uid="{00000000-0005-0000-0000-0000F71F0000}"/>
    <cellStyle name="Normal 9 3 2 8 2" xfId="6958" xr:uid="{00000000-0005-0000-0000-0000F81F0000}"/>
    <cellStyle name="Normal 9 3 2 8 2 2" xfId="23835" xr:uid="{E76CBB01-A2AB-4E7E-A88D-0EBED5B50361}"/>
    <cellStyle name="Normal 9 3 2 8 2 3" xfId="32269" xr:uid="{91C16338-3255-4FB8-9926-10354FE1287B}"/>
    <cellStyle name="Normal 9 3 2 8 2 4" xfId="15397" xr:uid="{DC3789F1-E073-46B5-9F02-C2A5BF7D2B92}"/>
    <cellStyle name="Normal 9 3 2 8 3" xfId="19617" xr:uid="{B8F94102-2FD1-4811-A937-1B932ADF60A4}"/>
    <cellStyle name="Normal 9 3 2 8 4" xfId="28052" xr:uid="{C55D63A7-0649-499B-B5D0-0A0761542536}"/>
    <cellStyle name="Normal 9 3 2 8 5" xfId="11179" xr:uid="{B4AC443F-8AF0-4B69-8D9A-8A7EEBB9A378}"/>
    <cellStyle name="Normal 9 3 2 9" xfId="4893" xr:uid="{00000000-0005-0000-0000-0000F91F0000}"/>
    <cellStyle name="Normal 9 3 2 9 2" xfId="21770" xr:uid="{777812EA-0767-4677-814C-F00F50D41605}"/>
    <cellStyle name="Normal 9 3 2 9 3" xfId="30204" xr:uid="{2A9AF2A8-B63F-41FF-9F99-07E266CDCEC3}"/>
    <cellStyle name="Normal 9 3 2 9 4" xfId="13332" xr:uid="{5EF0B6D4-9E88-4B89-AFB8-D8AD96729C9B}"/>
    <cellStyle name="Normal 9 3 3" xfId="532" xr:uid="{00000000-0005-0000-0000-0000FA1F0000}"/>
    <cellStyle name="Normal 9 3 3 10" xfId="25991" xr:uid="{28689DE5-EB55-4313-8338-C663F19FB1B6}"/>
    <cellStyle name="Normal 9 3 3 11" xfId="9118" xr:uid="{464B7384-74F7-4999-8CF8-C78DD9DF03C6}"/>
    <cellStyle name="Normal 9 3 3 2" xfId="533" xr:uid="{00000000-0005-0000-0000-0000FB1F0000}"/>
    <cellStyle name="Normal 9 3 3 2 10" xfId="9119" xr:uid="{08D0A508-BF6F-4B4D-B333-D2F4EA862576}"/>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24333" xr:uid="{C7506EB3-531C-4052-8CA9-392AA3CC30E3}"/>
    <cellStyle name="Normal 9 3 3 2 2 2 2 3" xfId="32767" xr:uid="{760804D1-BF91-49E2-BDBC-0C9CED1A35A1}"/>
    <cellStyle name="Normal 9 3 3 2 2 2 2 4" xfId="15895" xr:uid="{3F10D601-9740-4587-86BA-A14A6462F66B}"/>
    <cellStyle name="Normal 9 3 3 2 2 2 3" xfId="20115" xr:uid="{B2ECEBD2-E73C-441E-A414-ACAE835FA608}"/>
    <cellStyle name="Normal 9 3 3 2 2 2 4" xfId="28550" xr:uid="{C3EAB07A-ED18-4873-B259-C5063E55F010}"/>
    <cellStyle name="Normal 9 3 3 2 2 2 5" xfId="11677" xr:uid="{A3C6CB96-9258-48E7-922F-BF61E871DC0B}"/>
    <cellStyle name="Normal 9 3 3 2 2 3" xfId="5311" xr:uid="{00000000-0005-0000-0000-0000FF1F0000}"/>
    <cellStyle name="Normal 9 3 3 2 2 3 2" xfId="22188" xr:uid="{BC7483BE-7939-4C44-A971-6AFDE10D5069}"/>
    <cellStyle name="Normal 9 3 3 2 2 3 3" xfId="30622" xr:uid="{9F917EE8-8A0C-4D7C-8B97-7EE4131ECEFC}"/>
    <cellStyle name="Normal 9 3 3 2 2 3 4" xfId="13750" xr:uid="{D897CCE4-C4E7-49F4-879A-13F5968DF9F6}"/>
    <cellStyle name="Normal 9 3 3 2 2 4" xfId="17970" xr:uid="{7612D006-10C3-4E5E-A002-76B902B8E80C}"/>
    <cellStyle name="Normal 9 3 3 2 2 5" xfId="26405" xr:uid="{BAF2A319-6E17-42D5-8393-9512F4FCB02F}"/>
    <cellStyle name="Normal 9 3 3 2 2 6" xfId="9532" xr:uid="{D62CD47C-481D-455B-85DA-E953441DDAB7}"/>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24746" xr:uid="{606A61DA-80A5-40C3-AD84-E973C2DCA454}"/>
    <cellStyle name="Normal 9 3 3 2 3 2 2 3" xfId="33180" xr:uid="{21E04688-F81F-49C0-8998-F84DE6491B25}"/>
    <cellStyle name="Normal 9 3 3 2 3 2 2 4" xfId="16308" xr:uid="{138EC056-97EB-4C5D-B66B-D7816600EEC4}"/>
    <cellStyle name="Normal 9 3 3 2 3 2 3" xfId="20528" xr:uid="{7C2DE6F3-5026-45BC-8C4A-9B0942CFB35D}"/>
    <cellStyle name="Normal 9 3 3 2 3 2 4" xfId="28963" xr:uid="{D896C182-BB13-4324-9774-8E67B05D5359}"/>
    <cellStyle name="Normal 9 3 3 2 3 2 5" xfId="12090" xr:uid="{B7F0EC0A-A0D5-4401-A8E8-6B695C9601CD}"/>
    <cellStyle name="Normal 9 3 3 2 3 3" xfId="5724" xr:uid="{00000000-0005-0000-0000-000003200000}"/>
    <cellStyle name="Normal 9 3 3 2 3 3 2" xfId="22601" xr:uid="{7105CA6C-0B93-4587-B1D8-820F1E24A500}"/>
    <cellStyle name="Normal 9 3 3 2 3 3 3" xfId="31035" xr:uid="{189F680A-7D26-417A-954A-39FF01F22F64}"/>
    <cellStyle name="Normal 9 3 3 2 3 3 4" xfId="14163" xr:uid="{CAB8DE45-FDC2-4F28-AA85-34E8FD10114F}"/>
    <cellStyle name="Normal 9 3 3 2 3 4" xfId="18383" xr:uid="{54FD76F9-E03A-48D9-B601-EA38061774EF}"/>
    <cellStyle name="Normal 9 3 3 2 3 5" xfId="26818" xr:uid="{1FDB2917-D3A7-4D65-B146-6E9CA979D44C}"/>
    <cellStyle name="Normal 9 3 3 2 3 6" xfId="9945" xr:uid="{6D4CCE60-30BA-4A88-B1A7-E0835B3E57B3}"/>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25159" xr:uid="{D05A5264-C748-4A6B-A1BB-B55934806733}"/>
    <cellStyle name="Normal 9 3 3 2 4 2 2 3" xfId="33593" xr:uid="{5C065F2A-BA57-4498-B05F-8A71EAE6D555}"/>
    <cellStyle name="Normal 9 3 3 2 4 2 2 4" xfId="16721" xr:uid="{A689CAFA-1FDA-4E2D-9F0F-EE6DFECC9BAD}"/>
    <cellStyle name="Normal 9 3 3 2 4 2 3" xfId="20941" xr:uid="{D4E0E4DF-E7E7-4E31-87AD-F35842B7981E}"/>
    <cellStyle name="Normal 9 3 3 2 4 2 4" xfId="29376" xr:uid="{F9C511B4-7AEB-41AD-A315-DBE18F276B04}"/>
    <cellStyle name="Normal 9 3 3 2 4 2 5" xfId="12503" xr:uid="{EC050FB9-2CDF-4D29-AFE7-FC37C4C74C03}"/>
    <cellStyle name="Normal 9 3 3 2 4 3" xfId="6137" xr:uid="{00000000-0005-0000-0000-000007200000}"/>
    <cellStyle name="Normal 9 3 3 2 4 3 2" xfId="23014" xr:uid="{CB83CDD1-A5E8-4D85-B141-30FC0339FD2F}"/>
    <cellStyle name="Normal 9 3 3 2 4 3 3" xfId="31448" xr:uid="{195B0B90-6354-40AA-8DB0-C5AF1EA8B6E8}"/>
    <cellStyle name="Normal 9 3 3 2 4 3 4" xfId="14576" xr:uid="{DADAC3C3-C4A3-4749-95C5-69B2B8AABB54}"/>
    <cellStyle name="Normal 9 3 3 2 4 4" xfId="18796" xr:uid="{C6D0DCC1-6D1F-4D47-A57B-5C37C228FE6C}"/>
    <cellStyle name="Normal 9 3 3 2 4 5" xfId="27231" xr:uid="{38348475-CDE8-463F-8C00-0BF5A0DE9CF3}"/>
    <cellStyle name="Normal 9 3 3 2 4 6" xfId="10358" xr:uid="{4FB99B5D-DE53-4B7F-B540-D69D3E2AD7F8}"/>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25572" xr:uid="{47C16484-FCDC-4542-A2BF-5046CF8A11EE}"/>
    <cellStyle name="Normal 9 3 3 2 5 2 2 3" xfId="34006" xr:uid="{61515C2D-4476-4D99-B037-F04E1F447186}"/>
    <cellStyle name="Normal 9 3 3 2 5 2 2 4" xfId="17134" xr:uid="{D2879859-03BC-4183-AB7B-CCAB3AF424E5}"/>
    <cellStyle name="Normal 9 3 3 2 5 2 3" xfId="21354" xr:uid="{C3064437-D194-4E23-B14F-3BF83083C7D7}"/>
    <cellStyle name="Normal 9 3 3 2 5 2 4" xfId="29789" xr:uid="{BCF584BB-D1EC-4BE7-AAA2-CCA9EC0D3935}"/>
    <cellStyle name="Normal 9 3 3 2 5 2 5" xfId="12916" xr:uid="{55CA9CBB-F457-448C-8A8D-8C9CE913DC04}"/>
    <cellStyle name="Normal 9 3 3 2 5 3" xfId="6550" xr:uid="{00000000-0005-0000-0000-00000B200000}"/>
    <cellStyle name="Normal 9 3 3 2 5 3 2" xfId="23427" xr:uid="{77440F4C-8701-4A72-AFA7-ECB829114A64}"/>
    <cellStyle name="Normal 9 3 3 2 5 3 3" xfId="31861" xr:uid="{B19089C8-AB91-4F51-9773-7004DA2C378E}"/>
    <cellStyle name="Normal 9 3 3 2 5 3 4" xfId="14989" xr:uid="{18A214ED-598E-4B07-8AC3-D3512E2463EB}"/>
    <cellStyle name="Normal 9 3 3 2 5 4" xfId="19209" xr:uid="{A2C359FF-3289-4052-BB70-D0E23D238C2B}"/>
    <cellStyle name="Normal 9 3 3 2 5 5" xfId="27644" xr:uid="{C908DBC4-8C37-4F02-801E-33A73A1CE390}"/>
    <cellStyle name="Normal 9 3 3 2 5 6" xfId="10771" xr:uid="{9BF6F381-7E13-4669-92ED-92D9D795150F}"/>
    <cellStyle name="Normal 9 3 3 2 6" xfId="2679" xr:uid="{00000000-0005-0000-0000-00000C200000}"/>
    <cellStyle name="Normal 9 3 3 2 6 2" xfId="6963" xr:uid="{00000000-0005-0000-0000-00000D200000}"/>
    <cellStyle name="Normal 9 3 3 2 6 2 2" xfId="23840" xr:uid="{873C5F22-ABF3-4590-A8D6-1734EF207235}"/>
    <cellStyle name="Normal 9 3 3 2 6 2 3" xfId="32274" xr:uid="{CC3334C1-ECA5-4229-B9B1-F7FC99AE0420}"/>
    <cellStyle name="Normal 9 3 3 2 6 2 4" xfId="15402" xr:uid="{E078FAA4-1A5D-4EFA-B572-056CE48D5ABE}"/>
    <cellStyle name="Normal 9 3 3 2 6 3" xfId="19622" xr:uid="{30C4AA65-100E-43B3-8707-95AE81C14D7D}"/>
    <cellStyle name="Normal 9 3 3 2 6 4" xfId="28057" xr:uid="{3C7C1F90-ACA5-4AF5-BF57-6BF980D97F44}"/>
    <cellStyle name="Normal 9 3 3 2 6 5" xfId="11184" xr:uid="{4D81C912-6D83-45CD-B4E5-E6B1698043E8}"/>
    <cellStyle name="Normal 9 3 3 2 7" xfId="4898" xr:uid="{00000000-0005-0000-0000-00000E200000}"/>
    <cellStyle name="Normal 9 3 3 2 7 2" xfId="21775" xr:uid="{243FBB26-B22C-46DB-9A25-1DE797F4FEC7}"/>
    <cellStyle name="Normal 9 3 3 2 7 3" xfId="30209" xr:uid="{39709E66-BEF4-4066-849F-10BF97F6AF0B}"/>
    <cellStyle name="Normal 9 3 3 2 7 4" xfId="13337" xr:uid="{9F3FCB28-CCFC-4700-9226-A2617B03B718}"/>
    <cellStyle name="Normal 9 3 3 2 8" xfId="17557" xr:uid="{289E7E3C-AB17-4E1F-88B1-43841B21A124}"/>
    <cellStyle name="Normal 9 3 3 2 9" xfId="25992" xr:uid="{C53BF137-0828-400A-93DF-AE738DD56C84}"/>
    <cellStyle name="Normal 9 3 3 3" xfId="999" xr:uid="{00000000-0005-0000-0000-00000F200000}"/>
    <cellStyle name="Normal 9 3 3 3 2" xfId="3232" xr:uid="{00000000-0005-0000-0000-000010200000}"/>
    <cellStyle name="Normal 9 3 3 3 2 2" xfId="7455" xr:uid="{00000000-0005-0000-0000-000011200000}"/>
    <cellStyle name="Normal 9 3 3 3 2 2 2" xfId="24332" xr:uid="{33F69CE6-1C4B-4F26-BB25-71879F8AA30D}"/>
    <cellStyle name="Normal 9 3 3 3 2 2 3" xfId="32766" xr:uid="{87F32213-E028-4FF0-81DD-926059096CA1}"/>
    <cellStyle name="Normal 9 3 3 3 2 2 4" xfId="15894" xr:uid="{6A88E1D4-7002-4B9C-BDD2-A23EB0F71FFE}"/>
    <cellStyle name="Normal 9 3 3 3 2 3" xfId="20114" xr:uid="{05AF2909-5AAC-492C-8AFE-93D895B05563}"/>
    <cellStyle name="Normal 9 3 3 3 2 4" xfId="28549" xr:uid="{09C058E0-4315-4A5D-B925-56818027CB64}"/>
    <cellStyle name="Normal 9 3 3 3 2 5" xfId="11676" xr:uid="{8E8C79BA-B0AC-43BE-9E2F-6007D55131E9}"/>
    <cellStyle name="Normal 9 3 3 3 3" xfId="5310" xr:uid="{00000000-0005-0000-0000-000012200000}"/>
    <cellStyle name="Normal 9 3 3 3 3 2" xfId="22187" xr:uid="{242B779F-71FA-4B5E-A629-36008F122957}"/>
    <cellStyle name="Normal 9 3 3 3 3 3" xfId="30621" xr:uid="{D2F9865D-D6FB-40CC-9B20-BD5489DC92F1}"/>
    <cellStyle name="Normal 9 3 3 3 3 4" xfId="13749" xr:uid="{87D91BBA-40D7-4C67-8386-EB5FA9BAD8CA}"/>
    <cellStyle name="Normal 9 3 3 3 4" xfId="17969" xr:uid="{70D68AF3-079A-4D10-A824-D36FDF81F2ED}"/>
    <cellStyle name="Normal 9 3 3 3 5" xfId="26404" xr:uid="{2D1B1381-343F-4CAE-944A-24030BF0AC82}"/>
    <cellStyle name="Normal 9 3 3 3 6" xfId="9531" xr:uid="{06CF4AF6-FCA4-45F5-8854-AACC7CF5BEA1}"/>
    <cellStyle name="Normal 9 3 3 4" xfId="1415" xr:uid="{00000000-0005-0000-0000-000013200000}"/>
    <cellStyle name="Normal 9 3 3 4 2" xfId="3645" xr:uid="{00000000-0005-0000-0000-000014200000}"/>
    <cellStyle name="Normal 9 3 3 4 2 2" xfId="7868" xr:uid="{00000000-0005-0000-0000-000015200000}"/>
    <cellStyle name="Normal 9 3 3 4 2 2 2" xfId="24745" xr:uid="{E00416F6-7D05-42B6-A00D-981512F47130}"/>
    <cellStyle name="Normal 9 3 3 4 2 2 3" xfId="33179" xr:uid="{1F62E06E-7E90-4532-859F-EC0845BBF7D6}"/>
    <cellStyle name="Normal 9 3 3 4 2 2 4" xfId="16307" xr:uid="{E6856D88-28D0-4E4C-95BA-B7AF60B58384}"/>
    <cellStyle name="Normal 9 3 3 4 2 3" xfId="20527" xr:uid="{5C4D02F2-AD40-48BE-8C57-E445E9B42394}"/>
    <cellStyle name="Normal 9 3 3 4 2 4" xfId="28962" xr:uid="{3DA84720-2544-42B1-B93F-DCB02AD0620A}"/>
    <cellStyle name="Normal 9 3 3 4 2 5" xfId="12089" xr:uid="{E1CF97BD-0E4E-4488-9576-897FA8495BD2}"/>
    <cellStyle name="Normal 9 3 3 4 3" xfId="5723" xr:uid="{00000000-0005-0000-0000-000016200000}"/>
    <cellStyle name="Normal 9 3 3 4 3 2" xfId="22600" xr:uid="{25B11E01-78CB-4617-9733-CEAB20E7DC2B}"/>
    <cellStyle name="Normal 9 3 3 4 3 3" xfId="31034" xr:uid="{73161919-AACC-4872-8119-43DAC3AC0555}"/>
    <cellStyle name="Normal 9 3 3 4 3 4" xfId="14162" xr:uid="{FC32F9EC-B95D-403F-82C0-C76F822DCBEC}"/>
    <cellStyle name="Normal 9 3 3 4 4" xfId="18382" xr:uid="{1F341428-F43F-48BF-88D2-54B4712FDE9C}"/>
    <cellStyle name="Normal 9 3 3 4 5" xfId="26817" xr:uid="{F4BCF1F9-E980-4FA6-B1B6-54E087154F0F}"/>
    <cellStyle name="Normal 9 3 3 4 6" xfId="9944" xr:uid="{20F7096B-B552-41C1-A63B-6BB9D2DE40D5}"/>
    <cellStyle name="Normal 9 3 3 5" xfId="1828" xr:uid="{00000000-0005-0000-0000-000017200000}"/>
    <cellStyle name="Normal 9 3 3 5 2" xfId="4058" xr:uid="{00000000-0005-0000-0000-000018200000}"/>
    <cellStyle name="Normal 9 3 3 5 2 2" xfId="8281" xr:uid="{00000000-0005-0000-0000-000019200000}"/>
    <cellStyle name="Normal 9 3 3 5 2 2 2" xfId="25158" xr:uid="{526C65AB-EFF9-4128-9E7A-0D795AF69551}"/>
    <cellStyle name="Normal 9 3 3 5 2 2 3" xfId="33592" xr:uid="{8D3F3699-A6CA-4853-A86D-AC3A39A07D1B}"/>
    <cellStyle name="Normal 9 3 3 5 2 2 4" xfId="16720" xr:uid="{171E6C91-383C-419D-AE23-09C467FEC25E}"/>
    <cellStyle name="Normal 9 3 3 5 2 3" xfId="20940" xr:uid="{21855FCD-8447-4E23-9474-73A7EA3179C8}"/>
    <cellStyle name="Normal 9 3 3 5 2 4" xfId="29375" xr:uid="{BB8CA472-048E-420C-974E-2A8AED65B5AC}"/>
    <cellStyle name="Normal 9 3 3 5 2 5" xfId="12502" xr:uid="{1342DDD0-B2CB-4222-BC0E-19117AA6119F}"/>
    <cellStyle name="Normal 9 3 3 5 3" xfId="6136" xr:uid="{00000000-0005-0000-0000-00001A200000}"/>
    <cellStyle name="Normal 9 3 3 5 3 2" xfId="23013" xr:uid="{7AB05B18-B366-45C3-B3D9-564F716C304A}"/>
    <cellStyle name="Normal 9 3 3 5 3 3" xfId="31447" xr:uid="{9B9D2339-419A-4606-B55C-6CC3A428399D}"/>
    <cellStyle name="Normal 9 3 3 5 3 4" xfId="14575" xr:uid="{DE5A5C8C-7DA4-46E1-A036-A493416755EA}"/>
    <cellStyle name="Normal 9 3 3 5 4" xfId="18795" xr:uid="{A94D270C-E8A5-496D-A9FE-53B7F614FCE2}"/>
    <cellStyle name="Normal 9 3 3 5 5" xfId="27230" xr:uid="{4428D883-7FA8-4DE2-826F-9E3FAAE40EA7}"/>
    <cellStyle name="Normal 9 3 3 5 6" xfId="10357" xr:uid="{2108F7B0-F672-4D99-B026-9475396080C8}"/>
    <cellStyle name="Normal 9 3 3 6" xfId="2242" xr:uid="{00000000-0005-0000-0000-00001B200000}"/>
    <cellStyle name="Normal 9 3 3 6 2" xfId="4471" xr:uid="{00000000-0005-0000-0000-00001C200000}"/>
    <cellStyle name="Normal 9 3 3 6 2 2" xfId="8694" xr:uid="{00000000-0005-0000-0000-00001D200000}"/>
    <cellStyle name="Normal 9 3 3 6 2 2 2" xfId="25571" xr:uid="{25082086-8F3B-4A40-BE45-AF63BC670C0F}"/>
    <cellStyle name="Normal 9 3 3 6 2 2 3" xfId="34005" xr:uid="{246C2F4A-53E2-4A21-ADF5-F402352343BC}"/>
    <cellStyle name="Normal 9 3 3 6 2 2 4" xfId="17133" xr:uid="{B97A656B-0DDD-4CD0-9F81-D108EF61311D}"/>
    <cellStyle name="Normal 9 3 3 6 2 3" xfId="21353" xr:uid="{0A94CDCA-757F-4F3B-8880-6F70BC09E370}"/>
    <cellStyle name="Normal 9 3 3 6 2 4" xfId="29788" xr:uid="{C1BAA079-2ACD-43B8-824E-4CA69CCA230F}"/>
    <cellStyle name="Normal 9 3 3 6 2 5" xfId="12915" xr:uid="{97BE1169-7C01-4AA1-A6D9-F7AB50B6C313}"/>
    <cellStyle name="Normal 9 3 3 6 3" xfId="6549" xr:uid="{00000000-0005-0000-0000-00001E200000}"/>
    <cellStyle name="Normal 9 3 3 6 3 2" xfId="23426" xr:uid="{B1357ACA-93B6-49B2-90C8-D0E6FC536185}"/>
    <cellStyle name="Normal 9 3 3 6 3 3" xfId="31860" xr:uid="{33E20B31-F26C-421A-8F91-CFA6B9C36725}"/>
    <cellStyle name="Normal 9 3 3 6 3 4" xfId="14988" xr:uid="{5C9C693B-EE09-4CCF-82E9-918A88A2BA8F}"/>
    <cellStyle name="Normal 9 3 3 6 4" xfId="19208" xr:uid="{8A56FCC9-EA39-4FB6-B9AD-9947B731EB90}"/>
    <cellStyle name="Normal 9 3 3 6 5" xfId="27643" xr:uid="{4308720D-5C3A-4881-B40E-15C27391E825}"/>
    <cellStyle name="Normal 9 3 3 6 6" xfId="10770" xr:uid="{877A2FE6-7054-4780-88CD-DF58803CEDA4}"/>
    <cellStyle name="Normal 9 3 3 7" xfId="2678" xr:uid="{00000000-0005-0000-0000-00001F200000}"/>
    <cellStyle name="Normal 9 3 3 7 2" xfId="6962" xr:uid="{00000000-0005-0000-0000-000020200000}"/>
    <cellStyle name="Normal 9 3 3 7 2 2" xfId="23839" xr:uid="{E6648634-DD88-45DE-ACAB-6EA7DA96884E}"/>
    <cellStyle name="Normal 9 3 3 7 2 3" xfId="32273" xr:uid="{D905335D-4D3C-4827-88ED-53E9D2CDB197}"/>
    <cellStyle name="Normal 9 3 3 7 2 4" xfId="15401" xr:uid="{D890DBB4-FB24-4698-AD58-B1FF5F0E55D6}"/>
    <cellStyle name="Normal 9 3 3 7 3" xfId="19621" xr:uid="{D4CF2C24-FDE3-4433-9691-7C841A7BBDFB}"/>
    <cellStyle name="Normal 9 3 3 7 4" xfId="28056" xr:uid="{477F0F58-3DAF-45EC-80AF-89B684055464}"/>
    <cellStyle name="Normal 9 3 3 7 5" xfId="11183" xr:uid="{07E0273B-CE2B-4EE9-BB4E-F6C70D28D6CC}"/>
    <cellStyle name="Normal 9 3 3 8" xfId="4897" xr:uid="{00000000-0005-0000-0000-000021200000}"/>
    <cellStyle name="Normal 9 3 3 8 2" xfId="21774" xr:uid="{60001DC2-F6C3-4C6C-9852-89702AA6026A}"/>
    <cellStyle name="Normal 9 3 3 8 3" xfId="30208" xr:uid="{6EE1C416-76B7-4BAE-B7BA-4F1A69EC6893}"/>
    <cellStyle name="Normal 9 3 3 8 4" xfId="13336" xr:uid="{70084A1F-3464-4CB0-9F76-2CA38DABB7E5}"/>
    <cellStyle name="Normal 9 3 3 9" xfId="17556" xr:uid="{05D3A968-49E8-4D21-AE56-EEE37CECC12B}"/>
    <cellStyle name="Normal 9 3 4" xfId="534" xr:uid="{00000000-0005-0000-0000-000022200000}"/>
    <cellStyle name="Normal 9 3 4 10" xfId="9120" xr:uid="{406BC8AA-7D07-45D4-B99E-10222FA91E1F}"/>
    <cellStyle name="Normal 9 3 4 2" xfId="1001" xr:uid="{00000000-0005-0000-0000-000023200000}"/>
    <cellStyle name="Normal 9 3 4 2 2" xfId="3234" xr:uid="{00000000-0005-0000-0000-000024200000}"/>
    <cellStyle name="Normal 9 3 4 2 2 2" xfId="7457" xr:uid="{00000000-0005-0000-0000-000025200000}"/>
    <cellStyle name="Normal 9 3 4 2 2 2 2" xfId="24334" xr:uid="{5AF02AB9-4B43-49C9-9D91-DDCC7C1DEE06}"/>
    <cellStyle name="Normal 9 3 4 2 2 2 3" xfId="32768" xr:uid="{9CD73D5D-70E3-48FD-8DA1-E08DCB808877}"/>
    <cellStyle name="Normal 9 3 4 2 2 2 4" xfId="15896" xr:uid="{4B44144A-53AD-4D5A-B706-64E70642E275}"/>
    <cellStyle name="Normal 9 3 4 2 2 3" xfId="20116" xr:uid="{3F37C971-DAFF-4E1F-BD8A-95716C42DB45}"/>
    <cellStyle name="Normal 9 3 4 2 2 4" xfId="28551" xr:uid="{F561A52F-ABE3-4710-8D39-227245FCAE82}"/>
    <cellStyle name="Normal 9 3 4 2 2 5" xfId="11678" xr:uid="{53D025BF-CCA2-4A81-B143-8FF8ACAA53BF}"/>
    <cellStyle name="Normal 9 3 4 2 3" xfId="5312" xr:uid="{00000000-0005-0000-0000-000026200000}"/>
    <cellStyle name="Normal 9 3 4 2 3 2" xfId="22189" xr:uid="{19A9DD82-52F6-466C-A4A1-59BC366BDFF4}"/>
    <cellStyle name="Normal 9 3 4 2 3 3" xfId="30623" xr:uid="{1389CBEA-DAC2-4970-BC5B-3A97530E044F}"/>
    <cellStyle name="Normal 9 3 4 2 3 4" xfId="13751" xr:uid="{249ECF58-C7C2-4A50-B9C8-FA0D0F7BA418}"/>
    <cellStyle name="Normal 9 3 4 2 4" xfId="17971" xr:uid="{8C443CEB-A1C6-4541-8B97-C5C7204BFE2F}"/>
    <cellStyle name="Normal 9 3 4 2 5" xfId="26406" xr:uid="{E316302E-AF34-4B7B-BD07-70121799B3F6}"/>
    <cellStyle name="Normal 9 3 4 2 6" xfId="9533" xr:uid="{C978BB9C-292C-40E3-9A85-60639FBEC86E}"/>
    <cellStyle name="Normal 9 3 4 3" xfId="1417" xr:uid="{00000000-0005-0000-0000-000027200000}"/>
    <cellStyle name="Normal 9 3 4 3 2" xfId="3647" xr:uid="{00000000-0005-0000-0000-000028200000}"/>
    <cellStyle name="Normal 9 3 4 3 2 2" xfId="7870" xr:uid="{00000000-0005-0000-0000-000029200000}"/>
    <cellStyle name="Normal 9 3 4 3 2 2 2" xfId="24747" xr:uid="{D5772164-AC8F-48B1-9C46-7BB0A0E21174}"/>
    <cellStyle name="Normal 9 3 4 3 2 2 3" xfId="33181" xr:uid="{8418CC65-085F-4DC3-9F88-8313690F4289}"/>
    <cellStyle name="Normal 9 3 4 3 2 2 4" xfId="16309" xr:uid="{6D49E221-1AE5-4ADB-B1F6-D9F3A545C7DA}"/>
    <cellStyle name="Normal 9 3 4 3 2 3" xfId="20529" xr:uid="{412AF101-8E1A-498A-BE75-C500E18A71C0}"/>
    <cellStyle name="Normal 9 3 4 3 2 4" xfId="28964" xr:uid="{28EDBFBB-5AEE-4548-B975-E8F6FE7A82D4}"/>
    <cellStyle name="Normal 9 3 4 3 2 5" xfId="12091" xr:uid="{E351A1D4-3C73-48F6-AD81-AB724D664E0E}"/>
    <cellStyle name="Normal 9 3 4 3 3" xfId="5725" xr:uid="{00000000-0005-0000-0000-00002A200000}"/>
    <cellStyle name="Normal 9 3 4 3 3 2" xfId="22602" xr:uid="{0713D65A-887B-4814-AEE0-DFF34E0908F7}"/>
    <cellStyle name="Normal 9 3 4 3 3 3" xfId="31036" xr:uid="{033692CF-082D-440E-A5CE-266A92206707}"/>
    <cellStyle name="Normal 9 3 4 3 3 4" xfId="14164" xr:uid="{4F2D04E3-CB74-4E65-9163-4176F63B9AB7}"/>
    <cellStyle name="Normal 9 3 4 3 4" xfId="18384" xr:uid="{6DB47BD4-5EFD-4F9C-99AE-1F2BC9042B0D}"/>
    <cellStyle name="Normal 9 3 4 3 5" xfId="26819" xr:uid="{FE04E0B3-CD4F-4F32-9F3D-71DD9E39A485}"/>
    <cellStyle name="Normal 9 3 4 3 6" xfId="9946" xr:uid="{C378AC7D-91E8-4FCB-BDE7-D7F4AE91176A}"/>
    <cellStyle name="Normal 9 3 4 4" xfId="1830" xr:uid="{00000000-0005-0000-0000-00002B200000}"/>
    <cellStyle name="Normal 9 3 4 4 2" xfId="4060" xr:uid="{00000000-0005-0000-0000-00002C200000}"/>
    <cellStyle name="Normal 9 3 4 4 2 2" xfId="8283" xr:uid="{00000000-0005-0000-0000-00002D200000}"/>
    <cellStyle name="Normal 9 3 4 4 2 2 2" xfId="25160" xr:uid="{B4FFDC52-F669-43E8-9BB3-052A5951F7C9}"/>
    <cellStyle name="Normal 9 3 4 4 2 2 3" xfId="33594" xr:uid="{98414545-A874-405A-B83F-6ABA955DE7AC}"/>
    <cellStyle name="Normal 9 3 4 4 2 2 4" xfId="16722" xr:uid="{D3BF53B9-254C-4FF1-8AE1-BA222B2050D8}"/>
    <cellStyle name="Normal 9 3 4 4 2 3" xfId="20942" xr:uid="{6613E4B0-DA38-4845-AF4D-F4341904BDC5}"/>
    <cellStyle name="Normal 9 3 4 4 2 4" xfId="29377" xr:uid="{A5C04E26-F61A-4DAE-AEC2-C70A2DA18FAE}"/>
    <cellStyle name="Normal 9 3 4 4 2 5" xfId="12504" xr:uid="{EA71C802-B684-49F3-9725-81B8A63C77B0}"/>
    <cellStyle name="Normal 9 3 4 4 3" xfId="6138" xr:uid="{00000000-0005-0000-0000-00002E200000}"/>
    <cellStyle name="Normal 9 3 4 4 3 2" xfId="23015" xr:uid="{2CEF3CC1-B3A2-4BA8-A881-C95D8AFEE3A6}"/>
    <cellStyle name="Normal 9 3 4 4 3 3" xfId="31449" xr:uid="{0ABA8BC5-95EB-41FA-B9E3-9681273F5A98}"/>
    <cellStyle name="Normal 9 3 4 4 3 4" xfId="14577" xr:uid="{F6752A93-EB21-4984-8095-471C5B3D50B6}"/>
    <cellStyle name="Normal 9 3 4 4 4" xfId="18797" xr:uid="{04125C2A-E9F5-4F8B-B0E4-6B7C2C6C10E2}"/>
    <cellStyle name="Normal 9 3 4 4 5" xfId="27232" xr:uid="{66E71F30-C436-4A45-95C3-7B95D72619CE}"/>
    <cellStyle name="Normal 9 3 4 4 6" xfId="10359" xr:uid="{AC091543-8DA3-4459-9736-C1B8F1A6FEE3}"/>
    <cellStyle name="Normal 9 3 4 5" xfId="2244" xr:uid="{00000000-0005-0000-0000-00002F200000}"/>
    <cellStyle name="Normal 9 3 4 5 2" xfId="4473" xr:uid="{00000000-0005-0000-0000-000030200000}"/>
    <cellStyle name="Normal 9 3 4 5 2 2" xfId="8696" xr:uid="{00000000-0005-0000-0000-000031200000}"/>
    <cellStyle name="Normal 9 3 4 5 2 2 2" xfId="25573" xr:uid="{C12386ED-9B8E-4991-AAEF-E9AD1B111EA9}"/>
    <cellStyle name="Normal 9 3 4 5 2 2 3" xfId="34007" xr:uid="{9EE619DD-7DE1-4862-AC36-8A8409A615E9}"/>
    <cellStyle name="Normal 9 3 4 5 2 2 4" xfId="17135" xr:uid="{D4D205C4-C1EE-4243-90F8-D1F385EE78B7}"/>
    <cellStyle name="Normal 9 3 4 5 2 3" xfId="21355" xr:uid="{66FD315E-C30F-4EB4-859F-0057BB92270F}"/>
    <cellStyle name="Normal 9 3 4 5 2 4" xfId="29790" xr:uid="{BFC5FACB-A19B-4CB6-BDC4-9A556EC3271B}"/>
    <cellStyle name="Normal 9 3 4 5 2 5" xfId="12917" xr:uid="{3AD079C5-D0CC-4AB3-B33F-F66D42751147}"/>
    <cellStyle name="Normal 9 3 4 5 3" xfId="6551" xr:uid="{00000000-0005-0000-0000-000032200000}"/>
    <cellStyle name="Normal 9 3 4 5 3 2" xfId="23428" xr:uid="{5CD6B150-0D09-447A-BBD8-A777D6A59F4A}"/>
    <cellStyle name="Normal 9 3 4 5 3 3" xfId="31862" xr:uid="{B7CAA584-6A0E-4ECE-BB2E-2E48862ECDAE}"/>
    <cellStyle name="Normal 9 3 4 5 3 4" xfId="14990" xr:uid="{94D2796A-A2C9-4262-8263-BF48E6DEFA8E}"/>
    <cellStyle name="Normal 9 3 4 5 4" xfId="19210" xr:uid="{4DC80723-6FAB-43F0-A480-5D078EAAE004}"/>
    <cellStyle name="Normal 9 3 4 5 5" xfId="27645" xr:uid="{68B0FCFD-9A88-408E-BE13-6AC3E1034CE8}"/>
    <cellStyle name="Normal 9 3 4 5 6" xfId="10772" xr:uid="{AEB7DB94-C9E4-427C-9EF8-9CC1FB88C7BB}"/>
    <cellStyle name="Normal 9 3 4 6" xfId="2680" xr:uid="{00000000-0005-0000-0000-000033200000}"/>
    <cellStyle name="Normal 9 3 4 6 2" xfId="6964" xr:uid="{00000000-0005-0000-0000-000034200000}"/>
    <cellStyle name="Normal 9 3 4 6 2 2" xfId="23841" xr:uid="{9C7B5F38-735B-41F1-AB86-7743C18577D4}"/>
    <cellStyle name="Normal 9 3 4 6 2 3" xfId="32275" xr:uid="{57D7B3B8-316A-4155-89EA-9CC294AD634F}"/>
    <cellStyle name="Normal 9 3 4 6 2 4" xfId="15403" xr:uid="{359CD38D-AECE-44CC-B086-2E39B693029A}"/>
    <cellStyle name="Normal 9 3 4 6 3" xfId="19623" xr:uid="{86B5B975-FBF2-4F8C-8EDD-AA63E11C1F4C}"/>
    <cellStyle name="Normal 9 3 4 6 4" xfId="28058" xr:uid="{E03D863B-DCF6-46DB-B160-00B5BB2F906A}"/>
    <cellStyle name="Normal 9 3 4 6 5" xfId="11185" xr:uid="{F7C7F4F6-E54E-44EB-9886-8836082C0643}"/>
    <cellStyle name="Normal 9 3 4 7" xfId="4899" xr:uid="{00000000-0005-0000-0000-000035200000}"/>
    <cellStyle name="Normal 9 3 4 7 2" xfId="21776" xr:uid="{CD2E6CE6-4C9B-4063-B9F2-FA21F72E93F8}"/>
    <cellStyle name="Normal 9 3 4 7 3" xfId="30210" xr:uid="{3ACCF35B-1567-41AE-80A6-444CC4A700B2}"/>
    <cellStyle name="Normal 9 3 4 7 4" xfId="13338" xr:uid="{0EC34BDC-0ED8-4FC7-8DC5-5376EBC0476B}"/>
    <cellStyle name="Normal 9 3 4 8" xfId="17558" xr:uid="{0BC282C4-BC6C-4171-BB0E-5C5F8E272079}"/>
    <cellStyle name="Normal 9 3 4 9" xfId="25993" xr:uid="{435494FA-AEB2-437A-A577-A6C7CE9108F5}"/>
    <cellStyle name="Normal 9 3 5" xfId="994" xr:uid="{00000000-0005-0000-0000-000036200000}"/>
    <cellStyle name="Normal 9 3 5 2" xfId="3227" xr:uid="{00000000-0005-0000-0000-000037200000}"/>
    <cellStyle name="Normal 9 3 5 2 2" xfId="7450" xr:uid="{00000000-0005-0000-0000-000038200000}"/>
    <cellStyle name="Normal 9 3 5 2 2 2" xfId="24327" xr:uid="{44F0FB8D-A740-4C74-8A81-ACC59E5A9954}"/>
    <cellStyle name="Normal 9 3 5 2 2 3" xfId="32761" xr:uid="{97A07710-9534-45A1-AE4B-BC606556B374}"/>
    <cellStyle name="Normal 9 3 5 2 2 4" xfId="15889" xr:uid="{DD1A1B88-23BD-4EB4-A1A3-B86B37DC81F3}"/>
    <cellStyle name="Normal 9 3 5 2 3" xfId="20109" xr:uid="{60FDD50E-D3E2-4789-86E5-99DDB508AE60}"/>
    <cellStyle name="Normal 9 3 5 2 4" xfId="28544" xr:uid="{5AAF44B8-D8AE-42EA-B172-22E188B34AC0}"/>
    <cellStyle name="Normal 9 3 5 2 5" xfId="11671" xr:uid="{AAB0218A-B84A-4F09-A871-0263FE322358}"/>
    <cellStyle name="Normal 9 3 5 3" xfId="5305" xr:uid="{00000000-0005-0000-0000-000039200000}"/>
    <cellStyle name="Normal 9 3 5 3 2" xfId="22182" xr:uid="{6890CB6D-70E9-4775-AF32-0D1566B2B9FA}"/>
    <cellStyle name="Normal 9 3 5 3 3" xfId="30616" xr:uid="{CF4448C3-CB1A-4589-A9F9-F795BFED21A8}"/>
    <cellStyle name="Normal 9 3 5 3 4" xfId="13744" xr:uid="{0D036F2E-A83C-4AB2-98B9-0FF3F56C52E8}"/>
    <cellStyle name="Normal 9 3 5 4" xfId="17964" xr:uid="{A92CDCB7-3E30-4B13-A95E-EC57F1FE63EC}"/>
    <cellStyle name="Normal 9 3 5 5" xfId="26399" xr:uid="{5AE31648-8A1C-42D5-A2AF-F546081C449E}"/>
    <cellStyle name="Normal 9 3 5 6" xfId="9526" xr:uid="{134A071B-8B6D-4198-B307-A84800C3A44D}"/>
    <cellStyle name="Normal 9 3 6" xfId="1410" xr:uid="{00000000-0005-0000-0000-00003A200000}"/>
    <cellStyle name="Normal 9 3 6 2" xfId="3640" xr:uid="{00000000-0005-0000-0000-00003B200000}"/>
    <cellStyle name="Normal 9 3 6 2 2" xfId="7863" xr:uid="{00000000-0005-0000-0000-00003C200000}"/>
    <cellStyle name="Normal 9 3 6 2 2 2" xfId="24740" xr:uid="{4BF2E3CC-76E5-47C9-BF0B-43042C7B99EE}"/>
    <cellStyle name="Normal 9 3 6 2 2 3" xfId="33174" xr:uid="{4B615A12-11AA-4274-927F-FA91F8CE92EA}"/>
    <cellStyle name="Normal 9 3 6 2 2 4" xfId="16302" xr:uid="{2182A7A4-159C-4EF1-BA41-6B3527132E89}"/>
    <cellStyle name="Normal 9 3 6 2 3" xfId="20522" xr:uid="{1CF098A6-BDE7-49FC-82FA-BB10486142F6}"/>
    <cellStyle name="Normal 9 3 6 2 4" xfId="28957" xr:uid="{F72C1E13-CF08-469E-901D-70D30ACC7CC8}"/>
    <cellStyle name="Normal 9 3 6 2 5" xfId="12084" xr:uid="{031444E1-D3FC-458C-BAE5-8BB98F55F46F}"/>
    <cellStyle name="Normal 9 3 6 3" xfId="5718" xr:uid="{00000000-0005-0000-0000-00003D200000}"/>
    <cellStyle name="Normal 9 3 6 3 2" xfId="22595" xr:uid="{B92F0446-E15B-4F91-83FD-E57B26067D68}"/>
    <cellStyle name="Normal 9 3 6 3 3" xfId="31029" xr:uid="{225A7DBB-A9F2-48C7-88CD-8DC50FBFC83D}"/>
    <cellStyle name="Normal 9 3 6 3 4" xfId="14157" xr:uid="{618EE2A0-3640-4582-8859-C66708EF6536}"/>
    <cellStyle name="Normal 9 3 6 4" xfId="18377" xr:uid="{B25B79A4-F208-493A-9D8E-EF7545F34E5D}"/>
    <cellStyle name="Normal 9 3 6 5" xfId="26812" xr:uid="{70E2AECE-59FC-49FB-A0A2-649EF8C2F4AE}"/>
    <cellStyle name="Normal 9 3 6 6" xfId="9939" xr:uid="{C130C952-8A4B-4EB1-A476-42F6D76C5B11}"/>
    <cellStyle name="Normal 9 3 7" xfId="1823" xr:uid="{00000000-0005-0000-0000-00003E200000}"/>
    <cellStyle name="Normal 9 3 7 2" xfId="4053" xr:uid="{00000000-0005-0000-0000-00003F200000}"/>
    <cellStyle name="Normal 9 3 7 2 2" xfId="8276" xr:uid="{00000000-0005-0000-0000-000040200000}"/>
    <cellStyle name="Normal 9 3 7 2 2 2" xfId="25153" xr:uid="{8B76703D-BD6C-4B90-B120-43FCA3E457C9}"/>
    <cellStyle name="Normal 9 3 7 2 2 3" xfId="33587" xr:uid="{B5D23A9C-E9BB-4836-8A99-843835B1DC59}"/>
    <cellStyle name="Normal 9 3 7 2 2 4" xfId="16715" xr:uid="{159C4F0B-965D-439B-A313-880D65769D67}"/>
    <cellStyle name="Normal 9 3 7 2 3" xfId="20935" xr:uid="{46436B3A-2E8A-433B-ABF3-DD26DC4C5341}"/>
    <cellStyle name="Normal 9 3 7 2 4" xfId="29370" xr:uid="{3FDA8DD5-B97F-4C36-8BF2-0C66AFB678FF}"/>
    <cellStyle name="Normal 9 3 7 2 5" xfId="12497" xr:uid="{094EF344-D585-43AC-9E33-1E7112D717A5}"/>
    <cellStyle name="Normal 9 3 7 3" xfId="6131" xr:uid="{00000000-0005-0000-0000-000041200000}"/>
    <cellStyle name="Normal 9 3 7 3 2" xfId="23008" xr:uid="{58E568D0-0906-49E1-9C87-140C016D5F56}"/>
    <cellStyle name="Normal 9 3 7 3 3" xfId="31442" xr:uid="{C147B326-4F71-41D9-9731-446A0A31E9D9}"/>
    <cellStyle name="Normal 9 3 7 3 4" xfId="14570" xr:uid="{FED6B712-712B-4403-8E77-970A4B714760}"/>
    <cellStyle name="Normal 9 3 7 4" xfId="18790" xr:uid="{09475617-BD5C-4CDA-9097-F73E93C63820}"/>
    <cellStyle name="Normal 9 3 7 5" xfId="27225" xr:uid="{F4B80709-4CEA-4B3D-A994-44197823560B}"/>
    <cellStyle name="Normal 9 3 7 6" xfId="10352" xr:uid="{36A9A024-F16F-4DB4-80FE-5641EA37AC19}"/>
    <cellStyle name="Normal 9 3 8" xfId="2237" xr:uid="{00000000-0005-0000-0000-000042200000}"/>
    <cellStyle name="Normal 9 3 8 2" xfId="4466" xr:uid="{00000000-0005-0000-0000-000043200000}"/>
    <cellStyle name="Normal 9 3 8 2 2" xfId="8689" xr:uid="{00000000-0005-0000-0000-000044200000}"/>
    <cellStyle name="Normal 9 3 8 2 2 2" xfId="25566" xr:uid="{10E1F37B-C5D4-41C2-8947-AD450D301793}"/>
    <cellStyle name="Normal 9 3 8 2 2 3" xfId="34000" xr:uid="{3768EC53-9DAC-4B21-86D4-F768E39C3D96}"/>
    <cellStyle name="Normal 9 3 8 2 2 4" xfId="17128" xr:uid="{8A07DDDA-D853-453C-8F83-9526D25C392C}"/>
    <cellStyle name="Normal 9 3 8 2 3" xfId="21348" xr:uid="{344E3E74-4765-4E69-9314-0AFCF1D0E82C}"/>
    <cellStyle name="Normal 9 3 8 2 4" xfId="29783" xr:uid="{7E8426C4-692F-4CCF-9E9B-99CB3EAF16D3}"/>
    <cellStyle name="Normal 9 3 8 2 5" xfId="12910" xr:uid="{0E2CC450-3B51-455B-B150-9766C401C74A}"/>
    <cellStyle name="Normal 9 3 8 3" xfId="6544" xr:uid="{00000000-0005-0000-0000-000045200000}"/>
    <cellStyle name="Normal 9 3 8 3 2" xfId="23421" xr:uid="{2AC3A994-7F7B-4F0B-B387-9B278BC2EC5C}"/>
    <cellStyle name="Normal 9 3 8 3 3" xfId="31855" xr:uid="{1BB9D938-0A36-42A6-8911-DBCD3386B67F}"/>
    <cellStyle name="Normal 9 3 8 3 4" xfId="14983" xr:uid="{A54CC2C3-EDDC-488A-8C63-D80D6D12919E}"/>
    <cellStyle name="Normal 9 3 8 4" xfId="19203" xr:uid="{694B8ADC-3912-4684-90D6-B7DF2388A0C9}"/>
    <cellStyle name="Normal 9 3 8 5" xfId="27638" xr:uid="{FAD9B40D-2D66-43E5-A187-2F77639FE483}"/>
    <cellStyle name="Normal 9 3 8 6" xfId="10765" xr:uid="{1EC3CFF2-BE20-47AF-B969-04885C2F797A}"/>
    <cellStyle name="Normal 9 3 9" xfId="2673" xr:uid="{00000000-0005-0000-0000-000046200000}"/>
    <cellStyle name="Normal 9 3 9 2" xfId="6957" xr:uid="{00000000-0005-0000-0000-000047200000}"/>
    <cellStyle name="Normal 9 3 9 2 2" xfId="23834" xr:uid="{BA7E7E63-85F0-4E90-BC63-8C12500D7CFE}"/>
    <cellStyle name="Normal 9 3 9 2 3" xfId="32268" xr:uid="{CF20F2E1-5ED4-4B7F-8981-6BDF7E80FBC8}"/>
    <cellStyle name="Normal 9 3 9 2 4" xfId="15396" xr:uid="{D28B6C8C-0560-49BA-96B9-4623B7291204}"/>
    <cellStyle name="Normal 9 3 9 3" xfId="19616" xr:uid="{C1935D94-D977-424C-A966-F8A3B44CF795}"/>
    <cellStyle name="Normal 9 3 9 4" xfId="28051" xr:uid="{1E17A1DA-C6E9-464F-A11B-CAFE97D6364C}"/>
    <cellStyle name="Normal 9 3 9 5" xfId="11178" xr:uid="{7EF2491F-16AF-4526-A787-6DA460EA15FF}"/>
    <cellStyle name="Normal 9 4" xfId="535" xr:uid="{00000000-0005-0000-0000-000048200000}"/>
    <cellStyle name="Normal 9 4 2" xfId="1002" xr:uid="{00000000-0005-0000-0000-000049200000}"/>
    <cellStyle name="Normal 9 5" xfId="536" xr:uid="{00000000-0005-0000-0000-00004A200000}"/>
    <cellStyle name="Normal 9 5 10" xfId="25994" xr:uid="{E9272BE0-D29D-4404-9BB2-F10883605038}"/>
    <cellStyle name="Normal 9 5 11" xfId="9121" xr:uid="{85E738C2-B080-4B92-9482-5B5B01ECB4EB}"/>
    <cellStyle name="Normal 9 5 2" xfId="537" xr:uid="{00000000-0005-0000-0000-00004B200000}"/>
    <cellStyle name="Normal 9 5 2 10" xfId="9122" xr:uid="{6AFC98D0-3578-44E4-A7E1-28F5165D86D1}"/>
    <cellStyle name="Normal 9 5 2 2" xfId="1004" xr:uid="{00000000-0005-0000-0000-00004C200000}"/>
    <cellStyle name="Normal 9 5 2 2 2" xfId="3236" xr:uid="{00000000-0005-0000-0000-00004D200000}"/>
    <cellStyle name="Normal 9 5 2 2 2 2" xfId="7459" xr:uid="{00000000-0005-0000-0000-00004E200000}"/>
    <cellStyle name="Normal 9 5 2 2 2 2 2" xfId="24336" xr:uid="{748A9A88-9508-43DB-8C9F-2B6C4A8C0964}"/>
    <cellStyle name="Normal 9 5 2 2 2 2 3" xfId="32770" xr:uid="{319B5BD8-DA60-4F2A-8858-50B3668EE109}"/>
    <cellStyle name="Normal 9 5 2 2 2 2 4" xfId="15898" xr:uid="{64EBE82F-3828-48B1-864D-8B48D98BCEAF}"/>
    <cellStyle name="Normal 9 5 2 2 2 3" xfId="20118" xr:uid="{3556B993-7852-4239-88B7-607E9836D324}"/>
    <cellStyle name="Normal 9 5 2 2 2 4" xfId="28553" xr:uid="{3A3525D8-E865-499E-9AA7-4B0EE3026672}"/>
    <cellStyle name="Normal 9 5 2 2 2 5" xfId="11680" xr:uid="{FFF87CD6-958A-4677-9AC9-C6EEF41C82FF}"/>
    <cellStyle name="Normal 9 5 2 2 3" xfId="5314" xr:uid="{00000000-0005-0000-0000-00004F200000}"/>
    <cellStyle name="Normal 9 5 2 2 3 2" xfId="22191" xr:uid="{987D4589-5C5B-4595-B38A-7388C4A2957C}"/>
    <cellStyle name="Normal 9 5 2 2 3 3" xfId="30625" xr:uid="{752A3FEF-093A-4F1A-AF51-067C87F45439}"/>
    <cellStyle name="Normal 9 5 2 2 3 4" xfId="13753" xr:uid="{D77C1F62-774E-4FE0-A2A5-9FE01538E214}"/>
    <cellStyle name="Normal 9 5 2 2 4" xfId="17973" xr:uid="{167EE0FB-6C96-4DFD-8599-B1B2ACFD8A17}"/>
    <cellStyle name="Normal 9 5 2 2 5" xfId="26408" xr:uid="{EA736289-E597-4DDA-AFEF-51A25A355708}"/>
    <cellStyle name="Normal 9 5 2 2 6" xfId="9535" xr:uid="{FD887127-6DDF-44BF-97D0-A19413DB7E45}"/>
    <cellStyle name="Normal 9 5 2 3" xfId="1419" xr:uid="{00000000-0005-0000-0000-000050200000}"/>
    <cellStyle name="Normal 9 5 2 3 2" xfId="3649" xr:uid="{00000000-0005-0000-0000-000051200000}"/>
    <cellStyle name="Normal 9 5 2 3 2 2" xfId="7872" xr:uid="{00000000-0005-0000-0000-000052200000}"/>
    <cellStyle name="Normal 9 5 2 3 2 2 2" xfId="24749" xr:uid="{41F8B4F2-0EA2-441A-BD2C-EEC095007ACC}"/>
    <cellStyle name="Normal 9 5 2 3 2 2 3" xfId="33183" xr:uid="{3D8BF8C4-12AB-4B79-A1F0-0BE639BEC9A6}"/>
    <cellStyle name="Normal 9 5 2 3 2 2 4" xfId="16311" xr:uid="{0AFEF73A-E6EF-4867-8ACA-E44123633525}"/>
    <cellStyle name="Normal 9 5 2 3 2 3" xfId="20531" xr:uid="{A9F62DC3-9331-4263-B05A-E5748A2E2F28}"/>
    <cellStyle name="Normal 9 5 2 3 2 4" xfId="28966" xr:uid="{93B51073-3304-44D5-8947-3C958FB79C49}"/>
    <cellStyle name="Normal 9 5 2 3 2 5" xfId="12093" xr:uid="{7342A2C5-0CAE-4575-8A58-F2A1E8850667}"/>
    <cellStyle name="Normal 9 5 2 3 3" xfId="5727" xr:uid="{00000000-0005-0000-0000-000053200000}"/>
    <cellStyle name="Normal 9 5 2 3 3 2" xfId="22604" xr:uid="{9DCA25F1-6C60-4FDE-AB9C-478E6957EA1E}"/>
    <cellStyle name="Normal 9 5 2 3 3 3" xfId="31038" xr:uid="{02AE2342-9B7F-4316-B8FC-79C80166D32C}"/>
    <cellStyle name="Normal 9 5 2 3 3 4" xfId="14166" xr:uid="{FEEFC3E1-5B37-4A64-AF59-D944525D3E93}"/>
    <cellStyle name="Normal 9 5 2 3 4" xfId="18386" xr:uid="{34A97E2C-4BD8-40E0-ADAD-2C36DE57DD21}"/>
    <cellStyle name="Normal 9 5 2 3 5" xfId="26821" xr:uid="{1CA538F7-78A1-47C9-830F-3A36766D5064}"/>
    <cellStyle name="Normal 9 5 2 3 6" xfId="9948" xr:uid="{CDEF452A-A00D-482B-81DF-1EC730150A78}"/>
    <cellStyle name="Normal 9 5 2 4" xfId="1832" xr:uid="{00000000-0005-0000-0000-000054200000}"/>
    <cellStyle name="Normal 9 5 2 4 2" xfId="4062" xr:uid="{00000000-0005-0000-0000-000055200000}"/>
    <cellStyle name="Normal 9 5 2 4 2 2" xfId="8285" xr:uid="{00000000-0005-0000-0000-000056200000}"/>
    <cellStyle name="Normal 9 5 2 4 2 2 2" xfId="25162" xr:uid="{127B54AC-8250-4A01-A0B2-42DA90B208B8}"/>
    <cellStyle name="Normal 9 5 2 4 2 2 3" xfId="33596" xr:uid="{436A0969-4032-4337-B783-A3AF95DA6FE3}"/>
    <cellStyle name="Normal 9 5 2 4 2 2 4" xfId="16724" xr:uid="{928950B8-619A-4C0F-ACDC-2A9CE24CD793}"/>
    <cellStyle name="Normal 9 5 2 4 2 3" xfId="20944" xr:uid="{3D34604C-06D0-4C4B-B3A2-EE3F517237B8}"/>
    <cellStyle name="Normal 9 5 2 4 2 4" xfId="29379" xr:uid="{1C6FF2BF-67B8-4A65-BB63-04234FEE6201}"/>
    <cellStyle name="Normal 9 5 2 4 2 5" xfId="12506" xr:uid="{3C011707-A4B9-4B83-83D4-1402555CDE78}"/>
    <cellStyle name="Normal 9 5 2 4 3" xfId="6140" xr:uid="{00000000-0005-0000-0000-000057200000}"/>
    <cellStyle name="Normal 9 5 2 4 3 2" xfId="23017" xr:uid="{3E68DDB8-0357-47DB-A576-7B8916952C2B}"/>
    <cellStyle name="Normal 9 5 2 4 3 3" xfId="31451" xr:uid="{89446F36-0F72-4EFF-AE00-4B5D789177A0}"/>
    <cellStyle name="Normal 9 5 2 4 3 4" xfId="14579" xr:uid="{F72A2E1B-389C-4A4B-83CF-6A886402BBBE}"/>
    <cellStyle name="Normal 9 5 2 4 4" xfId="18799" xr:uid="{9C09BE77-04E8-4913-B935-4495FAD388F5}"/>
    <cellStyle name="Normal 9 5 2 4 5" xfId="27234" xr:uid="{DAEE4D44-4507-44B4-A0DC-39F71551F569}"/>
    <cellStyle name="Normal 9 5 2 4 6" xfId="10361" xr:uid="{BB23DA80-681C-4899-9EDD-D1EF167901BD}"/>
    <cellStyle name="Normal 9 5 2 5" xfId="2246" xr:uid="{00000000-0005-0000-0000-000058200000}"/>
    <cellStyle name="Normal 9 5 2 5 2" xfId="4475" xr:uid="{00000000-0005-0000-0000-000059200000}"/>
    <cellStyle name="Normal 9 5 2 5 2 2" xfId="8698" xr:uid="{00000000-0005-0000-0000-00005A200000}"/>
    <cellStyle name="Normal 9 5 2 5 2 2 2" xfId="25575" xr:uid="{72EED03F-3EF7-4A26-8BC0-BDD5299EAA64}"/>
    <cellStyle name="Normal 9 5 2 5 2 2 3" xfId="34009" xr:uid="{A8BE3644-73B8-430B-9124-027ADBB3E1C6}"/>
    <cellStyle name="Normal 9 5 2 5 2 2 4" xfId="17137" xr:uid="{C24AD4D0-FF49-49C0-837D-9FE9B59A851A}"/>
    <cellStyle name="Normal 9 5 2 5 2 3" xfId="21357" xr:uid="{1080F8A7-CACC-42DA-B6DE-3A1544C67146}"/>
    <cellStyle name="Normal 9 5 2 5 2 4" xfId="29792" xr:uid="{1D912136-D5D7-46F3-B33D-1B7548BA6675}"/>
    <cellStyle name="Normal 9 5 2 5 2 5" xfId="12919" xr:uid="{88F5AFAF-1147-45E1-BC83-76B082D9F2C1}"/>
    <cellStyle name="Normal 9 5 2 5 3" xfId="6553" xr:uid="{00000000-0005-0000-0000-00005B200000}"/>
    <cellStyle name="Normal 9 5 2 5 3 2" xfId="23430" xr:uid="{4481150B-E916-4433-9249-38CF1845DA85}"/>
    <cellStyle name="Normal 9 5 2 5 3 3" xfId="31864" xr:uid="{0B193B79-9429-4AA1-B569-4BA45148B20D}"/>
    <cellStyle name="Normal 9 5 2 5 3 4" xfId="14992" xr:uid="{DC411994-DFF9-4212-94D7-114528316ADD}"/>
    <cellStyle name="Normal 9 5 2 5 4" xfId="19212" xr:uid="{6E9E49C7-E9A6-43E7-B027-5B109959C270}"/>
    <cellStyle name="Normal 9 5 2 5 5" xfId="27647" xr:uid="{F4B9088A-49A3-4ADD-81EE-63D000080D50}"/>
    <cellStyle name="Normal 9 5 2 5 6" xfId="10774" xr:uid="{0B4575D1-35F3-469A-B0D4-CDA02E3AB9E3}"/>
    <cellStyle name="Normal 9 5 2 6" xfId="2682" xr:uid="{00000000-0005-0000-0000-00005C200000}"/>
    <cellStyle name="Normal 9 5 2 6 2" xfId="6966" xr:uid="{00000000-0005-0000-0000-00005D200000}"/>
    <cellStyle name="Normal 9 5 2 6 2 2" xfId="23843" xr:uid="{744BFC17-EC88-4E2E-AC2A-4CED58CEE599}"/>
    <cellStyle name="Normal 9 5 2 6 2 3" xfId="32277" xr:uid="{3D3BB30C-CB89-41F4-BCF3-6AA8BBAC881F}"/>
    <cellStyle name="Normal 9 5 2 6 2 4" xfId="15405" xr:uid="{9EBF69B8-9BBE-4EB9-AE06-E45C6855CD57}"/>
    <cellStyle name="Normal 9 5 2 6 3" xfId="19625" xr:uid="{B0013CB7-47DF-40D2-A095-00D37CEC08B0}"/>
    <cellStyle name="Normal 9 5 2 6 4" xfId="28060" xr:uid="{8457C19E-B7A0-4BCA-A38A-A9DBFAB1964F}"/>
    <cellStyle name="Normal 9 5 2 6 5" xfId="11187" xr:uid="{58756329-9279-4DB3-8FF0-5EC29BA66BB8}"/>
    <cellStyle name="Normal 9 5 2 7" xfId="4901" xr:uid="{00000000-0005-0000-0000-00005E200000}"/>
    <cellStyle name="Normal 9 5 2 7 2" xfId="21778" xr:uid="{42766791-2ADD-4FB6-9CC8-C13BC4C44C00}"/>
    <cellStyle name="Normal 9 5 2 7 3" xfId="30212" xr:uid="{9179B9CF-3E63-4683-9AE2-0A184B52E9D7}"/>
    <cellStyle name="Normal 9 5 2 7 4" xfId="13340" xr:uid="{234A42A7-9362-4AED-BA47-E1D010B680CB}"/>
    <cellStyle name="Normal 9 5 2 8" xfId="17560" xr:uid="{3D9F6EED-C766-4865-AD2D-14AD0426EECD}"/>
    <cellStyle name="Normal 9 5 2 9" xfId="25995" xr:uid="{C483CE16-876E-4C47-B59F-189F2702077E}"/>
    <cellStyle name="Normal 9 5 3" xfId="1003" xr:uid="{00000000-0005-0000-0000-00005F200000}"/>
    <cellStyle name="Normal 9 5 3 2" xfId="3235" xr:uid="{00000000-0005-0000-0000-000060200000}"/>
    <cellStyle name="Normal 9 5 3 2 2" xfId="7458" xr:uid="{00000000-0005-0000-0000-000061200000}"/>
    <cellStyle name="Normal 9 5 3 2 2 2" xfId="24335" xr:uid="{F27BBF8B-C958-4D96-8E85-5113549E1ECA}"/>
    <cellStyle name="Normal 9 5 3 2 2 3" xfId="32769" xr:uid="{F1583ACB-500D-4836-BC45-B2EF1C5106AF}"/>
    <cellStyle name="Normal 9 5 3 2 2 4" xfId="15897" xr:uid="{448B802F-D207-48EF-80A0-5DB18BAB9F78}"/>
    <cellStyle name="Normal 9 5 3 2 3" xfId="20117" xr:uid="{3762C7BD-B31F-4EEF-8403-AE0EB08FF6E2}"/>
    <cellStyle name="Normal 9 5 3 2 4" xfId="28552" xr:uid="{DCB012E8-4CA3-46DD-AD6B-AA05CFEDC847}"/>
    <cellStyle name="Normal 9 5 3 2 5" xfId="11679" xr:uid="{4CE6C75B-3A08-4823-888F-E97F4729D374}"/>
    <cellStyle name="Normal 9 5 3 3" xfId="5313" xr:uid="{00000000-0005-0000-0000-000062200000}"/>
    <cellStyle name="Normal 9 5 3 3 2" xfId="22190" xr:uid="{544E6444-899A-4134-877B-48066CDD8C19}"/>
    <cellStyle name="Normal 9 5 3 3 3" xfId="30624" xr:uid="{297F2364-C4AC-4015-869A-7B31628CF7EA}"/>
    <cellStyle name="Normal 9 5 3 3 4" xfId="13752" xr:uid="{3BA497E0-E61F-48B9-AF7F-CF72DEAF673C}"/>
    <cellStyle name="Normal 9 5 3 4" xfId="17972" xr:uid="{0363F5A7-5870-428C-996C-215AFF078070}"/>
    <cellStyle name="Normal 9 5 3 5" xfId="26407" xr:uid="{5F121B01-FFEC-4EDF-95C9-48B0AB570965}"/>
    <cellStyle name="Normal 9 5 3 6" xfId="9534" xr:uid="{3A4D37E7-9780-46F1-A4D6-354E750EEF82}"/>
    <cellStyle name="Normal 9 5 4" xfId="1418" xr:uid="{00000000-0005-0000-0000-000063200000}"/>
    <cellStyle name="Normal 9 5 4 2" xfId="3648" xr:uid="{00000000-0005-0000-0000-000064200000}"/>
    <cellStyle name="Normal 9 5 4 2 2" xfId="7871" xr:uid="{00000000-0005-0000-0000-000065200000}"/>
    <cellStyle name="Normal 9 5 4 2 2 2" xfId="24748" xr:uid="{31021B9B-8BC2-415A-B21C-1380DF733E9A}"/>
    <cellStyle name="Normal 9 5 4 2 2 3" xfId="33182" xr:uid="{C013C459-6950-44E0-84ED-3948325E8620}"/>
    <cellStyle name="Normal 9 5 4 2 2 4" xfId="16310" xr:uid="{702303EE-6D41-46B6-B75D-8905AC5A7D04}"/>
    <cellStyle name="Normal 9 5 4 2 3" xfId="20530" xr:uid="{B2D6243F-B2F4-4C87-ABF1-24B8EB57EDED}"/>
    <cellStyle name="Normal 9 5 4 2 4" xfId="28965" xr:uid="{239CA67C-8241-4081-AE26-577826D42CB3}"/>
    <cellStyle name="Normal 9 5 4 2 5" xfId="12092" xr:uid="{F1D9A296-E13B-4B2B-9332-ED600B952504}"/>
    <cellStyle name="Normal 9 5 4 3" xfId="5726" xr:uid="{00000000-0005-0000-0000-000066200000}"/>
    <cellStyle name="Normal 9 5 4 3 2" xfId="22603" xr:uid="{E336A788-4051-4063-8BB6-68FB5B707690}"/>
    <cellStyle name="Normal 9 5 4 3 3" xfId="31037" xr:uid="{E85B8772-D4ED-46C4-B686-288FEB8E28C1}"/>
    <cellStyle name="Normal 9 5 4 3 4" xfId="14165" xr:uid="{8BF4AF4C-DB40-45C3-85D4-3D5D494B221E}"/>
    <cellStyle name="Normal 9 5 4 4" xfId="18385" xr:uid="{C965E149-FEEB-44D1-889C-3F3A7AF9AD38}"/>
    <cellStyle name="Normal 9 5 4 5" xfId="26820" xr:uid="{75B217AF-ECA4-4DA9-ACBE-56D6DADDD397}"/>
    <cellStyle name="Normal 9 5 4 6" xfId="9947" xr:uid="{3AE826D8-DB9B-47F8-B3B7-08BD325BE69B}"/>
    <cellStyle name="Normal 9 5 5" xfId="1831" xr:uid="{00000000-0005-0000-0000-000067200000}"/>
    <cellStyle name="Normal 9 5 5 2" xfId="4061" xr:uid="{00000000-0005-0000-0000-000068200000}"/>
    <cellStyle name="Normal 9 5 5 2 2" xfId="8284" xr:uid="{00000000-0005-0000-0000-000069200000}"/>
    <cellStyle name="Normal 9 5 5 2 2 2" xfId="25161" xr:uid="{209C4369-5302-4AB3-8271-EAE648C30AA4}"/>
    <cellStyle name="Normal 9 5 5 2 2 3" xfId="33595" xr:uid="{8367AF33-EE67-43EC-B3EE-C30471B77048}"/>
    <cellStyle name="Normal 9 5 5 2 2 4" xfId="16723" xr:uid="{BF7331EA-C6AD-4F5D-8556-0448A61D165A}"/>
    <cellStyle name="Normal 9 5 5 2 3" xfId="20943" xr:uid="{7B15A7EC-9705-40B8-859F-6B2515EC12CA}"/>
    <cellStyle name="Normal 9 5 5 2 4" xfId="29378" xr:uid="{33CF049E-BF11-4F5B-BE66-262F780666A8}"/>
    <cellStyle name="Normal 9 5 5 2 5" xfId="12505" xr:uid="{CE63FDFB-D77C-45A0-98B7-26D358528873}"/>
    <cellStyle name="Normal 9 5 5 3" xfId="6139" xr:uid="{00000000-0005-0000-0000-00006A200000}"/>
    <cellStyle name="Normal 9 5 5 3 2" xfId="23016" xr:uid="{0568ACF3-3769-40A6-B19F-779EC7988844}"/>
    <cellStyle name="Normal 9 5 5 3 3" xfId="31450" xr:uid="{3722EE7E-FAEE-48DF-AFD7-76EDF041AF8D}"/>
    <cellStyle name="Normal 9 5 5 3 4" xfId="14578" xr:uid="{8EC96466-8D4A-4043-9E5D-7EDF500DA0D1}"/>
    <cellStyle name="Normal 9 5 5 4" xfId="18798" xr:uid="{3C64A6CA-4B6C-417D-A7DF-02BA3D032C52}"/>
    <cellStyle name="Normal 9 5 5 5" xfId="27233" xr:uid="{CCB6D61F-A312-4BC9-B5A3-188AF54C0163}"/>
    <cellStyle name="Normal 9 5 5 6" xfId="10360" xr:uid="{02D58B95-63A2-40FD-97C2-6501A255F866}"/>
    <cellStyle name="Normal 9 5 6" xfId="2245" xr:uid="{00000000-0005-0000-0000-00006B200000}"/>
    <cellStyle name="Normal 9 5 6 2" xfId="4474" xr:uid="{00000000-0005-0000-0000-00006C200000}"/>
    <cellStyle name="Normal 9 5 6 2 2" xfId="8697" xr:uid="{00000000-0005-0000-0000-00006D200000}"/>
    <cellStyle name="Normal 9 5 6 2 2 2" xfId="25574" xr:uid="{0AFD4E17-89FD-4FE7-81F6-8CA775440DDD}"/>
    <cellStyle name="Normal 9 5 6 2 2 3" xfId="34008" xr:uid="{CC2D18BB-8173-4137-8DB6-7C137DE06E85}"/>
    <cellStyle name="Normal 9 5 6 2 2 4" xfId="17136" xr:uid="{104AD68C-46CE-4803-A220-EA8EFC63F6FB}"/>
    <cellStyle name="Normal 9 5 6 2 3" xfId="21356" xr:uid="{C67C5D46-5916-452F-A595-E86EC6524207}"/>
    <cellStyle name="Normal 9 5 6 2 4" xfId="29791" xr:uid="{FADD26EF-8F83-4DE4-AD66-DBACBF6F8794}"/>
    <cellStyle name="Normal 9 5 6 2 5" xfId="12918" xr:uid="{AEA7D419-583B-43BC-8A8C-8502F6D73064}"/>
    <cellStyle name="Normal 9 5 6 3" xfId="6552" xr:uid="{00000000-0005-0000-0000-00006E200000}"/>
    <cellStyle name="Normal 9 5 6 3 2" xfId="23429" xr:uid="{57558A62-10EF-4CFF-8074-12C41CCC22B7}"/>
    <cellStyle name="Normal 9 5 6 3 3" xfId="31863" xr:uid="{DF457EDB-AD93-4C45-A4B1-74746BF0A836}"/>
    <cellStyle name="Normal 9 5 6 3 4" xfId="14991" xr:uid="{B7DFDEA9-0D32-4493-81F0-874287633F39}"/>
    <cellStyle name="Normal 9 5 6 4" xfId="19211" xr:uid="{4327173E-196C-4140-8857-A20FC2F33177}"/>
    <cellStyle name="Normal 9 5 6 5" xfId="27646" xr:uid="{C67CC3AF-6BD8-4195-AFD0-0AC15F5D6A1A}"/>
    <cellStyle name="Normal 9 5 6 6" xfId="10773" xr:uid="{04DBA851-03F4-434F-B17E-33CAE64C7C08}"/>
    <cellStyle name="Normal 9 5 7" xfId="2681" xr:uid="{00000000-0005-0000-0000-00006F200000}"/>
    <cellStyle name="Normal 9 5 7 2" xfId="6965" xr:uid="{00000000-0005-0000-0000-000070200000}"/>
    <cellStyle name="Normal 9 5 7 2 2" xfId="23842" xr:uid="{AB498B6B-19F2-442B-8715-A2523E247ABC}"/>
    <cellStyle name="Normal 9 5 7 2 3" xfId="32276" xr:uid="{7D2A8D9E-4E91-49B6-904D-D0D37578CEDB}"/>
    <cellStyle name="Normal 9 5 7 2 4" xfId="15404" xr:uid="{B7D63F4D-A9A9-4BDE-9AFA-206079B227C3}"/>
    <cellStyle name="Normal 9 5 7 3" xfId="19624" xr:uid="{AFED51E1-4079-45DF-A6C1-4B46066FD5BA}"/>
    <cellStyle name="Normal 9 5 7 4" xfId="28059" xr:uid="{FF253DB7-B407-4170-9701-726D0E496E55}"/>
    <cellStyle name="Normal 9 5 7 5" xfId="11186" xr:uid="{690EB562-8F63-42F3-877B-E23890C1879E}"/>
    <cellStyle name="Normal 9 5 8" xfId="4900" xr:uid="{00000000-0005-0000-0000-000071200000}"/>
    <cellStyle name="Normal 9 5 8 2" xfId="21777" xr:uid="{4D49FF76-2DD6-4A33-855E-3EFD15C93C38}"/>
    <cellStyle name="Normal 9 5 8 3" xfId="30211" xr:uid="{4CBD686F-1E2A-420B-B113-3A74E8161A61}"/>
    <cellStyle name="Normal 9 5 8 4" xfId="13339" xr:uid="{C730F00D-1C8B-4BBD-AD1A-F1341079AB0F}"/>
    <cellStyle name="Normal 9 5 9" xfId="17559" xr:uid="{0F7F676B-8D45-49B8-A9F3-5BD307DAA158}"/>
    <cellStyle name="Normal 9 6" xfId="538" xr:uid="{00000000-0005-0000-0000-000072200000}"/>
    <cellStyle name="Normal 9 6 10" xfId="9123" xr:uid="{586B6B18-7162-42F3-B3DC-E11231AD5F88}"/>
    <cellStyle name="Normal 9 6 2" xfId="1005" xr:uid="{00000000-0005-0000-0000-000073200000}"/>
    <cellStyle name="Normal 9 6 2 2" xfId="3237" xr:uid="{00000000-0005-0000-0000-000074200000}"/>
    <cellStyle name="Normal 9 6 2 2 2" xfId="7460" xr:uid="{00000000-0005-0000-0000-000075200000}"/>
    <cellStyle name="Normal 9 6 2 2 2 2" xfId="24337" xr:uid="{3686CB8B-DCC6-44CB-AF24-C631135641CA}"/>
    <cellStyle name="Normal 9 6 2 2 2 3" xfId="32771" xr:uid="{CDDA7E33-BFC1-44DB-9CD8-3F764157F58D}"/>
    <cellStyle name="Normal 9 6 2 2 2 4" xfId="15899" xr:uid="{9FEA2FCB-47DA-4B7C-A1FC-BDC57C0D60DE}"/>
    <cellStyle name="Normal 9 6 2 2 3" xfId="20119" xr:uid="{ED4299F7-1420-450F-984B-A7B903F98F95}"/>
    <cellStyle name="Normal 9 6 2 2 4" xfId="28554" xr:uid="{2B7E24F9-7673-4711-A04E-EDE88A0E1EAB}"/>
    <cellStyle name="Normal 9 6 2 2 5" xfId="11681" xr:uid="{8DD99AD5-F803-4CA9-9198-EAE094CC32CC}"/>
    <cellStyle name="Normal 9 6 2 3" xfId="5315" xr:uid="{00000000-0005-0000-0000-000076200000}"/>
    <cellStyle name="Normal 9 6 2 3 2" xfId="22192" xr:uid="{AC54EE62-C5BF-4C2C-B166-78B78C20B800}"/>
    <cellStyle name="Normal 9 6 2 3 3" xfId="30626" xr:uid="{126107AD-1680-4C9D-926D-7E570BEAA7B9}"/>
    <cellStyle name="Normal 9 6 2 3 4" xfId="13754" xr:uid="{F61E7BAA-90A9-408B-A395-1E93398C2541}"/>
    <cellStyle name="Normal 9 6 2 4" xfId="17974" xr:uid="{2B02928A-4443-4E41-A80B-CF0621D607DE}"/>
    <cellStyle name="Normal 9 6 2 5" xfId="26409" xr:uid="{8D9E4099-5CD6-4B66-AA4D-C5A92A025127}"/>
    <cellStyle name="Normal 9 6 2 6" xfId="9536" xr:uid="{A4AFFE96-5B2B-4BA7-B23B-52709359B477}"/>
    <cellStyle name="Normal 9 6 3" xfId="1420" xr:uid="{00000000-0005-0000-0000-000077200000}"/>
    <cellStyle name="Normal 9 6 3 2" xfId="3650" xr:uid="{00000000-0005-0000-0000-000078200000}"/>
    <cellStyle name="Normal 9 6 3 2 2" xfId="7873" xr:uid="{00000000-0005-0000-0000-000079200000}"/>
    <cellStyle name="Normal 9 6 3 2 2 2" xfId="24750" xr:uid="{E1A06165-1E56-4E6E-9F89-D2F4CF47EFC0}"/>
    <cellStyle name="Normal 9 6 3 2 2 3" xfId="33184" xr:uid="{151CA070-E91D-4643-995D-CEA76B3D0DE8}"/>
    <cellStyle name="Normal 9 6 3 2 2 4" xfId="16312" xr:uid="{2D8B8513-0533-426A-BE6E-1B1A30279C86}"/>
    <cellStyle name="Normal 9 6 3 2 3" xfId="20532" xr:uid="{3C54E8D6-C6C7-41B3-9BB3-7EB467F509BB}"/>
    <cellStyle name="Normal 9 6 3 2 4" xfId="28967" xr:uid="{D85FC263-6402-42DD-96EC-5052572DFFCF}"/>
    <cellStyle name="Normal 9 6 3 2 5" xfId="12094" xr:uid="{1B919D54-2D61-48B9-A713-3835EF15F753}"/>
    <cellStyle name="Normal 9 6 3 3" xfId="5728" xr:uid="{00000000-0005-0000-0000-00007A200000}"/>
    <cellStyle name="Normal 9 6 3 3 2" xfId="22605" xr:uid="{370F77D8-06BD-40C1-A9E7-0050C6EE6EA3}"/>
    <cellStyle name="Normal 9 6 3 3 3" xfId="31039" xr:uid="{A8F9B170-D54D-49E4-96F3-3E4EABCECCB1}"/>
    <cellStyle name="Normal 9 6 3 3 4" xfId="14167" xr:uid="{2411587B-4700-4F31-B9DA-E514FA03EFBF}"/>
    <cellStyle name="Normal 9 6 3 4" xfId="18387" xr:uid="{C6689A48-D7EB-42C5-A413-1BEEFA3D4277}"/>
    <cellStyle name="Normal 9 6 3 5" xfId="26822" xr:uid="{272E542E-8967-4534-A90D-6CA7398A013D}"/>
    <cellStyle name="Normal 9 6 3 6" xfId="9949" xr:uid="{671BB957-E11F-470F-9523-EFDB4F1BEFEF}"/>
    <cellStyle name="Normal 9 6 4" xfId="1833" xr:uid="{00000000-0005-0000-0000-00007B200000}"/>
    <cellStyle name="Normal 9 6 4 2" xfId="4063" xr:uid="{00000000-0005-0000-0000-00007C200000}"/>
    <cellStyle name="Normal 9 6 4 2 2" xfId="8286" xr:uid="{00000000-0005-0000-0000-00007D200000}"/>
    <cellStyle name="Normal 9 6 4 2 2 2" xfId="25163" xr:uid="{9DBF0DAB-4272-492A-A25E-B8EA9F391F36}"/>
    <cellStyle name="Normal 9 6 4 2 2 3" xfId="33597" xr:uid="{9640C3EC-4F61-4942-88DF-D4F198270088}"/>
    <cellStyle name="Normal 9 6 4 2 2 4" xfId="16725" xr:uid="{5C485869-C6F7-4597-BAB0-FA1020885658}"/>
    <cellStyle name="Normal 9 6 4 2 3" xfId="20945" xr:uid="{248F0499-9CD0-4CC8-9193-6DDF4DF2DE81}"/>
    <cellStyle name="Normal 9 6 4 2 4" xfId="29380" xr:uid="{CE625E2E-AD54-497B-BE9E-FC7C4ED5B70C}"/>
    <cellStyle name="Normal 9 6 4 2 5" xfId="12507" xr:uid="{6130A9EC-CCA1-405C-8BDE-31531EC44E10}"/>
    <cellStyle name="Normal 9 6 4 3" xfId="6141" xr:uid="{00000000-0005-0000-0000-00007E200000}"/>
    <cellStyle name="Normal 9 6 4 3 2" xfId="23018" xr:uid="{ABE92664-C936-4EF1-B4FC-916466F42819}"/>
    <cellStyle name="Normal 9 6 4 3 3" xfId="31452" xr:uid="{E1FC2A66-CC62-44AB-AD0F-0DF37E05767C}"/>
    <cellStyle name="Normal 9 6 4 3 4" xfId="14580" xr:uid="{2C429FC0-45B2-4DD7-849D-5C7057760999}"/>
    <cellStyle name="Normal 9 6 4 4" xfId="18800" xr:uid="{1089455B-7886-4036-8939-78A45413EA2C}"/>
    <cellStyle name="Normal 9 6 4 5" xfId="27235" xr:uid="{43C886F8-0146-4425-98A5-6AA1568C7DF1}"/>
    <cellStyle name="Normal 9 6 4 6" xfId="10362" xr:uid="{AAF6EAD4-053D-4B45-BA80-CB6627158E78}"/>
    <cellStyle name="Normal 9 6 5" xfId="2247" xr:uid="{00000000-0005-0000-0000-00007F200000}"/>
    <cellStyle name="Normal 9 6 5 2" xfId="4476" xr:uid="{00000000-0005-0000-0000-000080200000}"/>
    <cellStyle name="Normal 9 6 5 2 2" xfId="8699" xr:uid="{00000000-0005-0000-0000-000081200000}"/>
    <cellStyle name="Normal 9 6 5 2 2 2" xfId="25576" xr:uid="{0F2EC655-B71F-4507-BF86-6BE2233B2C49}"/>
    <cellStyle name="Normal 9 6 5 2 2 3" xfId="34010" xr:uid="{52C017F5-4245-4ADF-9C72-5A0D3292C756}"/>
    <cellStyle name="Normal 9 6 5 2 2 4" xfId="17138" xr:uid="{7D3F0015-F2F0-4EC7-936D-CCF8A6DB8735}"/>
    <cellStyle name="Normal 9 6 5 2 3" xfId="21358" xr:uid="{3C68BAFB-BD06-4753-A06D-823D92C1118E}"/>
    <cellStyle name="Normal 9 6 5 2 4" xfId="29793" xr:uid="{5D02EE60-77D8-4D76-B7CF-AA622045D499}"/>
    <cellStyle name="Normal 9 6 5 2 5" xfId="12920" xr:uid="{226BFE8E-A9E6-4B6C-B8D2-3553F4D007D4}"/>
    <cellStyle name="Normal 9 6 5 3" xfId="6554" xr:uid="{00000000-0005-0000-0000-000082200000}"/>
    <cellStyle name="Normal 9 6 5 3 2" xfId="23431" xr:uid="{C25D4A0C-13C6-4C04-A6EA-941B61D31D69}"/>
    <cellStyle name="Normal 9 6 5 3 3" xfId="31865" xr:uid="{8FD0DB91-95A6-4DFE-B60C-657C3758791E}"/>
    <cellStyle name="Normal 9 6 5 3 4" xfId="14993" xr:uid="{6A97F12E-2DED-45D4-9745-7B038EE445B4}"/>
    <cellStyle name="Normal 9 6 5 4" xfId="19213" xr:uid="{3A363F56-5A13-4862-8BDF-E435B2E0BDEB}"/>
    <cellStyle name="Normal 9 6 5 5" xfId="27648" xr:uid="{F527C8D1-B79D-4DBF-93A9-41C555B6586F}"/>
    <cellStyle name="Normal 9 6 5 6" xfId="10775" xr:uid="{8307ADF8-3C2F-409C-9F67-D016141E7EED}"/>
    <cellStyle name="Normal 9 6 6" xfId="2683" xr:uid="{00000000-0005-0000-0000-000083200000}"/>
    <cellStyle name="Normal 9 6 6 2" xfId="6967" xr:uid="{00000000-0005-0000-0000-000084200000}"/>
    <cellStyle name="Normal 9 6 6 2 2" xfId="23844" xr:uid="{F9E1A86C-733A-4653-90BC-55311FC7056F}"/>
    <cellStyle name="Normal 9 6 6 2 3" xfId="32278" xr:uid="{792F14C8-FABF-49F1-93D4-D4B7FA8BB432}"/>
    <cellStyle name="Normal 9 6 6 2 4" xfId="15406" xr:uid="{D1401297-0A0D-4CDE-A361-6BFF9A323509}"/>
    <cellStyle name="Normal 9 6 6 3" xfId="19626" xr:uid="{33F21F1B-0159-40A8-BCF4-1F0D7CC5331B}"/>
    <cellStyle name="Normal 9 6 6 4" xfId="28061" xr:uid="{DED5B070-3773-4367-82B8-A325F5525BBB}"/>
    <cellStyle name="Normal 9 6 6 5" xfId="11188" xr:uid="{D1476648-5C36-4A50-BCA4-5994173BC3D7}"/>
    <cellStyle name="Normal 9 6 7" xfId="4902" xr:uid="{00000000-0005-0000-0000-000085200000}"/>
    <cellStyle name="Normal 9 6 7 2" xfId="21779" xr:uid="{16AD56AC-AAD0-4A0B-81E1-7DC337DBF2F5}"/>
    <cellStyle name="Normal 9 6 7 3" xfId="30213" xr:uid="{F8DD3028-FFA9-4902-B4A0-30B74D06163C}"/>
    <cellStyle name="Normal 9 6 7 4" xfId="13341" xr:uid="{C08E1E6B-A96D-4478-9773-0C6D67873608}"/>
    <cellStyle name="Normal 9 6 8" xfId="17561" xr:uid="{68747BC6-2563-495B-A7C5-576471FC3785}"/>
    <cellStyle name="Normal 9 6 9" xfId="25996" xr:uid="{93DD7462-716E-4C14-8D36-B3F87DD6A63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23925" xr:uid="{16895706-23B0-4FAA-A1DC-4AF732AE99AE}"/>
    <cellStyle name="Note 2 2 10 2 3" xfId="32359" xr:uid="{5A3F71F2-A865-4B27-BDCD-9FB66ECBA624}"/>
    <cellStyle name="Note 2 2 10 2 4" xfId="15487" xr:uid="{CE945A20-74AB-4BB4-970F-B7676BDE9B2A}"/>
    <cellStyle name="Note 2 2 10 3" xfId="19707" xr:uid="{A5614524-2904-4346-87BA-0A656DBABD6E}"/>
    <cellStyle name="Note 2 2 10 4" xfId="28142" xr:uid="{A2AEBEFB-6F00-4EC3-822F-A73C298C3ADF}"/>
    <cellStyle name="Note 2 2 10 5" xfId="11269" xr:uid="{5C6F8F17-1F88-44EA-89A7-9C5D8BD1782A}"/>
    <cellStyle name="Note 2 2 11" xfId="4903" xr:uid="{00000000-0005-0000-0000-000094200000}"/>
    <cellStyle name="Note 2 2 11 2" xfId="21780" xr:uid="{0039CCE9-A6F8-426E-99F0-A44B739F1F9D}"/>
    <cellStyle name="Note 2 2 11 3" xfId="30214" xr:uid="{1B1A6578-F2BA-4B74-A2A1-81E717AC20C3}"/>
    <cellStyle name="Note 2 2 11 4" xfId="13342" xr:uid="{379BD0B1-CF9C-40B5-B2DE-57C4E9C2AC8B}"/>
    <cellStyle name="Note 2 2 12" xfId="17562" xr:uid="{2E2D7D37-7050-4676-A490-FAC0F583C13E}"/>
    <cellStyle name="Note 2 2 13" xfId="25997" xr:uid="{4D52BEE3-40CF-426E-96F4-19DA475E6FB0}"/>
    <cellStyle name="Note 2 2 14" xfId="9124" xr:uid="{5EAB18C5-6BF7-4ACE-89C7-F2FD7D0DAC5F}"/>
    <cellStyle name="Note 2 2 2" xfId="546" xr:uid="{00000000-0005-0000-0000-000095200000}"/>
    <cellStyle name="Note 2 2 2 10" xfId="4904" xr:uid="{00000000-0005-0000-0000-000096200000}"/>
    <cellStyle name="Note 2 2 2 10 2" xfId="21781" xr:uid="{EFD116B7-2E4D-48A7-83DB-313CBE3C8A50}"/>
    <cellStyle name="Note 2 2 2 10 3" xfId="30215" xr:uid="{F0E9EDE3-270C-412E-A875-7054B868B228}"/>
    <cellStyle name="Note 2 2 2 10 4" xfId="13343" xr:uid="{DD8555A6-F078-4872-8A87-9F0A734E26B3}"/>
    <cellStyle name="Note 2 2 2 11" xfId="17563" xr:uid="{8D1D74F6-CAB9-45F9-8E63-978A71863C46}"/>
    <cellStyle name="Note 2 2 2 12" xfId="25998" xr:uid="{8238CD89-226F-44F3-A236-4F4AEDFA7F69}"/>
    <cellStyle name="Note 2 2 2 13" xfId="9125" xr:uid="{D80347D3-6078-4ADD-9601-D235728863CF}"/>
    <cellStyle name="Note 2 2 2 2" xfId="547" xr:uid="{00000000-0005-0000-0000-000097200000}"/>
    <cellStyle name="Note 2 2 2 2 10" xfId="17564" xr:uid="{2E02A37A-B405-4303-A9F0-ECF1DCA3444D}"/>
    <cellStyle name="Note 2 2 2 2 11" xfId="25999" xr:uid="{67F46549-6A21-47E7-94C7-E9672290F69C}"/>
    <cellStyle name="Note 2 2 2 2 12" xfId="9126" xr:uid="{F437FBB3-B8FC-4FD5-B792-04140566F2B8}"/>
    <cellStyle name="Note 2 2 2 2 2" xfId="1008" xr:uid="{00000000-0005-0000-0000-000098200000}"/>
    <cellStyle name="Note 2 2 2 2 2 2" xfId="3240" xr:uid="{00000000-0005-0000-0000-000099200000}"/>
    <cellStyle name="Note 2 2 2 2 2 2 2" xfId="7463" xr:uid="{00000000-0005-0000-0000-00009A200000}"/>
    <cellStyle name="Note 2 2 2 2 2 2 2 2" xfId="24340" xr:uid="{89C5F362-6C93-42D6-951A-3656866F53EF}"/>
    <cellStyle name="Note 2 2 2 2 2 2 2 3" xfId="32774" xr:uid="{AB71599F-0CA2-40AF-AF59-4AE4059ED572}"/>
    <cellStyle name="Note 2 2 2 2 2 2 2 4" xfId="15902" xr:uid="{3247C03C-8F02-4721-A0DC-66F40DBE958C}"/>
    <cellStyle name="Note 2 2 2 2 2 2 3" xfId="20122" xr:uid="{33DDE80F-4BAB-40FE-B07E-BD5D7C55E63D}"/>
    <cellStyle name="Note 2 2 2 2 2 2 4" xfId="28557" xr:uid="{B230878C-579F-46AA-889B-EE453CD0BC58}"/>
    <cellStyle name="Note 2 2 2 2 2 2 5" xfId="11684" xr:uid="{0A050535-7122-4C53-A1CF-06FFDA96F478}"/>
    <cellStyle name="Note 2 2 2 2 2 3" xfId="5318" xr:uid="{00000000-0005-0000-0000-00009B200000}"/>
    <cellStyle name="Note 2 2 2 2 2 3 2" xfId="22195" xr:uid="{3AF2BD9E-FE3A-4FF4-A74C-6D6D89B1344A}"/>
    <cellStyle name="Note 2 2 2 2 2 3 3" xfId="30629" xr:uid="{1A83FB0E-8288-48A9-8083-6EF8594769BB}"/>
    <cellStyle name="Note 2 2 2 2 2 3 4" xfId="13757" xr:uid="{F7AC5382-A2F0-4239-B9FD-FC6A20F33557}"/>
    <cellStyle name="Note 2 2 2 2 2 4" xfId="17977" xr:uid="{29F70015-A0A9-4E06-9B09-C0AC122BD915}"/>
    <cellStyle name="Note 2 2 2 2 2 5" xfId="26412" xr:uid="{150BB487-40AB-462C-AAF7-16DAE3CEEBE1}"/>
    <cellStyle name="Note 2 2 2 2 2 6" xfId="9539" xr:uid="{438C2AF1-62F3-4BFF-AF60-78C0A542E479}"/>
    <cellStyle name="Note 2 2 2 2 3" xfId="1423" xr:uid="{00000000-0005-0000-0000-00009C200000}"/>
    <cellStyle name="Note 2 2 2 2 3 2" xfId="3653" xr:uid="{00000000-0005-0000-0000-00009D200000}"/>
    <cellStyle name="Note 2 2 2 2 3 2 2" xfId="7876" xr:uid="{00000000-0005-0000-0000-00009E200000}"/>
    <cellStyle name="Note 2 2 2 2 3 2 2 2" xfId="24753" xr:uid="{54A4D9C1-AD87-419C-BCC4-43C008878E5B}"/>
    <cellStyle name="Note 2 2 2 2 3 2 2 3" xfId="33187" xr:uid="{58F46B4E-CF47-4E45-A489-CB846BFCC1C8}"/>
    <cellStyle name="Note 2 2 2 2 3 2 2 4" xfId="16315" xr:uid="{00C3DA1B-0DF8-4D1C-8D0B-C89BD0713E69}"/>
    <cellStyle name="Note 2 2 2 2 3 2 3" xfId="20535" xr:uid="{DCACB474-645C-4C4C-8772-FEEC6A509AC7}"/>
    <cellStyle name="Note 2 2 2 2 3 2 4" xfId="28970" xr:uid="{661C84D8-92E3-4B78-8C73-6A02394FBADD}"/>
    <cellStyle name="Note 2 2 2 2 3 2 5" xfId="12097" xr:uid="{BEB95816-3533-4D6C-A848-867A313A92FB}"/>
    <cellStyle name="Note 2 2 2 2 3 3" xfId="5731" xr:uid="{00000000-0005-0000-0000-00009F200000}"/>
    <cellStyle name="Note 2 2 2 2 3 3 2" xfId="22608" xr:uid="{69ECE5CD-759F-4B31-BA6B-33AF6105E802}"/>
    <cellStyle name="Note 2 2 2 2 3 3 3" xfId="31042" xr:uid="{3B8347AE-889C-4CB2-9777-BDA183DEF12C}"/>
    <cellStyle name="Note 2 2 2 2 3 3 4" xfId="14170" xr:uid="{C9DE243B-1956-4AC8-9E6C-16657AB1056A}"/>
    <cellStyle name="Note 2 2 2 2 3 4" xfId="18390" xr:uid="{0E35B780-39F4-4039-8D57-622BAFFAC9D9}"/>
    <cellStyle name="Note 2 2 2 2 3 5" xfId="26825" xr:uid="{4601C01D-3379-47DB-B0FE-C385E2E263EA}"/>
    <cellStyle name="Note 2 2 2 2 3 6" xfId="9952" xr:uid="{3853D3ED-2DF0-48E7-8859-CF03523C12C6}"/>
    <cellStyle name="Note 2 2 2 2 4" xfId="1837" xr:uid="{00000000-0005-0000-0000-0000A0200000}"/>
    <cellStyle name="Note 2 2 2 2 4 2" xfId="4066" xr:uid="{00000000-0005-0000-0000-0000A1200000}"/>
    <cellStyle name="Note 2 2 2 2 4 2 2" xfId="8289" xr:uid="{00000000-0005-0000-0000-0000A2200000}"/>
    <cellStyle name="Note 2 2 2 2 4 2 2 2" xfId="25166" xr:uid="{C7D0745F-E9FC-471B-839E-83E701C1077C}"/>
    <cellStyle name="Note 2 2 2 2 4 2 2 3" xfId="33600" xr:uid="{FBD994BD-C048-4A83-935C-B7DCA1342356}"/>
    <cellStyle name="Note 2 2 2 2 4 2 2 4" xfId="16728" xr:uid="{E564CF62-50E2-4AFD-80CD-9762565A1B3D}"/>
    <cellStyle name="Note 2 2 2 2 4 2 3" xfId="20948" xr:uid="{1D19FB45-63FE-4637-8DBC-75DEAABBF7F2}"/>
    <cellStyle name="Note 2 2 2 2 4 2 4" xfId="29383" xr:uid="{E33AFF6A-A972-44D4-BE81-DE0710CD2EB7}"/>
    <cellStyle name="Note 2 2 2 2 4 2 5" xfId="12510" xr:uid="{2C7364B6-5495-41CF-BB3B-72062EECD5E2}"/>
    <cellStyle name="Note 2 2 2 2 4 3" xfId="6144" xr:uid="{00000000-0005-0000-0000-0000A3200000}"/>
    <cellStyle name="Note 2 2 2 2 4 3 2" xfId="23021" xr:uid="{53B93A30-564B-4AC1-9455-5BD06125883D}"/>
    <cellStyle name="Note 2 2 2 2 4 3 3" xfId="31455" xr:uid="{B68F75FD-C1FC-46D9-8E7B-919C0EDF42EC}"/>
    <cellStyle name="Note 2 2 2 2 4 3 4" xfId="14583" xr:uid="{97608777-4465-4CE9-9CB2-F455B2082648}"/>
    <cellStyle name="Note 2 2 2 2 4 4" xfId="18803" xr:uid="{117B5763-03A6-4D94-AABA-3788BB71F329}"/>
    <cellStyle name="Note 2 2 2 2 4 5" xfId="27238" xr:uid="{05FD0938-D600-4F4C-9D62-3700E5B90570}"/>
    <cellStyle name="Note 2 2 2 2 4 6" xfId="10365" xr:uid="{64F6503A-EB7F-40B8-BC85-472D48A00547}"/>
    <cellStyle name="Note 2 2 2 2 5" xfId="2250" xr:uid="{00000000-0005-0000-0000-0000A4200000}"/>
    <cellStyle name="Note 2 2 2 2 5 2" xfId="4479" xr:uid="{00000000-0005-0000-0000-0000A5200000}"/>
    <cellStyle name="Note 2 2 2 2 5 2 2" xfId="8702" xr:uid="{00000000-0005-0000-0000-0000A6200000}"/>
    <cellStyle name="Note 2 2 2 2 5 2 2 2" xfId="25579" xr:uid="{90C3BF77-01BE-4BB3-8E20-BEC35B7C2844}"/>
    <cellStyle name="Note 2 2 2 2 5 2 2 3" xfId="34013" xr:uid="{596BF51D-1AF5-4FA8-B0B8-4077B230A405}"/>
    <cellStyle name="Note 2 2 2 2 5 2 2 4" xfId="17141" xr:uid="{FC147D9E-48CB-4E51-A31C-A5F184B7D223}"/>
    <cellStyle name="Note 2 2 2 2 5 2 3" xfId="21361" xr:uid="{1C25C6E0-9E79-4B09-8068-037F6099B93F}"/>
    <cellStyle name="Note 2 2 2 2 5 2 4" xfId="29796" xr:uid="{46B47528-5B87-443C-91ED-06F181ECDA00}"/>
    <cellStyle name="Note 2 2 2 2 5 2 5" xfId="12923" xr:uid="{D66CFF52-9905-4400-AEA6-B26E536F5D9E}"/>
    <cellStyle name="Note 2 2 2 2 5 3" xfId="6557" xr:uid="{00000000-0005-0000-0000-0000A7200000}"/>
    <cellStyle name="Note 2 2 2 2 5 3 2" xfId="23434" xr:uid="{15551024-BCC3-4A3E-8D9B-A08A4B528B38}"/>
    <cellStyle name="Note 2 2 2 2 5 3 3" xfId="31868" xr:uid="{B507F632-664F-4F5E-9E9C-1A7E8ECE69B3}"/>
    <cellStyle name="Note 2 2 2 2 5 3 4" xfId="14996" xr:uid="{6733BAD7-3119-40BE-89E8-0ADF4C84363E}"/>
    <cellStyle name="Note 2 2 2 2 5 4" xfId="19216" xr:uid="{9211F195-4859-460F-82E6-3E96B836855A}"/>
    <cellStyle name="Note 2 2 2 2 5 5" xfId="27651" xr:uid="{25E3E7B0-67C4-40D5-B586-0C952AB6DCC8}"/>
    <cellStyle name="Note 2 2 2 2 5 6" xfId="10778" xr:uid="{AB36A070-344F-4A1E-A1C2-7CB390531212}"/>
    <cellStyle name="Note 2 2 2 2 6" xfId="2686" xr:uid="{00000000-0005-0000-0000-0000A8200000}"/>
    <cellStyle name="Note 2 2 2 2 6 2" xfId="6970" xr:uid="{00000000-0005-0000-0000-0000A9200000}"/>
    <cellStyle name="Note 2 2 2 2 6 2 2" xfId="23847" xr:uid="{6BCF5B09-CEBF-4712-8ECA-7147D2DCB87F}"/>
    <cellStyle name="Note 2 2 2 2 6 2 3" xfId="32281" xr:uid="{BACEABD5-D8EA-4C38-8EE5-0CB4E06AB887}"/>
    <cellStyle name="Note 2 2 2 2 6 2 4" xfId="15409" xr:uid="{C8F17EF9-8C7D-4565-AABB-11D62308089D}"/>
    <cellStyle name="Note 2 2 2 2 6 3" xfId="19629" xr:uid="{40D5459C-DF38-45B0-9E11-80EF97C8B56A}"/>
    <cellStyle name="Note 2 2 2 2 6 4" xfId="28064" xr:uid="{B47F835B-31A0-4164-B965-6B4C3DED004C}"/>
    <cellStyle name="Note 2 2 2 2 6 5" xfId="11191" xr:uid="{89054174-5A3B-4C1C-A46A-4845F229D822}"/>
    <cellStyle name="Note 2 2 2 2 7" xfId="2745" xr:uid="{00000000-0005-0000-0000-0000AA200000}"/>
    <cellStyle name="Note 2 2 2 2 8" xfId="2826" xr:uid="{00000000-0005-0000-0000-0000AB200000}"/>
    <cellStyle name="Note 2 2 2 2 8 2" xfId="7050" xr:uid="{00000000-0005-0000-0000-0000AC200000}"/>
    <cellStyle name="Note 2 2 2 2 8 2 2" xfId="23927" xr:uid="{8350E8A9-20BF-44B1-BE9B-D297AB60E7B0}"/>
    <cellStyle name="Note 2 2 2 2 8 2 3" xfId="32361" xr:uid="{A850E3F6-75B0-4E1F-99F3-458FD07FBE82}"/>
    <cellStyle name="Note 2 2 2 2 8 2 4" xfId="15489" xr:uid="{451E90FC-7DA8-46AB-9702-944898DE37F5}"/>
    <cellStyle name="Note 2 2 2 2 8 3" xfId="19709" xr:uid="{593E19D2-05F8-4A5D-8DB3-8843EB620A52}"/>
    <cellStyle name="Note 2 2 2 2 8 4" xfId="28144" xr:uid="{633821B7-1668-433E-B775-E4EFEB531442}"/>
    <cellStyle name="Note 2 2 2 2 8 5" xfId="11271" xr:uid="{B43B5816-3DDE-4F4E-B965-8A4CD6D6E759}"/>
    <cellStyle name="Note 2 2 2 2 9" xfId="4905" xr:uid="{00000000-0005-0000-0000-0000AD200000}"/>
    <cellStyle name="Note 2 2 2 2 9 2" xfId="21782" xr:uid="{97D03D02-A1DB-4121-9D2F-3E8410058188}"/>
    <cellStyle name="Note 2 2 2 2 9 3" xfId="30216" xr:uid="{643FDD12-C13D-4C62-9179-3EAE0EE7DAD7}"/>
    <cellStyle name="Note 2 2 2 2 9 4" xfId="13344" xr:uid="{5CC78404-E0C6-48A1-87F8-14DB5F946D61}"/>
    <cellStyle name="Note 2 2 2 3" xfId="1007" xr:uid="{00000000-0005-0000-0000-0000AE200000}"/>
    <cellStyle name="Note 2 2 2 3 2" xfId="3239" xr:uid="{00000000-0005-0000-0000-0000AF200000}"/>
    <cellStyle name="Note 2 2 2 3 2 2" xfId="7462" xr:uid="{00000000-0005-0000-0000-0000B0200000}"/>
    <cellStyle name="Note 2 2 2 3 2 2 2" xfId="24339" xr:uid="{8CEABF61-E97A-46EE-A437-70DCE57233AC}"/>
    <cellStyle name="Note 2 2 2 3 2 2 3" xfId="32773" xr:uid="{858A52EF-94A3-49E4-BEB0-7C85660FE14F}"/>
    <cellStyle name="Note 2 2 2 3 2 2 4" xfId="15901" xr:uid="{00BE6D63-23D9-4E00-A025-44FE07DF7C80}"/>
    <cellStyle name="Note 2 2 2 3 2 3" xfId="20121" xr:uid="{F14672E8-193C-4081-866F-C8CCC4CD575A}"/>
    <cellStyle name="Note 2 2 2 3 2 4" xfId="28556" xr:uid="{0D865858-C735-4C31-BDB8-302BFC9C8B71}"/>
    <cellStyle name="Note 2 2 2 3 2 5" xfId="11683" xr:uid="{595575B9-89AD-4460-B2E0-FECEEDA6B098}"/>
    <cellStyle name="Note 2 2 2 3 3" xfId="5317" xr:uid="{00000000-0005-0000-0000-0000B1200000}"/>
    <cellStyle name="Note 2 2 2 3 3 2" xfId="22194" xr:uid="{23F59B3C-82DB-4D1E-B3CF-C7DF8EC6DE4A}"/>
    <cellStyle name="Note 2 2 2 3 3 3" xfId="30628" xr:uid="{E7049F02-97C8-427C-BF18-50C729F31A39}"/>
    <cellStyle name="Note 2 2 2 3 3 4" xfId="13756" xr:uid="{1FEC8147-B529-4F28-A451-1873B00DC50C}"/>
    <cellStyle name="Note 2 2 2 3 4" xfId="17976" xr:uid="{CBB969DF-C017-4D1A-BDA8-2218A873DC5B}"/>
    <cellStyle name="Note 2 2 2 3 5" xfId="26411" xr:uid="{CC7F9BD3-490A-4E90-B5DC-85EF8E61B209}"/>
    <cellStyle name="Note 2 2 2 3 6" xfId="9538" xr:uid="{95D808A4-0956-431A-8D08-EB3E440C8FC6}"/>
    <cellStyle name="Note 2 2 2 4" xfId="1422" xr:uid="{00000000-0005-0000-0000-0000B2200000}"/>
    <cellStyle name="Note 2 2 2 4 2" xfId="3652" xr:uid="{00000000-0005-0000-0000-0000B3200000}"/>
    <cellStyle name="Note 2 2 2 4 2 2" xfId="7875" xr:uid="{00000000-0005-0000-0000-0000B4200000}"/>
    <cellStyle name="Note 2 2 2 4 2 2 2" xfId="24752" xr:uid="{1BCC5538-490F-436E-BBE3-66B04225AFB4}"/>
    <cellStyle name="Note 2 2 2 4 2 2 3" xfId="33186" xr:uid="{1EBFDB0C-395E-402F-844A-60150A0E8A3C}"/>
    <cellStyle name="Note 2 2 2 4 2 2 4" xfId="16314" xr:uid="{BB264C93-3F2F-4806-8D8F-537184D20EC5}"/>
    <cellStyle name="Note 2 2 2 4 2 3" xfId="20534" xr:uid="{076208C4-3CC7-4964-BE19-B0A203559000}"/>
    <cellStyle name="Note 2 2 2 4 2 4" xfId="28969" xr:uid="{6306D87A-E1EF-4D8F-ACE2-71E03BC98AE0}"/>
    <cellStyle name="Note 2 2 2 4 2 5" xfId="12096" xr:uid="{B382B8DA-4CDF-4A6E-A185-B0E4B6C5D49C}"/>
    <cellStyle name="Note 2 2 2 4 3" xfId="5730" xr:uid="{00000000-0005-0000-0000-0000B5200000}"/>
    <cellStyle name="Note 2 2 2 4 3 2" xfId="22607" xr:uid="{F2BFFB6E-9800-4647-8933-9F6933098322}"/>
    <cellStyle name="Note 2 2 2 4 3 3" xfId="31041" xr:uid="{AF496291-EC68-4EF3-88B8-21991CCAB928}"/>
    <cellStyle name="Note 2 2 2 4 3 4" xfId="14169" xr:uid="{89EB3360-CD0C-4939-8E18-9D6DF51B8887}"/>
    <cellStyle name="Note 2 2 2 4 4" xfId="18389" xr:uid="{A3D81037-6548-438B-BF39-17F797FEE8E5}"/>
    <cellStyle name="Note 2 2 2 4 5" xfId="26824" xr:uid="{C44ED828-CCB9-466C-8DDF-99467CBBAB17}"/>
    <cellStyle name="Note 2 2 2 4 6" xfId="9951" xr:uid="{63CED6BE-7B5B-4F34-B154-5E7DAFF7D267}"/>
    <cellStyle name="Note 2 2 2 5" xfId="1836" xr:uid="{00000000-0005-0000-0000-0000B6200000}"/>
    <cellStyle name="Note 2 2 2 5 2" xfId="4065" xr:uid="{00000000-0005-0000-0000-0000B7200000}"/>
    <cellStyle name="Note 2 2 2 5 2 2" xfId="8288" xr:uid="{00000000-0005-0000-0000-0000B8200000}"/>
    <cellStyle name="Note 2 2 2 5 2 2 2" xfId="25165" xr:uid="{59039F9C-2C3B-48BB-B32E-D7862E5D26B3}"/>
    <cellStyle name="Note 2 2 2 5 2 2 3" xfId="33599" xr:uid="{BF4E6003-835A-42EE-B263-AE67A9CF10FB}"/>
    <cellStyle name="Note 2 2 2 5 2 2 4" xfId="16727" xr:uid="{62E4ED0D-87DE-46E3-8407-8F5847C8730F}"/>
    <cellStyle name="Note 2 2 2 5 2 3" xfId="20947" xr:uid="{5E323709-11E0-40A7-904C-DE9DC80C01F9}"/>
    <cellStyle name="Note 2 2 2 5 2 4" xfId="29382" xr:uid="{BB12A6B3-B5F6-4C2E-86D5-896528AF7D7D}"/>
    <cellStyle name="Note 2 2 2 5 2 5" xfId="12509" xr:uid="{97303E96-A72F-4430-9217-7A971199536B}"/>
    <cellStyle name="Note 2 2 2 5 3" xfId="6143" xr:uid="{00000000-0005-0000-0000-0000B9200000}"/>
    <cellStyle name="Note 2 2 2 5 3 2" xfId="23020" xr:uid="{E490FF07-32CC-4669-B2C8-31FA44F0EC65}"/>
    <cellStyle name="Note 2 2 2 5 3 3" xfId="31454" xr:uid="{F35DEE3B-E905-40BC-A2D4-DA553E594B76}"/>
    <cellStyle name="Note 2 2 2 5 3 4" xfId="14582" xr:uid="{C34B9A6F-5B26-4B0E-8ED5-2C5CC42340BD}"/>
    <cellStyle name="Note 2 2 2 5 4" xfId="18802" xr:uid="{A66C3838-6D4A-4F63-9E6E-CA3B5EFBA02D}"/>
    <cellStyle name="Note 2 2 2 5 5" xfId="27237" xr:uid="{0749F7FB-E11F-4178-919D-AF3F3F018B9E}"/>
    <cellStyle name="Note 2 2 2 5 6" xfId="10364" xr:uid="{C212A559-81F5-48B5-A497-D182A0409C72}"/>
    <cellStyle name="Note 2 2 2 6" xfId="2249" xr:uid="{00000000-0005-0000-0000-0000BA200000}"/>
    <cellStyle name="Note 2 2 2 6 2" xfId="4478" xr:uid="{00000000-0005-0000-0000-0000BB200000}"/>
    <cellStyle name="Note 2 2 2 6 2 2" xfId="8701" xr:uid="{00000000-0005-0000-0000-0000BC200000}"/>
    <cellStyle name="Note 2 2 2 6 2 2 2" xfId="25578" xr:uid="{B0CDE1A1-338C-4D3F-8870-53397192B8E4}"/>
    <cellStyle name="Note 2 2 2 6 2 2 3" xfId="34012" xr:uid="{6A45A65F-45FB-47A4-9591-7DD7AB8E1C4F}"/>
    <cellStyle name="Note 2 2 2 6 2 2 4" xfId="17140" xr:uid="{9FFC0AC4-FD56-4467-9199-217B173FA60B}"/>
    <cellStyle name="Note 2 2 2 6 2 3" xfId="21360" xr:uid="{B6993B31-1B57-49D3-A7EF-87223583B341}"/>
    <cellStyle name="Note 2 2 2 6 2 4" xfId="29795" xr:uid="{F287CA7F-2C88-4CDA-B1D9-0029E153F0A3}"/>
    <cellStyle name="Note 2 2 2 6 2 5" xfId="12922" xr:uid="{2D6B1D1E-0CF9-438B-8A6C-4B5D5BA5D3BC}"/>
    <cellStyle name="Note 2 2 2 6 3" xfId="6556" xr:uid="{00000000-0005-0000-0000-0000BD200000}"/>
    <cellStyle name="Note 2 2 2 6 3 2" xfId="23433" xr:uid="{B1B3758A-5BFB-4F1F-AA24-262417DFCE31}"/>
    <cellStyle name="Note 2 2 2 6 3 3" xfId="31867" xr:uid="{D32D56D0-8E7D-4765-86DD-26D0CDEAB7DD}"/>
    <cellStyle name="Note 2 2 2 6 3 4" xfId="14995" xr:uid="{44615529-3DAC-4B6A-AC2E-0AA4783EF5E5}"/>
    <cellStyle name="Note 2 2 2 6 4" xfId="19215" xr:uid="{E94022F5-8AB1-4C17-988F-8EFB7DCB6446}"/>
    <cellStyle name="Note 2 2 2 6 5" xfId="27650" xr:uid="{A95CF58C-16FC-4AFC-86CE-F0796A30D3A2}"/>
    <cellStyle name="Note 2 2 2 6 6" xfId="10777" xr:uid="{73847556-343C-4AEB-8795-7B70ACD46FD3}"/>
    <cellStyle name="Note 2 2 2 7" xfId="2685" xr:uid="{00000000-0005-0000-0000-0000BE200000}"/>
    <cellStyle name="Note 2 2 2 7 2" xfId="6969" xr:uid="{00000000-0005-0000-0000-0000BF200000}"/>
    <cellStyle name="Note 2 2 2 7 2 2" xfId="23846" xr:uid="{C7453C62-8D71-4008-9596-400A78E0E25C}"/>
    <cellStyle name="Note 2 2 2 7 2 3" xfId="32280" xr:uid="{62653B76-A46C-4B3D-94E7-AD6F2AED730B}"/>
    <cellStyle name="Note 2 2 2 7 2 4" xfId="15408" xr:uid="{40282537-DE95-4BC7-80DF-09385B5E6C5B}"/>
    <cellStyle name="Note 2 2 2 7 3" xfId="19628" xr:uid="{6BB5C6B4-E88C-4405-A707-FE105F6269CA}"/>
    <cellStyle name="Note 2 2 2 7 4" xfId="28063" xr:uid="{ED312BC3-0334-4BA0-894F-4DD755DDB652}"/>
    <cellStyle name="Note 2 2 2 7 5" xfId="11190" xr:uid="{83BB7D5C-BE0F-4DF4-8EBA-0F5F37CF55E3}"/>
    <cellStyle name="Note 2 2 2 8" xfId="2744" xr:uid="{00000000-0005-0000-0000-0000C0200000}"/>
    <cellStyle name="Note 2 2 2 9" xfId="2825" xr:uid="{00000000-0005-0000-0000-0000C1200000}"/>
    <cellStyle name="Note 2 2 2 9 2" xfId="7049" xr:uid="{00000000-0005-0000-0000-0000C2200000}"/>
    <cellStyle name="Note 2 2 2 9 2 2" xfId="23926" xr:uid="{4C854A09-9133-49CE-BB55-4FA9F72BA0D3}"/>
    <cellStyle name="Note 2 2 2 9 2 3" xfId="32360" xr:uid="{E3F8809C-A2D7-4E9C-A168-CE5626A8A987}"/>
    <cellStyle name="Note 2 2 2 9 2 4" xfId="15488" xr:uid="{D472991B-740C-4971-B1E8-F719EE0DE36F}"/>
    <cellStyle name="Note 2 2 2 9 3" xfId="19708" xr:uid="{FB3F283E-2872-4571-9ACB-3D701532F183}"/>
    <cellStyle name="Note 2 2 2 9 4" xfId="28143" xr:uid="{D3680299-E9CC-4E53-A210-ACAFE690589B}"/>
    <cellStyle name="Note 2 2 2 9 5" xfId="11270" xr:uid="{5AC19A90-6C34-4DA4-8E6C-C682A72ACD47}"/>
    <cellStyle name="Note 2 2 3" xfId="548" xr:uid="{00000000-0005-0000-0000-0000C3200000}"/>
    <cellStyle name="Note 2 2 3 10" xfId="17565" xr:uid="{E9671DCE-37CF-4EC2-B84B-8250EED4B6F7}"/>
    <cellStyle name="Note 2 2 3 11" xfId="26000" xr:uid="{136A490D-765E-496A-926E-37AC503674D6}"/>
    <cellStyle name="Note 2 2 3 12" xfId="9127" xr:uid="{CDBA1B99-AB09-4A68-9F4D-5DDFDD765C23}"/>
    <cellStyle name="Note 2 2 3 2" xfId="1009" xr:uid="{00000000-0005-0000-0000-0000C4200000}"/>
    <cellStyle name="Note 2 2 3 2 2" xfId="3241" xr:uid="{00000000-0005-0000-0000-0000C5200000}"/>
    <cellStyle name="Note 2 2 3 2 2 2" xfId="7464" xr:uid="{00000000-0005-0000-0000-0000C6200000}"/>
    <cellStyle name="Note 2 2 3 2 2 2 2" xfId="24341" xr:uid="{7D6FC457-006C-4E06-979A-B6BC977FFA7B}"/>
    <cellStyle name="Note 2 2 3 2 2 2 3" xfId="32775" xr:uid="{18384B81-E625-4D0C-8EF6-21031DEE07C1}"/>
    <cellStyle name="Note 2 2 3 2 2 2 4" xfId="15903" xr:uid="{11702F32-2B31-4B83-803D-46FF7D61C2BE}"/>
    <cellStyle name="Note 2 2 3 2 2 3" xfId="20123" xr:uid="{6E17772C-5D82-4A3B-82BC-0EED3E8A6EB0}"/>
    <cellStyle name="Note 2 2 3 2 2 4" xfId="28558" xr:uid="{3547F8D1-7540-4B47-BD5C-F54123EB21AF}"/>
    <cellStyle name="Note 2 2 3 2 2 5" xfId="11685" xr:uid="{E3B27926-A953-4E90-BD57-050C36BAA00A}"/>
    <cellStyle name="Note 2 2 3 2 3" xfId="5319" xr:uid="{00000000-0005-0000-0000-0000C7200000}"/>
    <cellStyle name="Note 2 2 3 2 3 2" xfId="22196" xr:uid="{7616B516-5F1E-45A0-B23D-74E1D65124A6}"/>
    <cellStyle name="Note 2 2 3 2 3 3" xfId="30630" xr:uid="{D66AD726-CABD-4C70-BEC4-B1BFB69EBAC0}"/>
    <cellStyle name="Note 2 2 3 2 3 4" xfId="13758" xr:uid="{00EEB4E5-8E70-43E7-B557-278B8FA0F21F}"/>
    <cellStyle name="Note 2 2 3 2 4" xfId="17978" xr:uid="{74A0B6BA-00D2-457F-8F1F-668AD4E22E3F}"/>
    <cellStyle name="Note 2 2 3 2 5" xfId="26413" xr:uid="{BDB75D48-D9D4-4CAA-8F6D-310F409DA622}"/>
    <cellStyle name="Note 2 2 3 2 6" xfId="9540" xr:uid="{E102B30A-ADCD-49B6-B593-D6361542A216}"/>
    <cellStyle name="Note 2 2 3 3" xfId="1424" xr:uid="{00000000-0005-0000-0000-0000C8200000}"/>
    <cellStyle name="Note 2 2 3 3 2" xfId="3654" xr:uid="{00000000-0005-0000-0000-0000C9200000}"/>
    <cellStyle name="Note 2 2 3 3 2 2" xfId="7877" xr:uid="{00000000-0005-0000-0000-0000CA200000}"/>
    <cellStyle name="Note 2 2 3 3 2 2 2" xfId="24754" xr:uid="{2B913108-08AB-4047-A5A5-7EA1394CB5B5}"/>
    <cellStyle name="Note 2 2 3 3 2 2 3" xfId="33188" xr:uid="{EE520C70-BA9F-4E41-AF03-D6DF4FF5E8C1}"/>
    <cellStyle name="Note 2 2 3 3 2 2 4" xfId="16316" xr:uid="{C7E872EA-C63B-46D1-A802-33BD7007624A}"/>
    <cellStyle name="Note 2 2 3 3 2 3" xfId="20536" xr:uid="{F1E8F4B9-B8B7-4A56-BC0A-6F3FF35C4218}"/>
    <cellStyle name="Note 2 2 3 3 2 4" xfId="28971" xr:uid="{605B7418-EEA0-4061-BC9C-9C40AA52052F}"/>
    <cellStyle name="Note 2 2 3 3 2 5" xfId="12098" xr:uid="{5ABD4F02-0E1C-445C-A9FE-7DC83005B707}"/>
    <cellStyle name="Note 2 2 3 3 3" xfId="5732" xr:uid="{00000000-0005-0000-0000-0000CB200000}"/>
    <cellStyle name="Note 2 2 3 3 3 2" xfId="22609" xr:uid="{0DF12F47-D645-4DDD-B2B9-6401C7F0E305}"/>
    <cellStyle name="Note 2 2 3 3 3 3" xfId="31043" xr:uid="{A487205E-09A5-4FF6-A623-2C0D7F281B61}"/>
    <cellStyle name="Note 2 2 3 3 3 4" xfId="14171" xr:uid="{2659BA7B-CED4-44A5-BFB4-CB95BA29B4A3}"/>
    <cellStyle name="Note 2 2 3 3 4" xfId="18391" xr:uid="{7287FDB5-60E8-4D63-9680-E9F00BA7B142}"/>
    <cellStyle name="Note 2 2 3 3 5" xfId="26826" xr:uid="{670186A8-B00A-47EA-85EF-FD0422CBEDE3}"/>
    <cellStyle name="Note 2 2 3 3 6" xfId="9953" xr:uid="{71F9DB49-C280-44DA-A3B8-14A811027AEC}"/>
    <cellStyle name="Note 2 2 3 4" xfId="1838" xr:uid="{00000000-0005-0000-0000-0000CC200000}"/>
    <cellStyle name="Note 2 2 3 4 2" xfId="4067" xr:uid="{00000000-0005-0000-0000-0000CD200000}"/>
    <cellStyle name="Note 2 2 3 4 2 2" xfId="8290" xr:uid="{00000000-0005-0000-0000-0000CE200000}"/>
    <cellStyle name="Note 2 2 3 4 2 2 2" xfId="25167" xr:uid="{346C66AE-20F8-418C-92C9-570B2E818FBE}"/>
    <cellStyle name="Note 2 2 3 4 2 2 3" xfId="33601" xr:uid="{5E9FA8E3-7E58-4163-96FA-0830A2F435F5}"/>
    <cellStyle name="Note 2 2 3 4 2 2 4" xfId="16729" xr:uid="{9AB5D449-FA10-435E-BC9C-38058253421D}"/>
    <cellStyle name="Note 2 2 3 4 2 3" xfId="20949" xr:uid="{4F8F167C-C956-42AD-9370-5B0E482EDBB1}"/>
    <cellStyle name="Note 2 2 3 4 2 4" xfId="29384" xr:uid="{92A1D3E0-94B9-45D0-A149-43DFE4E7FBD1}"/>
    <cellStyle name="Note 2 2 3 4 2 5" xfId="12511" xr:uid="{CF1538DC-9B73-43D6-B37B-C1F7EAD04C70}"/>
    <cellStyle name="Note 2 2 3 4 3" xfId="6145" xr:uid="{00000000-0005-0000-0000-0000CF200000}"/>
    <cellStyle name="Note 2 2 3 4 3 2" xfId="23022" xr:uid="{84E11A89-4D17-40D0-BEFC-80EC1412F2C7}"/>
    <cellStyle name="Note 2 2 3 4 3 3" xfId="31456" xr:uid="{263B21B8-4DF0-4B07-AFE6-949529D5C149}"/>
    <cellStyle name="Note 2 2 3 4 3 4" xfId="14584" xr:uid="{C48407BC-BEDC-4DE4-884B-95BED1561B4F}"/>
    <cellStyle name="Note 2 2 3 4 4" xfId="18804" xr:uid="{4A62C4A5-7028-452E-92CA-E4E6E6799494}"/>
    <cellStyle name="Note 2 2 3 4 5" xfId="27239" xr:uid="{F31C67AB-0D10-4A12-B806-1885D8A693B9}"/>
    <cellStyle name="Note 2 2 3 4 6" xfId="10366" xr:uid="{07ABEEF1-298C-42AC-AD9D-E696AF5E1FDA}"/>
    <cellStyle name="Note 2 2 3 5" xfId="2251" xr:uid="{00000000-0005-0000-0000-0000D0200000}"/>
    <cellStyle name="Note 2 2 3 5 2" xfId="4480" xr:uid="{00000000-0005-0000-0000-0000D1200000}"/>
    <cellStyle name="Note 2 2 3 5 2 2" xfId="8703" xr:uid="{00000000-0005-0000-0000-0000D2200000}"/>
    <cellStyle name="Note 2 2 3 5 2 2 2" xfId="25580" xr:uid="{74722427-6535-4991-885B-793A2871492B}"/>
    <cellStyle name="Note 2 2 3 5 2 2 3" xfId="34014" xr:uid="{031968FA-8D57-4229-BDAD-2B3730A1B29D}"/>
    <cellStyle name="Note 2 2 3 5 2 2 4" xfId="17142" xr:uid="{E6032224-9315-4472-A266-02098D4C43E9}"/>
    <cellStyle name="Note 2 2 3 5 2 3" xfId="21362" xr:uid="{3ADE4D6B-3676-459E-9C09-D4233ED3FD34}"/>
    <cellStyle name="Note 2 2 3 5 2 4" xfId="29797" xr:uid="{A79AB4A4-4C29-4C56-B8DD-1588A18F3E2F}"/>
    <cellStyle name="Note 2 2 3 5 2 5" xfId="12924" xr:uid="{089924EA-4F47-471F-8211-3407C001479B}"/>
    <cellStyle name="Note 2 2 3 5 3" xfId="6558" xr:uid="{00000000-0005-0000-0000-0000D3200000}"/>
    <cellStyle name="Note 2 2 3 5 3 2" xfId="23435" xr:uid="{1D21B73A-8791-4AA7-8CBD-67904129B8D9}"/>
    <cellStyle name="Note 2 2 3 5 3 3" xfId="31869" xr:uid="{AFE7E2F9-0165-4A18-B508-2077F8C612E0}"/>
    <cellStyle name="Note 2 2 3 5 3 4" xfId="14997" xr:uid="{EE75E8C0-600C-473D-8DC3-DC0157033A12}"/>
    <cellStyle name="Note 2 2 3 5 4" xfId="19217" xr:uid="{E5C8AEF1-BFDA-4123-92B2-CCB68054F8BE}"/>
    <cellStyle name="Note 2 2 3 5 5" xfId="27652" xr:uid="{27C0F5F6-F937-4552-A078-57FC3A348586}"/>
    <cellStyle name="Note 2 2 3 5 6" xfId="10779" xr:uid="{322BCC99-19EA-4A2B-BEB2-A26F29CD78E1}"/>
    <cellStyle name="Note 2 2 3 6" xfId="2687" xr:uid="{00000000-0005-0000-0000-0000D4200000}"/>
    <cellStyle name="Note 2 2 3 6 2" xfId="6971" xr:uid="{00000000-0005-0000-0000-0000D5200000}"/>
    <cellStyle name="Note 2 2 3 6 2 2" xfId="23848" xr:uid="{B6D39548-0514-48BB-85F8-5D8C903BCAB1}"/>
    <cellStyle name="Note 2 2 3 6 2 3" xfId="32282" xr:uid="{6FB238A4-110B-4DB3-B0D2-414792D2D452}"/>
    <cellStyle name="Note 2 2 3 6 2 4" xfId="15410" xr:uid="{C8EE9BA3-B0D6-4405-8A14-898CF833DC2C}"/>
    <cellStyle name="Note 2 2 3 6 3" xfId="19630" xr:uid="{299623EA-6F84-4B4A-B8A6-22BC97707801}"/>
    <cellStyle name="Note 2 2 3 6 4" xfId="28065" xr:uid="{22C47E8E-466E-4111-96E3-87678D75106B}"/>
    <cellStyle name="Note 2 2 3 6 5" xfId="11192" xr:uid="{298BA3F5-3CFC-4E30-9236-821DFE2EBAEF}"/>
    <cellStyle name="Note 2 2 3 7" xfId="2746" xr:uid="{00000000-0005-0000-0000-0000D6200000}"/>
    <cellStyle name="Note 2 2 3 8" xfId="2827" xr:uid="{00000000-0005-0000-0000-0000D7200000}"/>
    <cellStyle name="Note 2 2 3 8 2" xfId="7051" xr:uid="{00000000-0005-0000-0000-0000D8200000}"/>
    <cellStyle name="Note 2 2 3 8 2 2" xfId="23928" xr:uid="{A1C110BD-41AF-49BF-B343-7A1BBF01DC20}"/>
    <cellStyle name="Note 2 2 3 8 2 3" xfId="32362" xr:uid="{A9DD3C32-1381-4B5B-80B9-25CC24EE8348}"/>
    <cellStyle name="Note 2 2 3 8 2 4" xfId="15490" xr:uid="{AC55D428-7D55-4A34-9D5C-BC36C05D0253}"/>
    <cellStyle name="Note 2 2 3 8 3" xfId="19710" xr:uid="{B572DC39-1B97-4D2E-824A-1E8C9055E24F}"/>
    <cellStyle name="Note 2 2 3 8 4" xfId="28145" xr:uid="{B6078358-AFF4-41A5-82E3-7FE2E368224C}"/>
    <cellStyle name="Note 2 2 3 8 5" xfId="11272" xr:uid="{C721F19D-20D4-4D5F-A204-729FB1C89EBA}"/>
    <cellStyle name="Note 2 2 3 9" xfId="4906" xr:uid="{00000000-0005-0000-0000-0000D9200000}"/>
    <cellStyle name="Note 2 2 3 9 2" xfId="21783" xr:uid="{D08E8D57-4BB6-4B67-928E-69846646BF6F}"/>
    <cellStyle name="Note 2 2 3 9 3" xfId="30217" xr:uid="{CBC0D624-9FF8-4737-9958-7A4430537670}"/>
    <cellStyle name="Note 2 2 3 9 4" xfId="13345" xr:uid="{86024701-C5B6-49BD-B319-590F86EF45AE}"/>
    <cellStyle name="Note 2 2 4" xfId="1006" xr:uid="{00000000-0005-0000-0000-0000DA200000}"/>
    <cellStyle name="Note 2 2 4 2" xfId="3238" xr:uid="{00000000-0005-0000-0000-0000DB200000}"/>
    <cellStyle name="Note 2 2 4 2 2" xfId="7461" xr:uid="{00000000-0005-0000-0000-0000DC200000}"/>
    <cellStyle name="Note 2 2 4 2 2 2" xfId="24338" xr:uid="{52A38A67-E5B5-4F20-8A92-8C25438BC175}"/>
    <cellStyle name="Note 2 2 4 2 2 3" xfId="32772" xr:uid="{2BDCA6BC-B98E-4F0D-A7ED-4F79CBE5262F}"/>
    <cellStyle name="Note 2 2 4 2 2 4" xfId="15900" xr:uid="{13230F9F-E8A9-4B97-8A36-313D4F62F736}"/>
    <cellStyle name="Note 2 2 4 2 3" xfId="20120" xr:uid="{0BAC1C72-13F3-482B-A47B-6E093AF8F57D}"/>
    <cellStyle name="Note 2 2 4 2 4" xfId="28555" xr:uid="{D9206F71-927C-45ED-8B1C-24F4AD5DC6B5}"/>
    <cellStyle name="Note 2 2 4 2 5" xfId="11682" xr:uid="{3142802D-EE79-467F-AD17-E981666AF5A8}"/>
    <cellStyle name="Note 2 2 4 3" xfId="5316" xr:uid="{00000000-0005-0000-0000-0000DD200000}"/>
    <cellStyle name="Note 2 2 4 3 2" xfId="22193" xr:uid="{3DF06F75-68AE-4540-9724-DC31532355A6}"/>
    <cellStyle name="Note 2 2 4 3 3" xfId="30627" xr:uid="{BA4109A4-6317-4B1B-A9E8-6F30E118E6D2}"/>
    <cellStyle name="Note 2 2 4 3 4" xfId="13755" xr:uid="{833DA6EA-0FFF-42B2-9750-3FD8977DA69E}"/>
    <cellStyle name="Note 2 2 4 4" xfId="17975" xr:uid="{35621975-3F8B-48B2-A3B3-7185FFA21C5A}"/>
    <cellStyle name="Note 2 2 4 5" xfId="26410" xr:uid="{F2BF8273-8CB5-4521-B38E-073753DE847E}"/>
    <cellStyle name="Note 2 2 4 6" xfId="9537" xr:uid="{DC77621D-C39F-440B-A075-2F5C7EE3749A}"/>
    <cellStyle name="Note 2 2 5" xfId="1421" xr:uid="{00000000-0005-0000-0000-0000DE200000}"/>
    <cellStyle name="Note 2 2 5 2" xfId="3651" xr:uid="{00000000-0005-0000-0000-0000DF200000}"/>
    <cellStyle name="Note 2 2 5 2 2" xfId="7874" xr:uid="{00000000-0005-0000-0000-0000E0200000}"/>
    <cellStyle name="Note 2 2 5 2 2 2" xfId="24751" xr:uid="{7E64CB09-B019-47E5-8874-774ABC0BF3DF}"/>
    <cellStyle name="Note 2 2 5 2 2 3" xfId="33185" xr:uid="{F4C33371-1D33-4502-99C9-993704B6E817}"/>
    <cellStyle name="Note 2 2 5 2 2 4" xfId="16313" xr:uid="{C9B1CBD2-75D7-4DA7-9345-2741082ED1A5}"/>
    <cellStyle name="Note 2 2 5 2 3" xfId="20533" xr:uid="{3E2868CF-ECF3-4B02-AD5A-6E590B0F99D5}"/>
    <cellStyle name="Note 2 2 5 2 4" xfId="28968" xr:uid="{F94D5C20-48B6-4DCE-96AA-B8DF00B916F7}"/>
    <cellStyle name="Note 2 2 5 2 5" xfId="12095" xr:uid="{07A2C0CC-4486-42D1-BD5D-C97F56081B72}"/>
    <cellStyle name="Note 2 2 5 3" xfId="5729" xr:uid="{00000000-0005-0000-0000-0000E1200000}"/>
    <cellStyle name="Note 2 2 5 3 2" xfId="22606" xr:uid="{A887EBA8-7FCE-4F1A-AFAA-61A095C1F176}"/>
    <cellStyle name="Note 2 2 5 3 3" xfId="31040" xr:uid="{CDC31C78-6A8C-4CDC-A036-2C9EC2024131}"/>
    <cellStyle name="Note 2 2 5 3 4" xfId="14168" xr:uid="{44540B83-1CCF-4CCE-8A7B-617C5DF4095A}"/>
    <cellStyle name="Note 2 2 5 4" xfId="18388" xr:uid="{04DAB338-E693-47E4-AEE4-C8A861C7991E}"/>
    <cellStyle name="Note 2 2 5 5" xfId="26823" xr:uid="{8D8A316C-A812-4618-93F1-760FAD8543DF}"/>
    <cellStyle name="Note 2 2 5 6" xfId="9950" xr:uid="{53F1B802-C05E-4EC9-A93D-F993CC6E41C5}"/>
    <cellStyle name="Note 2 2 6" xfId="1835" xr:uid="{00000000-0005-0000-0000-0000E2200000}"/>
    <cellStyle name="Note 2 2 6 2" xfId="4064" xr:uid="{00000000-0005-0000-0000-0000E3200000}"/>
    <cellStyle name="Note 2 2 6 2 2" xfId="8287" xr:uid="{00000000-0005-0000-0000-0000E4200000}"/>
    <cellStyle name="Note 2 2 6 2 2 2" xfId="25164" xr:uid="{859F39B2-C844-499A-9769-D784361794D2}"/>
    <cellStyle name="Note 2 2 6 2 2 3" xfId="33598" xr:uid="{2BB24B08-77F8-4CBE-BD39-B278EBB6FDD0}"/>
    <cellStyle name="Note 2 2 6 2 2 4" xfId="16726" xr:uid="{EAA5F2B8-9BF0-4347-AF56-E807230DD5D6}"/>
    <cellStyle name="Note 2 2 6 2 3" xfId="20946" xr:uid="{6AA67858-89A5-4DBD-B733-2E4565BDC1A9}"/>
    <cellStyle name="Note 2 2 6 2 4" xfId="29381" xr:uid="{B29CFB01-DAAC-42CD-BC4C-1D076A350C79}"/>
    <cellStyle name="Note 2 2 6 2 5" xfId="12508" xr:uid="{4275507D-B6F2-4A08-84BE-07149EFAA5AD}"/>
    <cellStyle name="Note 2 2 6 3" xfId="6142" xr:uid="{00000000-0005-0000-0000-0000E5200000}"/>
    <cellStyle name="Note 2 2 6 3 2" xfId="23019" xr:uid="{F86C7A42-2BD8-46F6-B506-AD94D9F63049}"/>
    <cellStyle name="Note 2 2 6 3 3" xfId="31453" xr:uid="{7C6B4958-CF50-4DC9-9105-3E99E400542B}"/>
    <cellStyle name="Note 2 2 6 3 4" xfId="14581" xr:uid="{773ABC7A-04D2-463A-88D8-11CF4A917276}"/>
    <cellStyle name="Note 2 2 6 4" xfId="18801" xr:uid="{B8364148-617E-41E3-B802-9720A147BB2F}"/>
    <cellStyle name="Note 2 2 6 5" xfId="27236" xr:uid="{5496D523-5696-438C-A507-918630DE5A94}"/>
    <cellStyle name="Note 2 2 6 6" xfId="10363" xr:uid="{4C6BF741-3DEB-4ED9-99DD-35EE1BA72483}"/>
    <cellStyle name="Note 2 2 7" xfId="2248" xr:uid="{00000000-0005-0000-0000-0000E6200000}"/>
    <cellStyle name="Note 2 2 7 2" xfId="4477" xr:uid="{00000000-0005-0000-0000-0000E7200000}"/>
    <cellStyle name="Note 2 2 7 2 2" xfId="8700" xr:uid="{00000000-0005-0000-0000-0000E8200000}"/>
    <cellStyle name="Note 2 2 7 2 2 2" xfId="25577" xr:uid="{4EC1BEE4-0E2E-40F8-85FB-8097ACA70810}"/>
    <cellStyle name="Note 2 2 7 2 2 3" xfId="34011" xr:uid="{542FB38D-D80A-4F1C-B9B3-7EE4CE13E14A}"/>
    <cellStyle name="Note 2 2 7 2 2 4" xfId="17139" xr:uid="{BEFAA380-EB9C-4D38-AC95-CCC15564F501}"/>
    <cellStyle name="Note 2 2 7 2 3" xfId="21359" xr:uid="{C1B2776F-E1EA-4487-93BC-142CC4B35C7B}"/>
    <cellStyle name="Note 2 2 7 2 4" xfId="29794" xr:uid="{3738C94E-DB40-4358-B0E3-0F62D1B040CD}"/>
    <cellStyle name="Note 2 2 7 2 5" xfId="12921" xr:uid="{2B0880D2-F7AD-43CC-B5DA-947B38C3D752}"/>
    <cellStyle name="Note 2 2 7 3" xfId="6555" xr:uid="{00000000-0005-0000-0000-0000E9200000}"/>
    <cellStyle name="Note 2 2 7 3 2" xfId="23432" xr:uid="{460B9B5C-E16C-4F8D-8172-AD7991EFD994}"/>
    <cellStyle name="Note 2 2 7 3 3" xfId="31866" xr:uid="{7381D4F4-11DF-4EBA-99A5-AC66FB0DB381}"/>
    <cellStyle name="Note 2 2 7 3 4" xfId="14994" xr:uid="{32945C66-0F15-452B-B9D3-E985A48D4B23}"/>
    <cellStyle name="Note 2 2 7 4" xfId="19214" xr:uid="{0A6654CE-2185-4681-9FE8-342BCC935125}"/>
    <cellStyle name="Note 2 2 7 5" xfId="27649" xr:uid="{0280A35D-AD3A-4456-A19B-E020B6289B6F}"/>
    <cellStyle name="Note 2 2 7 6" xfId="10776" xr:uid="{C74AFA95-3541-4A13-94F7-78B0F5137D5A}"/>
    <cellStyle name="Note 2 2 8" xfId="2684" xr:uid="{00000000-0005-0000-0000-0000EA200000}"/>
    <cellStyle name="Note 2 2 8 2" xfId="6968" xr:uid="{00000000-0005-0000-0000-0000EB200000}"/>
    <cellStyle name="Note 2 2 8 2 2" xfId="23845" xr:uid="{3ECF07FB-DFD8-463A-A152-BB95731E9E2E}"/>
    <cellStyle name="Note 2 2 8 2 3" xfId="32279" xr:uid="{332D6718-E988-4D7C-B015-193E02233F0B}"/>
    <cellStyle name="Note 2 2 8 2 4" xfId="15407" xr:uid="{D04659E5-B283-433B-BDCC-B7FEA03348A4}"/>
    <cellStyle name="Note 2 2 8 3" xfId="19627" xr:uid="{74E50C5D-BFDA-4285-9963-A18799104A51}"/>
    <cellStyle name="Note 2 2 8 4" xfId="28062" xr:uid="{2930DA9F-D569-4208-ACC7-7D731064327F}"/>
    <cellStyle name="Note 2 2 8 5" xfId="11189" xr:uid="{2468C6FE-41DC-4255-AC52-7F4F6F31C419}"/>
    <cellStyle name="Note 2 2 9" xfId="2743" xr:uid="{00000000-0005-0000-0000-0000EC200000}"/>
    <cellStyle name="Note 2 3" xfId="549" xr:uid="{00000000-0005-0000-0000-0000ED200000}"/>
    <cellStyle name="Note 2 3 10" xfId="4907" xr:uid="{00000000-0005-0000-0000-0000EE200000}"/>
    <cellStyle name="Note 2 3 10 2" xfId="21784" xr:uid="{4C168B5F-46DE-4026-868B-460506FF4465}"/>
    <cellStyle name="Note 2 3 10 3" xfId="30218" xr:uid="{71E291C1-21AD-4B3F-98B8-5D4FA5AEB993}"/>
    <cellStyle name="Note 2 3 10 4" xfId="13346" xr:uid="{3B8888E8-21D2-4E40-B7B8-6A9F42C5AFCD}"/>
    <cellStyle name="Note 2 3 11" xfId="17566" xr:uid="{300F7414-B5DF-4776-8155-B70A0DCD8FE2}"/>
    <cellStyle name="Note 2 3 12" xfId="26001" xr:uid="{CFEDF6FE-904E-46FE-9870-1A608EB49441}"/>
    <cellStyle name="Note 2 3 13" xfId="9128" xr:uid="{1944E379-ABD2-4C20-BCAB-03E2F0A218E0}"/>
    <cellStyle name="Note 2 3 2" xfId="550" xr:uid="{00000000-0005-0000-0000-0000EF200000}"/>
    <cellStyle name="Note 2 3 2 10" xfId="17567" xr:uid="{445784A7-11FD-45C5-889B-9086D37B909F}"/>
    <cellStyle name="Note 2 3 2 11" xfId="26002" xr:uid="{2BF7FC3C-CE53-4431-B4B1-171724641047}"/>
    <cellStyle name="Note 2 3 2 12" xfId="9129" xr:uid="{34BCAD96-35FE-4270-83F6-1F5926CB1E50}"/>
    <cellStyle name="Note 2 3 2 2" xfId="1011" xr:uid="{00000000-0005-0000-0000-0000F0200000}"/>
    <cellStyle name="Note 2 3 2 2 2" xfId="3243" xr:uid="{00000000-0005-0000-0000-0000F1200000}"/>
    <cellStyle name="Note 2 3 2 2 2 2" xfId="7466" xr:uid="{00000000-0005-0000-0000-0000F2200000}"/>
    <cellStyle name="Note 2 3 2 2 2 2 2" xfId="24343" xr:uid="{9E7E5FB3-C821-4963-A1B2-CDD5C86A74AA}"/>
    <cellStyle name="Note 2 3 2 2 2 2 3" xfId="32777" xr:uid="{032E1B55-8567-4062-81D4-C2D3664F7BFC}"/>
    <cellStyle name="Note 2 3 2 2 2 2 4" xfId="15905" xr:uid="{4C39315D-43D0-451F-A141-55FC0E0EEBCC}"/>
    <cellStyle name="Note 2 3 2 2 2 3" xfId="20125" xr:uid="{5637CF88-831F-4EF1-BCE4-F4AC2614D42D}"/>
    <cellStyle name="Note 2 3 2 2 2 4" xfId="28560" xr:uid="{84DEF523-38E8-4D79-8910-000002FC1817}"/>
    <cellStyle name="Note 2 3 2 2 2 5" xfId="11687" xr:uid="{7000E23D-A666-4D80-B396-8E108CBCAB8F}"/>
    <cellStyle name="Note 2 3 2 2 3" xfId="5321" xr:uid="{00000000-0005-0000-0000-0000F3200000}"/>
    <cellStyle name="Note 2 3 2 2 3 2" xfId="22198" xr:uid="{38A46F20-104E-481C-91AC-C76B0C1F048B}"/>
    <cellStyle name="Note 2 3 2 2 3 3" xfId="30632" xr:uid="{F85D9DEB-B465-4661-AC7C-1602A795087B}"/>
    <cellStyle name="Note 2 3 2 2 3 4" xfId="13760" xr:uid="{E080ABFD-7A09-4FE9-94FC-3471655624D3}"/>
    <cellStyle name="Note 2 3 2 2 4" xfId="17980" xr:uid="{DF4322B0-1EE4-4AA1-BF12-A07DD34DB934}"/>
    <cellStyle name="Note 2 3 2 2 5" xfId="26415" xr:uid="{21C1D9B5-FBD8-48F6-BBCC-608A49C5EB75}"/>
    <cellStyle name="Note 2 3 2 2 6" xfId="9542" xr:uid="{1282C6F6-489A-459C-B5ED-CC315A10D148}"/>
    <cellStyle name="Note 2 3 2 3" xfId="1426" xr:uid="{00000000-0005-0000-0000-0000F4200000}"/>
    <cellStyle name="Note 2 3 2 3 2" xfId="3656" xr:uid="{00000000-0005-0000-0000-0000F5200000}"/>
    <cellStyle name="Note 2 3 2 3 2 2" xfId="7879" xr:uid="{00000000-0005-0000-0000-0000F6200000}"/>
    <cellStyle name="Note 2 3 2 3 2 2 2" xfId="24756" xr:uid="{0962C2E3-7B8B-4729-9F9F-163AA326BAE1}"/>
    <cellStyle name="Note 2 3 2 3 2 2 3" xfId="33190" xr:uid="{E58190BA-A646-45BA-8A2B-557062A5A04E}"/>
    <cellStyle name="Note 2 3 2 3 2 2 4" xfId="16318" xr:uid="{72AA5B76-C363-46F9-BCA9-C601AE930052}"/>
    <cellStyle name="Note 2 3 2 3 2 3" xfId="20538" xr:uid="{32AD368D-D897-4FB8-93A8-C9B3A536C41C}"/>
    <cellStyle name="Note 2 3 2 3 2 4" xfId="28973" xr:uid="{246CB163-7847-43AC-9181-B12EB1E7A15C}"/>
    <cellStyle name="Note 2 3 2 3 2 5" xfId="12100" xr:uid="{D33D485E-9870-4A19-9B06-86D2995D594A}"/>
    <cellStyle name="Note 2 3 2 3 3" xfId="5734" xr:uid="{00000000-0005-0000-0000-0000F7200000}"/>
    <cellStyle name="Note 2 3 2 3 3 2" xfId="22611" xr:uid="{B840E35A-265A-4314-8731-A10D7B88DB0D}"/>
    <cellStyle name="Note 2 3 2 3 3 3" xfId="31045" xr:uid="{43431C2B-2996-453F-B0EB-5686670A4CAF}"/>
    <cellStyle name="Note 2 3 2 3 3 4" xfId="14173" xr:uid="{8A44F005-FC41-4A79-AE0F-EAD130971A43}"/>
    <cellStyle name="Note 2 3 2 3 4" xfId="18393" xr:uid="{EBC81064-677A-4052-9551-5A21E34D8C89}"/>
    <cellStyle name="Note 2 3 2 3 5" xfId="26828" xr:uid="{C5CC14DD-DB72-41BF-962D-5B0094B82B5D}"/>
    <cellStyle name="Note 2 3 2 3 6" xfId="9955" xr:uid="{7782ACBC-E3E7-4FA6-A72A-9DC3D5D4B3EB}"/>
    <cellStyle name="Note 2 3 2 4" xfId="1840" xr:uid="{00000000-0005-0000-0000-0000F8200000}"/>
    <cellStyle name="Note 2 3 2 4 2" xfId="4069" xr:uid="{00000000-0005-0000-0000-0000F9200000}"/>
    <cellStyle name="Note 2 3 2 4 2 2" xfId="8292" xr:uid="{00000000-0005-0000-0000-0000FA200000}"/>
    <cellStyle name="Note 2 3 2 4 2 2 2" xfId="25169" xr:uid="{93DF8578-912F-471E-8C7F-99B4D50000E3}"/>
    <cellStyle name="Note 2 3 2 4 2 2 3" xfId="33603" xr:uid="{CF5CD290-35C2-4313-9D62-E7EC4EF8B861}"/>
    <cellStyle name="Note 2 3 2 4 2 2 4" xfId="16731" xr:uid="{6CCF5CAF-334B-4087-BE47-E6EF8A97B28D}"/>
    <cellStyle name="Note 2 3 2 4 2 3" xfId="20951" xr:uid="{4C6C7491-21A2-46ED-A669-28AEDC373578}"/>
    <cellStyle name="Note 2 3 2 4 2 4" xfId="29386" xr:uid="{EA1CA0FA-68EA-4E78-BA34-E5AD538ECB66}"/>
    <cellStyle name="Note 2 3 2 4 2 5" xfId="12513" xr:uid="{897A4C18-9C98-4B5D-A90D-E399A3057228}"/>
    <cellStyle name="Note 2 3 2 4 3" xfId="6147" xr:uid="{00000000-0005-0000-0000-0000FB200000}"/>
    <cellStyle name="Note 2 3 2 4 3 2" xfId="23024" xr:uid="{79730E5D-C1AF-4C67-B698-D22E38073B5B}"/>
    <cellStyle name="Note 2 3 2 4 3 3" xfId="31458" xr:uid="{17360AEF-1888-44BA-8C62-565A91791E04}"/>
    <cellStyle name="Note 2 3 2 4 3 4" xfId="14586" xr:uid="{B354685A-1465-43C6-96E3-9634F7CE1E9C}"/>
    <cellStyle name="Note 2 3 2 4 4" xfId="18806" xr:uid="{8B00E171-5DE8-49C5-9B33-767808F51746}"/>
    <cellStyle name="Note 2 3 2 4 5" xfId="27241" xr:uid="{A67990D2-8E47-4956-9BF3-26FDA9B6E059}"/>
    <cellStyle name="Note 2 3 2 4 6" xfId="10368" xr:uid="{495A7EA2-B560-47C9-9EE7-FD55608B928D}"/>
    <cellStyle name="Note 2 3 2 5" xfId="2253" xr:uid="{00000000-0005-0000-0000-0000FC200000}"/>
    <cellStyle name="Note 2 3 2 5 2" xfId="4482" xr:uid="{00000000-0005-0000-0000-0000FD200000}"/>
    <cellStyle name="Note 2 3 2 5 2 2" xfId="8705" xr:uid="{00000000-0005-0000-0000-0000FE200000}"/>
    <cellStyle name="Note 2 3 2 5 2 2 2" xfId="25582" xr:uid="{EC12E1DA-32A8-472D-A942-F7AC3357F727}"/>
    <cellStyle name="Note 2 3 2 5 2 2 3" xfId="34016" xr:uid="{5DE961F6-D35A-4B33-BF65-7B62163BD425}"/>
    <cellStyle name="Note 2 3 2 5 2 2 4" xfId="17144" xr:uid="{86BF582C-FF56-41F2-A1F6-4120642D8D1F}"/>
    <cellStyle name="Note 2 3 2 5 2 3" xfId="21364" xr:uid="{1A73DD6B-C93B-4B00-9BC3-769AFE589794}"/>
    <cellStyle name="Note 2 3 2 5 2 4" xfId="29799" xr:uid="{8A54BB16-0AAD-4990-88DB-ECA9CD34E880}"/>
    <cellStyle name="Note 2 3 2 5 2 5" xfId="12926" xr:uid="{51659449-7268-4F03-95B4-FBB922E6504A}"/>
    <cellStyle name="Note 2 3 2 5 3" xfId="6560" xr:uid="{00000000-0005-0000-0000-0000FF200000}"/>
    <cellStyle name="Note 2 3 2 5 3 2" xfId="23437" xr:uid="{306BF9A2-1C0D-4324-8FF9-E0EB9643BC6A}"/>
    <cellStyle name="Note 2 3 2 5 3 3" xfId="31871" xr:uid="{23070401-73BF-4EA4-BB71-1FE224884B1A}"/>
    <cellStyle name="Note 2 3 2 5 3 4" xfId="14999" xr:uid="{12D4647D-73D6-4C32-9B93-33960368D13F}"/>
    <cellStyle name="Note 2 3 2 5 4" xfId="19219" xr:uid="{5B4112DA-AD48-4DFD-9488-43D9CE59F72D}"/>
    <cellStyle name="Note 2 3 2 5 5" xfId="27654" xr:uid="{947B19AD-626B-49C6-8267-CF86ECA6DBE6}"/>
    <cellStyle name="Note 2 3 2 5 6" xfId="10781" xr:uid="{76FB3952-0E99-4DB3-AFB6-6A052953175E}"/>
    <cellStyle name="Note 2 3 2 6" xfId="2689" xr:uid="{00000000-0005-0000-0000-000000210000}"/>
    <cellStyle name="Note 2 3 2 6 2" xfId="6973" xr:uid="{00000000-0005-0000-0000-000001210000}"/>
    <cellStyle name="Note 2 3 2 6 2 2" xfId="23850" xr:uid="{86F08A1A-4D2E-4BA8-A206-533DF36FC118}"/>
    <cellStyle name="Note 2 3 2 6 2 3" xfId="32284" xr:uid="{8EC8642B-F973-4832-B5C2-AA9FD168C28E}"/>
    <cellStyle name="Note 2 3 2 6 2 4" xfId="15412" xr:uid="{EBCDCDBA-A9F7-4E79-BC63-A0A873BCDE76}"/>
    <cellStyle name="Note 2 3 2 6 3" xfId="19632" xr:uid="{A4F56104-2693-4260-9183-E7A521E2B1FF}"/>
    <cellStyle name="Note 2 3 2 6 4" xfId="28067" xr:uid="{E66F307F-5A9F-43E0-AA94-AE7B58147194}"/>
    <cellStyle name="Note 2 3 2 6 5" xfId="11194" xr:uid="{13C4C5A7-854E-4D6F-8101-791BAEB859CB}"/>
    <cellStyle name="Note 2 3 2 7" xfId="2748" xr:uid="{00000000-0005-0000-0000-000002210000}"/>
    <cellStyle name="Note 2 3 2 8" xfId="2829" xr:uid="{00000000-0005-0000-0000-000003210000}"/>
    <cellStyle name="Note 2 3 2 8 2" xfId="7053" xr:uid="{00000000-0005-0000-0000-000004210000}"/>
    <cellStyle name="Note 2 3 2 8 2 2" xfId="23930" xr:uid="{19C3CA9D-B236-4CCB-B0A0-631BF027A47B}"/>
    <cellStyle name="Note 2 3 2 8 2 3" xfId="32364" xr:uid="{7C4CA679-EBEE-4AF6-B8C9-8E5F088C49BE}"/>
    <cellStyle name="Note 2 3 2 8 2 4" xfId="15492" xr:uid="{2E0110F9-79D3-4ED8-88F3-AF727340E33C}"/>
    <cellStyle name="Note 2 3 2 8 3" xfId="19712" xr:uid="{F257C457-3484-471A-8288-F1623D324DBD}"/>
    <cellStyle name="Note 2 3 2 8 4" xfId="28147" xr:uid="{CE9280B8-D452-4A23-8AD2-F80B5A35DB51}"/>
    <cellStyle name="Note 2 3 2 8 5" xfId="11274" xr:uid="{15B4612B-6F65-4234-9030-8249AA6F5FB6}"/>
    <cellStyle name="Note 2 3 2 9" xfId="4908" xr:uid="{00000000-0005-0000-0000-000005210000}"/>
    <cellStyle name="Note 2 3 2 9 2" xfId="21785" xr:uid="{47146618-407E-4582-B518-C02E119C4D1E}"/>
    <cellStyle name="Note 2 3 2 9 3" xfId="30219" xr:uid="{A88BF217-C713-4A8E-960F-6A6586726C9A}"/>
    <cellStyle name="Note 2 3 2 9 4" xfId="13347" xr:uid="{E6AFA4F1-092B-4D51-B6CC-5C3D01552587}"/>
    <cellStyle name="Note 2 3 3" xfId="1010" xr:uid="{00000000-0005-0000-0000-000006210000}"/>
    <cellStyle name="Note 2 3 3 2" xfId="3242" xr:uid="{00000000-0005-0000-0000-000007210000}"/>
    <cellStyle name="Note 2 3 3 2 2" xfId="7465" xr:uid="{00000000-0005-0000-0000-000008210000}"/>
    <cellStyle name="Note 2 3 3 2 2 2" xfId="24342" xr:uid="{6D66C123-B580-491F-AF76-249A0DDF5EFD}"/>
    <cellStyle name="Note 2 3 3 2 2 3" xfId="32776" xr:uid="{85EF5F2E-BBEB-4BC0-BF27-475260425B09}"/>
    <cellStyle name="Note 2 3 3 2 2 4" xfId="15904" xr:uid="{68F66A2D-BF71-4C35-BDBF-014A65E0EADB}"/>
    <cellStyle name="Note 2 3 3 2 3" xfId="20124" xr:uid="{0804CCBF-A2DD-42F9-A93B-BDEAEFE87CC8}"/>
    <cellStyle name="Note 2 3 3 2 4" xfId="28559" xr:uid="{EC166024-2F28-4174-B20E-EE0C5695C7F9}"/>
    <cellStyle name="Note 2 3 3 2 5" xfId="11686" xr:uid="{6684C818-1BA7-42C4-BA5B-35149B5B3BBD}"/>
    <cellStyle name="Note 2 3 3 3" xfId="5320" xr:uid="{00000000-0005-0000-0000-000009210000}"/>
    <cellStyle name="Note 2 3 3 3 2" xfId="22197" xr:uid="{4CBC098F-47B6-4695-A575-3EDC4D0EFEF5}"/>
    <cellStyle name="Note 2 3 3 3 3" xfId="30631" xr:uid="{C1AD95F7-4677-4E97-B4E5-B67A2A714115}"/>
    <cellStyle name="Note 2 3 3 3 4" xfId="13759" xr:uid="{5EBD2D87-BA4A-43D6-BB37-1C5521C14ACB}"/>
    <cellStyle name="Note 2 3 3 4" xfId="17979" xr:uid="{22ADA54A-51F4-4A6B-8DCE-9BEF419D3C03}"/>
    <cellStyle name="Note 2 3 3 5" xfId="26414" xr:uid="{978C2624-9DD7-4D64-974F-3B77F7FA6318}"/>
    <cellStyle name="Note 2 3 3 6" xfId="9541" xr:uid="{E399A30E-1995-4461-95C7-A8DEF8BE896A}"/>
    <cellStyle name="Note 2 3 4" xfId="1425" xr:uid="{00000000-0005-0000-0000-00000A210000}"/>
    <cellStyle name="Note 2 3 4 2" xfId="3655" xr:uid="{00000000-0005-0000-0000-00000B210000}"/>
    <cellStyle name="Note 2 3 4 2 2" xfId="7878" xr:uid="{00000000-0005-0000-0000-00000C210000}"/>
    <cellStyle name="Note 2 3 4 2 2 2" xfId="24755" xr:uid="{8BF4A63D-06AE-4DBB-89E6-48F2A09D4EC8}"/>
    <cellStyle name="Note 2 3 4 2 2 3" xfId="33189" xr:uid="{BDD8C7B0-66DB-4409-BEEC-988BEF4A20E2}"/>
    <cellStyle name="Note 2 3 4 2 2 4" xfId="16317" xr:uid="{0588DCEC-ABD4-403A-A774-C1FA65A3053E}"/>
    <cellStyle name="Note 2 3 4 2 3" xfId="20537" xr:uid="{FA820D92-26DA-4CAC-ADA3-EB5896A4447C}"/>
    <cellStyle name="Note 2 3 4 2 4" xfId="28972" xr:uid="{E5B64CB0-EB89-4424-BCD5-0FF7F9DED88C}"/>
    <cellStyle name="Note 2 3 4 2 5" xfId="12099" xr:uid="{507227BF-71F4-463F-9935-128C0F242454}"/>
    <cellStyle name="Note 2 3 4 3" xfId="5733" xr:uid="{00000000-0005-0000-0000-00000D210000}"/>
    <cellStyle name="Note 2 3 4 3 2" xfId="22610" xr:uid="{465AC8EA-A355-47FC-93DC-CCF28D71A4E0}"/>
    <cellStyle name="Note 2 3 4 3 3" xfId="31044" xr:uid="{436A4254-A2EB-4A21-BF8C-6236133C541A}"/>
    <cellStyle name="Note 2 3 4 3 4" xfId="14172" xr:uid="{85F35B00-ADCF-4AAC-82B8-C219576710CC}"/>
    <cellStyle name="Note 2 3 4 4" xfId="18392" xr:uid="{AB68DC7C-BAFA-49AC-A572-93B3634D2A54}"/>
    <cellStyle name="Note 2 3 4 5" xfId="26827" xr:uid="{DB72CA38-E8B0-4122-B42D-52ED7F2D42B6}"/>
    <cellStyle name="Note 2 3 4 6" xfId="9954" xr:uid="{4726CBF1-980C-4E63-9EF4-0FDCF05E3FD1}"/>
    <cellStyle name="Note 2 3 5" xfId="1839" xr:uid="{00000000-0005-0000-0000-00000E210000}"/>
    <cellStyle name="Note 2 3 5 2" xfId="4068" xr:uid="{00000000-0005-0000-0000-00000F210000}"/>
    <cellStyle name="Note 2 3 5 2 2" xfId="8291" xr:uid="{00000000-0005-0000-0000-000010210000}"/>
    <cellStyle name="Note 2 3 5 2 2 2" xfId="25168" xr:uid="{CF6E8D8F-F9F8-4113-9128-2BB193057463}"/>
    <cellStyle name="Note 2 3 5 2 2 3" xfId="33602" xr:uid="{F135B3E2-B1E8-4042-BE5C-8EE3B33BC851}"/>
    <cellStyle name="Note 2 3 5 2 2 4" xfId="16730" xr:uid="{CB5A4A88-40D5-4FA2-BA1C-C102BB156B42}"/>
    <cellStyle name="Note 2 3 5 2 3" xfId="20950" xr:uid="{34ABBFEC-D655-4155-AB63-DD1DEBEB9FBF}"/>
    <cellStyle name="Note 2 3 5 2 4" xfId="29385" xr:uid="{576B1157-91CF-4BFE-9F81-B77714AB97AF}"/>
    <cellStyle name="Note 2 3 5 2 5" xfId="12512" xr:uid="{CAFC524B-DD62-4676-BAD3-CCCA818E84A8}"/>
    <cellStyle name="Note 2 3 5 3" xfId="6146" xr:uid="{00000000-0005-0000-0000-000011210000}"/>
    <cellStyle name="Note 2 3 5 3 2" xfId="23023" xr:uid="{33315EB4-959D-457E-8361-EE376E800EB7}"/>
    <cellStyle name="Note 2 3 5 3 3" xfId="31457" xr:uid="{827A43A4-B474-4591-8B2B-9189F0D594A1}"/>
    <cellStyle name="Note 2 3 5 3 4" xfId="14585" xr:uid="{A2150CFC-CFED-4C04-B0DA-216DE5B0139B}"/>
    <cellStyle name="Note 2 3 5 4" xfId="18805" xr:uid="{46B25D50-9CF1-4279-8A74-9043E94793C6}"/>
    <cellStyle name="Note 2 3 5 5" xfId="27240" xr:uid="{BD85F64F-4AC4-4CBB-8C10-2408609F26F2}"/>
    <cellStyle name="Note 2 3 5 6" xfId="10367" xr:uid="{A9C121AE-2DAF-4E69-90DC-DCF32FB4CED7}"/>
    <cellStyle name="Note 2 3 6" xfId="2252" xr:uid="{00000000-0005-0000-0000-000012210000}"/>
    <cellStyle name="Note 2 3 6 2" xfId="4481" xr:uid="{00000000-0005-0000-0000-000013210000}"/>
    <cellStyle name="Note 2 3 6 2 2" xfId="8704" xr:uid="{00000000-0005-0000-0000-000014210000}"/>
    <cellStyle name="Note 2 3 6 2 2 2" xfId="25581" xr:uid="{5D4770D0-53AA-410E-92E8-2616BD7637EE}"/>
    <cellStyle name="Note 2 3 6 2 2 3" xfId="34015" xr:uid="{484BD2C6-F18F-46E8-9DA9-1B83FED834D2}"/>
    <cellStyle name="Note 2 3 6 2 2 4" xfId="17143" xr:uid="{A19F5312-D15B-4C1A-8E7A-1518EFE9C546}"/>
    <cellStyle name="Note 2 3 6 2 3" xfId="21363" xr:uid="{DB05FC88-A183-4CA9-8692-879DE79AA668}"/>
    <cellStyle name="Note 2 3 6 2 4" xfId="29798" xr:uid="{00698E0F-B3BC-4151-BBF1-5A529FEA6837}"/>
    <cellStyle name="Note 2 3 6 2 5" xfId="12925" xr:uid="{C972C29D-367F-415B-89FF-81F6EFF39DB8}"/>
    <cellStyle name="Note 2 3 6 3" xfId="6559" xr:uid="{00000000-0005-0000-0000-000015210000}"/>
    <cellStyle name="Note 2 3 6 3 2" xfId="23436" xr:uid="{3456ED21-9002-4D9C-B7A2-30187E5C4B30}"/>
    <cellStyle name="Note 2 3 6 3 3" xfId="31870" xr:uid="{8BC0FF1C-D07C-4E2D-86D1-4A3A50A19643}"/>
    <cellStyle name="Note 2 3 6 3 4" xfId="14998" xr:uid="{29118703-E6B3-4B74-9EB1-26F8B8483C60}"/>
    <cellStyle name="Note 2 3 6 4" xfId="19218" xr:uid="{B039A97C-1460-4D29-AE3E-A210C450C157}"/>
    <cellStyle name="Note 2 3 6 5" xfId="27653" xr:uid="{83FCC36B-BF17-42ED-BD39-18D1C65978CB}"/>
    <cellStyle name="Note 2 3 6 6" xfId="10780" xr:uid="{A0C1AAF7-5E0E-4A11-A862-426B061D1345}"/>
    <cellStyle name="Note 2 3 7" xfId="2688" xr:uid="{00000000-0005-0000-0000-000016210000}"/>
    <cellStyle name="Note 2 3 7 2" xfId="6972" xr:uid="{00000000-0005-0000-0000-000017210000}"/>
    <cellStyle name="Note 2 3 7 2 2" xfId="23849" xr:uid="{8142B4C2-4688-4591-9B5C-4BCAAB7E986C}"/>
    <cellStyle name="Note 2 3 7 2 3" xfId="32283" xr:uid="{EA33AC3D-A615-4E22-9262-A436F2EDF7E0}"/>
    <cellStyle name="Note 2 3 7 2 4" xfId="15411" xr:uid="{34478961-8594-49E4-849F-40D12A6F61D2}"/>
    <cellStyle name="Note 2 3 7 3" xfId="19631" xr:uid="{CB946B9E-D962-476E-A10B-B057976B3C7B}"/>
    <cellStyle name="Note 2 3 7 4" xfId="28066" xr:uid="{271188A3-19C7-40AE-9FD2-0A8E2DBE59D3}"/>
    <cellStyle name="Note 2 3 7 5" xfId="11193" xr:uid="{946D58FF-674B-4AAB-9800-BAB9B137960B}"/>
    <cellStyle name="Note 2 3 8" xfId="2747" xr:uid="{00000000-0005-0000-0000-000018210000}"/>
    <cellStyle name="Note 2 3 9" xfId="2828" xr:uid="{00000000-0005-0000-0000-000019210000}"/>
    <cellStyle name="Note 2 3 9 2" xfId="7052" xr:uid="{00000000-0005-0000-0000-00001A210000}"/>
    <cellStyle name="Note 2 3 9 2 2" xfId="23929" xr:uid="{BA35661B-EA94-4D0F-84B1-8FFF6DF5DF5A}"/>
    <cellStyle name="Note 2 3 9 2 3" xfId="32363" xr:uid="{C5287F5B-254D-4DEB-9B0E-7F859C1D3977}"/>
    <cellStyle name="Note 2 3 9 2 4" xfId="15491" xr:uid="{38A8354F-0C8F-4DEB-A47F-82BFF4643C44}"/>
    <cellStyle name="Note 2 3 9 3" xfId="19711" xr:uid="{A86ABEA6-8BA6-4E75-949A-EE473B0399C0}"/>
    <cellStyle name="Note 2 3 9 4" xfId="28146" xr:uid="{DBB3E740-542E-469B-A2C1-50405F742F8A}"/>
    <cellStyle name="Note 2 3 9 5" xfId="11273" xr:uid="{F5E85CBF-398B-4359-BD8F-4C20DD63E334}"/>
    <cellStyle name="Note 2 4" xfId="551" xr:uid="{00000000-0005-0000-0000-00001B210000}"/>
    <cellStyle name="Note 2 4 10" xfId="17568" xr:uid="{176C3F0F-C4B2-4FA7-BCD6-9DE93959CCA3}"/>
    <cellStyle name="Note 2 4 11" xfId="26003" xr:uid="{CE3F4814-BFB2-4149-B9F5-CD79BB15E434}"/>
    <cellStyle name="Note 2 4 12" xfId="9130" xr:uid="{B4855FAB-0D84-4DB0-8B8E-390432183D33}"/>
    <cellStyle name="Note 2 4 2" xfId="1012" xr:uid="{00000000-0005-0000-0000-00001C210000}"/>
    <cellStyle name="Note 2 4 2 2" xfId="3244" xr:uid="{00000000-0005-0000-0000-00001D210000}"/>
    <cellStyle name="Note 2 4 2 2 2" xfId="7467" xr:uid="{00000000-0005-0000-0000-00001E210000}"/>
    <cellStyle name="Note 2 4 2 2 2 2" xfId="24344" xr:uid="{F5F67623-5658-4C87-B0AA-39A6353ED810}"/>
    <cellStyle name="Note 2 4 2 2 2 3" xfId="32778" xr:uid="{6E0A0DC3-9BD5-4E99-A6C7-D769FA5B5772}"/>
    <cellStyle name="Note 2 4 2 2 2 4" xfId="15906" xr:uid="{1751544D-AB6B-43EE-9E9E-122DC18DFA8D}"/>
    <cellStyle name="Note 2 4 2 2 3" xfId="20126" xr:uid="{405B00C9-0CF2-40CE-9827-8B9F711632D3}"/>
    <cellStyle name="Note 2 4 2 2 4" xfId="28561" xr:uid="{B5E9F745-F1D2-440C-850A-081EC5FC5A7D}"/>
    <cellStyle name="Note 2 4 2 2 5" xfId="11688" xr:uid="{5072AC40-4108-4060-B543-35DF081DE976}"/>
    <cellStyle name="Note 2 4 2 3" xfId="5322" xr:uid="{00000000-0005-0000-0000-00001F210000}"/>
    <cellStyle name="Note 2 4 2 3 2" xfId="22199" xr:uid="{130EEDB9-5788-42D1-B147-00433A8BFD5C}"/>
    <cellStyle name="Note 2 4 2 3 3" xfId="30633" xr:uid="{122D914E-9C1E-4C0C-8133-96A2300A3713}"/>
    <cellStyle name="Note 2 4 2 3 4" xfId="13761" xr:uid="{A0E6E01D-571C-4B9A-AFBA-F4F8187706CE}"/>
    <cellStyle name="Note 2 4 2 4" xfId="17981" xr:uid="{4437D571-4E33-43AC-B634-B1A27B7B51F8}"/>
    <cellStyle name="Note 2 4 2 5" xfId="26416" xr:uid="{AD1563C3-D539-46ED-8479-64F7344ABB59}"/>
    <cellStyle name="Note 2 4 2 6" xfId="9543" xr:uid="{2526DFDA-D134-4CED-9E51-087B35824BA3}"/>
    <cellStyle name="Note 2 4 3" xfId="1427" xr:uid="{00000000-0005-0000-0000-000020210000}"/>
    <cellStyle name="Note 2 4 3 2" xfId="3657" xr:uid="{00000000-0005-0000-0000-000021210000}"/>
    <cellStyle name="Note 2 4 3 2 2" xfId="7880" xr:uid="{00000000-0005-0000-0000-000022210000}"/>
    <cellStyle name="Note 2 4 3 2 2 2" xfId="24757" xr:uid="{1B04CE0F-6856-4A4B-9106-BCB58ECFB8FF}"/>
    <cellStyle name="Note 2 4 3 2 2 3" xfId="33191" xr:uid="{4340C9B1-40CA-444B-A850-0F41A7D8D170}"/>
    <cellStyle name="Note 2 4 3 2 2 4" xfId="16319" xr:uid="{CCBFB102-5600-40A1-AE6E-237F18B699E3}"/>
    <cellStyle name="Note 2 4 3 2 3" xfId="20539" xr:uid="{82277297-FE11-4718-81CD-12A3E62FF6DF}"/>
    <cellStyle name="Note 2 4 3 2 4" xfId="28974" xr:uid="{187C6563-ADBF-4522-8FEC-51F7653F9BBB}"/>
    <cellStyle name="Note 2 4 3 2 5" xfId="12101" xr:uid="{05645E20-7D79-43B3-B698-CEC07D25C3BA}"/>
    <cellStyle name="Note 2 4 3 3" xfId="5735" xr:uid="{00000000-0005-0000-0000-000023210000}"/>
    <cellStyle name="Note 2 4 3 3 2" xfId="22612" xr:uid="{4E1787F3-641B-413B-B9FF-F832A1AB455D}"/>
    <cellStyle name="Note 2 4 3 3 3" xfId="31046" xr:uid="{5C27A548-B3AE-430C-B01C-6FD7B55AF5F9}"/>
    <cellStyle name="Note 2 4 3 3 4" xfId="14174" xr:uid="{F1F3E172-26D0-4800-ACB6-5AD330CF8614}"/>
    <cellStyle name="Note 2 4 3 4" xfId="18394" xr:uid="{F3070968-0B17-41F3-8FF9-29919982A348}"/>
    <cellStyle name="Note 2 4 3 5" xfId="26829" xr:uid="{9B4A6147-0B87-4446-8D43-3977FC901FDD}"/>
    <cellStyle name="Note 2 4 3 6" xfId="9956" xr:uid="{400201AE-D1C7-46E2-A8ED-590A295D6A6D}"/>
    <cellStyle name="Note 2 4 4" xfId="1841" xr:uid="{00000000-0005-0000-0000-000024210000}"/>
    <cellStyle name="Note 2 4 4 2" xfId="4070" xr:uid="{00000000-0005-0000-0000-000025210000}"/>
    <cellStyle name="Note 2 4 4 2 2" xfId="8293" xr:uid="{00000000-0005-0000-0000-000026210000}"/>
    <cellStyle name="Note 2 4 4 2 2 2" xfId="25170" xr:uid="{4EDE8963-FABA-4A25-9181-D72FFDC48F2F}"/>
    <cellStyle name="Note 2 4 4 2 2 3" xfId="33604" xr:uid="{DF60F71D-732D-4DFD-ADDD-86190864B300}"/>
    <cellStyle name="Note 2 4 4 2 2 4" xfId="16732" xr:uid="{DC14C6CB-D90E-41F0-90C6-C723939DF1C5}"/>
    <cellStyle name="Note 2 4 4 2 3" xfId="20952" xr:uid="{A3557A97-49A5-4AC9-94BA-7A73D12FD921}"/>
    <cellStyle name="Note 2 4 4 2 4" xfId="29387" xr:uid="{17E0C5C7-31D3-4C47-8172-ACF4D7F445F6}"/>
    <cellStyle name="Note 2 4 4 2 5" xfId="12514" xr:uid="{50107DA4-9BA2-4C8A-A787-F4B585707422}"/>
    <cellStyle name="Note 2 4 4 3" xfId="6148" xr:uid="{00000000-0005-0000-0000-000027210000}"/>
    <cellStyle name="Note 2 4 4 3 2" xfId="23025" xr:uid="{2987E37E-7BCD-41E5-8C98-72899F9C779E}"/>
    <cellStyle name="Note 2 4 4 3 3" xfId="31459" xr:uid="{562BA09D-1296-4B71-8DB5-B0FF5934DE4C}"/>
    <cellStyle name="Note 2 4 4 3 4" xfId="14587" xr:uid="{4BB04A6D-EA4C-4CF9-928B-D450F270EE70}"/>
    <cellStyle name="Note 2 4 4 4" xfId="18807" xr:uid="{972D65DE-3F0C-4D9A-8E31-57F7557A2B38}"/>
    <cellStyle name="Note 2 4 4 5" xfId="27242" xr:uid="{B8064B29-8144-4695-8C69-2D242A66463F}"/>
    <cellStyle name="Note 2 4 4 6" xfId="10369" xr:uid="{8791C4AD-92C4-46B4-9D90-7F1C7D0CCC19}"/>
    <cellStyle name="Note 2 4 5" xfId="2254" xr:uid="{00000000-0005-0000-0000-000028210000}"/>
    <cellStyle name="Note 2 4 5 2" xfId="4483" xr:uid="{00000000-0005-0000-0000-000029210000}"/>
    <cellStyle name="Note 2 4 5 2 2" xfId="8706" xr:uid="{00000000-0005-0000-0000-00002A210000}"/>
    <cellStyle name="Note 2 4 5 2 2 2" xfId="25583" xr:uid="{80884F91-B9B1-41E4-9709-DA045210817C}"/>
    <cellStyle name="Note 2 4 5 2 2 3" xfId="34017" xr:uid="{FEAD08F3-01DF-448D-9D68-87A1878F3E95}"/>
    <cellStyle name="Note 2 4 5 2 2 4" xfId="17145" xr:uid="{E7CA684D-2B06-49F7-9418-B135337E18DF}"/>
    <cellStyle name="Note 2 4 5 2 3" xfId="21365" xr:uid="{9B336684-F063-484A-B0B2-A96085B8DDB4}"/>
    <cellStyle name="Note 2 4 5 2 4" xfId="29800" xr:uid="{0432EF6D-FD6C-4696-A142-6D9B6FCA78BC}"/>
    <cellStyle name="Note 2 4 5 2 5" xfId="12927" xr:uid="{85F728B0-7986-4D1D-BB35-52F879D25523}"/>
    <cellStyle name="Note 2 4 5 3" xfId="6561" xr:uid="{00000000-0005-0000-0000-00002B210000}"/>
    <cellStyle name="Note 2 4 5 3 2" xfId="23438" xr:uid="{C7099A84-4C39-4921-A97B-0C523D10729D}"/>
    <cellStyle name="Note 2 4 5 3 3" xfId="31872" xr:uid="{3F14D804-8135-4005-8DE6-64EE01287AA6}"/>
    <cellStyle name="Note 2 4 5 3 4" xfId="15000" xr:uid="{3FD490E5-C798-4B67-92F5-C297C36BA672}"/>
    <cellStyle name="Note 2 4 5 4" xfId="19220" xr:uid="{53693C7B-E24A-452D-A6BB-FC5E9E612A67}"/>
    <cellStyle name="Note 2 4 5 5" xfId="27655" xr:uid="{6C4EB016-F640-401F-8B95-17307EED304E}"/>
    <cellStyle name="Note 2 4 5 6" xfId="10782" xr:uid="{451C0C23-0D54-49FC-907A-4FCF8C5F5248}"/>
    <cellStyle name="Note 2 4 6" xfId="2690" xr:uid="{00000000-0005-0000-0000-00002C210000}"/>
    <cellStyle name="Note 2 4 6 2" xfId="6974" xr:uid="{00000000-0005-0000-0000-00002D210000}"/>
    <cellStyle name="Note 2 4 6 2 2" xfId="23851" xr:uid="{2BA26685-8564-431E-BFAA-72AC5A8AA8A2}"/>
    <cellStyle name="Note 2 4 6 2 3" xfId="32285" xr:uid="{1446C48E-7BED-41D7-ACBF-19CDD17B69DC}"/>
    <cellStyle name="Note 2 4 6 2 4" xfId="15413" xr:uid="{AC3D7413-A478-46AD-B669-77F3D64FD41F}"/>
    <cellStyle name="Note 2 4 6 3" xfId="19633" xr:uid="{FD7C0A0B-6063-44DD-89AD-3A83E4D7C7E8}"/>
    <cellStyle name="Note 2 4 6 4" xfId="28068" xr:uid="{413A2A5A-A96A-4535-9DB4-AAA79BE45246}"/>
    <cellStyle name="Note 2 4 6 5" xfId="11195" xr:uid="{3915545D-0BC5-4FAE-8DFD-BE8FCA38A085}"/>
    <cellStyle name="Note 2 4 7" xfId="2749" xr:uid="{00000000-0005-0000-0000-00002E210000}"/>
    <cellStyle name="Note 2 4 8" xfId="2830" xr:uid="{00000000-0005-0000-0000-00002F210000}"/>
    <cellStyle name="Note 2 4 8 2" xfId="7054" xr:uid="{00000000-0005-0000-0000-000030210000}"/>
    <cellStyle name="Note 2 4 8 2 2" xfId="23931" xr:uid="{ADC37825-E2C4-477A-9426-7DADA3D27D81}"/>
    <cellStyle name="Note 2 4 8 2 3" xfId="32365" xr:uid="{AE96F6AA-D33B-47AE-8C63-33C579E1D01F}"/>
    <cellStyle name="Note 2 4 8 2 4" xfId="15493" xr:uid="{19744189-455F-40CA-A8F4-64B5CE5A413F}"/>
    <cellStyle name="Note 2 4 8 3" xfId="19713" xr:uid="{392A35CD-1FF8-4AC4-BA2D-780785BBB326}"/>
    <cellStyle name="Note 2 4 8 4" xfId="28148" xr:uid="{F4F6773E-22A2-4696-9A93-367D297E167A}"/>
    <cellStyle name="Note 2 4 8 5" xfId="11275" xr:uid="{DA7CD347-C6C6-4D12-8D13-7B43B3C26DDF}"/>
    <cellStyle name="Note 2 4 9" xfId="4909" xr:uid="{00000000-0005-0000-0000-000031210000}"/>
    <cellStyle name="Note 2 4 9 2" xfId="21786" xr:uid="{A5B1EF3E-3570-49C6-B0CA-8D6C1B83972E}"/>
    <cellStyle name="Note 2 4 9 3" xfId="30220" xr:uid="{65E9D8FB-3273-4169-83C8-4537464E9759}"/>
    <cellStyle name="Note 2 4 9 4" xfId="13348" xr:uid="{AD370412-9A24-4D34-9CB5-27238E739A85}"/>
    <cellStyle name="Note 2 5" xfId="552" xr:uid="{00000000-0005-0000-0000-000032210000}"/>
    <cellStyle name="Note 2 5 10" xfId="17569" xr:uid="{5D9E3987-5A28-48F0-BE67-B11FBD74A1DE}"/>
    <cellStyle name="Note 2 5 11" xfId="26004" xr:uid="{585C94F6-D28F-4168-A122-D4A8BFF1A5A2}"/>
    <cellStyle name="Note 2 5 12" xfId="9131" xr:uid="{EBC028D3-81C4-4989-A655-3A4E979C2B04}"/>
    <cellStyle name="Note 2 5 2" xfId="1013" xr:uid="{00000000-0005-0000-0000-000033210000}"/>
    <cellStyle name="Note 2 5 2 2" xfId="3245" xr:uid="{00000000-0005-0000-0000-000034210000}"/>
    <cellStyle name="Note 2 5 2 2 2" xfId="7468" xr:uid="{00000000-0005-0000-0000-000035210000}"/>
    <cellStyle name="Note 2 5 2 2 2 2" xfId="24345" xr:uid="{F8CAE381-5CAC-47A9-A837-2C54336E8ABF}"/>
    <cellStyle name="Note 2 5 2 2 2 3" xfId="32779" xr:uid="{2C57DF0A-B6D2-4980-9B01-A99370C3B6D2}"/>
    <cellStyle name="Note 2 5 2 2 2 4" xfId="15907" xr:uid="{D2F473AA-7686-433C-8A3F-02F72166838A}"/>
    <cellStyle name="Note 2 5 2 2 3" xfId="20127" xr:uid="{497458D6-56F1-405B-9862-A708E92CEAA3}"/>
    <cellStyle name="Note 2 5 2 2 4" xfId="28562" xr:uid="{1D254C89-7730-4D95-9E49-3E07AA7973BA}"/>
    <cellStyle name="Note 2 5 2 2 5" xfId="11689" xr:uid="{95E455D3-7B89-49FB-ABEC-30B4B3DC0106}"/>
    <cellStyle name="Note 2 5 2 3" xfId="5323" xr:uid="{00000000-0005-0000-0000-000036210000}"/>
    <cellStyle name="Note 2 5 2 3 2" xfId="22200" xr:uid="{8404F510-46BB-4631-A7C5-E7516B77482B}"/>
    <cellStyle name="Note 2 5 2 3 3" xfId="30634" xr:uid="{4BDD0DF5-12ED-47BB-B32D-C4C4DDCB61F6}"/>
    <cellStyle name="Note 2 5 2 3 4" xfId="13762" xr:uid="{736C54BB-D71D-4F5F-9701-C2190E3C96C8}"/>
    <cellStyle name="Note 2 5 2 4" xfId="17982" xr:uid="{ACC25FC1-4E9D-44BA-BC73-BF3A1A4AB040}"/>
    <cellStyle name="Note 2 5 2 5" xfId="26417" xr:uid="{0C3582B8-5E01-4CB9-A96B-D9090BCEE9CB}"/>
    <cellStyle name="Note 2 5 2 6" xfId="9544" xr:uid="{71C754E1-3A03-4EBE-A1AA-E33218E78FC6}"/>
    <cellStyle name="Note 2 5 3" xfId="1428" xr:uid="{00000000-0005-0000-0000-000037210000}"/>
    <cellStyle name="Note 2 5 3 2" xfId="3658" xr:uid="{00000000-0005-0000-0000-000038210000}"/>
    <cellStyle name="Note 2 5 3 2 2" xfId="7881" xr:uid="{00000000-0005-0000-0000-000039210000}"/>
    <cellStyle name="Note 2 5 3 2 2 2" xfId="24758" xr:uid="{6662B523-7A56-45C8-8972-BCC0C975830F}"/>
    <cellStyle name="Note 2 5 3 2 2 3" xfId="33192" xr:uid="{84F4DBC6-2F06-4910-B219-ACC30B9A9093}"/>
    <cellStyle name="Note 2 5 3 2 2 4" xfId="16320" xr:uid="{59EF7990-5CD1-44D6-B746-2B927B6CFD9B}"/>
    <cellStyle name="Note 2 5 3 2 3" xfId="20540" xr:uid="{71D5F3A8-8455-455A-87E0-DFDB5D6C4F8C}"/>
    <cellStyle name="Note 2 5 3 2 4" xfId="28975" xr:uid="{F1157EA7-F03D-4D8F-A198-C5E8E7B21CBA}"/>
    <cellStyle name="Note 2 5 3 2 5" xfId="12102" xr:uid="{B485AC6B-F6C4-4234-B4DC-DF52A0344E7B}"/>
    <cellStyle name="Note 2 5 3 3" xfId="5736" xr:uid="{00000000-0005-0000-0000-00003A210000}"/>
    <cellStyle name="Note 2 5 3 3 2" xfId="22613" xr:uid="{0A4E8AA5-4A2D-468D-ADE2-6FF39394E8BB}"/>
    <cellStyle name="Note 2 5 3 3 3" xfId="31047" xr:uid="{275D5EC4-0E12-43B9-988F-41671274EAB7}"/>
    <cellStyle name="Note 2 5 3 3 4" xfId="14175" xr:uid="{7FCD572B-B94F-408A-88B5-A948C4832ADE}"/>
    <cellStyle name="Note 2 5 3 4" xfId="18395" xr:uid="{3DDBFF65-F7CB-49E3-8C1E-F46C30EE69E4}"/>
    <cellStyle name="Note 2 5 3 5" xfId="26830" xr:uid="{ECE833F0-12D9-4457-B4D1-DC46673EEE09}"/>
    <cellStyle name="Note 2 5 3 6" xfId="9957" xr:uid="{39F01471-9CCD-4701-BF11-7B112C08D40C}"/>
    <cellStyle name="Note 2 5 4" xfId="1842" xr:uid="{00000000-0005-0000-0000-00003B210000}"/>
    <cellStyle name="Note 2 5 4 2" xfId="4071" xr:uid="{00000000-0005-0000-0000-00003C210000}"/>
    <cellStyle name="Note 2 5 4 2 2" xfId="8294" xr:uid="{00000000-0005-0000-0000-00003D210000}"/>
    <cellStyle name="Note 2 5 4 2 2 2" xfId="25171" xr:uid="{C3C668C9-F908-463C-BCA2-533915034C02}"/>
    <cellStyle name="Note 2 5 4 2 2 3" xfId="33605" xr:uid="{179A19E5-C9D9-4BA9-968D-0344B5B518F5}"/>
    <cellStyle name="Note 2 5 4 2 2 4" xfId="16733" xr:uid="{F8E61C40-A79E-4CE4-966C-52FF174B6FD6}"/>
    <cellStyle name="Note 2 5 4 2 3" xfId="20953" xr:uid="{95C5236C-3DAF-4209-BEAA-8B6A4FD877D2}"/>
    <cellStyle name="Note 2 5 4 2 4" xfId="29388" xr:uid="{A26DBB97-8461-43D7-840F-D385D50DDFF3}"/>
    <cellStyle name="Note 2 5 4 2 5" xfId="12515" xr:uid="{750B978A-20EF-437E-B06B-8342AD7DA7F0}"/>
    <cellStyle name="Note 2 5 4 3" xfId="6149" xr:uid="{00000000-0005-0000-0000-00003E210000}"/>
    <cellStyle name="Note 2 5 4 3 2" xfId="23026" xr:uid="{D8357F4F-AA3D-4565-9BC1-C32DD603FBD7}"/>
    <cellStyle name="Note 2 5 4 3 3" xfId="31460" xr:uid="{8D8D41FA-7B0A-4D40-9C9A-A99A72D054A0}"/>
    <cellStyle name="Note 2 5 4 3 4" xfId="14588" xr:uid="{89AC7EC3-8C5B-4FFD-B8AE-B76EC88FA5FF}"/>
    <cellStyle name="Note 2 5 4 4" xfId="18808" xr:uid="{EE082BB1-50F5-42FC-A7E0-1B1D866435B7}"/>
    <cellStyle name="Note 2 5 4 5" xfId="27243" xr:uid="{13E7198A-5B30-46EB-A538-D197B9293ADD}"/>
    <cellStyle name="Note 2 5 4 6" xfId="10370" xr:uid="{98D3CCB3-DB5B-4CDC-AE5B-E7D1375E3F2A}"/>
    <cellStyle name="Note 2 5 5" xfId="2255" xr:uid="{00000000-0005-0000-0000-00003F210000}"/>
    <cellStyle name="Note 2 5 5 2" xfId="4484" xr:uid="{00000000-0005-0000-0000-000040210000}"/>
    <cellStyle name="Note 2 5 5 2 2" xfId="8707" xr:uid="{00000000-0005-0000-0000-000041210000}"/>
    <cellStyle name="Note 2 5 5 2 2 2" xfId="25584" xr:uid="{69F9F026-CAFD-45A1-B8FC-7BE44B5A9540}"/>
    <cellStyle name="Note 2 5 5 2 2 3" xfId="34018" xr:uid="{F23736F6-1821-4ED6-B4B8-B4E3763EEFCA}"/>
    <cellStyle name="Note 2 5 5 2 2 4" xfId="17146" xr:uid="{AF4BE4BF-28F8-4A78-9E60-C860AB37C225}"/>
    <cellStyle name="Note 2 5 5 2 3" xfId="21366" xr:uid="{ACE2618B-D6AA-48CA-8306-4BE22C7169A6}"/>
    <cellStyle name="Note 2 5 5 2 4" xfId="29801" xr:uid="{295D09C4-B228-419B-A8E1-A5DD7C288CEB}"/>
    <cellStyle name="Note 2 5 5 2 5" xfId="12928" xr:uid="{DA98BD04-3728-4C43-AF6C-7F942AF59592}"/>
    <cellStyle name="Note 2 5 5 3" xfId="6562" xr:uid="{00000000-0005-0000-0000-000042210000}"/>
    <cellStyle name="Note 2 5 5 3 2" xfId="23439" xr:uid="{CF60F74B-F24E-4E36-8913-6365146093BC}"/>
    <cellStyle name="Note 2 5 5 3 3" xfId="31873" xr:uid="{89E7A394-25DC-4425-91BE-CD5FF24083A7}"/>
    <cellStyle name="Note 2 5 5 3 4" xfId="15001" xr:uid="{90AA5E93-E5C4-48C4-A569-A3E2457025F7}"/>
    <cellStyle name="Note 2 5 5 4" xfId="19221" xr:uid="{E732E443-96B7-4D83-9C2B-7B430BB5C28F}"/>
    <cellStyle name="Note 2 5 5 5" xfId="27656" xr:uid="{F1C4544B-A40F-4CCC-9900-F98A0C9500A6}"/>
    <cellStyle name="Note 2 5 5 6" xfId="10783" xr:uid="{822ACF22-27DD-4A5A-BFB2-7A17A5B1EE2D}"/>
    <cellStyle name="Note 2 5 6" xfId="2691" xr:uid="{00000000-0005-0000-0000-000043210000}"/>
    <cellStyle name="Note 2 5 6 2" xfId="6975" xr:uid="{00000000-0005-0000-0000-000044210000}"/>
    <cellStyle name="Note 2 5 6 2 2" xfId="23852" xr:uid="{04F9281D-0F35-44A4-8095-4ACC5A2DF2C7}"/>
    <cellStyle name="Note 2 5 6 2 3" xfId="32286" xr:uid="{3CD1E954-75CF-49B0-BFA8-23B8448382D4}"/>
    <cellStyle name="Note 2 5 6 2 4" xfId="15414" xr:uid="{093C1AA2-1845-47F1-AFCF-84B0CB8EDB14}"/>
    <cellStyle name="Note 2 5 6 3" xfId="19634" xr:uid="{AE33E005-D9E0-4701-A1A7-E2CBE6C9A404}"/>
    <cellStyle name="Note 2 5 6 4" xfId="28069" xr:uid="{BD70A7A6-6DB8-4C79-9578-0611682213A8}"/>
    <cellStyle name="Note 2 5 6 5" xfId="11196" xr:uid="{41BE967F-FC10-4BC4-AFCA-D5CBCF4B0722}"/>
    <cellStyle name="Note 2 5 7" xfId="2750" xr:uid="{00000000-0005-0000-0000-000045210000}"/>
    <cellStyle name="Note 2 5 8" xfId="2831" xr:uid="{00000000-0005-0000-0000-000046210000}"/>
    <cellStyle name="Note 2 5 8 2" xfId="7055" xr:uid="{00000000-0005-0000-0000-000047210000}"/>
    <cellStyle name="Note 2 5 8 2 2" xfId="23932" xr:uid="{37CE0D03-C9C7-4BC3-9B1A-2DDC61649773}"/>
    <cellStyle name="Note 2 5 8 2 3" xfId="32366" xr:uid="{913EBD62-8BF3-4500-A88B-3FC2596E4FC3}"/>
    <cellStyle name="Note 2 5 8 2 4" xfId="15494" xr:uid="{475E788D-4A22-4D40-90EB-0EE723DB1820}"/>
    <cellStyle name="Note 2 5 8 3" xfId="19714" xr:uid="{C4CDF396-22D5-434F-ABBF-1DA402CF7C7A}"/>
    <cellStyle name="Note 2 5 8 4" xfId="28149" xr:uid="{9B121D8B-7998-4245-B3AE-D65BA8B8D1F5}"/>
    <cellStyle name="Note 2 5 8 5" xfId="11276" xr:uid="{78A7C7B2-FA62-4052-BC78-F5579279D2F1}"/>
    <cellStyle name="Note 2 5 9" xfId="4910" xr:uid="{00000000-0005-0000-0000-000048210000}"/>
    <cellStyle name="Note 2 5 9 2" xfId="21787" xr:uid="{0CF6EC63-4630-46D5-8064-84BDFDE8431A}"/>
    <cellStyle name="Note 2 5 9 3" xfId="30221" xr:uid="{17AF0220-6174-4079-9630-DBEF3A839D20}"/>
    <cellStyle name="Note 2 5 9 4" xfId="13349" xr:uid="{6ED791CA-5F5E-4A63-AD41-DEFFF50784D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23933" xr:uid="{8E91AD4C-C965-447F-830C-796B41F28A76}"/>
    <cellStyle name="Note 3 2 10 2 3" xfId="32367" xr:uid="{0867A89E-3F69-4592-9775-A80FE560AF3C}"/>
    <cellStyle name="Note 3 2 10 2 4" xfId="15495" xr:uid="{03378F61-A70A-40BA-9431-1CB12F570DE5}"/>
    <cellStyle name="Note 3 2 10 3" xfId="19715" xr:uid="{DF0C64AC-7C5F-497D-9103-883A3B6AA78D}"/>
    <cellStyle name="Note 3 2 10 4" xfId="28150" xr:uid="{7B87320D-4EA1-48A7-88FA-49D8E677AA18}"/>
    <cellStyle name="Note 3 2 10 5" xfId="11277" xr:uid="{0288C469-D091-4147-BDF7-FECDC82B19B3}"/>
    <cellStyle name="Note 3 2 11" xfId="4911" xr:uid="{00000000-0005-0000-0000-00004D210000}"/>
    <cellStyle name="Note 3 2 11 2" xfId="21788" xr:uid="{6D9440BB-F01C-4003-AB94-AF2DA25BB41E}"/>
    <cellStyle name="Note 3 2 11 3" xfId="30222" xr:uid="{8336BA6D-E4D4-4FF9-9CCC-5A068BAEC3DE}"/>
    <cellStyle name="Note 3 2 11 4" xfId="13350" xr:uid="{7D742E72-B3B6-40B6-8A7F-7C9BD3ACFB98}"/>
    <cellStyle name="Note 3 2 12" xfId="17570" xr:uid="{7C31ED92-5086-414A-B268-A7017FAC5BA4}"/>
    <cellStyle name="Note 3 2 13" xfId="26005" xr:uid="{D0CE158E-3A40-4343-AEDE-6D0D9E51D9FC}"/>
    <cellStyle name="Note 3 2 14" xfId="9132" xr:uid="{392F899F-21AF-4127-8C00-60622909601A}"/>
    <cellStyle name="Note 3 2 2" xfId="555" xr:uid="{00000000-0005-0000-0000-00004E210000}"/>
    <cellStyle name="Note 3 2 2 10" xfId="4912" xr:uid="{00000000-0005-0000-0000-00004F210000}"/>
    <cellStyle name="Note 3 2 2 10 2" xfId="21789" xr:uid="{8BEC4FCC-73D9-48F8-8691-E270CB0497A0}"/>
    <cellStyle name="Note 3 2 2 10 3" xfId="30223" xr:uid="{061549CD-DE02-4D3F-84CB-9C57B5F33A14}"/>
    <cellStyle name="Note 3 2 2 10 4" xfId="13351" xr:uid="{AA4153CB-D731-4CCD-9C19-4FBDEB99A2BD}"/>
    <cellStyle name="Note 3 2 2 11" xfId="17571" xr:uid="{5E9A6B90-7A76-4F54-A3FC-7A0C40CF61AF}"/>
    <cellStyle name="Note 3 2 2 12" xfId="26006" xr:uid="{B2DED0BF-C00F-4FBC-838C-EA5442FC1157}"/>
    <cellStyle name="Note 3 2 2 13" xfId="9133" xr:uid="{C138468E-F911-4970-871A-FF3DCA4AE752}"/>
    <cellStyle name="Note 3 2 2 2" xfId="556" xr:uid="{00000000-0005-0000-0000-000050210000}"/>
    <cellStyle name="Note 3 2 2 2 10" xfId="17572" xr:uid="{29EC692C-C845-4C7B-AC83-B3529F4D30C4}"/>
    <cellStyle name="Note 3 2 2 2 11" xfId="26007" xr:uid="{D31D01B8-49E7-43FD-AC87-39F15021877F}"/>
    <cellStyle name="Note 3 2 2 2 12" xfId="9134" xr:uid="{29C0B86A-A74E-474C-968C-A8E6E1FF64B3}"/>
    <cellStyle name="Note 3 2 2 2 2" xfId="1016" xr:uid="{00000000-0005-0000-0000-000051210000}"/>
    <cellStyle name="Note 3 2 2 2 2 2" xfId="3248" xr:uid="{00000000-0005-0000-0000-000052210000}"/>
    <cellStyle name="Note 3 2 2 2 2 2 2" xfId="7471" xr:uid="{00000000-0005-0000-0000-000053210000}"/>
    <cellStyle name="Note 3 2 2 2 2 2 2 2" xfId="24348" xr:uid="{400D0434-ACB8-49A2-B13E-2F80C7F80D1F}"/>
    <cellStyle name="Note 3 2 2 2 2 2 2 3" xfId="32782" xr:uid="{69D4501E-B92D-48F2-8C12-CD444CAF6771}"/>
    <cellStyle name="Note 3 2 2 2 2 2 2 4" xfId="15910" xr:uid="{F2C84611-7CF9-4678-BDE4-2BEBFF632BFD}"/>
    <cellStyle name="Note 3 2 2 2 2 2 3" xfId="20130" xr:uid="{5AE4C23A-21A0-402D-A71D-5D25F726CAB3}"/>
    <cellStyle name="Note 3 2 2 2 2 2 4" xfId="28565" xr:uid="{56AD6710-025E-47D7-98CD-43876C8A6572}"/>
    <cellStyle name="Note 3 2 2 2 2 2 5" xfId="11692" xr:uid="{3D0BE016-BDD0-4C2E-BC04-1F062A3B91A9}"/>
    <cellStyle name="Note 3 2 2 2 2 3" xfId="5326" xr:uid="{00000000-0005-0000-0000-000054210000}"/>
    <cellStyle name="Note 3 2 2 2 2 3 2" xfId="22203" xr:uid="{73639B6D-9C38-4CEC-89DE-C55163A35715}"/>
    <cellStyle name="Note 3 2 2 2 2 3 3" xfId="30637" xr:uid="{CE477A32-87A4-449D-BCAF-0A3422FCE24B}"/>
    <cellStyle name="Note 3 2 2 2 2 3 4" xfId="13765" xr:uid="{B2F07300-A826-438C-BAAD-3C83272B03F2}"/>
    <cellStyle name="Note 3 2 2 2 2 4" xfId="17985" xr:uid="{2723FC7D-902B-4C24-BA33-4A8E2F88E451}"/>
    <cellStyle name="Note 3 2 2 2 2 5" xfId="26420" xr:uid="{07A9F04B-AE05-4401-B4CC-5902F98A3AD1}"/>
    <cellStyle name="Note 3 2 2 2 2 6" xfId="9547" xr:uid="{ACCFD9F8-5AC0-4D34-A19B-3C490D4BFAE1}"/>
    <cellStyle name="Note 3 2 2 2 3" xfId="1431" xr:uid="{00000000-0005-0000-0000-000055210000}"/>
    <cellStyle name="Note 3 2 2 2 3 2" xfId="3661" xr:uid="{00000000-0005-0000-0000-000056210000}"/>
    <cellStyle name="Note 3 2 2 2 3 2 2" xfId="7884" xr:uid="{00000000-0005-0000-0000-000057210000}"/>
    <cellStyle name="Note 3 2 2 2 3 2 2 2" xfId="24761" xr:uid="{2A2B6909-DA14-48E2-ACE8-EBD7214E4026}"/>
    <cellStyle name="Note 3 2 2 2 3 2 2 3" xfId="33195" xr:uid="{7DB59664-FF03-4613-BB47-21AA0F322CC4}"/>
    <cellStyle name="Note 3 2 2 2 3 2 2 4" xfId="16323" xr:uid="{FFC9D10F-383C-4E6F-986E-819F4186E060}"/>
    <cellStyle name="Note 3 2 2 2 3 2 3" xfId="20543" xr:uid="{3C610F33-5F1D-4D34-AD5D-F0A74FB2D25E}"/>
    <cellStyle name="Note 3 2 2 2 3 2 4" xfId="28978" xr:uid="{993026D0-08AD-4A4E-B78F-D5EC88769FC3}"/>
    <cellStyle name="Note 3 2 2 2 3 2 5" xfId="12105" xr:uid="{20700CC5-ED39-4026-972A-BCA024A0F3C0}"/>
    <cellStyle name="Note 3 2 2 2 3 3" xfId="5739" xr:uid="{00000000-0005-0000-0000-000058210000}"/>
    <cellStyle name="Note 3 2 2 2 3 3 2" xfId="22616" xr:uid="{58F38E35-0505-4EEC-A04F-93C0B4E4B4AC}"/>
    <cellStyle name="Note 3 2 2 2 3 3 3" xfId="31050" xr:uid="{63AD727E-D184-406B-BDE0-4EE0D95BD235}"/>
    <cellStyle name="Note 3 2 2 2 3 3 4" xfId="14178" xr:uid="{09C1FF7B-9319-4DD2-95E8-FE1C9463B763}"/>
    <cellStyle name="Note 3 2 2 2 3 4" xfId="18398" xr:uid="{412E1E57-481F-4E3D-816A-8261D8036D1B}"/>
    <cellStyle name="Note 3 2 2 2 3 5" xfId="26833" xr:uid="{7AC182ED-43E7-4134-A4C1-3780DAF3920B}"/>
    <cellStyle name="Note 3 2 2 2 3 6" xfId="9960" xr:uid="{2D8C578C-4A0A-4F5D-B028-E4561860E980}"/>
    <cellStyle name="Note 3 2 2 2 4" xfId="1845" xr:uid="{00000000-0005-0000-0000-000059210000}"/>
    <cellStyle name="Note 3 2 2 2 4 2" xfId="4074" xr:uid="{00000000-0005-0000-0000-00005A210000}"/>
    <cellStyle name="Note 3 2 2 2 4 2 2" xfId="8297" xr:uid="{00000000-0005-0000-0000-00005B210000}"/>
    <cellStyle name="Note 3 2 2 2 4 2 2 2" xfId="25174" xr:uid="{5F873911-A65D-4FAD-B3FC-65B77A2CCDE5}"/>
    <cellStyle name="Note 3 2 2 2 4 2 2 3" xfId="33608" xr:uid="{EEF254A4-929F-461F-A74A-87F50EB405C8}"/>
    <cellStyle name="Note 3 2 2 2 4 2 2 4" xfId="16736" xr:uid="{3156DA17-A616-4F39-9138-77ACBE579E3F}"/>
    <cellStyle name="Note 3 2 2 2 4 2 3" xfId="20956" xr:uid="{5BD5910E-AE3B-41A0-A306-741179073744}"/>
    <cellStyle name="Note 3 2 2 2 4 2 4" xfId="29391" xr:uid="{AA7A9506-89C2-4D95-8114-3BAFECA1FD1E}"/>
    <cellStyle name="Note 3 2 2 2 4 2 5" xfId="12518" xr:uid="{1A9C56B8-50E1-46CB-80A5-0E46A14C971B}"/>
    <cellStyle name="Note 3 2 2 2 4 3" xfId="6152" xr:uid="{00000000-0005-0000-0000-00005C210000}"/>
    <cellStyle name="Note 3 2 2 2 4 3 2" xfId="23029" xr:uid="{B14FD20B-6A39-416C-A3E6-2279E89C83EA}"/>
    <cellStyle name="Note 3 2 2 2 4 3 3" xfId="31463" xr:uid="{F29A7EF7-982A-4FBD-9BC8-DE02C3811FFA}"/>
    <cellStyle name="Note 3 2 2 2 4 3 4" xfId="14591" xr:uid="{7B4BCC37-6335-4FEC-9FD1-0B4FF88B9AAD}"/>
    <cellStyle name="Note 3 2 2 2 4 4" xfId="18811" xr:uid="{36B7CAE6-4D2B-4B1F-985C-C00636EF53C8}"/>
    <cellStyle name="Note 3 2 2 2 4 5" xfId="27246" xr:uid="{BD1F0B1F-26B2-4849-8C16-A9A768E993AF}"/>
    <cellStyle name="Note 3 2 2 2 4 6" xfId="10373" xr:uid="{703D8D8A-2A0E-4F6E-8764-9A1C70678BAE}"/>
    <cellStyle name="Note 3 2 2 2 5" xfId="2258" xr:uid="{00000000-0005-0000-0000-00005D210000}"/>
    <cellStyle name="Note 3 2 2 2 5 2" xfId="4487" xr:uid="{00000000-0005-0000-0000-00005E210000}"/>
    <cellStyle name="Note 3 2 2 2 5 2 2" xfId="8710" xr:uid="{00000000-0005-0000-0000-00005F210000}"/>
    <cellStyle name="Note 3 2 2 2 5 2 2 2" xfId="25587" xr:uid="{5AD9A4AD-CDAE-4D88-9E66-6D9BEB82036A}"/>
    <cellStyle name="Note 3 2 2 2 5 2 2 3" xfId="34021" xr:uid="{C1641AA7-45C9-4F38-A675-16C85D089802}"/>
    <cellStyle name="Note 3 2 2 2 5 2 2 4" xfId="17149" xr:uid="{B26C5D45-6151-45DD-85E5-DAA33F862325}"/>
    <cellStyle name="Note 3 2 2 2 5 2 3" xfId="21369" xr:uid="{9D37148A-25AB-4315-ABE9-50E110E5B1A9}"/>
    <cellStyle name="Note 3 2 2 2 5 2 4" xfId="29804" xr:uid="{77EE3E82-DDEA-4C73-8341-D4B56A890672}"/>
    <cellStyle name="Note 3 2 2 2 5 2 5" xfId="12931" xr:uid="{E83E7DFD-1285-4D59-8C82-781FD8FB7AA6}"/>
    <cellStyle name="Note 3 2 2 2 5 3" xfId="6565" xr:uid="{00000000-0005-0000-0000-000060210000}"/>
    <cellStyle name="Note 3 2 2 2 5 3 2" xfId="23442" xr:uid="{B9AB36C8-975E-4C83-A87F-3678E4F1F909}"/>
    <cellStyle name="Note 3 2 2 2 5 3 3" xfId="31876" xr:uid="{6DFBC4F2-3E90-4B10-8E24-B2FB11565F3F}"/>
    <cellStyle name="Note 3 2 2 2 5 3 4" xfId="15004" xr:uid="{FE0650F1-5477-448C-BC89-6483D4117D2E}"/>
    <cellStyle name="Note 3 2 2 2 5 4" xfId="19224" xr:uid="{829750BD-506E-430B-B87B-E10203BFADFE}"/>
    <cellStyle name="Note 3 2 2 2 5 5" xfId="27659" xr:uid="{722CAB1C-03A6-43D7-82E9-B4A0D6115EBD}"/>
    <cellStyle name="Note 3 2 2 2 5 6" xfId="10786" xr:uid="{B3DC69C4-2CE2-419A-94A0-3DAA723FEAF4}"/>
    <cellStyle name="Note 3 2 2 2 6" xfId="2694" xr:uid="{00000000-0005-0000-0000-000061210000}"/>
    <cellStyle name="Note 3 2 2 2 6 2" xfId="6978" xr:uid="{00000000-0005-0000-0000-000062210000}"/>
    <cellStyle name="Note 3 2 2 2 6 2 2" xfId="23855" xr:uid="{02270A01-1C54-4816-A1A4-E2311273BA45}"/>
    <cellStyle name="Note 3 2 2 2 6 2 3" xfId="32289" xr:uid="{3DAFB459-BD7A-452B-BF1E-CC68EF8A8EDF}"/>
    <cellStyle name="Note 3 2 2 2 6 2 4" xfId="15417" xr:uid="{96806AFB-EB35-4769-8C31-F7CE873A3105}"/>
    <cellStyle name="Note 3 2 2 2 6 3" xfId="19637" xr:uid="{ACFA593E-75AF-4279-85F9-AB49B42B7A66}"/>
    <cellStyle name="Note 3 2 2 2 6 4" xfId="28072" xr:uid="{300BEA89-3353-4F0F-B1FB-7007107817BE}"/>
    <cellStyle name="Note 3 2 2 2 6 5" xfId="11199" xr:uid="{A8DA40B8-ADE7-4C1E-AA0D-20546EF90E0E}"/>
    <cellStyle name="Note 3 2 2 2 7" xfId="2753" xr:uid="{00000000-0005-0000-0000-000063210000}"/>
    <cellStyle name="Note 3 2 2 2 8" xfId="2834" xr:uid="{00000000-0005-0000-0000-000064210000}"/>
    <cellStyle name="Note 3 2 2 2 8 2" xfId="7058" xr:uid="{00000000-0005-0000-0000-000065210000}"/>
    <cellStyle name="Note 3 2 2 2 8 2 2" xfId="23935" xr:uid="{5F012BAB-EEBA-414C-BF13-82903056A173}"/>
    <cellStyle name="Note 3 2 2 2 8 2 3" xfId="32369" xr:uid="{B75AB565-AC7C-4B93-9EEC-4E624D09BF03}"/>
    <cellStyle name="Note 3 2 2 2 8 2 4" xfId="15497" xr:uid="{45FC69DC-3960-4E9B-8AF6-3BBA9F598EF8}"/>
    <cellStyle name="Note 3 2 2 2 8 3" xfId="19717" xr:uid="{C7A4D0AA-F2AE-48EE-B650-A21544C4ED13}"/>
    <cellStyle name="Note 3 2 2 2 8 4" xfId="28152" xr:uid="{B2AC9047-2ED8-40C2-8423-D995BFD527A7}"/>
    <cellStyle name="Note 3 2 2 2 8 5" xfId="11279" xr:uid="{CD82071E-4668-4361-8246-BC2AEE22AA87}"/>
    <cellStyle name="Note 3 2 2 2 9" xfId="4913" xr:uid="{00000000-0005-0000-0000-000066210000}"/>
    <cellStyle name="Note 3 2 2 2 9 2" xfId="21790" xr:uid="{A198F41F-2415-4410-B5B6-DABFB7DF4640}"/>
    <cellStyle name="Note 3 2 2 2 9 3" xfId="30224" xr:uid="{EEC52FB8-03C2-4B99-96A0-07E11F7111EA}"/>
    <cellStyle name="Note 3 2 2 2 9 4" xfId="13352" xr:uid="{8E2F72DE-3400-4A36-A4F5-735202A9397E}"/>
    <cellStyle name="Note 3 2 2 3" xfId="1015" xr:uid="{00000000-0005-0000-0000-000067210000}"/>
    <cellStyle name="Note 3 2 2 3 2" xfId="3247" xr:uid="{00000000-0005-0000-0000-000068210000}"/>
    <cellStyle name="Note 3 2 2 3 2 2" xfId="7470" xr:uid="{00000000-0005-0000-0000-000069210000}"/>
    <cellStyle name="Note 3 2 2 3 2 2 2" xfId="24347" xr:uid="{B2E6C270-CC1A-4286-826B-8F56611ACE5D}"/>
    <cellStyle name="Note 3 2 2 3 2 2 3" xfId="32781" xr:uid="{4D1DF4F6-9911-45C4-BBE9-9038D9C871AA}"/>
    <cellStyle name="Note 3 2 2 3 2 2 4" xfId="15909" xr:uid="{6DF4C641-5C19-4044-96C4-1855F2525425}"/>
    <cellStyle name="Note 3 2 2 3 2 3" xfId="20129" xr:uid="{A542AE9D-D062-44AB-9012-EEC1686DDB90}"/>
    <cellStyle name="Note 3 2 2 3 2 4" xfId="28564" xr:uid="{E9EEF05F-62A3-4257-8F21-3B1F76F037C7}"/>
    <cellStyle name="Note 3 2 2 3 2 5" xfId="11691" xr:uid="{607CB1F4-49FD-4812-B54E-4C4CC1CB73C2}"/>
    <cellStyle name="Note 3 2 2 3 3" xfId="5325" xr:uid="{00000000-0005-0000-0000-00006A210000}"/>
    <cellStyle name="Note 3 2 2 3 3 2" xfId="22202" xr:uid="{6F145F2F-CBA0-44E1-891F-DEF0C521AA2D}"/>
    <cellStyle name="Note 3 2 2 3 3 3" xfId="30636" xr:uid="{3364634B-058C-47B0-9561-45CF38F39B5D}"/>
    <cellStyle name="Note 3 2 2 3 3 4" xfId="13764" xr:uid="{33B88E80-3B1B-47D6-AB1E-34BF189EDDD4}"/>
    <cellStyle name="Note 3 2 2 3 4" xfId="17984" xr:uid="{61376BF4-A741-492B-9A57-DE587CF80FDC}"/>
    <cellStyle name="Note 3 2 2 3 5" xfId="26419" xr:uid="{1D6836B7-CF2F-486D-923D-86DC5A4BA88E}"/>
    <cellStyle name="Note 3 2 2 3 6" xfId="9546" xr:uid="{31D03901-B3BC-448B-B804-5FFD96F5931F}"/>
    <cellStyle name="Note 3 2 2 4" xfId="1430" xr:uid="{00000000-0005-0000-0000-00006B210000}"/>
    <cellStyle name="Note 3 2 2 4 2" xfId="3660" xr:uid="{00000000-0005-0000-0000-00006C210000}"/>
    <cellStyle name="Note 3 2 2 4 2 2" xfId="7883" xr:uid="{00000000-0005-0000-0000-00006D210000}"/>
    <cellStyle name="Note 3 2 2 4 2 2 2" xfId="24760" xr:uid="{31ECBCD0-FA0C-49FE-BBF1-A3BAB4B1F49D}"/>
    <cellStyle name="Note 3 2 2 4 2 2 3" xfId="33194" xr:uid="{E7692E15-995D-4CD8-A205-823EB710E5DC}"/>
    <cellStyle name="Note 3 2 2 4 2 2 4" xfId="16322" xr:uid="{701E6FD4-979A-4AB7-A16C-3CBAF4CF1806}"/>
    <cellStyle name="Note 3 2 2 4 2 3" xfId="20542" xr:uid="{96DC4E1E-DD4E-48C5-B043-5E36651A841A}"/>
    <cellStyle name="Note 3 2 2 4 2 4" xfId="28977" xr:uid="{943EC7A6-E5D9-4991-8F27-0F1A6721AC68}"/>
    <cellStyle name="Note 3 2 2 4 2 5" xfId="12104" xr:uid="{7BEE009C-6E3C-49B6-B98F-A35F61BFF993}"/>
    <cellStyle name="Note 3 2 2 4 3" xfId="5738" xr:uid="{00000000-0005-0000-0000-00006E210000}"/>
    <cellStyle name="Note 3 2 2 4 3 2" xfId="22615" xr:uid="{E2A32E3B-228C-44F2-B8C8-3607D0B75640}"/>
    <cellStyle name="Note 3 2 2 4 3 3" xfId="31049" xr:uid="{71676C28-B576-4807-9FA3-B28E4776F652}"/>
    <cellStyle name="Note 3 2 2 4 3 4" xfId="14177" xr:uid="{75414559-D65F-4AAA-AC73-1138F4234CA6}"/>
    <cellStyle name="Note 3 2 2 4 4" xfId="18397" xr:uid="{2BE200A3-EEE7-4993-9612-8AEF334D5368}"/>
    <cellStyle name="Note 3 2 2 4 5" xfId="26832" xr:uid="{01AE0EC8-5077-4F16-BDC9-4ED5A267B6F0}"/>
    <cellStyle name="Note 3 2 2 4 6" xfId="9959" xr:uid="{050E47D4-24DF-4ADD-8415-E5ABA3ADD3E4}"/>
    <cellStyle name="Note 3 2 2 5" xfId="1844" xr:uid="{00000000-0005-0000-0000-00006F210000}"/>
    <cellStyle name="Note 3 2 2 5 2" xfId="4073" xr:uid="{00000000-0005-0000-0000-000070210000}"/>
    <cellStyle name="Note 3 2 2 5 2 2" xfId="8296" xr:uid="{00000000-0005-0000-0000-000071210000}"/>
    <cellStyle name="Note 3 2 2 5 2 2 2" xfId="25173" xr:uid="{96ED3B32-6849-48B9-94FA-16259B6ECD33}"/>
    <cellStyle name="Note 3 2 2 5 2 2 3" xfId="33607" xr:uid="{2F9A9471-1CB1-4232-9755-FDFC556F276B}"/>
    <cellStyle name="Note 3 2 2 5 2 2 4" xfId="16735" xr:uid="{86155A73-2A6B-4EE4-B267-450411BE1EA2}"/>
    <cellStyle name="Note 3 2 2 5 2 3" xfId="20955" xr:uid="{00627BBD-D135-46F2-9783-8D71AFF220E1}"/>
    <cellStyle name="Note 3 2 2 5 2 4" xfId="29390" xr:uid="{D389B8E3-E7AA-433A-81BD-8F8F0148BFC3}"/>
    <cellStyle name="Note 3 2 2 5 2 5" xfId="12517" xr:uid="{951EDF1C-B27E-4B7B-A2FB-63F45932730E}"/>
    <cellStyle name="Note 3 2 2 5 3" xfId="6151" xr:uid="{00000000-0005-0000-0000-000072210000}"/>
    <cellStyle name="Note 3 2 2 5 3 2" xfId="23028" xr:uid="{CD3029C0-E9DF-428A-801F-ABDCD44C24A2}"/>
    <cellStyle name="Note 3 2 2 5 3 3" xfId="31462" xr:uid="{BF92C07A-7900-4A4A-8BC1-624D53B4E3F8}"/>
    <cellStyle name="Note 3 2 2 5 3 4" xfId="14590" xr:uid="{753813D9-831E-4545-91BF-D4B6753E080A}"/>
    <cellStyle name="Note 3 2 2 5 4" xfId="18810" xr:uid="{25AF7C10-130B-4E68-84F2-58368AD4848F}"/>
    <cellStyle name="Note 3 2 2 5 5" xfId="27245" xr:uid="{F50F1D9C-563A-4091-87F7-3A686EFCE535}"/>
    <cellStyle name="Note 3 2 2 5 6" xfId="10372" xr:uid="{64639636-DCBE-4026-B790-3212CF37A842}"/>
    <cellStyle name="Note 3 2 2 6" xfId="2257" xr:uid="{00000000-0005-0000-0000-000073210000}"/>
    <cellStyle name="Note 3 2 2 6 2" xfId="4486" xr:uid="{00000000-0005-0000-0000-000074210000}"/>
    <cellStyle name="Note 3 2 2 6 2 2" xfId="8709" xr:uid="{00000000-0005-0000-0000-000075210000}"/>
    <cellStyle name="Note 3 2 2 6 2 2 2" xfId="25586" xr:uid="{2FE836C5-E63B-412E-9C4A-1098037EC84B}"/>
    <cellStyle name="Note 3 2 2 6 2 2 3" xfId="34020" xr:uid="{80738082-E552-4645-AEBE-6D00214E5B34}"/>
    <cellStyle name="Note 3 2 2 6 2 2 4" xfId="17148" xr:uid="{DB8BFDEA-D4E5-430A-80B0-F40F2383D5E1}"/>
    <cellStyle name="Note 3 2 2 6 2 3" xfId="21368" xr:uid="{D205461A-BFEE-42E2-9612-F58D9D365B20}"/>
    <cellStyle name="Note 3 2 2 6 2 4" xfId="29803" xr:uid="{37BD63B2-E0B3-49B7-A47A-2CA5EE9CDCBC}"/>
    <cellStyle name="Note 3 2 2 6 2 5" xfId="12930" xr:uid="{D69E1772-3A30-445C-9F35-569FBE0A9C11}"/>
    <cellStyle name="Note 3 2 2 6 3" xfId="6564" xr:uid="{00000000-0005-0000-0000-000076210000}"/>
    <cellStyle name="Note 3 2 2 6 3 2" xfId="23441" xr:uid="{1A35CC46-A416-40EE-95FD-6F3C700F5284}"/>
    <cellStyle name="Note 3 2 2 6 3 3" xfId="31875" xr:uid="{D2510B80-C3D5-43F2-A000-92452A10678B}"/>
    <cellStyle name="Note 3 2 2 6 3 4" xfId="15003" xr:uid="{8096AD84-624F-490B-AE97-4372B48C2BD3}"/>
    <cellStyle name="Note 3 2 2 6 4" xfId="19223" xr:uid="{7EEF88CB-78A7-4D70-9F71-007A32718F98}"/>
    <cellStyle name="Note 3 2 2 6 5" xfId="27658" xr:uid="{95A81D7E-43CE-42F5-AB1A-A0378112C43E}"/>
    <cellStyle name="Note 3 2 2 6 6" xfId="10785" xr:uid="{EFEB0B00-0E65-499C-923C-6DEC23DE24E8}"/>
    <cellStyle name="Note 3 2 2 7" xfId="2693" xr:uid="{00000000-0005-0000-0000-000077210000}"/>
    <cellStyle name="Note 3 2 2 7 2" xfId="6977" xr:uid="{00000000-0005-0000-0000-000078210000}"/>
    <cellStyle name="Note 3 2 2 7 2 2" xfId="23854" xr:uid="{EB7382AB-9A16-4C70-A31C-03406E943FE9}"/>
    <cellStyle name="Note 3 2 2 7 2 3" xfId="32288" xr:uid="{CCA6168C-AF40-4A14-A123-A005E72B7F98}"/>
    <cellStyle name="Note 3 2 2 7 2 4" xfId="15416" xr:uid="{CAEA6CDB-A8D3-4BBD-B000-6223B4F545A6}"/>
    <cellStyle name="Note 3 2 2 7 3" xfId="19636" xr:uid="{E1689B81-E1EA-4925-B2FE-50DE2D014C10}"/>
    <cellStyle name="Note 3 2 2 7 4" xfId="28071" xr:uid="{181D6DE5-2016-49D1-AC9D-6B9423A72896}"/>
    <cellStyle name="Note 3 2 2 7 5" xfId="11198" xr:uid="{6E46DBF7-9CC6-4916-B6CB-EF6CF3CBCBA5}"/>
    <cellStyle name="Note 3 2 2 8" xfId="2752" xr:uid="{00000000-0005-0000-0000-000079210000}"/>
    <cellStyle name="Note 3 2 2 9" xfId="2833" xr:uid="{00000000-0005-0000-0000-00007A210000}"/>
    <cellStyle name="Note 3 2 2 9 2" xfId="7057" xr:uid="{00000000-0005-0000-0000-00007B210000}"/>
    <cellStyle name="Note 3 2 2 9 2 2" xfId="23934" xr:uid="{9D725C00-1996-4CF4-B2D8-105FD257A3EF}"/>
    <cellStyle name="Note 3 2 2 9 2 3" xfId="32368" xr:uid="{6F77B49B-4CD9-4C8F-943A-FAE05ED79BD7}"/>
    <cellStyle name="Note 3 2 2 9 2 4" xfId="15496" xr:uid="{83C17FB3-A345-4C0F-BEFF-D8C19B5B81FF}"/>
    <cellStyle name="Note 3 2 2 9 3" xfId="19716" xr:uid="{8045FC78-09C5-42BA-9995-9FB95AD31C73}"/>
    <cellStyle name="Note 3 2 2 9 4" xfId="28151" xr:uid="{D232C63C-187C-46F5-A5B1-09877CD36F44}"/>
    <cellStyle name="Note 3 2 2 9 5" xfId="11278" xr:uid="{39CA89C3-5D34-4C27-955A-DDA6F46ED281}"/>
    <cellStyle name="Note 3 2 3" xfId="557" xr:uid="{00000000-0005-0000-0000-00007C210000}"/>
    <cellStyle name="Note 3 2 3 10" xfId="17573" xr:uid="{355103BB-BC37-4F61-B838-C4B66E26640B}"/>
    <cellStyle name="Note 3 2 3 11" xfId="26008" xr:uid="{675059AB-1542-4D9D-8B62-D28697156979}"/>
    <cellStyle name="Note 3 2 3 12" xfId="9135" xr:uid="{AE3D04E5-5457-4BA0-BDBD-316BFA53BFCA}"/>
    <cellStyle name="Note 3 2 3 2" xfId="1017" xr:uid="{00000000-0005-0000-0000-00007D210000}"/>
    <cellStyle name="Note 3 2 3 2 2" xfId="3249" xr:uid="{00000000-0005-0000-0000-00007E210000}"/>
    <cellStyle name="Note 3 2 3 2 2 2" xfId="7472" xr:uid="{00000000-0005-0000-0000-00007F210000}"/>
    <cellStyle name="Note 3 2 3 2 2 2 2" xfId="24349" xr:uid="{3EBDBA07-40C5-467C-B527-01E5B0556F5B}"/>
    <cellStyle name="Note 3 2 3 2 2 2 3" xfId="32783" xr:uid="{1B7FE0D2-3971-49FA-B40B-5655519834AD}"/>
    <cellStyle name="Note 3 2 3 2 2 2 4" xfId="15911" xr:uid="{ACA75752-8903-412D-8F06-D7AA4A615F80}"/>
    <cellStyle name="Note 3 2 3 2 2 3" xfId="20131" xr:uid="{B2342BBA-923A-4F38-8DA7-B036732F8919}"/>
    <cellStyle name="Note 3 2 3 2 2 4" xfId="28566" xr:uid="{3DF336DD-12A3-4562-AFA6-FEE0B015960B}"/>
    <cellStyle name="Note 3 2 3 2 2 5" xfId="11693" xr:uid="{75394034-01F1-4FFB-ADF8-A0955B7A7E88}"/>
    <cellStyle name="Note 3 2 3 2 3" xfId="5327" xr:uid="{00000000-0005-0000-0000-000080210000}"/>
    <cellStyle name="Note 3 2 3 2 3 2" xfId="22204" xr:uid="{6E57E7EC-B414-4ECD-A45B-F550055E6E88}"/>
    <cellStyle name="Note 3 2 3 2 3 3" xfId="30638" xr:uid="{0AAB45FB-EA1D-44A3-B011-DD04E393D988}"/>
    <cellStyle name="Note 3 2 3 2 3 4" xfId="13766" xr:uid="{FDBED2C4-B8F5-44B9-916C-7966F555F261}"/>
    <cellStyle name="Note 3 2 3 2 4" xfId="17986" xr:uid="{D912CA8F-9C54-4E73-8FA3-D6C9B1191BD0}"/>
    <cellStyle name="Note 3 2 3 2 5" xfId="26421" xr:uid="{8D62DF6E-0D9E-4D09-9FA8-2D9A7170E3FE}"/>
    <cellStyle name="Note 3 2 3 2 6" xfId="9548" xr:uid="{219AA516-7432-45F9-86D6-7AFD483DCD1A}"/>
    <cellStyle name="Note 3 2 3 3" xfId="1432" xr:uid="{00000000-0005-0000-0000-000081210000}"/>
    <cellStyle name="Note 3 2 3 3 2" xfId="3662" xr:uid="{00000000-0005-0000-0000-000082210000}"/>
    <cellStyle name="Note 3 2 3 3 2 2" xfId="7885" xr:uid="{00000000-0005-0000-0000-000083210000}"/>
    <cellStyle name="Note 3 2 3 3 2 2 2" xfId="24762" xr:uid="{97BFC4F4-89C4-40FA-8E91-A513C70C4981}"/>
    <cellStyle name="Note 3 2 3 3 2 2 3" xfId="33196" xr:uid="{F4A15566-80AD-493F-9891-EA734B8914C3}"/>
    <cellStyle name="Note 3 2 3 3 2 2 4" xfId="16324" xr:uid="{34D884AE-B178-498C-93CA-2E5D3596AF3F}"/>
    <cellStyle name="Note 3 2 3 3 2 3" xfId="20544" xr:uid="{5B2F8F74-0877-4383-861E-233FC010431A}"/>
    <cellStyle name="Note 3 2 3 3 2 4" xfId="28979" xr:uid="{6D119816-4B8A-4F52-A626-2BC88304B26B}"/>
    <cellStyle name="Note 3 2 3 3 2 5" xfId="12106" xr:uid="{96FDB89E-5B9C-4A3A-B614-EB1E0C84CD4F}"/>
    <cellStyle name="Note 3 2 3 3 3" xfId="5740" xr:uid="{00000000-0005-0000-0000-000084210000}"/>
    <cellStyle name="Note 3 2 3 3 3 2" xfId="22617" xr:uid="{EBA95813-CF0C-4A40-A98E-1F3D0C739296}"/>
    <cellStyle name="Note 3 2 3 3 3 3" xfId="31051" xr:uid="{338708CF-0902-4B0E-91E6-5745717CF754}"/>
    <cellStyle name="Note 3 2 3 3 3 4" xfId="14179" xr:uid="{8C9DA91B-EFAA-4970-960F-5A5756D9678C}"/>
    <cellStyle name="Note 3 2 3 3 4" xfId="18399" xr:uid="{567024FC-346A-4A48-B0A1-4D3874FF728A}"/>
    <cellStyle name="Note 3 2 3 3 5" xfId="26834" xr:uid="{402D33CC-2B17-4B73-B4DC-3237E3F4D752}"/>
    <cellStyle name="Note 3 2 3 3 6" xfId="9961" xr:uid="{2D412AA9-0308-47E6-ACCD-7759F7A5E599}"/>
    <cellStyle name="Note 3 2 3 4" xfId="1846" xr:uid="{00000000-0005-0000-0000-000085210000}"/>
    <cellStyle name="Note 3 2 3 4 2" xfId="4075" xr:uid="{00000000-0005-0000-0000-000086210000}"/>
    <cellStyle name="Note 3 2 3 4 2 2" xfId="8298" xr:uid="{00000000-0005-0000-0000-000087210000}"/>
    <cellStyle name="Note 3 2 3 4 2 2 2" xfId="25175" xr:uid="{8E12236D-ACF8-44B3-B1A0-0E91C6BE59C3}"/>
    <cellStyle name="Note 3 2 3 4 2 2 3" xfId="33609" xr:uid="{EE246F9B-8D55-401F-AB86-D463625C5366}"/>
    <cellStyle name="Note 3 2 3 4 2 2 4" xfId="16737" xr:uid="{E29C0EC5-6261-4F0A-8A36-3F99F603369F}"/>
    <cellStyle name="Note 3 2 3 4 2 3" xfId="20957" xr:uid="{44D90E50-812A-41A4-BFC2-6A63E80B8828}"/>
    <cellStyle name="Note 3 2 3 4 2 4" xfId="29392" xr:uid="{6C7F2B22-8CFB-4D59-BB70-2DB8FEBF3CFC}"/>
    <cellStyle name="Note 3 2 3 4 2 5" xfId="12519" xr:uid="{035E3B09-DDC5-44EA-8447-30ECA7EF3448}"/>
    <cellStyle name="Note 3 2 3 4 3" xfId="6153" xr:uid="{00000000-0005-0000-0000-000088210000}"/>
    <cellStyle name="Note 3 2 3 4 3 2" xfId="23030" xr:uid="{83691DD9-161B-4944-A2B6-3A215AF3C945}"/>
    <cellStyle name="Note 3 2 3 4 3 3" xfId="31464" xr:uid="{6BF351B1-2315-46E1-8452-3E4686C65CD3}"/>
    <cellStyle name="Note 3 2 3 4 3 4" xfId="14592" xr:uid="{A5F8DA21-1C8B-4FFF-AF4F-724D32A78EAB}"/>
    <cellStyle name="Note 3 2 3 4 4" xfId="18812" xr:uid="{2BA253AD-05BD-4E33-876B-8E65BDAB4670}"/>
    <cellStyle name="Note 3 2 3 4 5" xfId="27247" xr:uid="{B5D63479-A419-41C2-BF16-7A95B0E35EB1}"/>
    <cellStyle name="Note 3 2 3 4 6" xfId="10374" xr:uid="{74FD6027-1D82-4C94-BCFA-47FD6CC3D716}"/>
    <cellStyle name="Note 3 2 3 5" xfId="2259" xr:uid="{00000000-0005-0000-0000-000089210000}"/>
    <cellStyle name="Note 3 2 3 5 2" xfId="4488" xr:uid="{00000000-0005-0000-0000-00008A210000}"/>
    <cellStyle name="Note 3 2 3 5 2 2" xfId="8711" xr:uid="{00000000-0005-0000-0000-00008B210000}"/>
    <cellStyle name="Note 3 2 3 5 2 2 2" xfId="25588" xr:uid="{91F089BC-4B87-4968-AC0F-90E51E02415B}"/>
    <cellStyle name="Note 3 2 3 5 2 2 3" xfId="34022" xr:uid="{E0257867-88F9-423C-8332-57E20CE29D1B}"/>
    <cellStyle name="Note 3 2 3 5 2 2 4" xfId="17150" xr:uid="{89253C3B-9270-4E60-A2C1-AAE58F69BA4C}"/>
    <cellStyle name="Note 3 2 3 5 2 3" xfId="21370" xr:uid="{034DA786-5A88-4E26-8D84-CC18ED7A9B00}"/>
    <cellStyle name="Note 3 2 3 5 2 4" xfId="29805" xr:uid="{70E3F9C6-96DF-4592-9C15-4D4C00CFA6EC}"/>
    <cellStyle name="Note 3 2 3 5 2 5" xfId="12932" xr:uid="{E1EA0646-451D-43F9-A38B-8D6FE739B980}"/>
    <cellStyle name="Note 3 2 3 5 3" xfId="6566" xr:uid="{00000000-0005-0000-0000-00008C210000}"/>
    <cellStyle name="Note 3 2 3 5 3 2" xfId="23443" xr:uid="{346C869F-9E1F-4355-9ACB-F53913DB56EA}"/>
    <cellStyle name="Note 3 2 3 5 3 3" xfId="31877" xr:uid="{4863B68C-23EA-4B8F-803C-94D2F317823C}"/>
    <cellStyle name="Note 3 2 3 5 3 4" xfId="15005" xr:uid="{5885407F-43B9-4EF4-87F9-830797BEF75A}"/>
    <cellStyle name="Note 3 2 3 5 4" xfId="19225" xr:uid="{94E3A023-BA89-43DA-BE09-7A5002145A8F}"/>
    <cellStyle name="Note 3 2 3 5 5" xfId="27660" xr:uid="{75BB31C1-5911-4469-826B-40EF7963F4A1}"/>
    <cellStyle name="Note 3 2 3 5 6" xfId="10787" xr:uid="{C9228548-4232-4F18-8632-768424D6AA82}"/>
    <cellStyle name="Note 3 2 3 6" xfId="2695" xr:uid="{00000000-0005-0000-0000-00008D210000}"/>
    <cellStyle name="Note 3 2 3 6 2" xfId="6979" xr:uid="{00000000-0005-0000-0000-00008E210000}"/>
    <cellStyle name="Note 3 2 3 6 2 2" xfId="23856" xr:uid="{5A332368-4273-4B52-980D-C7F487E17597}"/>
    <cellStyle name="Note 3 2 3 6 2 3" xfId="32290" xr:uid="{B4BCA62E-5ACE-4401-A7F4-C98066548219}"/>
    <cellStyle name="Note 3 2 3 6 2 4" xfId="15418" xr:uid="{0CB5384D-712F-460F-A120-4BB276D2872A}"/>
    <cellStyle name="Note 3 2 3 6 3" xfId="19638" xr:uid="{D13AA53E-F0A4-49B2-94A8-810FBA6CAD00}"/>
    <cellStyle name="Note 3 2 3 6 4" xfId="28073" xr:uid="{FDE5F046-161D-4233-9633-661F3C0BC390}"/>
    <cellStyle name="Note 3 2 3 6 5" xfId="11200" xr:uid="{A44914C3-EE5A-4988-9F85-D2552FE7E0AE}"/>
    <cellStyle name="Note 3 2 3 7" xfId="2754" xr:uid="{00000000-0005-0000-0000-00008F210000}"/>
    <cellStyle name="Note 3 2 3 8" xfId="2835" xr:uid="{00000000-0005-0000-0000-000090210000}"/>
    <cellStyle name="Note 3 2 3 8 2" xfId="7059" xr:uid="{00000000-0005-0000-0000-000091210000}"/>
    <cellStyle name="Note 3 2 3 8 2 2" xfId="23936" xr:uid="{6D8B3CA2-6E56-4727-B7DC-B8731A136351}"/>
    <cellStyle name="Note 3 2 3 8 2 3" xfId="32370" xr:uid="{BD3B27F5-B753-4964-8B49-44F3826112B3}"/>
    <cellStyle name="Note 3 2 3 8 2 4" xfId="15498" xr:uid="{FE69E64C-D035-45F5-B756-BD2E6889E04E}"/>
    <cellStyle name="Note 3 2 3 8 3" xfId="19718" xr:uid="{9A1BD635-E641-4A1F-9A84-DD6B4E8EC0F9}"/>
    <cellStyle name="Note 3 2 3 8 4" xfId="28153" xr:uid="{E4072A41-29A7-4735-A04E-3A523451BE54}"/>
    <cellStyle name="Note 3 2 3 8 5" xfId="11280" xr:uid="{7D7EAB90-3961-41D0-88E2-7917A0222FEC}"/>
    <cellStyle name="Note 3 2 3 9" xfId="4914" xr:uid="{00000000-0005-0000-0000-000092210000}"/>
    <cellStyle name="Note 3 2 3 9 2" xfId="21791" xr:uid="{E1EC0BF0-228E-4AE0-91A1-ED1BC9FB0EC7}"/>
    <cellStyle name="Note 3 2 3 9 3" xfId="30225" xr:uid="{A283399E-6815-4C0A-B415-2B19B0FD39BA}"/>
    <cellStyle name="Note 3 2 3 9 4" xfId="13353" xr:uid="{38C8EFD3-6E45-4EF8-AFFE-57FCABA538A8}"/>
    <cellStyle name="Note 3 2 4" xfId="1014" xr:uid="{00000000-0005-0000-0000-000093210000}"/>
    <cellStyle name="Note 3 2 4 2" xfId="3246" xr:uid="{00000000-0005-0000-0000-000094210000}"/>
    <cellStyle name="Note 3 2 4 2 2" xfId="7469" xr:uid="{00000000-0005-0000-0000-000095210000}"/>
    <cellStyle name="Note 3 2 4 2 2 2" xfId="24346" xr:uid="{83507C91-0838-41F7-82C3-ACDE9F372A78}"/>
    <cellStyle name="Note 3 2 4 2 2 3" xfId="32780" xr:uid="{77807977-0B29-4159-B030-ED9C9B13D5BE}"/>
    <cellStyle name="Note 3 2 4 2 2 4" xfId="15908" xr:uid="{213589D9-45F7-4C68-8A66-6780B4B2676F}"/>
    <cellStyle name="Note 3 2 4 2 3" xfId="20128" xr:uid="{8DEEF62C-029E-45B4-8139-16AD75BDAD1A}"/>
    <cellStyle name="Note 3 2 4 2 4" xfId="28563" xr:uid="{D3467498-ED2C-4430-B457-35267AED285A}"/>
    <cellStyle name="Note 3 2 4 2 5" xfId="11690" xr:uid="{193DFF3B-AE77-410F-9974-5CEFA697F37F}"/>
    <cellStyle name="Note 3 2 4 3" xfId="5324" xr:uid="{00000000-0005-0000-0000-000096210000}"/>
    <cellStyle name="Note 3 2 4 3 2" xfId="22201" xr:uid="{4289FBA0-4F93-4852-AF36-6A1405CB2726}"/>
    <cellStyle name="Note 3 2 4 3 3" xfId="30635" xr:uid="{F2A32AAE-A35A-4E01-A3EC-76757B05DA7C}"/>
    <cellStyle name="Note 3 2 4 3 4" xfId="13763" xr:uid="{313B2F17-9463-4A38-ACDE-47286688B31C}"/>
    <cellStyle name="Note 3 2 4 4" xfId="17983" xr:uid="{602E8322-C2D4-437D-9B28-47C9FE1A7249}"/>
    <cellStyle name="Note 3 2 4 5" xfId="26418" xr:uid="{22517431-B457-4EDF-A0CE-C4ABB3EDF340}"/>
    <cellStyle name="Note 3 2 4 6" xfId="9545" xr:uid="{9B610DB9-CC03-475D-9099-CCA84399BEA8}"/>
    <cellStyle name="Note 3 2 5" xfId="1429" xr:uid="{00000000-0005-0000-0000-000097210000}"/>
    <cellStyle name="Note 3 2 5 2" xfId="3659" xr:uid="{00000000-0005-0000-0000-000098210000}"/>
    <cellStyle name="Note 3 2 5 2 2" xfId="7882" xr:uid="{00000000-0005-0000-0000-000099210000}"/>
    <cellStyle name="Note 3 2 5 2 2 2" xfId="24759" xr:uid="{345CD995-98B7-472D-989A-12B3D8AB8276}"/>
    <cellStyle name="Note 3 2 5 2 2 3" xfId="33193" xr:uid="{4EA3157A-8917-4AFD-9A7B-398660D07C0E}"/>
    <cellStyle name="Note 3 2 5 2 2 4" xfId="16321" xr:uid="{078CB67B-5933-4697-A707-5714EFB8735E}"/>
    <cellStyle name="Note 3 2 5 2 3" xfId="20541" xr:uid="{DFA00BD7-8BF9-46C3-B128-DAE41200AD11}"/>
    <cellStyle name="Note 3 2 5 2 4" xfId="28976" xr:uid="{9518599B-4AB6-4C65-8F45-5E9E51E378C2}"/>
    <cellStyle name="Note 3 2 5 2 5" xfId="12103" xr:uid="{055D0B07-24B4-429F-ABEE-6D157C29594C}"/>
    <cellStyle name="Note 3 2 5 3" xfId="5737" xr:uid="{00000000-0005-0000-0000-00009A210000}"/>
    <cellStyle name="Note 3 2 5 3 2" xfId="22614" xr:uid="{D8D805CB-DFC4-4DCC-B254-3C710B856D5A}"/>
    <cellStyle name="Note 3 2 5 3 3" xfId="31048" xr:uid="{CD5E5400-21E4-4375-BFB4-4951C3671655}"/>
    <cellStyle name="Note 3 2 5 3 4" xfId="14176" xr:uid="{FEFBE274-1C20-4A0B-9048-52F1440A9DFB}"/>
    <cellStyle name="Note 3 2 5 4" xfId="18396" xr:uid="{42C32758-38C2-44DC-8DD6-24C1AD20DBB4}"/>
    <cellStyle name="Note 3 2 5 5" xfId="26831" xr:uid="{E1883DEE-5631-48B2-9D3E-FA3A80ED89E2}"/>
    <cellStyle name="Note 3 2 5 6" xfId="9958" xr:uid="{95E1D4ED-8A87-4B90-BF0D-63EDF2CB72FC}"/>
    <cellStyle name="Note 3 2 6" xfId="1843" xr:uid="{00000000-0005-0000-0000-00009B210000}"/>
    <cellStyle name="Note 3 2 6 2" xfId="4072" xr:uid="{00000000-0005-0000-0000-00009C210000}"/>
    <cellStyle name="Note 3 2 6 2 2" xfId="8295" xr:uid="{00000000-0005-0000-0000-00009D210000}"/>
    <cellStyle name="Note 3 2 6 2 2 2" xfId="25172" xr:uid="{1E8CBCFA-C08E-4FE2-9750-5560713E05ED}"/>
    <cellStyle name="Note 3 2 6 2 2 3" xfId="33606" xr:uid="{98A4F4A5-F020-40E4-8263-00C5A3E7A2AA}"/>
    <cellStyle name="Note 3 2 6 2 2 4" xfId="16734" xr:uid="{E796F3AB-1099-4826-BBB1-FBD0A9BB0968}"/>
    <cellStyle name="Note 3 2 6 2 3" xfId="20954" xr:uid="{0FC9E8D5-87B1-420B-8326-3C08263B1B25}"/>
    <cellStyle name="Note 3 2 6 2 4" xfId="29389" xr:uid="{8188B10F-3BFA-4436-A0FB-1DA404926013}"/>
    <cellStyle name="Note 3 2 6 2 5" xfId="12516" xr:uid="{6F4AC1C0-1D5E-4975-9F04-B69FAD064FA7}"/>
    <cellStyle name="Note 3 2 6 3" xfId="6150" xr:uid="{00000000-0005-0000-0000-00009E210000}"/>
    <cellStyle name="Note 3 2 6 3 2" xfId="23027" xr:uid="{A3E3E9C1-10FD-49C9-8764-95055ED32C64}"/>
    <cellStyle name="Note 3 2 6 3 3" xfId="31461" xr:uid="{83F974AA-4B4A-42E7-B043-29C1D2118239}"/>
    <cellStyle name="Note 3 2 6 3 4" xfId="14589" xr:uid="{BAF101DC-DE33-4E04-867C-357C770BCF84}"/>
    <cellStyle name="Note 3 2 6 4" xfId="18809" xr:uid="{78020EA4-52CF-4B45-BDD0-504BDB203BC7}"/>
    <cellStyle name="Note 3 2 6 5" xfId="27244" xr:uid="{73EC7896-3088-42B4-81D6-5BC7DA7A5A02}"/>
    <cellStyle name="Note 3 2 6 6" xfId="10371" xr:uid="{C25852A0-BF72-4509-BEB2-D0F479ED3E20}"/>
    <cellStyle name="Note 3 2 7" xfId="2256" xr:uid="{00000000-0005-0000-0000-00009F210000}"/>
    <cellStyle name="Note 3 2 7 2" xfId="4485" xr:uid="{00000000-0005-0000-0000-0000A0210000}"/>
    <cellStyle name="Note 3 2 7 2 2" xfId="8708" xr:uid="{00000000-0005-0000-0000-0000A1210000}"/>
    <cellStyle name="Note 3 2 7 2 2 2" xfId="25585" xr:uid="{387C0BE2-517D-457C-93B1-65546829B6DC}"/>
    <cellStyle name="Note 3 2 7 2 2 3" xfId="34019" xr:uid="{A3AE1046-2AB7-4E78-8513-3A823791287D}"/>
    <cellStyle name="Note 3 2 7 2 2 4" xfId="17147" xr:uid="{744C76C5-A129-4C76-BC78-805667F32328}"/>
    <cellStyle name="Note 3 2 7 2 3" xfId="21367" xr:uid="{09F21E80-CB23-45B5-9E59-38E798D0BAFF}"/>
    <cellStyle name="Note 3 2 7 2 4" xfId="29802" xr:uid="{7A319E7C-9180-4876-9138-38BE9683BEE1}"/>
    <cellStyle name="Note 3 2 7 2 5" xfId="12929" xr:uid="{0A648AFD-7C63-40E0-B352-E26EDC1DAE31}"/>
    <cellStyle name="Note 3 2 7 3" xfId="6563" xr:uid="{00000000-0005-0000-0000-0000A2210000}"/>
    <cellStyle name="Note 3 2 7 3 2" xfId="23440" xr:uid="{84E5E600-1B03-4849-BD17-BDA0C57A0EA5}"/>
    <cellStyle name="Note 3 2 7 3 3" xfId="31874" xr:uid="{B496595B-047B-40B4-B6BF-BE5B0D723AB9}"/>
    <cellStyle name="Note 3 2 7 3 4" xfId="15002" xr:uid="{60804C2B-2EF3-4118-AAFF-8A2EEE141AFA}"/>
    <cellStyle name="Note 3 2 7 4" xfId="19222" xr:uid="{C601557A-47D7-4DDB-B19B-A95D67C5D85A}"/>
    <cellStyle name="Note 3 2 7 5" xfId="27657" xr:uid="{2EB1E064-0891-4CE6-B9F1-688A44E17A2C}"/>
    <cellStyle name="Note 3 2 7 6" xfId="10784" xr:uid="{F64BBC0A-2076-4F01-8D45-6A54E6409705}"/>
    <cellStyle name="Note 3 2 8" xfId="2692" xr:uid="{00000000-0005-0000-0000-0000A3210000}"/>
    <cellStyle name="Note 3 2 8 2" xfId="6976" xr:uid="{00000000-0005-0000-0000-0000A4210000}"/>
    <cellStyle name="Note 3 2 8 2 2" xfId="23853" xr:uid="{A78DE8DA-37DC-44C6-972C-1E97193F8AB5}"/>
    <cellStyle name="Note 3 2 8 2 3" xfId="32287" xr:uid="{54CEC0F2-1DCD-4FA6-99DA-E3F242628898}"/>
    <cellStyle name="Note 3 2 8 2 4" xfId="15415" xr:uid="{C3B7C472-CE0F-4DC0-8BFD-F6C78E668ED0}"/>
    <cellStyle name="Note 3 2 8 3" xfId="19635" xr:uid="{003F7B8B-7550-4653-BC80-87C5F27BA214}"/>
    <cellStyle name="Note 3 2 8 4" xfId="28070" xr:uid="{082B0292-0DC3-457F-BF3E-83DB53780C2A}"/>
    <cellStyle name="Note 3 2 8 5" xfId="11197" xr:uid="{6E2FD2B4-B013-4AB4-BC69-789D4CEB985C}"/>
    <cellStyle name="Note 3 2 9" xfId="2751" xr:uid="{00000000-0005-0000-0000-0000A5210000}"/>
    <cellStyle name="Note 3 3" xfId="558" xr:uid="{00000000-0005-0000-0000-0000A6210000}"/>
    <cellStyle name="Note 3 3 10" xfId="4915" xr:uid="{00000000-0005-0000-0000-0000A7210000}"/>
    <cellStyle name="Note 3 3 10 2" xfId="21792" xr:uid="{F3DC875D-B9E6-41BD-AFB4-E4F30E9ABE6C}"/>
    <cellStyle name="Note 3 3 10 3" xfId="30226" xr:uid="{5C6538DF-7906-4163-95BB-C5D338ACAB22}"/>
    <cellStyle name="Note 3 3 10 4" xfId="13354" xr:uid="{41ACE24F-D79C-4446-8E95-BF154AB407AE}"/>
    <cellStyle name="Note 3 3 11" xfId="17574" xr:uid="{1F32C2DF-29AF-4745-8C19-647EDE1C3B4C}"/>
    <cellStyle name="Note 3 3 12" xfId="26009" xr:uid="{69B4F5BA-039C-481A-9311-36E65EDD0737}"/>
    <cellStyle name="Note 3 3 13" xfId="9136" xr:uid="{8137D20A-80E3-4504-82F3-C372DAFAB46F}"/>
    <cellStyle name="Note 3 3 2" xfId="559" xr:uid="{00000000-0005-0000-0000-0000A8210000}"/>
    <cellStyle name="Note 3 3 2 10" xfId="17575" xr:uid="{C8F03742-DDAA-40C3-9DBD-B0C26A2831DA}"/>
    <cellStyle name="Note 3 3 2 11" xfId="26010" xr:uid="{9F88A38B-A512-4CFE-A857-C24CC07308CF}"/>
    <cellStyle name="Note 3 3 2 12" xfId="9137" xr:uid="{A6E4B23C-0627-4827-B430-88A74EF0E217}"/>
    <cellStyle name="Note 3 3 2 2" xfId="1019" xr:uid="{00000000-0005-0000-0000-0000A9210000}"/>
    <cellStyle name="Note 3 3 2 2 2" xfId="3251" xr:uid="{00000000-0005-0000-0000-0000AA210000}"/>
    <cellStyle name="Note 3 3 2 2 2 2" xfId="7474" xr:uid="{00000000-0005-0000-0000-0000AB210000}"/>
    <cellStyle name="Note 3 3 2 2 2 2 2" xfId="24351" xr:uid="{287171B1-6C7E-49C4-B33B-F31A8C288E50}"/>
    <cellStyle name="Note 3 3 2 2 2 2 3" xfId="32785" xr:uid="{3C9CEB8F-CDAD-4F93-B7BE-FA3D23CB52FB}"/>
    <cellStyle name="Note 3 3 2 2 2 2 4" xfId="15913" xr:uid="{58755655-1195-43D1-A4CA-33757D8F0B1B}"/>
    <cellStyle name="Note 3 3 2 2 2 3" xfId="20133" xr:uid="{F758312D-7AED-441B-885A-9EF6B1433072}"/>
    <cellStyle name="Note 3 3 2 2 2 4" xfId="28568" xr:uid="{199772A3-5142-4883-8462-0E2616037D94}"/>
    <cellStyle name="Note 3 3 2 2 2 5" xfId="11695" xr:uid="{85C45FC7-47DA-4D2D-9ABC-E9DBDBF826CD}"/>
    <cellStyle name="Note 3 3 2 2 3" xfId="5329" xr:uid="{00000000-0005-0000-0000-0000AC210000}"/>
    <cellStyle name="Note 3 3 2 2 3 2" xfId="22206" xr:uid="{58F084F3-C21D-4558-B9F5-24235CC4D429}"/>
    <cellStyle name="Note 3 3 2 2 3 3" xfId="30640" xr:uid="{84222C02-41F7-47E3-AA98-D7420DD11929}"/>
    <cellStyle name="Note 3 3 2 2 3 4" xfId="13768" xr:uid="{91F46D80-F0B4-4D2E-B740-E28DB1D3A0EA}"/>
    <cellStyle name="Note 3 3 2 2 4" xfId="17988" xr:uid="{3203ECEA-D367-436D-B8CE-4BE0A06782EB}"/>
    <cellStyle name="Note 3 3 2 2 5" xfId="26423" xr:uid="{89F7EA31-E044-426D-B668-3383F87D9058}"/>
    <cellStyle name="Note 3 3 2 2 6" xfId="9550" xr:uid="{C0DDB664-A732-461A-B75B-9FD72DE4143B}"/>
    <cellStyle name="Note 3 3 2 3" xfId="1434" xr:uid="{00000000-0005-0000-0000-0000AD210000}"/>
    <cellStyle name="Note 3 3 2 3 2" xfId="3664" xr:uid="{00000000-0005-0000-0000-0000AE210000}"/>
    <cellStyle name="Note 3 3 2 3 2 2" xfId="7887" xr:uid="{00000000-0005-0000-0000-0000AF210000}"/>
    <cellStyle name="Note 3 3 2 3 2 2 2" xfId="24764" xr:uid="{4A3D4492-C816-465F-96EB-4D64F78F2B11}"/>
    <cellStyle name="Note 3 3 2 3 2 2 3" xfId="33198" xr:uid="{0D278086-F661-4881-B12C-2832FB681DF5}"/>
    <cellStyle name="Note 3 3 2 3 2 2 4" xfId="16326" xr:uid="{230771C2-83B8-4688-A393-D4A41585E47B}"/>
    <cellStyle name="Note 3 3 2 3 2 3" xfId="20546" xr:uid="{5D1D2797-5DD4-477F-9E14-5F8988A22A84}"/>
    <cellStyle name="Note 3 3 2 3 2 4" xfId="28981" xr:uid="{9DE9C5B0-42EE-4E8F-9D4D-59E806379BED}"/>
    <cellStyle name="Note 3 3 2 3 2 5" xfId="12108" xr:uid="{7E831F35-AD06-4545-92B7-9816689238B7}"/>
    <cellStyle name="Note 3 3 2 3 3" xfId="5742" xr:uid="{00000000-0005-0000-0000-0000B0210000}"/>
    <cellStyle name="Note 3 3 2 3 3 2" xfId="22619" xr:uid="{EE142298-E3A4-4B4C-8D9C-2568E3BE4D90}"/>
    <cellStyle name="Note 3 3 2 3 3 3" xfId="31053" xr:uid="{A4B917C4-930A-4942-9394-2D623E82469E}"/>
    <cellStyle name="Note 3 3 2 3 3 4" xfId="14181" xr:uid="{BC7B088D-020F-4D6C-9EA4-A97D6A3CB3A7}"/>
    <cellStyle name="Note 3 3 2 3 4" xfId="18401" xr:uid="{DBD7725E-D99A-42BC-A811-2EE4A02A988D}"/>
    <cellStyle name="Note 3 3 2 3 5" xfId="26836" xr:uid="{C43A522F-75A5-4752-807E-4C088DD343FE}"/>
    <cellStyle name="Note 3 3 2 3 6" xfId="9963" xr:uid="{F12D6344-196C-431A-8AE5-E1259990EC63}"/>
    <cellStyle name="Note 3 3 2 4" xfId="1848" xr:uid="{00000000-0005-0000-0000-0000B1210000}"/>
    <cellStyle name="Note 3 3 2 4 2" xfId="4077" xr:uid="{00000000-0005-0000-0000-0000B2210000}"/>
    <cellStyle name="Note 3 3 2 4 2 2" xfId="8300" xr:uid="{00000000-0005-0000-0000-0000B3210000}"/>
    <cellStyle name="Note 3 3 2 4 2 2 2" xfId="25177" xr:uid="{B6C92980-0C7D-409A-BCBF-CE1195BF4E8B}"/>
    <cellStyle name="Note 3 3 2 4 2 2 3" xfId="33611" xr:uid="{E0460CCD-19DA-412D-AA96-F52339388D3B}"/>
    <cellStyle name="Note 3 3 2 4 2 2 4" xfId="16739" xr:uid="{26A3C7A0-0C05-482F-99F7-658B9FDBB156}"/>
    <cellStyle name="Note 3 3 2 4 2 3" xfId="20959" xr:uid="{2CE5CBD9-89BB-4F16-91BE-20E58FC91E15}"/>
    <cellStyle name="Note 3 3 2 4 2 4" xfId="29394" xr:uid="{410D2979-52E2-40CD-B461-28C26300D015}"/>
    <cellStyle name="Note 3 3 2 4 2 5" xfId="12521" xr:uid="{E9AFF9A5-8468-4D77-897B-2784FBA62447}"/>
    <cellStyle name="Note 3 3 2 4 3" xfId="6155" xr:uid="{00000000-0005-0000-0000-0000B4210000}"/>
    <cellStyle name="Note 3 3 2 4 3 2" xfId="23032" xr:uid="{FF033F68-CBE8-428E-9C80-6FB8FDFC6488}"/>
    <cellStyle name="Note 3 3 2 4 3 3" xfId="31466" xr:uid="{C8F241BB-5226-49EC-9B6D-38088FBE30C3}"/>
    <cellStyle name="Note 3 3 2 4 3 4" xfId="14594" xr:uid="{21B108BE-F1A4-45D0-8F88-795D50B4FB34}"/>
    <cellStyle name="Note 3 3 2 4 4" xfId="18814" xr:uid="{2DF9FDE2-0844-41EA-ABA0-2BB26DD2E4AF}"/>
    <cellStyle name="Note 3 3 2 4 5" xfId="27249" xr:uid="{9EF4DE32-0D7A-4BC4-8D06-5A9ED73C21D9}"/>
    <cellStyle name="Note 3 3 2 4 6" xfId="10376" xr:uid="{185B6915-5380-44C2-B6DA-10AC556CBDE5}"/>
    <cellStyle name="Note 3 3 2 5" xfId="2261" xr:uid="{00000000-0005-0000-0000-0000B5210000}"/>
    <cellStyle name="Note 3 3 2 5 2" xfId="4490" xr:uid="{00000000-0005-0000-0000-0000B6210000}"/>
    <cellStyle name="Note 3 3 2 5 2 2" xfId="8713" xr:uid="{00000000-0005-0000-0000-0000B7210000}"/>
    <cellStyle name="Note 3 3 2 5 2 2 2" xfId="25590" xr:uid="{DF674E6E-B499-4E0A-8A58-109C728D7681}"/>
    <cellStyle name="Note 3 3 2 5 2 2 3" xfId="34024" xr:uid="{FC437367-4C15-4F48-BAE0-737E01D6AF3E}"/>
    <cellStyle name="Note 3 3 2 5 2 2 4" xfId="17152" xr:uid="{191DF2C8-59AF-4917-A841-013A7D99CBCB}"/>
    <cellStyle name="Note 3 3 2 5 2 3" xfId="21372" xr:uid="{D28A4A65-7C50-4CAA-8F24-376413BDBE2D}"/>
    <cellStyle name="Note 3 3 2 5 2 4" xfId="29807" xr:uid="{1B620201-5954-4A01-8E27-045A4BD9CE4E}"/>
    <cellStyle name="Note 3 3 2 5 2 5" xfId="12934" xr:uid="{30EA9763-218B-4D4E-AF9E-BF68F6A59996}"/>
    <cellStyle name="Note 3 3 2 5 3" xfId="6568" xr:uid="{00000000-0005-0000-0000-0000B8210000}"/>
    <cellStyle name="Note 3 3 2 5 3 2" xfId="23445" xr:uid="{B3132608-5A13-4AF3-91DF-6155F8E205C5}"/>
    <cellStyle name="Note 3 3 2 5 3 3" xfId="31879" xr:uid="{805372FE-8B45-4208-82D0-7E8434CDF61F}"/>
    <cellStyle name="Note 3 3 2 5 3 4" xfId="15007" xr:uid="{8EA1FD51-9C33-4786-94A2-0CA2584BB75E}"/>
    <cellStyle name="Note 3 3 2 5 4" xfId="19227" xr:uid="{9056FAEC-0CE0-44DF-88F3-DD9753AF5E53}"/>
    <cellStyle name="Note 3 3 2 5 5" xfId="27662" xr:uid="{39C3E5D3-30AC-4753-8ED4-53C63B98EBC1}"/>
    <cellStyle name="Note 3 3 2 5 6" xfId="10789" xr:uid="{E61942BC-2060-467F-A036-5E58B6331265}"/>
    <cellStyle name="Note 3 3 2 6" xfId="2697" xr:uid="{00000000-0005-0000-0000-0000B9210000}"/>
    <cellStyle name="Note 3 3 2 6 2" xfId="6981" xr:uid="{00000000-0005-0000-0000-0000BA210000}"/>
    <cellStyle name="Note 3 3 2 6 2 2" xfId="23858" xr:uid="{865B4358-BB49-43FD-9AAC-059D2D8E7656}"/>
    <cellStyle name="Note 3 3 2 6 2 3" xfId="32292" xr:uid="{D497F5D9-C05A-40FE-BD2A-E864D1C809A4}"/>
    <cellStyle name="Note 3 3 2 6 2 4" xfId="15420" xr:uid="{18F95F9B-D52C-4D20-AF44-CE49A87C57AB}"/>
    <cellStyle name="Note 3 3 2 6 3" xfId="19640" xr:uid="{C533DD08-2A05-4507-AC57-32E3074D68DA}"/>
    <cellStyle name="Note 3 3 2 6 4" xfId="28075" xr:uid="{4B3BB12C-2693-4BE2-812B-E12AD423B150}"/>
    <cellStyle name="Note 3 3 2 6 5" xfId="11202" xr:uid="{EEB2C45C-0555-4C17-98FF-0721CB17F9B1}"/>
    <cellStyle name="Note 3 3 2 7" xfId="2756" xr:uid="{00000000-0005-0000-0000-0000BB210000}"/>
    <cellStyle name="Note 3 3 2 8" xfId="2837" xr:uid="{00000000-0005-0000-0000-0000BC210000}"/>
    <cellStyle name="Note 3 3 2 8 2" xfId="7061" xr:uid="{00000000-0005-0000-0000-0000BD210000}"/>
    <cellStyle name="Note 3 3 2 8 2 2" xfId="23938" xr:uid="{07A621CA-78C4-4CAA-9DA9-ECE27AC682B0}"/>
    <cellStyle name="Note 3 3 2 8 2 3" xfId="32372" xr:uid="{202B9A0B-B395-4450-9E99-0AFA69F69B47}"/>
    <cellStyle name="Note 3 3 2 8 2 4" xfId="15500" xr:uid="{8DB14038-567E-4263-A1E0-E6AD43BBDBAB}"/>
    <cellStyle name="Note 3 3 2 8 3" xfId="19720" xr:uid="{948989FE-F138-4B41-9AB4-0C210D51FCD9}"/>
    <cellStyle name="Note 3 3 2 8 4" xfId="28155" xr:uid="{17F2CF3F-15EE-43DE-990C-624468669614}"/>
    <cellStyle name="Note 3 3 2 8 5" xfId="11282" xr:uid="{F21C040E-997F-4B3C-9BA5-D70D4EDA5C32}"/>
    <cellStyle name="Note 3 3 2 9" xfId="4916" xr:uid="{00000000-0005-0000-0000-0000BE210000}"/>
    <cellStyle name="Note 3 3 2 9 2" xfId="21793" xr:uid="{4F22BB28-4CD0-449A-BA09-67BC0422A5D2}"/>
    <cellStyle name="Note 3 3 2 9 3" xfId="30227" xr:uid="{523517DB-6BDE-4BF4-8F75-38F447937817}"/>
    <cellStyle name="Note 3 3 2 9 4" xfId="13355" xr:uid="{6889CEB6-3CE6-4A40-B6E0-F2D3E01C30B2}"/>
    <cellStyle name="Note 3 3 3" xfId="1018" xr:uid="{00000000-0005-0000-0000-0000BF210000}"/>
    <cellStyle name="Note 3 3 3 2" xfId="3250" xr:uid="{00000000-0005-0000-0000-0000C0210000}"/>
    <cellStyle name="Note 3 3 3 2 2" xfId="7473" xr:uid="{00000000-0005-0000-0000-0000C1210000}"/>
    <cellStyle name="Note 3 3 3 2 2 2" xfId="24350" xr:uid="{4C4E4F0E-C3F1-4FDF-A1FF-4328313E6A5A}"/>
    <cellStyle name="Note 3 3 3 2 2 3" xfId="32784" xr:uid="{63E741BA-82BC-4C0E-9F6F-EC9EB11E295B}"/>
    <cellStyle name="Note 3 3 3 2 2 4" xfId="15912" xr:uid="{79AB48E8-B35B-427E-A449-4D35B87831B7}"/>
    <cellStyle name="Note 3 3 3 2 3" xfId="20132" xr:uid="{C91AE803-30DB-4E07-A6E2-B738734DADD6}"/>
    <cellStyle name="Note 3 3 3 2 4" xfId="28567" xr:uid="{B32C1599-FE70-4D64-B784-DB17EAE5E218}"/>
    <cellStyle name="Note 3 3 3 2 5" xfId="11694" xr:uid="{C526F62A-5202-4A94-9745-B9CC7AF3A352}"/>
    <cellStyle name="Note 3 3 3 3" xfId="5328" xr:uid="{00000000-0005-0000-0000-0000C2210000}"/>
    <cellStyle name="Note 3 3 3 3 2" xfId="22205" xr:uid="{D67BCD0D-3C26-4EDF-A8C5-72A76598F5E3}"/>
    <cellStyle name="Note 3 3 3 3 3" xfId="30639" xr:uid="{667CC9F5-A861-497E-B6F4-8CAEBAB0B8BC}"/>
    <cellStyle name="Note 3 3 3 3 4" xfId="13767" xr:uid="{4DFDDB95-4DAF-4BFA-9192-A64810C5DC29}"/>
    <cellStyle name="Note 3 3 3 4" xfId="17987" xr:uid="{D8C07340-FD16-47EE-AA0F-F5B2BF405552}"/>
    <cellStyle name="Note 3 3 3 5" xfId="26422" xr:uid="{6CA52831-BDBF-48B4-BCA8-568AFC8EC7E8}"/>
    <cellStyle name="Note 3 3 3 6" xfId="9549" xr:uid="{729AE344-AE60-4F91-BBC3-1D4541248441}"/>
    <cellStyle name="Note 3 3 4" xfId="1433" xr:uid="{00000000-0005-0000-0000-0000C3210000}"/>
    <cellStyle name="Note 3 3 4 2" xfId="3663" xr:uid="{00000000-0005-0000-0000-0000C4210000}"/>
    <cellStyle name="Note 3 3 4 2 2" xfId="7886" xr:uid="{00000000-0005-0000-0000-0000C5210000}"/>
    <cellStyle name="Note 3 3 4 2 2 2" xfId="24763" xr:uid="{5A6CF044-84BE-4289-9017-19B2970C6A28}"/>
    <cellStyle name="Note 3 3 4 2 2 3" xfId="33197" xr:uid="{52A02AF4-5AED-4784-87FC-F27EB1130476}"/>
    <cellStyle name="Note 3 3 4 2 2 4" xfId="16325" xr:uid="{EBADF2D5-745D-4B3B-B818-14DB7C3B49D6}"/>
    <cellStyle name="Note 3 3 4 2 3" xfId="20545" xr:uid="{105E945A-9CCD-467F-BC81-3C05A08C4AA2}"/>
    <cellStyle name="Note 3 3 4 2 4" xfId="28980" xr:uid="{65E6FF5C-B441-4E8A-9FFC-903D3C2D6894}"/>
    <cellStyle name="Note 3 3 4 2 5" xfId="12107" xr:uid="{6AA6B241-30C5-4914-9777-23CE0292C0E8}"/>
    <cellStyle name="Note 3 3 4 3" xfId="5741" xr:uid="{00000000-0005-0000-0000-0000C6210000}"/>
    <cellStyle name="Note 3 3 4 3 2" xfId="22618" xr:uid="{45FABB1B-DC79-4350-916A-23FBE1649064}"/>
    <cellStyle name="Note 3 3 4 3 3" xfId="31052" xr:uid="{83D4F421-F420-43A3-9F9E-E13D61424D70}"/>
    <cellStyle name="Note 3 3 4 3 4" xfId="14180" xr:uid="{9953F670-4EEF-4775-B79F-7B08633D1694}"/>
    <cellStyle name="Note 3 3 4 4" xfId="18400" xr:uid="{7B7D03A6-32DA-4800-A814-57333A686B56}"/>
    <cellStyle name="Note 3 3 4 5" xfId="26835" xr:uid="{F70EB525-0087-4EAA-8EDD-045B977BB847}"/>
    <cellStyle name="Note 3 3 4 6" xfId="9962" xr:uid="{91D60313-2A3D-4758-929D-761422DC366E}"/>
    <cellStyle name="Note 3 3 5" xfId="1847" xr:uid="{00000000-0005-0000-0000-0000C7210000}"/>
    <cellStyle name="Note 3 3 5 2" xfId="4076" xr:uid="{00000000-0005-0000-0000-0000C8210000}"/>
    <cellStyle name="Note 3 3 5 2 2" xfId="8299" xr:uid="{00000000-0005-0000-0000-0000C9210000}"/>
    <cellStyle name="Note 3 3 5 2 2 2" xfId="25176" xr:uid="{59AF9C18-84BE-4CBE-82BE-3A44EDE8D136}"/>
    <cellStyle name="Note 3 3 5 2 2 3" xfId="33610" xr:uid="{ED2D1E4C-115D-4FF7-AFB6-165EF2BECB80}"/>
    <cellStyle name="Note 3 3 5 2 2 4" xfId="16738" xr:uid="{BF882A42-F254-44E1-A28D-9A6D24BC321C}"/>
    <cellStyle name="Note 3 3 5 2 3" xfId="20958" xr:uid="{15024B73-81D9-4F6A-8B7B-9C7C103C830D}"/>
    <cellStyle name="Note 3 3 5 2 4" xfId="29393" xr:uid="{613BA998-51B6-4E13-A2E6-ACA6234BC220}"/>
    <cellStyle name="Note 3 3 5 2 5" xfId="12520" xr:uid="{5825E3C5-1B2C-4726-AF21-B0645724BBDF}"/>
    <cellStyle name="Note 3 3 5 3" xfId="6154" xr:uid="{00000000-0005-0000-0000-0000CA210000}"/>
    <cellStyle name="Note 3 3 5 3 2" xfId="23031" xr:uid="{D5CC779F-82C1-4A7F-90CC-DA0DA2977689}"/>
    <cellStyle name="Note 3 3 5 3 3" xfId="31465" xr:uid="{9E754A20-AB3E-4A7E-91E6-445F4B1E6F0D}"/>
    <cellStyle name="Note 3 3 5 3 4" xfId="14593" xr:uid="{3D627AB4-6E8F-419C-A6A0-EC2D6F6A4A3B}"/>
    <cellStyle name="Note 3 3 5 4" xfId="18813" xr:uid="{9D171D94-43D3-4D3C-BF45-8DBEEEB527DE}"/>
    <cellStyle name="Note 3 3 5 5" xfId="27248" xr:uid="{59DD6881-BC13-405F-A622-8EEB9CB5B065}"/>
    <cellStyle name="Note 3 3 5 6" xfId="10375" xr:uid="{DCE09FCF-BCA6-4277-AED8-A5FBBB4EDF58}"/>
    <cellStyle name="Note 3 3 6" xfId="2260" xr:uid="{00000000-0005-0000-0000-0000CB210000}"/>
    <cellStyle name="Note 3 3 6 2" xfId="4489" xr:uid="{00000000-0005-0000-0000-0000CC210000}"/>
    <cellStyle name="Note 3 3 6 2 2" xfId="8712" xr:uid="{00000000-0005-0000-0000-0000CD210000}"/>
    <cellStyle name="Note 3 3 6 2 2 2" xfId="25589" xr:uid="{C4A504EC-0CE1-4AF4-A3B5-F56BA83C9B74}"/>
    <cellStyle name="Note 3 3 6 2 2 3" xfId="34023" xr:uid="{A73C92E0-92CA-448A-BE72-F3E7BBD20D40}"/>
    <cellStyle name="Note 3 3 6 2 2 4" xfId="17151" xr:uid="{30828FB9-211B-460C-B9A4-AB0B2623B2A6}"/>
    <cellStyle name="Note 3 3 6 2 3" xfId="21371" xr:uid="{2CE4B72F-7ABD-43A0-A48A-705DA733C235}"/>
    <cellStyle name="Note 3 3 6 2 4" xfId="29806" xr:uid="{556A77C8-9668-4219-A067-904AC549491D}"/>
    <cellStyle name="Note 3 3 6 2 5" xfId="12933" xr:uid="{22C2506B-7EE2-40FA-99C4-236DA88C982C}"/>
    <cellStyle name="Note 3 3 6 3" xfId="6567" xr:uid="{00000000-0005-0000-0000-0000CE210000}"/>
    <cellStyle name="Note 3 3 6 3 2" xfId="23444" xr:uid="{C38292BB-82AC-40F2-8A0B-795194F4A86C}"/>
    <cellStyle name="Note 3 3 6 3 3" xfId="31878" xr:uid="{51EF7CBC-71C6-42BE-BDB5-B5EBEAB5A3AB}"/>
    <cellStyle name="Note 3 3 6 3 4" xfId="15006" xr:uid="{72949383-5745-41D3-BA3E-C051485B94F7}"/>
    <cellStyle name="Note 3 3 6 4" xfId="19226" xr:uid="{03B4EE88-6268-4489-B4E7-BC721B91B29C}"/>
    <cellStyle name="Note 3 3 6 5" xfId="27661" xr:uid="{C9C2AF29-24B8-4EDF-823C-EB631DD2BC37}"/>
    <cellStyle name="Note 3 3 6 6" xfId="10788" xr:uid="{AEC36D5A-B991-4842-8E97-EC38D78387D8}"/>
    <cellStyle name="Note 3 3 7" xfId="2696" xr:uid="{00000000-0005-0000-0000-0000CF210000}"/>
    <cellStyle name="Note 3 3 7 2" xfId="6980" xr:uid="{00000000-0005-0000-0000-0000D0210000}"/>
    <cellStyle name="Note 3 3 7 2 2" xfId="23857" xr:uid="{8ADDAFEE-0ADB-4F00-A823-0ED53A0A734E}"/>
    <cellStyle name="Note 3 3 7 2 3" xfId="32291" xr:uid="{82C5153E-61F3-4EB0-868B-ECECFAE29C5B}"/>
    <cellStyle name="Note 3 3 7 2 4" xfId="15419" xr:uid="{C390221E-240E-4EE8-8C51-9D644028708F}"/>
    <cellStyle name="Note 3 3 7 3" xfId="19639" xr:uid="{D6A7C46D-04FD-4FEC-A847-92C55006EC37}"/>
    <cellStyle name="Note 3 3 7 4" xfId="28074" xr:uid="{929B8C7A-897B-4154-9D8F-CB65D318ACF0}"/>
    <cellStyle name="Note 3 3 7 5" xfId="11201" xr:uid="{5D9CD012-BC14-49B7-8644-3E0F2A2F07EC}"/>
    <cellStyle name="Note 3 3 8" xfId="2755" xr:uid="{00000000-0005-0000-0000-0000D1210000}"/>
    <cellStyle name="Note 3 3 9" xfId="2836" xr:uid="{00000000-0005-0000-0000-0000D2210000}"/>
    <cellStyle name="Note 3 3 9 2" xfId="7060" xr:uid="{00000000-0005-0000-0000-0000D3210000}"/>
    <cellStyle name="Note 3 3 9 2 2" xfId="23937" xr:uid="{8195901E-DACC-4FAC-B90D-A623FEF74641}"/>
    <cellStyle name="Note 3 3 9 2 3" xfId="32371" xr:uid="{16DF3E3E-6813-4B53-A5F5-6BE37D1FA2D4}"/>
    <cellStyle name="Note 3 3 9 2 4" xfId="15499" xr:uid="{830B5FDC-B20D-41EA-9CCF-561837154F26}"/>
    <cellStyle name="Note 3 3 9 3" xfId="19719" xr:uid="{2CD9AF25-1B1E-415C-8D62-03CCB2F64C40}"/>
    <cellStyle name="Note 3 3 9 4" xfId="28154" xr:uid="{B25A1084-249E-473D-8357-9A12BF9BC03A}"/>
    <cellStyle name="Note 3 3 9 5" xfId="11281" xr:uid="{AA235AAF-7927-4534-9F0B-601C06B6DEFA}"/>
    <cellStyle name="Note 3 4" xfId="560" xr:uid="{00000000-0005-0000-0000-0000D4210000}"/>
    <cellStyle name="Note 3 4 10" xfId="17576" xr:uid="{9355C133-141C-4B07-B77D-364B60587DAE}"/>
    <cellStyle name="Note 3 4 11" xfId="26011" xr:uid="{A36CD8AF-E474-4932-A05B-671392A78464}"/>
    <cellStyle name="Note 3 4 12" xfId="9138" xr:uid="{271EC7DC-9E6A-439B-81FB-4A8AC37CBB54}"/>
    <cellStyle name="Note 3 4 2" xfId="1020" xr:uid="{00000000-0005-0000-0000-0000D5210000}"/>
    <cellStyle name="Note 3 4 2 2" xfId="3252" xr:uid="{00000000-0005-0000-0000-0000D6210000}"/>
    <cellStyle name="Note 3 4 2 2 2" xfId="7475" xr:uid="{00000000-0005-0000-0000-0000D7210000}"/>
    <cellStyle name="Note 3 4 2 2 2 2" xfId="24352" xr:uid="{3C5ADDB9-C83B-4233-ADFF-876644B8FE47}"/>
    <cellStyle name="Note 3 4 2 2 2 3" xfId="32786" xr:uid="{C9A93295-BD15-49BE-B1B2-D52D93B721D5}"/>
    <cellStyle name="Note 3 4 2 2 2 4" xfId="15914" xr:uid="{AC59B6EA-1DCF-469E-AF62-0B69ACA747BC}"/>
    <cellStyle name="Note 3 4 2 2 3" xfId="20134" xr:uid="{0D7000E8-6BC9-4BE5-BC44-3CE28FB8A60E}"/>
    <cellStyle name="Note 3 4 2 2 4" xfId="28569" xr:uid="{1159A443-AC3C-4781-A593-5027EF809907}"/>
    <cellStyle name="Note 3 4 2 2 5" xfId="11696" xr:uid="{32D473CB-D7A6-457B-AAC6-97B01330D1F2}"/>
    <cellStyle name="Note 3 4 2 3" xfId="5330" xr:uid="{00000000-0005-0000-0000-0000D8210000}"/>
    <cellStyle name="Note 3 4 2 3 2" xfId="22207" xr:uid="{88F5B7B7-5D0B-4740-9E19-BD119343619E}"/>
    <cellStyle name="Note 3 4 2 3 3" xfId="30641" xr:uid="{151C94F5-CAAA-4B4E-8DD8-FA5CC1288B0D}"/>
    <cellStyle name="Note 3 4 2 3 4" xfId="13769" xr:uid="{8DDBB6EC-F7AC-43CD-AC2F-933F21E25ABC}"/>
    <cellStyle name="Note 3 4 2 4" xfId="17989" xr:uid="{EBC74021-FBF2-4977-8882-E2F114927068}"/>
    <cellStyle name="Note 3 4 2 5" xfId="26424" xr:uid="{D791F8E7-7F8E-40CD-9CF3-07F58E57136D}"/>
    <cellStyle name="Note 3 4 2 6" xfId="9551" xr:uid="{EA796FDC-418F-481E-90CE-C01243586EEE}"/>
    <cellStyle name="Note 3 4 3" xfId="1435" xr:uid="{00000000-0005-0000-0000-0000D9210000}"/>
    <cellStyle name="Note 3 4 3 2" xfId="3665" xr:uid="{00000000-0005-0000-0000-0000DA210000}"/>
    <cellStyle name="Note 3 4 3 2 2" xfId="7888" xr:uid="{00000000-0005-0000-0000-0000DB210000}"/>
    <cellStyle name="Note 3 4 3 2 2 2" xfId="24765" xr:uid="{60DB5B62-2861-4900-AF23-5BAE8ACE2576}"/>
    <cellStyle name="Note 3 4 3 2 2 3" xfId="33199" xr:uid="{E5228831-3F7C-47FF-9595-B414F248D893}"/>
    <cellStyle name="Note 3 4 3 2 2 4" xfId="16327" xr:uid="{04AD3CAD-99A4-4E9D-BB62-9D3DA4914C7F}"/>
    <cellStyle name="Note 3 4 3 2 3" xfId="20547" xr:uid="{C91DFFEC-1EDC-47C5-A171-AB795A6FF4B8}"/>
    <cellStyle name="Note 3 4 3 2 4" xfId="28982" xr:uid="{A35D3CB7-6ADA-438F-9741-A0F784C9491B}"/>
    <cellStyle name="Note 3 4 3 2 5" xfId="12109" xr:uid="{900A89F7-797F-45DA-9BE3-0A0240EEC0A9}"/>
    <cellStyle name="Note 3 4 3 3" xfId="5743" xr:uid="{00000000-0005-0000-0000-0000DC210000}"/>
    <cellStyle name="Note 3 4 3 3 2" xfId="22620" xr:uid="{C0B2D4AB-5B83-4B69-986B-FF6CF6442701}"/>
    <cellStyle name="Note 3 4 3 3 3" xfId="31054" xr:uid="{68CF4987-2B94-45E9-9885-9FA6BAA4CBD7}"/>
    <cellStyle name="Note 3 4 3 3 4" xfId="14182" xr:uid="{51645799-4A22-425D-827F-3B4AB0938CC9}"/>
    <cellStyle name="Note 3 4 3 4" xfId="18402" xr:uid="{84807A7C-97D0-4C43-9957-6FFABDC0CD01}"/>
    <cellStyle name="Note 3 4 3 5" xfId="26837" xr:uid="{BEC46D71-EA90-45BF-99BD-FD4EAB180788}"/>
    <cellStyle name="Note 3 4 3 6" xfId="9964" xr:uid="{8BB666D2-9914-4F18-A4EF-EA7863430885}"/>
    <cellStyle name="Note 3 4 4" xfId="1849" xr:uid="{00000000-0005-0000-0000-0000DD210000}"/>
    <cellStyle name="Note 3 4 4 2" xfId="4078" xr:uid="{00000000-0005-0000-0000-0000DE210000}"/>
    <cellStyle name="Note 3 4 4 2 2" xfId="8301" xr:uid="{00000000-0005-0000-0000-0000DF210000}"/>
    <cellStyle name="Note 3 4 4 2 2 2" xfId="25178" xr:uid="{D10BCA30-637A-4232-BCEB-5BA61F35FC48}"/>
    <cellStyle name="Note 3 4 4 2 2 3" xfId="33612" xr:uid="{E43506CB-BA5C-49F7-A483-959C804EC05E}"/>
    <cellStyle name="Note 3 4 4 2 2 4" xfId="16740" xr:uid="{D732BA69-DC3A-493F-8AC6-2EF5F7C53928}"/>
    <cellStyle name="Note 3 4 4 2 3" xfId="20960" xr:uid="{D1C649C4-CDAE-4082-95A1-191D5CBB2A4F}"/>
    <cellStyle name="Note 3 4 4 2 4" xfId="29395" xr:uid="{7A2937EC-442C-4B1F-A450-EB546D8962AB}"/>
    <cellStyle name="Note 3 4 4 2 5" xfId="12522" xr:uid="{12D103A4-63F8-461F-98C8-D78F0CD0D61F}"/>
    <cellStyle name="Note 3 4 4 3" xfId="6156" xr:uid="{00000000-0005-0000-0000-0000E0210000}"/>
    <cellStyle name="Note 3 4 4 3 2" xfId="23033" xr:uid="{7AFDEFA1-4B3C-4F76-B8DE-3133BC867D26}"/>
    <cellStyle name="Note 3 4 4 3 3" xfId="31467" xr:uid="{2AF02EE2-A95D-417F-87C9-82E2B8176ACC}"/>
    <cellStyle name="Note 3 4 4 3 4" xfId="14595" xr:uid="{353CAFEC-2822-46A5-8F73-A5203BA17BAA}"/>
    <cellStyle name="Note 3 4 4 4" xfId="18815" xr:uid="{18825D8C-6D3B-447D-AEE5-201314ECAEE0}"/>
    <cellStyle name="Note 3 4 4 5" xfId="27250" xr:uid="{40B5F1BD-CABB-401C-A536-EF6EFF2FB4DE}"/>
    <cellStyle name="Note 3 4 4 6" xfId="10377" xr:uid="{FA6DEDAF-334C-42F9-A4BE-D95B02C9AD8C}"/>
    <cellStyle name="Note 3 4 5" xfId="2262" xr:uid="{00000000-0005-0000-0000-0000E1210000}"/>
    <cellStyle name="Note 3 4 5 2" xfId="4491" xr:uid="{00000000-0005-0000-0000-0000E2210000}"/>
    <cellStyle name="Note 3 4 5 2 2" xfId="8714" xr:uid="{00000000-0005-0000-0000-0000E3210000}"/>
    <cellStyle name="Note 3 4 5 2 2 2" xfId="25591" xr:uid="{41EF9FD9-E5F7-4DB6-9E5D-37AB7D2E56B7}"/>
    <cellStyle name="Note 3 4 5 2 2 3" xfId="34025" xr:uid="{D6A5B092-6EC5-445A-8124-0B54BE5BA1FE}"/>
    <cellStyle name="Note 3 4 5 2 2 4" xfId="17153" xr:uid="{8573146F-D014-4D9C-8E20-ECF3EADBF38E}"/>
    <cellStyle name="Note 3 4 5 2 3" xfId="21373" xr:uid="{EB142581-DC84-45F3-AAC7-4ABB694FA474}"/>
    <cellStyle name="Note 3 4 5 2 4" xfId="29808" xr:uid="{EBCF64AF-DA67-47F0-B289-791F9E0A37F5}"/>
    <cellStyle name="Note 3 4 5 2 5" xfId="12935" xr:uid="{B9C7FBF4-E553-475B-9E30-80F480A6FA93}"/>
    <cellStyle name="Note 3 4 5 3" xfId="6569" xr:uid="{00000000-0005-0000-0000-0000E4210000}"/>
    <cellStyle name="Note 3 4 5 3 2" xfId="23446" xr:uid="{A1255636-3613-4F7E-A5E3-FA233C513324}"/>
    <cellStyle name="Note 3 4 5 3 3" xfId="31880" xr:uid="{323EF788-DE54-470E-ACDA-316C459BE9FC}"/>
    <cellStyle name="Note 3 4 5 3 4" xfId="15008" xr:uid="{E4572A79-B7A7-4822-9A1E-5F51FAF55711}"/>
    <cellStyle name="Note 3 4 5 4" xfId="19228" xr:uid="{A49E37D4-B4E4-42B8-9369-656C5761621A}"/>
    <cellStyle name="Note 3 4 5 5" xfId="27663" xr:uid="{92B7FF7B-F2D0-4BAF-A7DF-AF4D51817065}"/>
    <cellStyle name="Note 3 4 5 6" xfId="10790" xr:uid="{8E8A6181-1EE3-46BD-9BF2-82C3DCBCDFE3}"/>
    <cellStyle name="Note 3 4 6" xfId="2698" xr:uid="{00000000-0005-0000-0000-0000E5210000}"/>
    <cellStyle name="Note 3 4 6 2" xfId="6982" xr:uid="{00000000-0005-0000-0000-0000E6210000}"/>
    <cellStyle name="Note 3 4 6 2 2" xfId="23859" xr:uid="{FBDB0948-9F7E-4762-BD28-30EF95B0EDF2}"/>
    <cellStyle name="Note 3 4 6 2 3" xfId="32293" xr:uid="{DA484337-27CF-4DEA-9C2F-C569D8AA3B12}"/>
    <cellStyle name="Note 3 4 6 2 4" xfId="15421" xr:uid="{0D01B597-F3D0-42AE-B2F4-7DC045927B24}"/>
    <cellStyle name="Note 3 4 6 3" xfId="19641" xr:uid="{77F9EE6A-F9A4-4D8B-B377-9305D8547294}"/>
    <cellStyle name="Note 3 4 6 4" xfId="28076" xr:uid="{3C176D1E-6331-4F70-B9B4-12B947BF3E43}"/>
    <cellStyle name="Note 3 4 6 5" xfId="11203" xr:uid="{EDC6C144-5079-4EE2-8427-4CE8A679EC30}"/>
    <cellStyle name="Note 3 4 7" xfId="2757" xr:uid="{00000000-0005-0000-0000-0000E7210000}"/>
    <cellStyle name="Note 3 4 8" xfId="2838" xr:uid="{00000000-0005-0000-0000-0000E8210000}"/>
    <cellStyle name="Note 3 4 8 2" xfId="7062" xr:uid="{00000000-0005-0000-0000-0000E9210000}"/>
    <cellStyle name="Note 3 4 8 2 2" xfId="23939" xr:uid="{FD02D626-D067-4A99-8D8B-931A690E8ED0}"/>
    <cellStyle name="Note 3 4 8 2 3" xfId="32373" xr:uid="{ABD3DE65-C52B-4CF4-B318-8C2C149C2A68}"/>
    <cellStyle name="Note 3 4 8 2 4" xfId="15501" xr:uid="{72A36800-ABE3-4845-921B-837CD8A24149}"/>
    <cellStyle name="Note 3 4 8 3" xfId="19721" xr:uid="{7C6B43EB-6A82-49DB-B935-534B276E9A99}"/>
    <cellStyle name="Note 3 4 8 4" xfId="28156" xr:uid="{0377635A-3266-4B20-AA61-5FA0FF868AF2}"/>
    <cellStyle name="Note 3 4 8 5" xfId="11283" xr:uid="{696DDB05-760E-44BB-A2D6-FEE34C138A50}"/>
    <cellStyle name="Note 3 4 9" xfId="4917" xr:uid="{00000000-0005-0000-0000-0000EA210000}"/>
    <cellStyle name="Note 3 4 9 2" xfId="21794" xr:uid="{F3E62A8E-9F7D-4469-A908-2A21BBE6A369}"/>
    <cellStyle name="Note 3 4 9 3" xfId="30228" xr:uid="{60077167-25FC-4FC9-A559-D36D63FA4279}"/>
    <cellStyle name="Note 3 4 9 4" xfId="13356" xr:uid="{DAF785A0-C166-42DB-9631-0FAE50C960E5}"/>
    <cellStyle name="Note 3 5" xfId="561" xr:uid="{00000000-0005-0000-0000-0000EB210000}"/>
    <cellStyle name="Note 3 5 10" xfId="17577" xr:uid="{0853865A-7764-4719-9006-BBE837A6729C}"/>
    <cellStyle name="Note 3 5 11" xfId="26012" xr:uid="{BE296A1A-19F7-4548-A56E-A13E742A8BAC}"/>
    <cellStyle name="Note 3 5 12" xfId="9139" xr:uid="{9A805226-AB11-4DD4-B4A7-4100481F5044}"/>
    <cellStyle name="Note 3 5 2" xfId="1021" xr:uid="{00000000-0005-0000-0000-0000EC210000}"/>
    <cellStyle name="Note 3 5 2 2" xfId="3253" xr:uid="{00000000-0005-0000-0000-0000ED210000}"/>
    <cellStyle name="Note 3 5 2 2 2" xfId="7476" xr:uid="{00000000-0005-0000-0000-0000EE210000}"/>
    <cellStyle name="Note 3 5 2 2 2 2" xfId="24353" xr:uid="{F55F945D-4195-4351-AC6F-ABDA6AF86E37}"/>
    <cellStyle name="Note 3 5 2 2 2 3" xfId="32787" xr:uid="{E37EFFF3-655D-4FE8-99C1-63F5161EE2D2}"/>
    <cellStyle name="Note 3 5 2 2 2 4" xfId="15915" xr:uid="{CF207375-AA71-4AC0-8131-B12C2BE246D5}"/>
    <cellStyle name="Note 3 5 2 2 3" xfId="20135" xr:uid="{8A9BE7E7-D431-4CFB-A48D-34A935E4193D}"/>
    <cellStyle name="Note 3 5 2 2 4" xfId="28570" xr:uid="{3662ABE6-AB85-4B0D-A3B1-22277F18CBED}"/>
    <cellStyle name="Note 3 5 2 2 5" xfId="11697" xr:uid="{B5190D45-87B8-4294-AF0E-98DC6C4D6D31}"/>
    <cellStyle name="Note 3 5 2 3" xfId="5331" xr:uid="{00000000-0005-0000-0000-0000EF210000}"/>
    <cellStyle name="Note 3 5 2 3 2" xfId="22208" xr:uid="{CF8195B4-D9A1-4923-8DEF-54F23EB236C8}"/>
    <cellStyle name="Note 3 5 2 3 3" xfId="30642" xr:uid="{4E4AA240-6A33-4A4F-803D-946C6DA80B02}"/>
    <cellStyle name="Note 3 5 2 3 4" xfId="13770" xr:uid="{3D330942-D8F1-4CA2-895A-4BAEFA71EFB2}"/>
    <cellStyle name="Note 3 5 2 4" xfId="17990" xr:uid="{43A41B40-41A2-44D6-B51F-1D9E50C33B78}"/>
    <cellStyle name="Note 3 5 2 5" xfId="26425" xr:uid="{2B058DCB-3104-4E26-955F-CD9ED9646180}"/>
    <cellStyle name="Note 3 5 2 6" xfId="9552" xr:uid="{4996405C-AADB-4B13-9B31-3F659FDACA14}"/>
    <cellStyle name="Note 3 5 3" xfId="1436" xr:uid="{00000000-0005-0000-0000-0000F0210000}"/>
    <cellStyle name="Note 3 5 3 2" xfId="3666" xr:uid="{00000000-0005-0000-0000-0000F1210000}"/>
    <cellStyle name="Note 3 5 3 2 2" xfId="7889" xr:uid="{00000000-0005-0000-0000-0000F2210000}"/>
    <cellStyle name="Note 3 5 3 2 2 2" xfId="24766" xr:uid="{0B32A434-C51D-48EE-8FB3-085E46E34C4D}"/>
    <cellStyle name="Note 3 5 3 2 2 3" xfId="33200" xr:uid="{28749D29-56C3-40F8-A060-F76868E7D4F8}"/>
    <cellStyle name="Note 3 5 3 2 2 4" xfId="16328" xr:uid="{7698B127-3650-4BDD-95AE-5F43298BA80E}"/>
    <cellStyle name="Note 3 5 3 2 3" xfId="20548" xr:uid="{AE0BD5AC-5FA4-4189-87AC-81DCE2D327A5}"/>
    <cellStyle name="Note 3 5 3 2 4" xfId="28983" xr:uid="{24EB376B-1F45-4674-A04D-198AD9C79C95}"/>
    <cellStyle name="Note 3 5 3 2 5" xfId="12110" xr:uid="{CB0A5E7C-24F9-4A10-94F9-A66A58B1F132}"/>
    <cellStyle name="Note 3 5 3 3" xfId="5744" xr:uid="{00000000-0005-0000-0000-0000F3210000}"/>
    <cellStyle name="Note 3 5 3 3 2" xfId="22621" xr:uid="{294DD15D-0303-4CC2-8C73-9E7A02B3F306}"/>
    <cellStyle name="Note 3 5 3 3 3" xfId="31055" xr:uid="{5BE2C9E4-7CE6-42C3-83EE-A3DDCF2B2E99}"/>
    <cellStyle name="Note 3 5 3 3 4" xfId="14183" xr:uid="{EF90E671-1A5C-4373-8DC2-9A640D23DC71}"/>
    <cellStyle name="Note 3 5 3 4" xfId="18403" xr:uid="{1FB64BD8-0025-451E-A4EA-5B66FBE1600B}"/>
    <cellStyle name="Note 3 5 3 5" xfId="26838" xr:uid="{A68D9EBE-8B66-47AB-9FAA-0E13CBAF339B}"/>
    <cellStyle name="Note 3 5 3 6" xfId="9965" xr:uid="{54D5BD5D-07BC-4976-ACC5-5BC127186585}"/>
    <cellStyle name="Note 3 5 4" xfId="1850" xr:uid="{00000000-0005-0000-0000-0000F4210000}"/>
    <cellStyle name="Note 3 5 4 2" xfId="4079" xr:uid="{00000000-0005-0000-0000-0000F5210000}"/>
    <cellStyle name="Note 3 5 4 2 2" xfId="8302" xr:uid="{00000000-0005-0000-0000-0000F6210000}"/>
    <cellStyle name="Note 3 5 4 2 2 2" xfId="25179" xr:uid="{428D0AC2-D3C0-4A6B-8998-BA2E373E786C}"/>
    <cellStyle name="Note 3 5 4 2 2 3" xfId="33613" xr:uid="{E3ED5D61-31CA-43D4-A919-5E93080E6FCE}"/>
    <cellStyle name="Note 3 5 4 2 2 4" xfId="16741" xr:uid="{376139E4-1135-4046-9A90-6F50D74A5029}"/>
    <cellStyle name="Note 3 5 4 2 3" xfId="20961" xr:uid="{4459C50F-9537-4104-A2CE-EBC3A82469D0}"/>
    <cellStyle name="Note 3 5 4 2 4" xfId="29396" xr:uid="{B1B2F29A-12F7-48B0-83E7-3BB3E1309E39}"/>
    <cellStyle name="Note 3 5 4 2 5" xfId="12523" xr:uid="{E6FD95D1-E482-41D6-979E-191562243D01}"/>
    <cellStyle name="Note 3 5 4 3" xfId="6157" xr:uid="{00000000-0005-0000-0000-0000F7210000}"/>
    <cellStyle name="Note 3 5 4 3 2" xfId="23034" xr:uid="{7C8F634E-CDB4-4F42-A434-AA3541764275}"/>
    <cellStyle name="Note 3 5 4 3 3" xfId="31468" xr:uid="{CC1F343B-CF39-40CE-8C10-744D70B70747}"/>
    <cellStyle name="Note 3 5 4 3 4" xfId="14596" xr:uid="{5EA8F568-DDCA-4C8D-A8C8-031DD454D83F}"/>
    <cellStyle name="Note 3 5 4 4" xfId="18816" xr:uid="{19C321D4-CF9C-4963-B44C-D974E76F63F2}"/>
    <cellStyle name="Note 3 5 4 5" xfId="27251" xr:uid="{60EC4B02-B59D-4EC9-BF01-A81A99B727AC}"/>
    <cellStyle name="Note 3 5 4 6" xfId="10378" xr:uid="{F8920271-2776-4C6C-9E07-7616910E0CCF}"/>
    <cellStyle name="Note 3 5 5" xfId="2263" xr:uid="{00000000-0005-0000-0000-0000F8210000}"/>
    <cellStyle name="Note 3 5 5 2" xfId="4492" xr:uid="{00000000-0005-0000-0000-0000F9210000}"/>
    <cellStyle name="Note 3 5 5 2 2" xfId="8715" xr:uid="{00000000-0005-0000-0000-0000FA210000}"/>
    <cellStyle name="Note 3 5 5 2 2 2" xfId="25592" xr:uid="{B8B5CDCE-789D-445F-A8B7-517C676CF457}"/>
    <cellStyle name="Note 3 5 5 2 2 3" xfId="34026" xr:uid="{B1F16936-6B4D-49CD-9C2E-FB48A37DCBF5}"/>
    <cellStyle name="Note 3 5 5 2 2 4" xfId="17154" xr:uid="{9E8C10E8-C353-405D-81F4-7EEC957ACB89}"/>
    <cellStyle name="Note 3 5 5 2 3" xfId="21374" xr:uid="{7D9771B2-F47F-4A85-9195-E596D71057BB}"/>
    <cellStyle name="Note 3 5 5 2 4" xfId="29809" xr:uid="{03421EB0-2394-45C6-B0BD-FC2D566FED4F}"/>
    <cellStyle name="Note 3 5 5 2 5" xfId="12936" xr:uid="{0717B36A-3ABF-42D9-8ABC-BE107894E252}"/>
    <cellStyle name="Note 3 5 5 3" xfId="6570" xr:uid="{00000000-0005-0000-0000-0000FB210000}"/>
    <cellStyle name="Note 3 5 5 3 2" xfId="23447" xr:uid="{499E85BF-6AA7-479C-BDE6-90D1B2B18851}"/>
    <cellStyle name="Note 3 5 5 3 3" xfId="31881" xr:uid="{EFA471AA-5BDE-42E4-8B5F-9AA4255C6DA9}"/>
    <cellStyle name="Note 3 5 5 3 4" xfId="15009" xr:uid="{2C6A2F45-14B0-4398-8BBF-A384271C4D79}"/>
    <cellStyle name="Note 3 5 5 4" xfId="19229" xr:uid="{AC6851B8-652F-4243-9542-FB5D73E44D24}"/>
    <cellStyle name="Note 3 5 5 5" xfId="27664" xr:uid="{79D8AE09-1C35-4C25-8F42-A4190808A0DA}"/>
    <cellStyle name="Note 3 5 5 6" xfId="10791" xr:uid="{7C6D2A02-CF6A-460E-BF65-68ADB6834A0B}"/>
    <cellStyle name="Note 3 5 6" xfId="2699" xr:uid="{00000000-0005-0000-0000-0000FC210000}"/>
    <cellStyle name="Note 3 5 6 2" xfId="6983" xr:uid="{00000000-0005-0000-0000-0000FD210000}"/>
    <cellStyle name="Note 3 5 6 2 2" xfId="23860" xr:uid="{2AF19292-5CB8-4DD6-95E6-BFA17DB21EA4}"/>
    <cellStyle name="Note 3 5 6 2 3" xfId="32294" xr:uid="{FB762DD6-B83B-41B9-A66F-600734E40AEF}"/>
    <cellStyle name="Note 3 5 6 2 4" xfId="15422" xr:uid="{5CD7515B-8ECB-4DB1-AD45-7C16A822B795}"/>
    <cellStyle name="Note 3 5 6 3" xfId="19642" xr:uid="{199DEA3A-7312-4D65-BF98-C325F9381DF5}"/>
    <cellStyle name="Note 3 5 6 4" xfId="28077" xr:uid="{6221C1A2-4729-4ECC-BFAC-224704654B33}"/>
    <cellStyle name="Note 3 5 6 5" xfId="11204" xr:uid="{A830280F-DAF1-43B6-A00B-CA9C3602CC54}"/>
    <cellStyle name="Note 3 5 7" xfId="2758" xr:uid="{00000000-0005-0000-0000-0000FE210000}"/>
    <cellStyle name="Note 3 5 8" xfId="2839" xr:uid="{00000000-0005-0000-0000-0000FF210000}"/>
    <cellStyle name="Note 3 5 8 2" xfId="7063" xr:uid="{00000000-0005-0000-0000-000000220000}"/>
    <cellStyle name="Note 3 5 8 2 2" xfId="23940" xr:uid="{BBE9025E-A386-4A3C-8CBC-01D7F8228152}"/>
    <cellStyle name="Note 3 5 8 2 3" xfId="32374" xr:uid="{5719A6CF-A2DF-43E5-A9FF-CCAABA2720EE}"/>
    <cellStyle name="Note 3 5 8 2 4" xfId="15502" xr:uid="{CF644304-EEA5-4AAB-891A-170CA36598A2}"/>
    <cellStyle name="Note 3 5 8 3" xfId="19722" xr:uid="{F3649DDD-7ED8-4A4E-B36F-854D503E487B}"/>
    <cellStyle name="Note 3 5 8 4" xfId="28157" xr:uid="{453E2D79-4136-4F2F-AD84-B0A83167C783}"/>
    <cellStyle name="Note 3 5 8 5" xfId="11284" xr:uid="{D5C9793D-CB60-4B5A-B0D1-820F751DF0EC}"/>
    <cellStyle name="Note 3 5 9" xfId="4918" xr:uid="{00000000-0005-0000-0000-000001220000}"/>
    <cellStyle name="Note 3 5 9 2" xfId="21795" xr:uid="{0BC988DD-416F-43E6-95BB-664B8B28EA2F}"/>
    <cellStyle name="Note 3 5 9 3" xfId="30229" xr:uid="{5B6470FA-E159-4553-BCC0-F4EBA8E6439D}"/>
    <cellStyle name="Note 3 5 9 4" xfId="13357" xr:uid="{34060080-22FA-4C08-B238-7B03F512D073}"/>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1378" xr:uid="{EC08FF86-DC62-4553-BCFC-606090E40762}"/>
    <cellStyle name="Percent 3 3" xfId="29812" xr:uid="{4D85684B-B721-4341-BCEE-F06762BE8F17}"/>
    <cellStyle name="Percent 3 4" xfId="12940" xr:uid="{16C28790-FCAC-465B-BBE2-F1ADB9FF45F8}"/>
    <cellStyle name="Percent 4" xfId="4502" xr:uid="{00000000-0005-0000-0000-000007220000}"/>
    <cellStyle name="Percent 4 2" xfId="8718" xr:uid="{00000000-0005-0000-0000-000008220000}"/>
    <cellStyle name="Percent 4 2 2" xfId="25595" xr:uid="{3B3B2F42-C027-48DA-BDAA-CC66FD0EBE66}"/>
    <cellStyle name="Percent 4 2 3" xfId="34029" xr:uid="{F39447A3-CC41-4006-AAC0-35B50ECF9434}"/>
    <cellStyle name="Percent 4 2 4" xfId="17157" xr:uid="{7FB423CB-1F71-4046-A93E-1033345ECE0F}"/>
    <cellStyle name="Percent 4 3" xfId="8721" xr:uid="{D09CD3FC-D632-4B66-A68A-5CC92F993799}"/>
    <cellStyle name="Percent 4 3 2" xfId="8725" xr:uid="{D57AE941-8E59-43F0-AB73-09B3BCCFA234}"/>
    <cellStyle name="Percent 4 3 2 2" xfId="17163" xr:uid="{2BACEBCF-597C-4DCB-9590-7A1402267359}"/>
    <cellStyle name="Percent 4 3 3" xfId="25598" xr:uid="{456FD8BA-506F-42FC-8D6B-403B22771F34}"/>
    <cellStyle name="Percent 4 3 4" xfId="34032" xr:uid="{37621E0E-871E-4A1D-BA2B-40CB4B860FC3}"/>
    <cellStyle name="Percent 4 3 5" xfId="17160" xr:uid="{0A061741-D8D8-4BA7-85E7-8964A9B14F39}"/>
    <cellStyle name="Percent 4 4" xfId="21381" xr:uid="{91AF858A-B503-409C-BD61-078C862D2F0C}"/>
    <cellStyle name="Percent 4 5" xfId="29815" xr:uid="{B70AB074-1212-4DA5-8EC3-DAD3B1688712}"/>
    <cellStyle name="Percent 4 6" xfId="12943" xr:uid="{534E28BF-AD43-4BDF-B292-F39CDA903FE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treasurer.ca.gov/ctcac/2019/lra/contact.pdf" TargetMode="External"/><Relationship Id="rId7" Type="http://schemas.openxmlformats.org/officeDocument/2006/relationships/printerSettings" Target="../printerSettings/printerSettings8.bin"/><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swilliams@laurinassociates.com" TargetMode="External"/><Relationship Id="rId5" Type="http://schemas.openxmlformats.org/officeDocument/2006/relationships/hyperlink" Target="mailto:cfyinc@yahoo.com" TargetMode="External"/><Relationship Id="rId10" Type="http://schemas.openxmlformats.org/officeDocument/2006/relationships/comments" Target="../comments2.xml"/><Relationship Id="rId4" Type="http://schemas.openxmlformats.org/officeDocument/2006/relationships/hyperlink" Target="http://www.treasurer.ca.gov/ctcac/2018/lra/contact.pdf"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3" t="s">
        <v>560</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5"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2435</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2436</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15" customHeight="1">
      <c r="A14" s="218"/>
      <c r="B14" s="218"/>
      <c r="C14" s="219"/>
      <c r="E14" s="1263" t="s">
        <v>2625</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3" t="s">
        <v>2437</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customHeight="1">
      <c r="A28" s="218"/>
      <c r="B28" s="218"/>
      <c r="C28" s="219"/>
      <c r="E28" s="1263" t="s">
        <v>2624</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3" t="s">
        <v>2438</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64" t="s">
        <v>2620</v>
      </c>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8"/>
    </row>
    <row r="34" spans="1:38">
      <c r="A34" s="4"/>
      <c r="C34" s="2"/>
    </row>
    <row r="35" spans="1:38">
      <c r="A35" s="4"/>
      <c r="D35" s="1275" t="s">
        <v>2616</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D37" s="120"/>
      <c r="E37" s="1270" t="s">
        <v>2445</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2446</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663</v>
      </c>
      <c r="F42" s="1263" t="s">
        <v>1308</v>
      </c>
    </row>
    <row r="43" spans="1:38" s="1263"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9" t="s">
        <v>1404</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3" t="s">
        <v>2440</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8" t="s">
        <v>1335</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8" t="s">
        <v>585</v>
      </c>
      <c r="H58" s="1268"/>
      <c r="I58" s="1268"/>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8" t="s">
        <v>2441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4" t="s">
        <v>1446</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6" t="s">
        <v>1316</v>
      </c>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c r="A91" s="4"/>
      <c r="C91" s="2"/>
      <c r="D91" s="4"/>
      <c r="E91" s="4"/>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row>
    <row r="92" spans="1:37">
      <c r="A92" s="4"/>
      <c r="C92" s="2"/>
      <c r="D92" s="4"/>
      <c r="E92" s="4"/>
      <c r="G92" s="1266"/>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67" t="s">
        <v>1319</v>
      </c>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row>
    <row r="101" spans="1:38">
      <c r="A101" s="4"/>
      <c r="D101" s="99"/>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1417</v>
      </c>
      <c r="G133" s="2"/>
      <c r="H133" s="2"/>
      <c r="I133" s="2"/>
      <c r="J133" s="2"/>
      <c r="K133" s="2"/>
      <c r="L133" s="2"/>
      <c r="M133" s="2"/>
      <c r="N133" s="2"/>
    </row>
    <row r="134" spans="4:37" ht="12.75" customHeight="1">
      <c r="E134" s="119" t="s">
        <v>1415</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1416</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1377</v>
      </c>
      <c r="I342" s="2"/>
      <c r="J342" s="4"/>
      <c r="K342" s="4"/>
      <c r="L342" s="4"/>
      <c r="M342" s="4"/>
      <c r="N342" s="4"/>
      <c r="O342" s="4"/>
      <c r="P342" s="4"/>
      <c r="Q342" s="4"/>
      <c r="R342" s="4"/>
      <c r="S342" s="4"/>
    </row>
    <row r="343" spans="2:37" ht="13.15" customHeight="1">
      <c r="B343" s="2"/>
      <c r="E343" s="1268" t="s">
        <v>1384</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113</v>
      </c>
      <c r="F348" s="1263" t="s">
        <v>1386</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1385</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1" t="s">
        <v>1375</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2" customFormat="1">
      <c r="A369"/>
      <c r="B369" s="2"/>
      <c r="C369"/>
      <c r="D369"/>
      <c r="E369" s="1269" t="s">
        <v>1418</v>
      </c>
    </row>
    <row r="370" spans="1:37" s="1272"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1419</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1420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1430</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1436</v>
      </c>
      <c r="F392" s="3"/>
      <c r="G392" s="2"/>
      <c r="I392" s="120"/>
      <c r="J392" s="3"/>
      <c r="K392" s="3"/>
      <c r="L392" s="3"/>
      <c r="M392" s="3"/>
      <c r="N392" s="3"/>
      <c r="O392" s="3"/>
      <c r="P392" s="3"/>
      <c r="Q392" s="3"/>
      <c r="R392" s="3"/>
      <c r="S392" s="3"/>
    </row>
    <row r="393" spans="1:38" ht="13.15" customHeight="1">
      <c r="B393" s="2"/>
      <c r="D393" s="2"/>
      <c r="E393" s="3" t="s">
        <v>1435</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76" t="s">
        <v>2519</v>
      </c>
      <c r="B1" s="2177"/>
      <c r="C1" s="2177"/>
      <c r="D1" s="2177"/>
      <c r="E1" s="2177"/>
      <c r="F1" s="2177"/>
      <c r="G1" s="2177"/>
      <c r="H1" s="2177"/>
      <c r="I1" s="2177"/>
      <c r="J1" s="2177"/>
      <c r="K1" s="2177"/>
      <c r="L1" s="2177"/>
      <c r="M1" s="2177"/>
      <c r="N1" s="2177"/>
      <c r="O1" s="2177"/>
      <c r="P1" s="2177"/>
      <c r="Q1" s="2177"/>
      <c r="R1" s="2177"/>
      <c r="S1" s="2177"/>
      <c r="T1" s="2177"/>
      <c r="U1" s="2177"/>
      <c r="V1" s="2177"/>
      <c r="W1" s="2177"/>
      <c r="X1" s="2177"/>
      <c r="Y1" s="2177"/>
      <c r="Z1" s="2177"/>
      <c r="AA1" s="2177"/>
      <c r="AB1" s="2177"/>
      <c r="AC1" s="2177"/>
      <c r="AD1" s="2177"/>
      <c r="AE1" s="2177"/>
      <c r="AF1" s="2177"/>
      <c r="AG1" s="2177"/>
      <c r="AH1" s="2177"/>
      <c r="AI1" s="2177"/>
      <c r="AJ1" s="2177"/>
      <c r="AK1" s="2177"/>
      <c r="AL1" s="2177"/>
      <c r="AM1" s="2177"/>
      <c r="AN1" s="2177"/>
      <c r="AO1" s="2177"/>
      <c r="AP1" s="2177"/>
      <c r="AQ1" s="2177"/>
      <c r="AR1" s="2177"/>
      <c r="AS1" s="2177"/>
      <c r="AT1" s="2177"/>
      <c r="AU1" s="2177"/>
      <c r="AV1" s="2177"/>
      <c r="AW1" s="2177"/>
      <c r="AX1" s="2177"/>
      <c r="AY1" s="2177"/>
      <c r="AZ1" s="2177"/>
      <c r="BA1" s="2177"/>
      <c r="BB1" s="2177"/>
      <c r="BC1" s="2177"/>
      <c r="BD1" s="2177"/>
      <c r="BE1" s="2178"/>
    </row>
    <row r="2" spans="1:65" ht="15.75" customHeight="1">
      <c r="A2" s="2179" t="s">
        <v>2567</v>
      </c>
      <c r="B2" s="2180"/>
      <c r="C2" s="2180"/>
      <c r="D2" s="2180"/>
      <c r="E2" s="2180"/>
      <c r="F2" s="2180"/>
      <c r="G2" s="2180"/>
      <c r="H2" s="2180"/>
      <c r="I2" s="2180"/>
      <c r="J2" s="2180"/>
      <c r="K2" s="2180"/>
      <c r="L2" s="2180"/>
      <c r="M2" s="2180"/>
      <c r="N2" s="2180"/>
      <c r="O2" s="2180"/>
      <c r="P2" s="2180"/>
      <c r="Q2" s="2180"/>
      <c r="R2" s="2180"/>
      <c r="S2" s="2180"/>
      <c r="T2" s="2180"/>
      <c r="U2" s="2180"/>
      <c r="V2" s="2180"/>
      <c r="W2" s="2180"/>
      <c r="X2" s="2180"/>
      <c r="Y2" s="2180"/>
      <c r="Z2" s="2180"/>
      <c r="AA2" s="2180"/>
      <c r="AB2" s="2180"/>
      <c r="AC2" s="2180"/>
      <c r="AD2" s="2180"/>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0"/>
      <c r="BC2" s="2180"/>
      <c r="BD2" s="2180"/>
      <c r="BE2" s="218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68" t="str">
        <f>IF(Application!H18="","",Application!H18)</f>
        <v>Allison Apartments</v>
      </c>
      <c r="M4" s="2169"/>
      <c r="N4" s="2169"/>
      <c r="O4" s="2169"/>
      <c r="P4" s="2169"/>
      <c r="Q4" s="2169"/>
      <c r="R4" s="2169"/>
      <c r="S4" s="2169"/>
      <c r="T4" s="2169"/>
      <c r="U4" s="2169"/>
      <c r="V4" s="2169"/>
      <c r="W4" s="2169"/>
      <c r="X4" s="2169"/>
      <c r="Y4" s="2169"/>
      <c r="Z4" s="2169"/>
      <c r="AA4" s="2169"/>
      <c r="AB4" s="2169"/>
      <c r="AC4" s="2170"/>
      <c r="AD4" s="1207"/>
      <c r="AE4" s="1207"/>
      <c r="AF4" s="2182" t="s">
        <v>2568</v>
      </c>
      <c r="AG4" s="2182"/>
      <c r="AH4" s="2182"/>
      <c r="AI4" s="2182"/>
      <c r="AJ4" s="2182"/>
      <c r="AK4" s="2182"/>
      <c r="AL4" s="2182"/>
      <c r="AM4" s="2182"/>
      <c r="AN4" s="2182"/>
      <c r="AO4" s="2182"/>
      <c r="AP4" s="2183"/>
      <c r="AQ4" s="2184"/>
      <c r="AR4" s="2184"/>
      <c r="AS4" s="2184"/>
      <c r="AT4" s="2184"/>
      <c r="AU4" s="218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82" t="s">
        <v>2569</v>
      </c>
      <c r="AG5" s="2182"/>
      <c r="AH5" s="2182"/>
      <c r="AI5" s="2182"/>
      <c r="AJ5" s="2182"/>
      <c r="AK5" s="2182"/>
      <c r="AL5" s="2182"/>
      <c r="AM5" s="2182"/>
      <c r="AN5" s="2182"/>
      <c r="AO5" s="2182"/>
      <c r="AP5" s="2183"/>
      <c r="AQ5" s="2184"/>
      <c r="AR5" s="2184"/>
      <c r="AS5" s="2184"/>
      <c r="AT5" s="2184"/>
      <c r="AU5" s="2184"/>
      <c r="AV5" s="1207"/>
      <c r="AW5" s="1207"/>
      <c r="AX5" s="1207"/>
      <c r="AY5" s="1207"/>
      <c r="AZ5" s="1207"/>
      <c r="BA5" s="1207"/>
      <c r="BB5" s="1207"/>
      <c r="BC5" s="1207"/>
      <c r="BD5" s="1207"/>
      <c r="BE5" s="1208"/>
    </row>
    <row r="6" spans="1:65" ht="15.75" customHeight="1" thickBot="1">
      <c r="A6" s="1206"/>
      <c r="B6" s="1209" t="s">
        <v>1860</v>
      </c>
      <c r="C6" s="1207"/>
      <c r="D6" s="1207"/>
      <c r="E6" s="1207"/>
      <c r="F6" s="1207"/>
      <c r="G6" s="1207"/>
      <c r="H6" s="1207"/>
      <c r="I6" s="1207"/>
      <c r="J6" s="1207"/>
      <c r="K6" s="1207"/>
      <c r="L6" s="2168" t="str">
        <f>IF(Application!H16="","",Application!H16)</f>
        <v>To-be-formed Limited Partnership</v>
      </c>
      <c r="M6" s="2169"/>
      <c r="N6" s="2169"/>
      <c r="O6" s="2169"/>
      <c r="P6" s="2169"/>
      <c r="Q6" s="2169"/>
      <c r="R6" s="2169"/>
      <c r="S6" s="2169"/>
      <c r="T6" s="2169"/>
      <c r="U6" s="2169"/>
      <c r="V6" s="2169"/>
      <c r="W6" s="2169"/>
      <c r="X6" s="2169"/>
      <c r="Y6" s="2169"/>
      <c r="Z6" s="2169"/>
      <c r="AA6" s="2169"/>
      <c r="AB6" s="2169"/>
      <c r="AC6" s="2170"/>
      <c r="AD6" s="1207"/>
      <c r="AE6" s="1207"/>
      <c r="AF6" s="2171" t="s">
        <v>2570</v>
      </c>
      <c r="AG6" s="2171"/>
      <c r="AH6" s="2171"/>
      <c r="AI6" s="2171"/>
      <c r="AJ6" s="2171"/>
      <c r="AK6" s="2171"/>
      <c r="AL6" s="2171"/>
      <c r="AM6" s="2171"/>
      <c r="AN6" s="2171"/>
      <c r="AO6" s="2171"/>
      <c r="AP6" s="2172">
        <v>0</v>
      </c>
      <c r="AQ6" s="2172"/>
      <c r="AR6" s="2172"/>
      <c r="AS6" s="2172"/>
      <c r="AT6" s="2172"/>
      <c r="AU6" s="217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71" t="s">
        <v>2571</v>
      </c>
      <c r="AG7" s="2171"/>
      <c r="AH7" s="2171"/>
      <c r="AI7" s="2171"/>
      <c r="AJ7" s="2171"/>
      <c r="AK7" s="2171"/>
      <c r="AL7" s="2171"/>
      <c r="AM7" s="2171"/>
      <c r="AN7" s="2171"/>
      <c r="AO7" s="2171"/>
      <c r="AP7" s="2172">
        <v>0</v>
      </c>
      <c r="AQ7" s="2172"/>
      <c r="AR7" s="2172"/>
      <c r="AS7" s="2172"/>
      <c r="AT7" s="2172"/>
      <c r="AU7" s="2172"/>
      <c r="AV7" s="1207"/>
      <c r="AW7" s="1207"/>
      <c r="AX7" s="1207"/>
      <c r="AY7" s="1207"/>
      <c r="AZ7" s="1207"/>
      <c r="BA7" s="1207"/>
      <c r="BB7" s="1207"/>
      <c r="BC7" s="1207"/>
      <c r="BD7" s="1207"/>
      <c r="BE7" s="1208"/>
    </row>
    <row r="8" spans="1:65" thickBot="1">
      <c r="A8" s="1206"/>
      <c r="B8" s="1209" t="s">
        <v>1861</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73" t="str">
        <f>Application!T196</f>
        <v>No</v>
      </c>
      <c r="AC8" s="2174"/>
      <c r="AD8" s="2175"/>
      <c r="AE8" s="1207"/>
      <c r="AF8" s="2171" t="s">
        <v>2572</v>
      </c>
      <c r="AG8" s="2171"/>
      <c r="AH8" s="2171"/>
      <c r="AI8" s="2171"/>
      <c r="AJ8" s="2171"/>
      <c r="AK8" s="2171"/>
      <c r="AL8" s="2171"/>
      <c r="AM8" s="2171"/>
      <c r="AN8" s="2171"/>
      <c r="AO8" s="2171"/>
      <c r="AP8" s="2172" t="s">
        <v>2524</v>
      </c>
      <c r="AQ8" s="2172"/>
      <c r="AR8" s="2172"/>
      <c r="AS8" s="2172"/>
      <c r="AT8" s="2172"/>
      <c r="AU8" s="2172"/>
      <c r="AV8" s="1207"/>
      <c r="AW8" s="1207"/>
      <c r="AX8" s="1207"/>
      <c r="AY8" s="1207"/>
      <c r="AZ8" s="1207"/>
      <c r="BA8" s="1207"/>
      <c r="BB8" s="1207"/>
      <c r="BC8" s="1207"/>
      <c r="BD8" s="1207"/>
      <c r="BE8" s="1208"/>
      <c r="BM8" s="1204" t="s">
        <v>2379</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2573</v>
      </c>
    </row>
    <row r="10" spans="1:65" ht="15">
      <c r="A10" s="1206"/>
      <c r="B10" s="1209" t="s">
        <v>1862</v>
      </c>
      <c r="C10" s="1209"/>
      <c r="D10" s="1209"/>
      <c r="E10" s="1209"/>
      <c r="F10" s="1209"/>
      <c r="G10" s="1209"/>
      <c r="H10" s="1209"/>
      <c r="I10" s="1209"/>
      <c r="J10" s="1209"/>
      <c r="K10" s="1209"/>
      <c r="L10" s="1209"/>
      <c r="M10" s="1207"/>
      <c r="N10" s="2199">
        <f>Application!AO623</f>
        <v>10783311</v>
      </c>
      <c r="O10" s="2199"/>
      <c r="P10" s="2199"/>
      <c r="Q10" s="2199"/>
      <c r="R10" s="2199"/>
      <c r="S10" s="2199"/>
      <c r="T10" s="2199"/>
      <c r="U10" s="1207"/>
      <c r="V10" s="1207"/>
      <c r="W10" s="1207"/>
      <c r="X10" s="2185" t="s">
        <v>2574</v>
      </c>
      <c r="Y10" s="2185"/>
      <c r="Z10" s="2185"/>
      <c r="AA10" s="2185"/>
      <c r="AB10" s="2185"/>
      <c r="AC10" s="2185"/>
      <c r="AD10" s="2185"/>
      <c r="AE10" s="2185"/>
      <c r="AF10" s="2185"/>
      <c r="AG10" s="2185"/>
      <c r="AH10" s="2185"/>
      <c r="AI10" s="2185"/>
      <c r="AJ10" s="2185"/>
      <c r="AK10" s="2185"/>
      <c r="AL10" s="2200">
        <f>Application!W471</f>
        <v>23</v>
      </c>
      <c r="AM10" s="2201"/>
      <c r="AN10" s="2201"/>
      <c r="AO10" s="2201"/>
      <c r="AP10" s="2201"/>
      <c r="AQ10" s="1210"/>
      <c r="AR10" s="1210"/>
      <c r="AS10" s="1210"/>
      <c r="AT10" s="1210"/>
      <c r="AU10" s="1210"/>
      <c r="AV10" s="1210"/>
      <c r="AW10" s="1210"/>
      <c r="AX10" s="1207"/>
      <c r="AY10" s="1207"/>
      <c r="AZ10" s="1207"/>
      <c r="BA10" s="1207"/>
      <c r="BB10" s="1207"/>
      <c r="BC10" s="1207"/>
      <c r="BD10" s="1207"/>
      <c r="BE10" s="1208"/>
      <c r="BM10" s="1204" t="s">
        <v>2575</v>
      </c>
    </row>
    <row r="11" spans="1:65" ht="15">
      <c r="A11" s="1206"/>
      <c r="B11" s="1209" t="s">
        <v>1863</v>
      </c>
      <c r="C11" s="1209"/>
      <c r="D11" s="1209"/>
      <c r="E11" s="1209"/>
      <c r="F11" s="1209"/>
      <c r="G11" s="1209"/>
      <c r="H11" s="1209"/>
      <c r="I11" s="1209"/>
      <c r="J11" s="1209"/>
      <c r="K11" s="1209"/>
      <c r="L11" s="1209"/>
      <c r="M11" s="1207"/>
      <c r="N11" s="2199">
        <f>Application!AA911</f>
        <v>0</v>
      </c>
      <c r="O11" s="2199"/>
      <c r="P11" s="2199"/>
      <c r="Q11" s="2199"/>
      <c r="R11" s="2199"/>
      <c r="S11" s="2199"/>
      <c r="T11" s="2199"/>
      <c r="U11" s="1207"/>
      <c r="V11" s="1207"/>
      <c r="W11" s="1207"/>
      <c r="X11" s="2202" t="s">
        <v>2576</v>
      </c>
      <c r="Y11" s="2202"/>
      <c r="Z11" s="2202"/>
      <c r="AA11" s="2202"/>
      <c r="AB11" s="2202"/>
      <c r="AC11" s="2202"/>
      <c r="AD11" s="2202"/>
      <c r="AE11" s="2202"/>
      <c r="AF11" s="2202"/>
      <c r="AG11" s="2202"/>
      <c r="AH11" s="2202"/>
      <c r="AI11" s="2202"/>
      <c r="AJ11" s="2202"/>
      <c r="AK11" s="2202"/>
      <c r="AL11" s="2186"/>
      <c r="AM11" s="2187"/>
      <c r="AN11" s="2187"/>
      <c r="AO11" s="2187"/>
      <c r="AP11" s="2187"/>
      <c r="AQ11" s="1211"/>
      <c r="AR11" s="1212"/>
      <c r="AS11" s="1210"/>
      <c r="AT11" s="1210"/>
      <c r="AU11" s="1210"/>
      <c r="AV11" s="1210"/>
      <c r="AW11" s="1210"/>
      <c r="AX11" s="1207"/>
      <c r="AY11" s="1207"/>
      <c r="AZ11" s="1207"/>
      <c r="BA11" s="1207"/>
      <c r="BB11" s="1207"/>
      <c r="BC11" s="1207"/>
      <c r="BD11" s="1207"/>
      <c r="BE11" s="1208"/>
      <c r="BM11" s="1204" t="s">
        <v>2524</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85" t="s">
        <v>2577</v>
      </c>
      <c r="Y12" s="2185"/>
      <c r="Z12" s="2185"/>
      <c r="AA12" s="2185"/>
      <c r="AB12" s="2185"/>
      <c r="AC12" s="2185"/>
      <c r="AD12" s="2185"/>
      <c r="AE12" s="2185"/>
      <c r="AF12" s="2185"/>
      <c r="AG12" s="2185"/>
      <c r="AH12" s="2185"/>
      <c r="AI12" s="2185"/>
      <c r="AJ12" s="2185"/>
      <c r="AK12" s="2185"/>
      <c r="AL12" s="2186"/>
      <c r="AM12" s="2187"/>
      <c r="AN12" s="2187"/>
      <c r="AO12" s="2187"/>
      <c r="AP12" s="2187"/>
      <c r="AQ12" s="1210"/>
      <c r="AR12" s="1210"/>
      <c r="AS12" s="1210"/>
      <c r="AT12" s="1210"/>
      <c r="AU12" s="1210"/>
      <c r="AV12" s="1207"/>
      <c r="AW12" s="1207"/>
      <c r="AX12" s="1207"/>
      <c r="AY12" s="1207"/>
      <c r="AZ12" s="1207"/>
      <c r="BA12" s="1207"/>
      <c r="BB12" s="1207"/>
      <c r="BC12" s="1207"/>
      <c r="BD12" s="1207"/>
      <c r="BE12" s="1213"/>
      <c r="BM12" s="1204" t="s">
        <v>2578</v>
      </c>
    </row>
    <row r="13" spans="1:65" thickBot="1">
      <c r="A13" s="1207"/>
      <c r="B13" s="2188" t="s">
        <v>1864</v>
      </c>
      <c r="C13" s="2189"/>
      <c r="D13" s="2189"/>
      <c r="E13" s="2189"/>
      <c r="F13" s="2189"/>
      <c r="G13" s="2189"/>
      <c r="H13" s="2189"/>
      <c r="I13" s="2189"/>
      <c r="J13" s="2189"/>
      <c r="K13" s="2189"/>
      <c r="L13" s="2189"/>
      <c r="M13" s="2189"/>
      <c r="N13" s="2189"/>
      <c r="O13" s="2189"/>
      <c r="P13" s="2190"/>
      <c r="Q13" s="2191" t="s">
        <v>679</v>
      </c>
      <c r="R13" s="2192"/>
      <c r="S13" s="2192"/>
      <c r="T13" s="219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2579</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94" t="s">
        <v>1865</v>
      </c>
      <c r="C15" s="2195"/>
      <c r="D15" s="2195"/>
      <c r="E15" s="2195"/>
      <c r="F15" s="2195"/>
      <c r="G15" s="2195"/>
      <c r="H15" s="2195"/>
      <c r="I15" s="2195"/>
      <c r="J15" s="2195"/>
      <c r="K15" s="2195"/>
      <c r="L15" s="2195"/>
      <c r="M15" s="2195"/>
      <c r="N15" s="2195"/>
      <c r="O15" s="2195"/>
      <c r="P15" s="2195"/>
      <c r="Q15" s="2195"/>
      <c r="R15" s="2196"/>
      <c r="S15" s="2197" t="str">
        <f>IF(Application!AB214="","",Application!AB214)</f>
        <v/>
      </c>
      <c r="T15" s="2197"/>
      <c r="U15" s="2197"/>
      <c r="V15" s="2197"/>
      <c r="W15" s="219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03" t="s">
        <v>1866</v>
      </c>
      <c r="C17" s="2204"/>
      <c r="D17" s="2204"/>
      <c r="E17" s="2204"/>
      <c r="F17" s="2204"/>
      <c r="G17" s="2204"/>
      <c r="H17" s="2204"/>
      <c r="I17" s="2204"/>
      <c r="J17" s="2204"/>
      <c r="K17" s="2204"/>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5"/>
      <c r="AZ17" s="1207"/>
      <c r="BA17" s="1207"/>
      <c r="BB17" s="1207"/>
      <c r="BC17" s="1207"/>
      <c r="BD17" s="1207"/>
      <c r="BE17" s="1213"/>
      <c r="BF17" s="1205"/>
    </row>
    <row r="18" spans="1:58" ht="15.75" customHeight="1">
      <c r="A18" s="1207"/>
      <c r="B18" s="2206" t="s">
        <v>1867</v>
      </c>
      <c r="C18" s="2207"/>
      <c r="D18" s="2207"/>
      <c r="E18" s="2207"/>
      <c r="F18" s="2207"/>
      <c r="G18" s="2207"/>
      <c r="H18" s="2207"/>
      <c r="I18" s="2208"/>
      <c r="J18" s="2209" t="s">
        <v>1766</v>
      </c>
      <c r="K18" s="2210"/>
      <c r="L18" s="2210"/>
      <c r="M18" s="2210"/>
      <c r="N18" s="2210"/>
      <c r="O18" s="2211"/>
      <c r="P18" s="2209" t="s">
        <v>326</v>
      </c>
      <c r="Q18" s="2210"/>
      <c r="R18" s="2210"/>
      <c r="S18" s="2210"/>
      <c r="T18" s="2210"/>
      <c r="U18" s="2211"/>
      <c r="V18" s="2209" t="s">
        <v>327</v>
      </c>
      <c r="W18" s="2210"/>
      <c r="X18" s="2210"/>
      <c r="Y18" s="2210"/>
      <c r="Z18" s="2210"/>
      <c r="AA18" s="2211"/>
      <c r="AB18" s="2209" t="s">
        <v>164</v>
      </c>
      <c r="AC18" s="2210"/>
      <c r="AD18" s="2210"/>
      <c r="AE18" s="2210"/>
      <c r="AF18" s="2210"/>
      <c r="AG18" s="2211"/>
      <c r="AH18" s="2209" t="s">
        <v>165</v>
      </c>
      <c r="AI18" s="2210"/>
      <c r="AJ18" s="2210"/>
      <c r="AK18" s="2210"/>
      <c r="AL18" s="2210"/>
      <c r="AM18" s="2211"/>
      <c r="AN18" s="2209" t="s">
        <v>166</v>
      </c>
      <c r="AO18" s="2210"/>
      <c r="AP18" s="2210"/>
      <c r="AQ18" s="2210"/>
      <c r="AR18" s="2210"/>
      <c r="AS18" s="2211"/>
      <c r="AT18" s="2209" t="s">
        <v>1868</v>
      </c>
      <c r="AU18" s="2210"/>
      <c r="AV18" s="2210"/>
      <c r="AW18" s="2210"/>
      <c r="AX18" s="2210"/>
      <c r="AY18" s="2212"/>
      <c r="AZ18" s="1207"/>
      <c r="BA18" s="1207"/>
      <c r="BB18" s="1207"/>
      <c r="BC18" s="1207"/>
      <c r="BD18" s="1207"/>
      <c r="BE18" s="1213"/>
    </row>
    <row r="19" spans="1:58" ht="15">
      <c r="A19" s="1207"/>
      <c r="B19" s="2219">
        <v>0.3</v>
      </c>
      <c r="C19" s="2220"/>
      <c r="D19" s="2220"/>
      <c r="E19" s="2220"/>
      <c r="F19" s="2220"/>
      <c r="G19" s="2220"/>
      <c r="H19" s="2220"/>
      <c r="I19" s="2221"/>
      <c r="J19" s="2213">
        <f>SUM(P19:AS19)</f>
        <v>27</v>
      </c>
      <c r="K19" s="2214"/>
      <c r="L19" s="2214"/>
      <c r="M19" s="2214"/>
      <c r="N19" s="2214"/>
      <c r="O19" s="2215"/>
      <c r="P19" s="2213" cm="1">
        <f t="array" ref="P19">SUMPRODUCT((Application!$B$714:$B$738 = 'CalHFA Addendum'!P$18)*(Application!$AC$714:$AC$738 = 'CalHFA Addendum'!$B19),Application!$G$714:$G$738)</f>
        <v>4</v>
      </c>
      <c r="Q19" s="2214"/>
      <c r="R19" s="2214"/>
      <c r="S19" s="2214"/>
      <c r="T19" s="2214"/>
      <c r="U19" s="2215"/>
      <c r="V19" s="2213" cm="1">
        <f t="array" ref="V19">SUMPRODUCT((Application!$B$714:$B$738 = 'CalHFA Addendum'!V$18)*(Application!$AC$714:$AC$738 = 'CalHFA Addendum'!$B19),Application!$G$714:$G$738)</f>
        <v>16</v>
      </c>
      <c r="W19" s="2214"/>
      <c r="X19" s="2214"/>
      <c r="Y19" s="2214"/>
      <c r="Z19" s="2214"/>
      <c r="AA19" s="2215"/>
      <c r="AB19" s="2213" cm="1">
        <f t="array" ref="AB19">SUMPRODUCT((Application!$B$714:$B$738 = 'CalHFA Addendum'!AB$18)*(Application!$AC$714:$AC$738 = 'CalHFA Addendum'!$B19),Application!$G$714:$G$738)</f>
        <v>7</v>
      </c>
      <c r="AC19" s="2214"/>
      <c r="AD19" s="2214"/>
      <c r="AE19" s="2214"/>
      <c r="AF19" s="2214"/>
      <c r="AG19" s="2215"/>
      <c r="AH19" s="2213" cm="1">
        <f t="array" ref="AH19">SUMPRODUCT((Application!$B$714:$B$738 = 'CalHFA Addendum'!AH$18)*(Application!$AC$714:$AC$738 = 'CalHFA Addendum'!$B19),Application!$G$714:$G$738)</f>
        <v>0</v>
      </c>
      <c r="AI19" s="2214"/>
      <c r="AJ19" s="2214"/>
      <c r="AK19" s="2214"/>
      <c r="AL19" s="2214"/>
      <c r="AM19" s="2215"/>
      <c r="AN19" s="2213" cm="1">
        <f t="array" ref="AN19">SUMPRODUCT((Application!$B$714:$B$738 = 'CalHFA Addendum'!AN$18)*(Application!$AC$714:$AC$738 = 'CalHFA Addendum'!$B19),Application!$G$714:$G$738)</f>
        <v>0</v>
      </c>
      <c r="AO19" s="2214"/>
      <c r="AP19" s="2214"/>
      <c r="AQ19" s="2214"/>
      <c r="AR19" s="2214"/>
      <c r="AS19" s="2215"/>
      <c r="AT19" s="2216">
        <f t="shared" ref="AT19:AT28" si="0">J19/$J$29</f>
        <v>0.2</v>
      </c>
      <c r="AU19" s="2217"/>
      <c r="AV19" s="2217"/>
      <c r="AW19" s="2217"/>
      <c r="AX19" s="2217"/>
      <c r="AY19" s="2218"/>
      <c r="AZ19" s="1214"/>
      <c r="BA19" s="1207"/>
      <c r="BB19" s="1207"/>
      <c r="BC19" s="1207"/>
      <c r="BD19" s="1207"/>
      <c r="BE19" s="1213"/>
    </row>
    <row r="20" spans="1:58" ht="15" customHeight="1">
      <c r="A20" s="1207"/>
      <c r="B20" s="2219">
        <v>0.4</v>
      </c>
      <c r="C20" s="2220"/>
      <c r="D20" s="2220"/>
      <c r="E20" s="2220"/>
      <c r="F20" s="2220"/>
      <c r="G20" s="2220"/>
      <c r="H20" s="2220"/>
      <c r="I20" s="2221"/>
      <c r="J20" s="2213">
        <f t="shared" ref="J20:J28" si="1">SUM(P20:AS20)</f>
        <v>0</v>
      </c>
      <c r="K20" s="2214"/>
      <c r="L20" s="2214"/>
      <c r="M20" s="2214"/>
      <c r="N20" s="2214"/>
      <c r="O20" s="2215"/>
      <c r="P20" s="2213" cm="1">
        <f t="array" ref="P20">SUMPRODUCT((Application!$B$714:$B$738 = 'CalHFA Addendum'!P$18)*(Application!$AC$714:$AC$738 = 'CalHFA Addendum'!$B20),Application!$G$714:$G$738)</f>
        <v>0</v>
      </c>
      <c r="Q20" s="2214"/>
      <c r="R20" s="2214"/>
      <c r="S20" s="2214"/>
      <c r="T20" s="2214"/>
      <c r="U20" s="2215"/>
      <c r="V20" s="2213" cm="1">
        <f t="array" ref="V20">SUMPRODUCT((Application!$B$714:$B$738 = 'CalHFA Addendum'!V$18)*(Application!$AC$714:$AC$738 = 'CalHFA Addendum'!$B20),Application!$G$714:$G$738)</f>
        <v>0</v>
      </c>
      <c r="W20" s="2214"/>
      <c r="X20" s="2214"/>
      <c r="Y20" s="2214"/>
      <c r="Z20" s="2214"/>
      <c r="AA20" s="2215"/>
      <c r="AB20" s="2213" cm="1">
        <f t="array" ref="AB20">SUMPRODUCT((Application!$B$714:$B$738 = 'CalHFA Addendum'!AB$18)*(Application!$AC$714:$AC$738 = 'CalHFA Addendum'!$B20),Application!$G$714:$G$738)</f>
        <v>0</v>
      </c>
      <c r="AC20" s="2214"/>
      <c r="AD20" s="2214"/>
      <c r="AE20" s="2214"/>
      <c r="AF20" s="2214"/>
      <c r="AG20" s="2215"/>
      <c r="AH20" s="2213" cm="1">
        <f t="array" ref="AH20">SUMPRODUCT((Application!$B$714:$B$738 = 'CalHFA Addendum'!AH$18)*(Application!$AC$714:$AC$738 = 'CalHFA Addendum'!$B20),Application!$G$714:$G$738)</f>
        <v>0</v>
      </c>
      <c r="AI20" s="2214"/>
      <c r="AJ20" s="2214"/>
      <c r="AK20" s="2214"/>
      <c r="AL20" s="2214"/>
      <c r="AM20" s="2215"/>
      <c r="AN20" s="2213" cm="1">
        <f t="array" ref="AN20">SUMPRODUCT((Application!$B$714:$B$738 = 'CalHFA Addendum'!AN$18)*(Application!$AC$714:$AC$738 = 'CalHFA Addendum'!$B20),Application!$G$714:$G$738)</f>
        <v>0</v>
      </c>
      <c r="AO20" s="2214"/>
      <c r="AP20" s="2214"/>
      <c r="AQ20" s="2214"/>
      <c r="AR20" s="2214"/>
      <c r="AS20" s="2215"/>
      <c r="AT20" s="2216">
        <f t="shared" si="0"/>
        <v>0</v>
      </c>
      <c r="AU20" s="2217"/>
      <c r="AV20" s="2217"/>
      <c r="AW20" s="2217"/>
      <c r="AX20" s="2217"/>
      <c r="AY20" s="2218"/>
      <c r="AZ20" s="1207"/>
      <c r="BA20" s="1207"/>
      <c r="BB20" s="1207"/>
      <c r="BC20" s="1207"/>
      <c r="BD20" s="1207"/>
      <c r="BE20" s="1213"/>
    </row>
    <row r="21" spans="1:58" ht="15">
      <c r="A21" s="1207"/>
      <c r="B21" s="2219">
        <v>0.5</v>
      </c>
      <c r="C21" s="2220"/>
      <c r="D21" s="2220"/>
      <c r="E21" s="2220"/>
      <c r="F21" s="2220"/>
      <c r="G21" s="2220"/>
      <c r="H21" s="2220"/>
      <c r="I21" s="2221"/>
      <c r="J21" s="2213">
        <f t="shared" si="1"/>
        <v>0</v>
      </c>
      <c r="K21" s="2214"/>
      <c r="L21" s="2214"/>
      <c r="M21" s="2214"/>
      <c r="N21" s="2214"/>
      <c r="O21" s="2215"/>
      <c r="P21" s="2213" cm="1">
        <f t="array" ref="P21">SUMPRODUCT((Application!$B$714:$B$738 = 'CalHFA Addendum'!P$18)*(Application!$AC$714:$AC$738 = 'CalHFA Addendum'!$B21),Application!$G$714:$G$738)</f>
        <v>0</v>
      </c>
      <c r="Q21" s="2214"/>
      <c r="R21" s="2214"/>
      <c r="S21" s="2214"/>
      <c r="T21" s="2214"/>
      <c r="U21" s="2215"/>
      <c r="V21" s="2213" cm="1">
        <f t="array" ref="V21">SUMPRODUCT((Application!$B$714:$B$738 = 'CalHFA Addendum'!V$18)*(Application!$AC$714:$AC$738 = 'CalHFA Addendum'!$B21),Application!$G$714:$G$738)</f>
        <v>0</v>
      </c>
      <c r="W21" s="2214"/>
      <c r="X21" s="2214"/>
      <c r="Y21" s="2214"/>
      <c r="Z21" s="2214"/>
      <c r="AA21" s="2215"/>
      <c r="AB21" s="2213" cm="1">
        <f t="array" ref="AB21">SUMPRODUCT((Application!$B$714:$B$738 = 'CalHFA Addendum'!AB$18)*(Application!$AC$714:$AC$738 = 'CalHFA Addendum'!$B21),Application!$G$714:$G$738)</f>
        <v>0</v>
      </c>
      <c r="AC21" s="2214"/>
      <c r="AD21" s="2214"/>
      <c r="AE21" s="2214"/>
      <c r="AF21" s="2214"/>
      <c r="AG21" s="2215"/>
      <c r="AH21" s="2213" cm="1">
        <f t="array" ref="AH21">SUMPRODUCT((Application!$B$714:$B$738 = 'CalHFA Addendum'!AH$18)*(Application!$AC$714:$AC$738 = 'CalHFA Addendum'!$B21),Application!$G$714:$G$738)</f>
        <v>0</v>
      </c>
      <c r="AI21" s="2214"/>
      <c r="AJ21" s="2214"/>
      <c r="AK21" s="2214"/>
      <c r="AL21" s="2214"/>
      <c r="AM21" s="2215"/>
      <c r="AN21" s="2213" cm="1">
        <f t="array" ref="AN21">SUMPRODUCT((Application!$B$714:$B$738 = 'CalHFA Addendum'!AN$18)*(Application!$AC$714:$AC$738 = 'CalHFA Addendum'!$B21),Application!$G$714:$G$738)</f>
        <v>0</v>
      </c>
      <c r="AO21" s="2214"/>
      <c r="AP21" s="2214"/>
      <c r="AQ21" s="2214"/>
      <c r="AR21" s="2214"/>
      <c r="AS21" s="2215"/>
      <c r="AT21" s="2216">
        <f t="shared" si="0"/>
        <v>0</v>
      </c>
      <c r="AU21" s="2217"/>
      <c r="AV21" s="2217"/>
      <c r="AW21" s="2217"/>
      <c r="AX21" s="2217"/>
      <c r="AY21" s="2218"/>
      <c r="AZ21" s="1207"/>
      <c r="BA21" s="1207"/>
      <c r="BB21" s="1207"/>
      <c r="BC21" s="1207"/>
      <c r="BD21" s="1207"/>
      <c r="BE21" s="1213"/>
    </row>
    <row r="22" spans="1:58" ht="15">
      <c r="A22" s="1207"/>
      <c r="B22" s="2219">
        <v>0.6</v>
      </c>
      <c r="C22" s="2220"/>
      <c r="D22" s="2220"/>
      <c r="E22" s="2220"/>
      <c r="F22" s="2220"/>
      <c r="G22" s="2220"/>
      <c r="H22" s="2220"/>
      <c r="I22" s="2221"/>
      <c r="J22" s="2213">
        <f t="shared" si="1"/>
        <v>106</v>
      </c>
      <c r="K22" s="2214"/>
      <c r="L22" s="2214"/>
      <c r="M22" s="2214"/>
      <c r="N22" s="2214"/>
      <c r="O22" s="2215"/>
      <c r="P22" s="2213" cm="1">
        <f t="array" ref="P22">SUMPRODUCT((Application!$B$714:$B$738 = 'CalHFA Addendum'!P$18)*(Application!$AC$714:$AC$738 = 'CalHFA Addendum'!$B22),Application!$G$714:$G$738)</f>
        <v>17</v>
      </c>
      <c r="Q22" s="2214"/>
      <c r="R22" s="2214"/>
      <c r="S22" s="2214"/>
      <c r="T22" s="2214"/>
      <c r="U22" s="2215"/>
      <c r="V22" s="2213" cm="1">
        <f t="array" ref="V22">SUMPRODUCT((Application!$B$714:$B$738 = 'CalHFA Addendum'!V$18)*(Application!$AC$714:$AC$738 = 'CalHFA Addendum'!$B22),Application!$G$714:$G$738)</f>
        <v>66</v>
      </c>
      <c r="W22" s="2214"/>
      <c r="X22" s="2214"/>
      <c r="Y22" s="2214"/>
      <c r="Z22" s="2214"/>
      <c r="AA22" s="2215"/>
      <c r="AB22" s="2213" cm="1">
        <f t="array" ref="AB22">SUMPRODUCT((Application!$B$714:$B$738 = 'CalHFA Addendum'!AB$18)*(Application!$AC$714:$AC$738 = 'CalHFA Addendum'!$B22),Application!$G$714:$G$738)</f>
        <v>23</v>
      </c>
      <c r="AC22" s="2214"/>
      <c r="AD22" s="2214"/>
      <c r="AE22" s="2214"/>
      <c r="AF22" s="2214"/>
      <c r="AG22" s="2215"/>
      <c r="AH22" s="2213" cm="1">
        <f t="array" ref="AH22">SUMPRODUCT((Application!$B$714:$B$738 = 'CalHFA Addendum'!AH$18)*(Application!$AC$714:$AC$738 = 'CalHFA Addendum'!$B22),Application!$G$714:$G$738)</f>
        <v>0</v>
      </c>
      <c r="AI22" s="2214"/>
      <c r="AJ22" s="2214"/>
      <c r="AK22" s="2214"/>
      <c r="AL22" s="2214"/>
      <c r="AM22" s="2215"/>
      <c r="AN22" s="2213" cm="1">
        <f t="array" ref="AN22">SUMPRODUCT((Application!$B$714:$B$738 = 'CalHFA Addendum'!AN$18)*(Application!$AC$714:$AC$738 = 'CalHFA Addendum'!$B22),Application!$G$714:$G$738)</f>
        <v>0</v>
      </c>
      <c r="AO22" s="2214"/>
      <c r="AP22" s="2214"/>
      <c r="AQ22" s="2214"/>
      <c r="AR22" s="2214"/>
      <c r="AS22" s="2215"/>
      <c r="AT22" s="2216">
        <f t="shared" si="0"/>
        <v>0.78518518518518521</v>
      </c>
      <c r="AU22" s="2217"/>
      <c r="AV22" s="2217"/>
      <c r="AW22" s="2217"/>
      <c r="AX22" s="2217"/>
      <c r="AY22" s="2218"/>
      <c r="AZ22" s="1207"/>
      <c r="BA22" s="1207"/>
      <c r="BB22" s="1207"/>
      <c r="BC22" s="1207"/>
      <c r="BD22" s="1207"/>
      <c r="BE22" s="1213"/>
    </row>
    <row r="23" spans="1:58" ht="15">
      <c r="A23" s="1207"/>
      <c r="B23" s="2219">
        <v>0.7</v>
      </c>
      <c r="C23" s="2220"/>
      <c r="D23" s="2220"/>
      <c r="E23" s="2220"/>
      <c r="F23" s="2220"/>
      <c r="G23" s="2220"/>
      <c r="H23" s="2220"/>
      <c r="I23" s="2221"/>
      <c r="J23" s="2213">
        <f t="shared" si="1"/>
        <v>0</v>
      </c>
      <c r="K23" s="2214"/>
      <c r="L23" s="2214"/>
      <c r="M23" s="2214"/>
      <c r="N23" s="2214"/>
      <c r="O23" s="2215"/>
      <c r="P23" s="2213" cm="1">
        <f t="array" ref="P23">SUMPRODUCT((Application!$B$714:$B$738 = 'CalHFA Addendum'!P$18)*(Application!$AC$714:$AC$738 = 'CalHFA Addendum'!$B23),Application!$G$714:$G$738)</f>
        <v>0</v>
      </c>
      <c r="Q23" s="2214"/>
      <c r="R23" s="2214"/>
      <c r="S23" s="2214"/>
      <c r="T23" s="2214"/>
      <c r="U23" s="2215"/>
      <c r="V23" s="2213" cm="1">
        <f t="array" ref="V23">SUMPRODUCT((Application!$B$714:$B$738 = 'CalHFA Addendum'!V$18)*(Application!$AC$714:$AC$738 = 'CalHFA Addendum'!$B23),Application!$G$714:$G$738)</f>
        <v>0</v>
      </c>
      <c r="W23" s="2214"/>
      <c r="X23" s="2214"/>
      <c r="Y23" s="2214"/>
      <c r="Z23" s="2214"/>
      <c r="AA23" s="2215"/>
      <c r="AB23" s="2213" cm="1">
        <f t="array" ref="AB23">SUMPRODUCT((Application!$B$714:$B$738 = 'CalHFA Addendum'!AB$18)*(Application!$AC$714:$AC$738 = 'CalHFA Addendum'!$B23),Application!$G$714:$G$738)</f>
        <v>0</v>
      </c>
      <c r="AC23" s="2214"/>
      <c r="AD23" s="2214"/>
      <c r="AE23" s="2214"/>
      <c r="AF23" s="2214"/>
      <c r="AG23" s="2215"/>
      <c r="AH23" s="2213" cm="1">
        <f t="array" ref="AH23">SUMPRODUCT((Application!$B$714:$B$738 = 'CalHFA Addendum'!AH$18)*(Application!$AC$714:$AC$738 = 'CalHFA Addendum'!$B23),Application!$G$714:$G$738)</f>
        <v>0</v>
      </c>
      <c r="AI23" s="2214"/>
      <c r="AJ23" s="2214"/>
      <c r="AK23" s="2214"/>
      <c r="AL23" s="2214"/>
      <c r="AM23" s="2215"/>
      <c r="AN23" s="2213" cm="1">
        <f t="array" ref="AN23">SUMPRODUCT((Application!$B$714:$B$738 = 'CalHFA Addendum'!AN$18)*(Application!$AC$714:$AC$738 = 'CalHFA Addendum'!$B23),Application!$G$714:$G$738)</f>
        <v>0</v>
      </c>
      <c r="AO23" s="2214"/>
      <c r="AP23" s="2214"/>
      <c r="AQ23" s="2214"/>
      <c r="AR23" s="2214"/>
      <c r="AS23" s="2215"/>
      <c r="AT23" s="2216">
        <f t="shared" si="0"/>
        <v>0</v>
      </c>
      <c r="AU23" s="2217"/>
      <c r="AV23" s="2217"/>
      <c r="AW23" s="2217"/>
      <c r="AX23" s="2217"/>
      <c r="AY23" s="2218"/>
      <c r="AZ23" s="1207"/>
      <c r="BA23" s="1207"/>
      <c r="BB23" s="1207"/>
      <c r="BC23" s="1207"/>
      <c r="BD23" s="1207"/>
      <c r="BE23" s="1213"/>
    </row>
    <row r="24" spans="1:58" ht="15">
      <c r="A24" s="1207"/>
      <c r="B24" s="2219">
        <v>0.8</v>
      </c>
      <c r="C24" s="2220"/>
      <c r="D24" s="2220"/>
      <c r="E24" s="2220"/>
      <c r="F24" s="2220"/>
      <c r="G24" s="2220"/>
      <c r="H24" s="2220"/>
      <c r="I24" s="2221"/>
      <c r="J24" s="2213">
        <f t="shared" si="1"/>
        <v>0</v>
      </c>
      <c r="K24" s="2214"/>
      <c r="L24" s="2214"/>
      <c r="M24" s="2214"/>
      <c r="N24" s="2214"/>
      <c r="O24" s="2215"/>
      <c r="P24" s="2213" cm="1">
        <f t="array" ref="P24">SUMPRODUCT((Application!$B$714:$B$738 = 'CalHFA Addendum'!P$18)*(Application!$AC$714:$AC$738 = 'CalHFA Addendum'!$B24),Application!$G$714:$G$738)</f>
        <v>0</v>
      </c>
      <c r="Q24" s="2214"/>
      <c r="R24" s="2214"/>
      <c r="S24" s="2214"/>
      <c r="T24" s="2214"/>
      <c r="U24" s="2215"/>
      <c r="V24" s="2213" cm="1">
        <f t="array" ref="V24">SUMPRODUCT((Application!$B$714:$B$738 = 'CalHFA Addendum'!V$18)*(Application!$AC$714:$AC$738 = 'CalHFA Addendum'!$B24),Application!$G$714:$G$738)</f>
        <v>0</v>
      </c>
      <c r="W24" s="2214"/>
      <c r="X24" s="2214"/>
      <c r="Y24" s="2214"/>
      <c r="Z24" s="2214"/>
      <c r="AA24" s="2215"/>
      <c r="AB24" s="2213" cm="1">
        <f t="array" ref="AB24">SUMPRODUCT((Application!$B$714:$B$738 = 'CalHFA Addendum'!AB$18)*(Application!$AC$714:$AC$738 = 'CalHFA Addendum'!$B24),Application!$G$714:$G$738)</f>
        <v>0</v>
      </c>
      <c r="AC24" s="2214"/>
      <c r="AD24" s="2214"/>
      <c r="AE24" s="2214"/>
      <c r="AF24" s="2214"/>
      <c r="AG24" s="2215"/>
      <c r="AH24" s="2213" cm="1">
        <f t="array" ref="AH24">SUMPRODUCT((Application!$B$714:$B$738 = 'CalHFA Addendum'!AH$18)*(Application!$AC$714:$AC$738 = 'CalHFA Addendum'!$B24),Application!$G$714:$G$738)</f>
        <v>0</v>
      </c>
      <c r="AI24" s="2214"/>
      <c r="AJ24" s="2214"/>
      <c r="AK24" s="2214"/>
      <c r="AL24" s="2214"/>
      <c r="AM24" s="2215"/>
      <c r="AN24" s="2213" cm="1">
        <f t="array" ref="AN24">SUMPRODUCT((Application!$B$714:$B$738 = 'CalHFA Addendum'!AN$18)*(Application!$AC$714:$AC$738 = 'CalHFA Addendum'!$B24),Application!$G$714:$G$738)</f>
        <v>0</v>
      </c>
      <c r="AO24" s="2214"/>
      <c r="AP24" s="2214"/>
      <c r="AQ24" s="2214"/>
      <c r="AR24" s="2214"/>
      <c r="AS24" s="2215"/>
      <c r="AT24" s="2216">
        <f t="shared" si="0"/>
        <v>0</v>
      </c>
      <c r="AU24" s="2217"/>
      <c r="AV24" s="2217"/>
      <c r="AW24" s="2217"/>
      <c r="AX24" s="2217"/>
      <c r="AY24" s="2218"/>
      <c r="AZ24" s="1207"/>
      <c r="BA24" s="1207"/>
      <c r="BB24" s="1207"/>
      <c r="BC24" s="1207"/>
      <c r="BD24" s="1207"/>
      <c r="BE24" s="1213"/>
    </row>
    <row r="25" spans="1:58" ht="15">
      <c r="A25" s="1207"/>
      <c r="B25" s="2219">
        <v>0.9</v>
      </c>
      <c r="C25" s="2220"/>
      <c r="D25" s="2220"/>
      <c r="E25" s="2220"/>
      <c r="F25" s="2220"/>
      <c r="G25" s="2220"/>
      <c r="H25" s="2220"/>
      <c r="I25" s="2221"/>
      <c r="J25" s="2213">
        <f t="shared" si="1"/>
        <v>0</v>
      </c>
      <c r="K25" s="2214"/>
      <c r="L25" s="2214"/>
      <c r="M25" s="2214"/>
      <c r="N25" s="2214"/>
      <c r="O25" s="2215"/>
      <c r="P25" s="2213" cm="1">
        <f t="array" ref="P25">SUMPRODUCT((Application!$B$714:$B$738 = 'CalHFA Addendum'!P$18)*(Application!$AC$714:$AC$738 = 'CalHFA Addendum'!$B25),Application!$G$714:$G$738)</f>
        <v>0</v>
      </c>
      <c r="Q25" s="2214"/>
      <c r="R25" s="2214"/>
      <c r="S25" s="2214"/>
      <c r="T25" s="2214"/>
      <c r="U25" s="2215"/>
      <c r="V25" s="2213" cm="1">
        <f t="array" ref="V25">SUMPRODUCT((Application!$B$714:$B$738 = 'CalHFA Addendum'!V$18)*(Application!$AC$714:$AC$738 = 'CalHFA Addendum'!$B25),Application!$G$714:$G$738)</f>
        <v>0</v>
      </c>
      <c r="W25" s="2214"/>
      <c r="X25" s="2214"/>
      <c r="Y25" s="2214"/>
      <c r="Z25" s="2214"/>
      <c r="AA25" s="2215"/>
      <c r="AB25" s="2213" cm="1">
        <f t="array" ref="AB25">SUMPRODUCT((Application!$B$714:$B$738 = 'CalHFA Addendum'!AB$18)*(Application!$AC$714:$AC$738 = 'CalHFA Addendum'!$B25),Application!$G$714:$G$738)</f>
        <v>0</v>
      </c>
      <c r="AC25" s="2214"/>
      <c r="AD25" s="2214"/>
      <c r="AE25" s="2214"/>
      <c r="AF25" s="2214"/>
      <c r="AG25" s="2215"/>
      <c r="AH25" s="2213" cm="1">
        <f t="array" ref="AH25">SUMPRODUCT((Application!$B$714:$B$738 = 'CalHFA Addendum'!AH$18)*(Application!$AC$714:$AC$738 = 'CalHFA Addendum'!$B25),Application!$G$714:$G$738)</f>
        <v>0</v>
      </c>
      <c r="AI25" s="2214"/>
      <c r="AJ25" s="2214"/>
      <c r="AK25" s="2214"/>
      <c r="AL25" s="2214"/>
      <c r="AM25" s="2215"/>
      <c r="AN25" s="2213" cm="1">
        <f t="array" ref="AN25">SUMPRODUCT((Application!$B$714:$B$738 = 'CalHFA Addendum'!AN$18)*(Application!$AC$714:$AC$738 = 'CalHFA Addendum'!$B25),Application!$G$714:$G$738)</f>
        <v>0</v>
      </c>
      <c r="AO25" s="2214"/>
      <c r="AP25" s="2214"/>
      <c r="AQ25" s="2214"/>
      <c r="AR25" s="2214"/>
      <c r="AS25" s="2215"/>
      <c r="AT25" s="2216">
        <f t="shared" si="0"/>
        <v>0</v>
      </c>
      <c r="AU25" s="2217"/>
      <c r="AV25" s="2217"/>
      <c r="AW25" s="2217"/>
      <c r="AX25" s="2217"/>
      <c r="AY25" s="2218"/>
      <c r="AZ25" s="1207"/>
      <c r="BA25" s="1207"/>
      <c r="BB25" s="1207"/>
      <c r="BC25" s="1207"/>
      <c r="BD25" s="1207"/>
      <c r="BE25" s="1213"/>
    </row>
    <row r="26" spans="1:58" ht="15">
      <c r="A26" s="1207"/>
      <c r="B26" s="2219">
        <v>1</v>
      </c>
      <c r="C26" s="2220"/>
      <c r="D26" s="2220"/>
      <c r="E26" s="2220"/>
      <c r="F26" s="2220"/>
      <c r="G26" s="2220"/>
      <c r="H26" s="2220"/>
      <c r="I26" s="2221"/>
      <c r="J26" s="2213">
        <f t="shared" si="1"/>
        <v>0</v>
      </c>
      <c r="K26" s="2214"/>
      <c r="L26" s="2214"/>
      <c r="M26" s="2214"/>
      <c r="N26" s="2214"/>
      <c r="O26" s="2215"/>
      <c r="P26" s="2213" cm="1">
        <f t="array" ref="P26">SUMPRODUCT((Application!$B$714:$B$738 = 'CalHFA Addendum'!P$18)*(Application!$AC$714:$AC$738 = 'CalHFA Addendum'!$B26),Application!$G$714:$G$738)</f>
        <v>0</v>
      </c>
      <c r="Q26" s="2214"/>
      <c r="R26" s="2214"/>
      <c r="S26" s="2214"/>
      <c r="T26" s="2214"/>
      <c r="U26" s="2215"/>
      <c r="V26" s="2213" cm="1">
        <f t="array" ref="V26">SUMPRODUCT((Application!$B$714:$B$738 = 'CalHFA Addendum'!V$18)*(Application!$AC$714:$AC$738 = 'CalHFA Addendum'!$B26),Application!$G$714:$G$738)</f>
        <v>0</v>
      </c>
      <c r="W26" s="2214"/>
      <c r="X26" s="2214"/>
      <c r="Y26" s="2214"/>
      <c r="Z26" s="2214"/>
      <c r="AA26" s="2215"/>
      <c r="AB26" s="2213" cm="1">
        <f t="array" ref="AB26">SUMPRODUCT((Application!$B$714:$B$738 = 'CalHFA Addendum'!AB$18)*(Application!$AC$714:$AC$738 = 'CalHFA Addendum'!$B26),Application!$G$714:$G$738)</f>
        <v>0</v>
      </c>
      <c r="AC26" s="2214"/>
      <c r="AD26" s="2214"/>
      <c r="AE26" s="2214"/>
      <c r="AF26" s="2214"/>
      <c r="AG26" s="2215"/>
      <c r="AH26" s="2213" cm="1">
        <f t="array" ref="AH26">SUMPRODUCT((Application!$B$714:$B$738 = 'CalHFA Addendum'!AH$18)*(Application!$AC$714:$AC$738 = 'CalHFA Addendum'!$B26),Application!$G$714:$G$738)</f>
        <v>0</v>
      </c>
      <c r="AI26" s="2214"/>
      <c r="AJ26" s="2214"/>
      <c r="AK26" s="2214"/>
      <c r="AL26" s="2214"/>
      <c r="AM26" s="2215"/>
      <c r="AN26" s="2213" cm="1">
        <f t="array" ref="AN26">SUMPRODUCT((Application!$B$714:$B$738 = 'CalHFA Addendum'!AN$18)*(Application!$AC$714:$AC$738 = 'CalHFA Addendum'!$B26),Application!$G$714:$G$738)</f>
        <v>0</v>
      </c>
      <c r="AO26" s="2214"/>
      <c r="AP26" s="2214"/>
      <c r="AQ26" s="2214"/>
      <c r="AR26" s="2214"/>
      <c r="AS26" s="2215"/>
      <c r="AT26" s="2216">
        <f t="shared" si="0"/>
        <v>0</v>
      </c>
      <c r="AU26" s="2217"/>
      <c r="AV26" s="2217"/>
      <c r="AW26" s="2217"/>
      <c r="AX26" s="2217"/>
      <c r="AY26" s="2218"/>
      <c r="AZ26" s="1207"/>
      <c r="BA26" s="1207"/>
      <c r="BB26" s="1207"/>
      <c r="BC26" s="1207"/>
      <c r="BD26" s="1207"/>
      <c r="BE26" s="1213"/>
    </row>
    <row r="27" spans="1:58" ht="15">
      <c r="A27" s="1207"/>
      <c r="B27" s="2219">
        <v>1.1000000000000001</v>
      </c>
      <c r="C27" s="2220"/>
      <c r="D27" s="2220"/>
      <c r="E27" s="2220"/>
      <c r="F27" s="2220"/>
      <c r="G27" s="2220"/>
      <c r="H27" s="2220"/>
      <c r="I27" s="2221"/>
      <c r="J27" s="2213">
        <f t="shared" si="1"/>
        <v>0</v>
      </c>
      <c r="K27" s="2214"/>
      <c r="L27" s="2214"/>
      <c r="M27" s="2214"/>
      <c r="N27" s="2214"/>
      <c r="O27" s="2215"/>
      <c r="P27" s="2213" cm="1">
        <f t="array" ref="P27">SUMPRODUCT((Application!$B$714:$B$738 = 'CalHFA Addendum'!P$18)*(Application!$AC$714:$AC$738 = 'CalHFA Addendum'!$B27),Application!$G$714:$G$738)</f>
        <v>0</v>
      </c>
      <c r="Q27" s="2214"/>
      <c r="R27" s="2214"/>
      <c r="S27" s="2214"/>
      <c r="T27" s="2214"/>
      <c r="U27" s="2215"/>
      <c r="V27" s="2213" cm="1">
        <f t="array" ref="V27">SUMPRODUCT((Application!$B$714:$B$738 = 'CalHFA Addendum'!V$18)*(Application!$AC$714:$AC$738 = 'CalHFA Addendum'!$B27),Application!$G$714:$G$738)</f>
        <v>0</v>
      </c>
      <c r="W27" s="2214"/>
      <c r="X27" s="2214"/>
      <c r="Y27" s="2214"/>
      <c r="Z27" s="2214"/>
      <c r="AA27" s="2215"/>
      <c r="AB27" s="2213" cm="1">
        <f t="array" ref="AB27">SUMPRODUCT((Application!$B$714:$B$738 = 'CalHFA Addendum'!AB$18)*(Application!$AC$714:$AC$738 = 'CalHFA Addendum'!$B27),Application!$G$714:$G$738)</f>
        <v>0</v>
      </c>
      <c r="AC27" s="2214"/>
      <c r="AD27" s="2214"/>
      <c r="AE27" s="2214"/>
      <c r="AF27" s="2214"/>
      <c r="AG27" s="2215"/>
      <c r="AH27" s="2213" cm="1">
        <f t="array" ref="AH27">SUMPRODUCT((Application!$B$714:$B$738 = 'CalHFA Addendum'!AH$18)*(Application!$AC$714:$AC$738 = 'CalHFA Addendum'!$B27),Application!$G$714:$G$738)</f>
        <v>0</v>
      </c>
      <c r="AI27" s="2214"/>
      <c r="AJ27" s="2214"/>
      <c r="AK27" s="2214"/>
      <c r="AL27" s="2214"/>
      <c r="AM27" s="2215"/>
      <c r="AN27" s="2213" cm="1">
        <f t="array" ref="AN27">SUMPRODUCT((Application!$B$714:$B$738 = 'CalHFA Addendum'!AN$18)*(Application!$AC$714:$AC$738 = 'CalHFA Addendum'!$B27),Application!$G$714:$G$738)</f>
        <v>0</v>
      </c>
      <c r="AO27" s="2214"/>
      <c r="AP27" s="2214"/>
      <c r="AQ27" s="2214"/>
      <c r="AR27" s="2214"/>
      <c r="AS27" s="2215"/>
      <c r="AT27" s="2216">
        <f t="shared" si="0"/>
        <v>0</v>
      </c>
      <c r="AU27" s="2217"/>
      <c r="AV27" s="2217"/>
      <c r="AW27" s="2217"/>
      <c r="AX27" s="2217"/>
      <c r="AY27" s="2218"/>
      <c r="AZ27" s="1207"/>
      <c r="BA27" s="1207"/>
      <c r="BB27" s="1207"/>
      <c r="BC27" s="1207"/>
      <c r="BD27" s="1207"/>
      <c r="BE27" s="1213"/>
    </row>
    <row r="28" spans="1:58" thickBot="1">
      <c r="A28" s="1207"/>
      <c r="B28" s="2222" t="s">
        <v>1869</v>
      </c>
      <c r="C28" s="2223"/>
      <c r="D28" s="2223"/>
      <c r="E28" s="2223"/>
      <c r="F28" s="2223"/>
      <c r="G28" s="2223"/>
      <c r="H28" s="2223"/>
      <c r="I28" s="2224"/>
      <c r="J28" s="2225">
        <f t="shared" si="1"/>
        <v>2</v>
      </c>
      <c r="K28" s="2226"/>
      <c r="L28" s="2226"/>
      <c r="M28" s="2226"/>
      <c r="N28" s="2226"/>
      <c r="O28" s="2227"/>
      <c r="P28" s="2225">
        <f>_xlfn.IFNA(VLOOKUP(P$18,Application!$J$758:$S$761,6,FALSE), 0)</f>
        <v>0</v>
      </c>
      <c r="Q28" s="2226"/>
      <c r="R28" s="2226"/>
      <c r="S28" s="2226"/>
      <c r="T28" s="2226"/>
      <c r="U28" s="2227"/>
      <c r="V28" s="2225">
        <f>_xlfn.IFNA(VLOOKUP(V$18,Application!$J$758:$S$761,6,FALSE), 0)</f>
        <v>0</v>
      </c>
      <c r="W28" s="2226"/>
      <c r="X28" s="2226"/>
      <c r="Y28" s="2226"/>
      <c r="Z28" s="2226"/>
      <c r="AA28" s="2227"/>
      <c r="AB28" s="2225">
        <f>_xlfn.IFNA(VLOOKUP(AB$18,Application!$J$758:$S$761,6,FALSE), 0)</f>
        <v>2</v>
      </c>
      <c r="AC28" s="2226"/>
      <c r="AD28" s="2226"/>
      <c r="AE28" s="2226"/>
      <c r="AF28" s="2226"/>
      <c r="AG28" s="2227"/>
      <c r="AH28" s="2225">
        <f>_xlfn.IFNA(VLOOKUP(AH$18,Application!$J$758:$S$761,6,FALSE), 0)</f>
        <v>0</v>
      </c>
      <c r="AI28" s="2226"/>
      <c r="AJ28" s="2226"/>
      <c r="AK28" s="2226"/>
      <c r="AL28" s="2226"/>
      <c r="AM28" s="2227"/>
      <c r="AN28" s="2225">
        <f>_xlfn.IFNA(VLOOKUP(AN$18,Application!$J$758:$S$761,6,FALSE), 0)</f>
        <v>0</v>
      </c>
      <c r="AO28" s="2226"/>
      <c r="AP28" s="2226"/>
      <c r="AQ28" s="2226"/>
      <c r="AR28" s="2226"/>
      <c r="AS28" s="2227"/>
      <c r="AT28" s="2228">
        <f t="shared" si="0"/>
        <v>1.4814814814814815E-2</v>
      </c>
      <c r="AU28" s="2229"/>
      <c r="AV28" s="2229"/>
      <c r="AW28" s="2229"/>
      <c r="AX28" s="2229"/>
      <c r="AY28" s="2230"/>
      <c r="AZ28" s="1207"/>
      <c r="BA28" s="1207"/>
      <c r="BB28" s="1207"/>
      <c r="BC28" s="1207"/>
      <c r="BD28" s="1207"/>
      <c r="BE28" s="1213"/>
    </row>
    <row r="29" spans="1:58" thickBot="1">
      <c r="A29" s="1207"/>
      <c r="B29" s="2253" t="s">
        <v>1766</v>
      </c>
      <c r="C29" s="2236"/>
      <c r="D29" s="2236"/>
      <c r="E29" s="2236"/>
      <c r="F29" s="2236"/>
      <c r="G29" s="2236"/>
      <c r="H29" s="2236"/>
      <c r="I29" s="2237"/>
      <c r="J29" s="2235">
        <f>SUM(J19:O28)</f>
        <v>135</v>
      </c>
      <c r="K29" s="2236"/>
      <c r="L29" s="2236"/>
      <c r="M29" s="2236"/>
      <c r="N29" s="2236"/>
      <c r="O29" s="2237"/>
      <c r="P29" s="2235">
        <f>SUM(P19:U28)</f>
        <v>21</v>
      </c>
      <c r="Q29" s="2236"/>
      <c r="R29" s="2236"/>
      <c r="S29" s="2236"/>
      <c r="T29" s="2236"/>
      <c r="U29" s="2237"/>
      <c r="V29" s="2235">
        <f>SUM(V19:AA28)</f>
        <v>82</v>
      </c>
      <c r="W29" s="2236"/>
      <c r="X29" s="2236"/>
      <c r="Y29" s="2236"/>
      <c r="Z29" s="2236"/>
      <c r="AA29" s="2237"/>
      <c r="AB29" s="2235">
        <f>SUM(AB19:AG28)</f>
        <v>32</v>
      </c>
      <c r="AC29" s="2236"/>
      <c r="AD29" s="2236"/>
      <c r="AE29" s="2236"/>
      <c r="AF29" s="2236"/>
      <c r="AG29" s="2237"/>
      <c r="AH29" s="2235">
        <f>SUM(AH19:AM28)</f>
        <v>0</v>
      </c>
      <c r="AI29" s="2236"/>
      <c r="AJ29" s="2236"/>
      <c r="AK29" s="2236"/>
      <c r="AL29" s="2236"/>
      <c r="AM29" s="2237"/>
      <c r="AN29" s="2235">
        <f>SUM(AN19:AS28)</f>
        <v>0</v>
      </c>
      <c r="AO29" s="2236"/>
      <c r="AP29" s="2236"/>
      <c r="AQ29" s="2236"/>
      <c r="AR29" s="2236"/>
      <c r="AS29" s="2237"/>
      <c r="AT29" s="2238">
        <f>J29/$J$29</f>
        <v>1</v>
      </c>
      <c r="AU29" s="2239"/>
      <c r="AV29" s="2239"/>
      <c r="AW29" s="2239"/>
      <c r="AX29" s="2239"/>
      <c r="AY29" s="2240"/>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41" t="s">
        <v>1870</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3"/>
      <c r="BA31" s="1207"/>
      <c r="BB31" s="1207"/>
      <c r="BC31" s="1207"/>
      <c r="BD31" s="1207"/>
      <c r="BE31" s="1213"/>
    </row>
    <row r="32" spans="1:58" ht="15">
      <c r="A32" s="1207"/>
      <c r="B32" s="2244" t="s">
        <v>2580</v>
      </c>
      <c r="C32" s="2245"/>
      <c r="D32" s="2245"/>
      <c r="E32" s="2245"/>
      <c r="F32" s="2245"/>
      <c r="G32" s="2245"/>
      <c r="H32" s="2245"/>
      <c r="I32" s="2245"/>
      <c r="J32" s="2247" t="s">
        <v>2581</v>
      </c>
      <c r="K32" s="2248"/>
      <c r="L32" s="2248"/>
      <c r="M32" s="2248"/>
      <c r="N32" s="2247" t="s">
        <v>1871</v>
      </c>
      <c r="O32" s="2248"/>
      <c r="P32" s="2248"/>
      <c r="Q32" s="2248"/>
      <c r="R32" s="2249" t="s">
        <v>1872</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50"/>
      <c r="BA32" s="1207"/>
      <c r="BB32" s="1207"/>
      <c r="BC32" s="1207"/>
      <c r="BD32" s="1207"/>
      <c r="BE32" s="1213"/>
    </row>
    <row r="33" spans="1:58" ht="15" customHeight="1">
      <c r="A33" s="1207"/>
      <c r="B33" s="2246"/>
      <c r="C33" s="2245"/>
      <c r="D33" s="2245"/>
      <c r="E33" s="2245"/>
      <c r="F33" s="2245"/>
      <c r="G33" s="2245"/>
      <c r="H33" s="2245"/>
      <c r="I33" s="2245"/>
      <c r="J33" s="2248"/>
      <c r="K33" s="2248"/>
      <c r="L33" s="2248"/>
      <c r="M33" s="2248"/>
      <c r="N33" s="2248"/>
      <c r="O33" s="2248"/>
      <c r="P33" s="2248"/>
      <c r="Q33" s="2248"/>
      <c r="R33" s="2251" t="s">
        <v>1873</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52"/>
      <c r="BA33" s="1214"/>
      <c r="BB33" s="1207"/>
      <c r="BC33" s="1207"/>
      <c r="BD33" s="1207"/>
      <c r="BE33" s="1213"/>
    </row>
    <row r="34" spans="1:58" ht="15.75" customHeight="1">
      <c r="A34" s="1207"/>
      <c r="B34" s="2246"/>
      <c r="C34" s="2245"/>
      <c r="D34" s="2245"/>
      <c r="E34" s="2245"/>
      <c r="F34" s="2245"/>
      <c r="G34" s="2245"/>
      <c r="H34" s="2245"/>
      <c r="I34" s="2245"/>
      <c r="J34" s="2248"/>
      <c r="K34" s="2248"/>
      <c r="L34" s="2248"/>
      <c r="M34" s="2248"/>
      <c r="N34" s="2248"/>
      <c r="O34" s="2248"/>
      <c r="P34" s="2248"/>
      <c r="Q34" s="2248"/>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52"/>
      <c r="BA34" s="1214"/>
      <c r="BB34" s="1207"/>
      <c r="BC34" s="1207"/>
      <c r="BD34" s="1207"/>
      <c r="BE34" s="1213"/>
    </row>
    <row r="35" spans="1:58" ht="15.75" customHeight="1">
      <c r="A35" s="1207"/>
      <c r="B35" s="2246"/>
      <c r="C35" s="2245"/>
      <c r="D35" s="2245"/>
      <c r="E35" s="2245"/>
      <c r="F35" s="2245"/>
      <c r="G35" s="2245"/>
      <c r="H35" s="2245"/>
      <c r="I35" s="2245"/>
      <c r="J35" s="2248"/>
      <c r="K35" s="2248"/>
      <c r="L35" s="2248"/>
      <c r="M35" s="2248"/>
      <c r="N35" s="2248"/>
      <c r="O35" s="2248"/>
      <c r="P35" s="2248"/>
      <c r="Q35" s="2248"/>
      <c r="R35" s="2231">
        <v>0.3</v>
      </c>
      <c r="S35" s="2231"/>
      <c r="T35" s="2231"/>
      <c r="U35" s="2231"/>
      <c r="V35" s="2231">
        <v>0.4</v>
      </c>
      <c r="W35" s="2231"/>
      <c r="X35" s="2231"/>
      <c r="Y35" s="2231"/>
      <c r="Z35" s="2231">
        <v>0.5</v>
      </c>
      <c r="AA35" s="2231"/>
      <c r="AB35" s="2231"/>
      <c r="AC35" s="2231"/>
      <c r="AD35" s="2231">
        <v>0.6</v>
      </c>
      <c r="AE35" s="2231"/>
      <c r="AF35" s="2231"/>
      <c r="AG35" s="2231"/>
      <c r="AH35" s="2231">
        <v>0.8</v>
      </c>
      <c r="AI35" s="2231"/>
      <c r="AJ35" s="2231"/>
      <c r="AK35" s="2231"/>
      <c r="AL35" s="2232">
        <v>1</v>
      </c>
      <c r="AM35" s="2232"/>
      <c r="AN35" s="2232"/>
      <c r="AO35" s="2233" t="s">
        <v>1874</v>
      </c>
      <c r="AP35" s="2233"/>
      <c r="AQ35" s="2233"/>
      <c r="AR35" s="2233"/>
      <c r="AS35" s="2233"/>
      <c r="AT35" s="2233"/>
      <c r="AU35" s="2233" t="s">
        <v>1875</v>
      </c>
      <c r="AV35" s="2233"/>
      <c r="AW35" s="2233"/>
      <c r="AX35" s="2233"/>
      <c r="AY35" s="2233"/>
      <c r="AZ35" s="2234"/>
      <c r="BA35" s="1214"/>
      <c r="BB35" s="1207"/>
      <c r="BC35" s="1207"/>
      <c r="BD35" s="1207"/>
      <c r="BE35" s="1213"/>
      <c r="BF35" s="1205"/>
    </row>
    <row r="36" spans="1:58" ht="15.75" customHeight="1">
      <c r="A36" s="1207"/>
      <c r="B36" s="2254" t="s">
        <v>1876</v>
      </c>
      <c r="C36" s="2255"/>
      <c r="D36" s="2255"/>
      <c r="E36" s="2255"/>
      <c r="F36" s="2255"/>
      <c r="G36" s="2255"/>
      <c r="H36" s="2255"/>
      <c r="I36" s="2255"/>
      <c r="J36" s="2256" t="s">
        <v>1877</v>
      </c>
      <c r="K36" s="2256"/>
      <c r="L36" s="2256"/>
      <c r="M36" s="2256"/>
      <c r="N36" s="2256">
        <v>55</v>
      </c>
      <c r="O36" s="2256"/>
      <c r="P36" s="2256"/>
      <c r="Q36" s="2256"/>
      <c r="R36" s="2257">
        <v>0</v>
      </c>
      <c r="S36" s="2257"/>
      <c r="T36" s="2257"/>
      <c r="U36" s="2257"/>
      <c r="V36" s="2257">
        <v>0</v>
      </c>
      <c r="W36" s="2257"/>
      <c r="X36" s="2257"/>
      <c r="Y36" s="2257"/>
      <c r="Z36" s="2257">
        <v>10</v>
      </c>
      <c r="AA36" s="2257"/>
      <c r="AB36" s="2257"/>
      <c r="AC36" s="2257"/>
      <c r="AD36" s="2257">
        <v>30</v>
      </c>
      <c r="AE36" s="2257"/>
      <c r="AF36" s="2257"/>
      <c r="AG36" s="2257"/>
      <c r="AH36" s="2257">
        <v>0</v>
      </c>
      <c r="AI36" s="2257"/>
      <c r="AJ36" s="2257"/>
      <c r="AK36" s="2257"/>
      <c r="AL36" s="2257">
        <v>0</v>
      </c>
      <c r="AM36" s="2257"/>
      <c r="AN36" s="2257"/>
      <c r="AO36" s="2258">
        <f>SUM(R36:AN36)</f>
        <v>40</v>
      </c>
      <c r="AP36" s="2258"/>
      <c r="AQ36" s="2258"/>
      <c r="AR36" s="2258"/>
      <c r="AS36" s="2258"/>
      <c r="AT36" s="2258"/>
      <c r="AU36" s="2259">
        <f>AO36/$J$29</f>
        <v>0.29629629629629628</v>
      </c>
      <c r="AV36" s="2259"/>
      <c r="AW36" s="2259"/>
      <c r="AX36" s="2259"/>
      <c r="AY36" s="2259"/>
      <c r="AZ36" s="2260"/>
      <c r="BA36" s="1207"/>
      <c r="BB36" s="1207"/>
      <c r="BC36" s="1207"/>
      <c r="BD36" s="1207"/>
      <c r="BE36" s="1213"/>
      <c r="BF36" s="1205"/>
    </row>
    <row r="37" spans="1:58" ht="15.75" customHeight="1">
      <c r="A37" s="1207"/>
      <c r="B37" s="2254" t="s">
        <v>2582</v>
      </c>
      <c r="C37" s="2255"/>
      <c r="D37" s="2255"/>
      <c r="E37" s="2255"/>
      <c r="F37" s="2255"/>
      <c r="G37" s="2255"/>
      <c r="H37" s="2255"/>
      <c r="I37" s="2255"/>
      <c r="J37" s="2256" t="s">
        <v>1878</v>
      </c>
      <c r="K37" s="2256"/>
      <c r="L37" s="2256"/>
      <c r="M37" s="2256"/>
      <c r="N37" s="2256">
        <v>55</v>
      </c>
      <c r="O37" s="2256"/>
      <c r="P37" s="2256"/>
      <c r="Q37" s="2256"/>
      <c r="R37" s="2257">
        <v>10</v>
      </c>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8">
        <f t="shared" ref="AO37:AO47" si="2">SUM(R37:AN37)</f>
        <v>10</v>
      </c>
      <c r="AP37" s="2258"/>
      <c r="AQ37" s="2258"/>
      <c r="AR37" s="2258"/>
      <c r="AS37" s="2258"/>
      <c r="AT37" s="2258"/>
      <c r="AU37" s="2259">
        <f t="shared" ref="AU37:AU47" si="3">AO37/$J$29</f>
        <v>7.407407407407407E-2</v>
      </c>
      <c r="AV37" s="2259"/>
      <c r="AW37" s="2259"/>
      <c r="AX37" s="2259"/>
      <c r="AY37" s="2259"/>
      <c r="AZ37" s="2260"/>
      <c r="BA37" s="1207"/>
      <c r="BB37" s="1207"/>
      <c r="BC37" s="1207"/>
      <c r="BD37" s="1207"/>
      <c r="BE37" s="1213"/>
      <c r="BF37" s="1205"/>
    </row>
    <row r="38" spans="1:58" ht="15.75" customHeight="1">
      <c r="A38" s="1207"/>
      <c r="B38" s="2254" t="s">
        <v>2520</v>
      </c>
      <c r="C38" s="2255"/>
      <c r="D38" s="2255"/>
      <c r="E38" s="2255"/>
      <c r="F38" s="2255"/>
      <c r="G38" s="2255"/>
      <c r="H38" s="2255"/>
      <c r="I38" s="2255"/>
      <c r="J38" s="2256" t="s">
        <v>1879</v>
      </c>
      <c r="K38" s="2256"/>
      <c r="L38" s="2256"/>
      <c r="M38" s="2256"/>
      <c r="N38" s="2256">
        <v>55</v>
      </c>
      <c r="O38" s="2256"/>
      <c r="P38" s="2256"/>
      <c r="Q38" s="2256"/>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8">
        <f t="shared" si="2"/>
        <v>0</v>
      </c>
      <c r="AP38" s="2258"/>
      <c r="AQ38" s="2258"/>
      <c r="AR38" s="2258"/>
      <c r="AS38" s="2258"/>
      <c r="AT38" s="2258"/>
      <c r="AU38" s="2259">
        <f t="shared" si="3"/>
        <v>0</v>
      </c>
      <c r="AV38" s="2259"/>
      <c r="AW38" s="2259"/>
      <c r="AX38" s="2259"/>
      <c r="AY38" s="2259"/>
      <c r="AZ38" s="2260"/>
      <c r="BA38" s="1207"/>
      <c r="BB38" s="1207"/>
      <c r="BC38" s="1207"/>
      <c r="BD38" s="1207"/>
      <c r="BE38" s="1213"/>
      <c r="BF38" s="1205"/>
    </row>
    <row r="39" spans="1:58" ht="15.75" customHeight="1">
      <c r="A39" s="1207"/>
      <c r="B39" s="2254" t="s">
        <v>1880</v>
      </c>
      <c r="C39" s="2255"/>
      <c r="D39" s="2255"/>
      <c r="E39" s="2255"/>
      <c r="F39" s="2255"/>
      <c r="G39" s="2255"/>
      <c r="H39" s="2255"/>
      <c r="I39" s="2255"/>
      <c r="J39" s="2256"/>
      <c r="K39" s="2256"/>
      <c r="L39" s="2256"/>
      <c r="M39" s="2256"/>
      <c r="N39" s="2256"/>
      <c r="O39" s="2256"/>
      <c r="P39" s="2256"/>
      <c r="Q39" s="2256"/>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8">
        <f t="shared" si="2"/>
        <v>0</v>
      </c>
      <c r="AP39" s="2258"/>
      <c r="AQ39" s="2258"/>
      <c r="AR39" s="2258"/>
      <c r="AS39" s="2258"/>
      <c r="AT39" s="2258"/>
      <c r="AU39" s="2259">
        <f t="shared" si="3"/>
        <v>0</v>
      </c>
      <c r="AV39" s="2259"/>
      <c r="AW39" s="2259"/>
      <c r="AX39" s="2259"/>
      <c r="AY39" s="2259"/>
      <c r="AZ39" s="2260"/>
      <c r="BA39" s="1207"/>
      <c r="BB39" s="1207"/>
      <c r="BC39" s="1207"/>
      <c r="BD39" s="1207"/>
      <c r="BE39" s="1213"/>
    </row>
    <row r="40" spans="1:58" ht="15.75" customHeight="1">
      <c r="A40" s="1207"/>
      <c r="B40" s="2254" t="s">
        <v>1880</v>
      </c>
      <c r="C40" s="2255"/>
      <c r="D40" s="2255"/>
      <c r="E40" s="2255"/>
      <c r="F40" s="2255"/>
      <c r="G40" s="2255"/>
      <c r="H40" s="2255"/>
      <c r="I40" s="2255"/>
      <c r="J40" s="2256"/>
      <c r="K40" s="2256"/>
      <c r="L40" s="2256"/>
      <c r="M40" s="2256"/>
      <c r="N40" s="2256"/>
      <c r="O40" s="2256"/>
      <c r="P40" s="2256"/>
      <c r="Q40" s="2256"/>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8">
        <f t="shared" si="2"/>
        <v>0</v>
      </c>
      <c r="AP40" s="2258"/>
      <c r="AQ40" s="2258"/>
      <c r="AR40" s="2258"/>
      <c r="AS40" s="2258"/>
      <c r="AT40" s="2258"/>
      <c r="AU40" s="2259">
        <f t="shared" si="3"/>
        <v>0</v>
      </c>
      <c r="AV40" s="2259"/>
      <c r="AW40" s="2259"/>
      <c r="AX40" s="2259"/>
      <c r="AY40" s="2259"/>
      <c r="AZ40" s="2260"/>
      <c r="BA40" s="1207"/>
      <c r="BB40" s="1207"/>
      <c r="BC40" s="1207"/>
      <c r="BD40" s="1207"/>
      <c r="BE40" s="1213"/>
    </row>
    <row r="41" spans="1:58" ht="15.75" customHeight="1">
      <c r="A41" s="1207"/>
      <c r="B41" s="2254" t="s">
        <v>1881</v>
      </c>
      <c r="C41" s="2255"/>
      <c r="D41" s="2255"/>
      <c r="E41" s="2255"/>
      <c r="F41" s="2255"/>
      <c r="G41" s="2255"/>
      <c r="H41" s="2255"/>
      <c r="I41" s="2255"/>
      <c r="J41" s="2256"/>
      <c r="K41" s="2256"/>
      <c r="L41" s="2256"/>
      <c r="M41" s="2256"/>
      <c r="N41" s="2256"/>
      <c r="O41" s="2256"/>
      <c r="P41" s="2256"/>
      <c r="Q41" s="2256"/>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8">
        <f t="shared" si="2"/>
        <v>0</v>
      </c>
      <c r="AP41" s="2258"/>
      <c r="AQ41" s="2258"/>
      <c r="AR41" s="2258"/>
      <c r="AS41" s="2258"/>
      <c r="AT41" s="2258"/>
      <c r="AU41" s="2259">
        <f t="shared" si="3"/>
        <v>0</v>
      </c>
      <c r="AV41" s="2259"/>
      <c r="AW41" s="2259"/>
      <c r="AX41" s="2259"/>
      <c r="AY41" s="2259"/>
      <c r="AZ41" s="2260"/>
      <c r="BA41" s="1207"/>
      <c r="BB41" s="1207"/>
      <c r="BC41" s="1207"/>
      <c r="BD41" s="1207"/>
      <c r="BE41" s="1213"/>
    </row>
    <row r="42" spans="1:58" ht="15.75" customHeight="1">
      <c r="A42" s="1207"/>
      <c r="B42" s="2254" t="s">
        <v>1881</v>
      </c>
      <c r="C42" s="2255"/>
      <c r="D42" s="2255"/>
      <c r="E42" s="2255"/>
      <c r="F42" s="2255"/>
      <c r="G42" s="2255"/>
      <c r="H42" s="2255"/>
      <c r="I42" s="2255"/>
      <c r="J42" s="2256"/>
      <c r="K42" s="2256"/>
      <c r="L42" s="2256"/>
      <c r="M42" s="2256"/>
      <c r="N42" s="2256"/>
      <c r="O42" s="2256"/>
      <c r="P42" s="2256"/>
      <c r="Q42" s="2256"/>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8">
        <f t="shared" si="2"/>
        <v>0</v>
      </c>
      <c r="AP42" s="2258"/>
      <c r="AQ42" s="2258"/>
      <c r="AR42" s="2258"/>
      <c r="AS42" s="2258"/>
      <c r="AT42" s="2258"/>
      <c r="AU42" s="2259">
        <f t="shared" si="3"/>
        <v>0</v>
      </c>
      <c r="AV42" s="2259"/>
      <c r="AW42" s="2259"/>
      <c r="AX42" s="2259"/>
      <c r="AY42" s="2259"/>
      <c r="AZ42" s="2260"/>
      <c r="BA42" s="1207"/>
      <c r="BB42" s="1207"/>
      <c r="BC42" s="1207"/>
      <c r="BD42" s="1207"/>
      <c r="BE42" s="1213"/>
    </row>
    <row r="43" spans="1:58" ht="15.75" customHeight="1">
      <c r="A43" s="1207"/>
      <c r="B43" s="2261" t="s">
        <v>1882</v>
      </c>
      <c r="C43" s="2262"/>
      <c r="D43" s="2262"/>
      <c r="E43" s="2262"/>
      <c r="F43" s="2262"/>
      <c r="G43" s="2262"/>
      <c r="H43" s="2262"/>
      <c r="I43" s="2262"/>
      <c r="J43" s="2256"/>
      <c r="K43" s="2256"/>
      <c r="L43" s="2256"/>
      <c r="M43" s="2256"/>
      <c r="N43" s="2256"/>
      <c r="O43" s="2256"/>
      <c r="P43" s="2256"/>
      <c r="Q43" s="2256"/>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8">
        <f t="shared" si="2"/>
        <v>0</v>
      </c>
      <c r="AP43" s="2258"/>
      <c r="AQ43" s="2258"/>
      <c r="AR43" s="2258"/>
      <c r="AS43" s="2258"/>
      <c r="AT43" s="2258"/>
      <c r="AU43" s="2259">
        <f t="shared" si="3"/>
        <v>0</v>
      </c>
      <c r="AV43" s="2259"/>
      <c r="AW43" s="2259"/>
      <c r="AX43" s="2259"/>
      <c r="AY43" s="2259"/>
      <c r="AZ43" s="2260"/>
      <c r="BA43" s="1207"/>
      <c r="BB43" s="1207"/>
      <c r="BC43" s="1207"/>
      <c r="BD43" s="1207"/>
      <c r="BE43" s="1213"/>
    </row>
    <row r="44" spans="1:58" ht="15.75" customHeight="1">
      <c r="A44" s="1207"/>
      <c r="B44" s="2261" t="s">
        <v>1883</v>
      </c>
      <c r="C44" s="2262"/>
      <c r="D44" s="2262"/>
      <c r="E44" s="2262"/>
      <c r="F44" s="2262"/>
      <c r="G44" s="2262"/>
      <c r="H44" s="2262"/>
      <c r="I44" s="2262"/>
      <c r="J44" s="2256"/>
      <c r="K44" s="2256"/>
      <c r="L44" s="2256"/>
      <c r="M44" s="2256"/>
      <c r="N44" s="2256"/>
      <c r="O44" s="2256"/>
      <c r="P44" s="2256"/>
      <c r="Q44" s="2256"/>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8">
        <f t="shared" si="2"/>
        <v>0</v>
      </c>
      <c r="AP44" s="2258"/>
      <c r="AQ44" s="2258"/>
      <c r="AR44" s="2258"/>
      <c r="AS44" s="2258"/>
      <c r="AT44" s="2258"/>
      <c r="AU44" s="2259">
        <f t="shared" si="3"/>
        <v>0</v>
      </c>
      <c r="AV44" s="2259"/>
      <c r="AW44" s="2259"/>
      <c r="AX44" s="2259"/>
      <c r="AY44" s="2259"/>
      <c r="AZ44" s="2260"/>
      <c r="BA44" s="1207"/>
      <c r="BB44" s="1207"/>
      <c r="BC44" s="1207"/>
      <c r="BD44" s="1207"/>
      <c r="BE44" s="1213"/>
    </row>
    <row r="45" spans="1:58" ht="15.75" customHeight="1">
      <c r="A45" s="1207"/>
      <c r="B45" s="2261" t="s">
        <v>1884</v>
      </c>
      <c r="C45" s="2262"/>
      <c r="D45" s="2262"/>
      <c r="E45" s="2262"/>
      <c r="F45" s="2262"/>
      <c r="G45" s="2262"/>
      <c r="H45" s="2262"/>
      <c r="I45" s="2262"/>
      <c r="J45" s="2256"/>
      <c r="K45" s="2256"/>
      <c r="L45" s="2256"/>
      <c r="M45" s="2256"/>
      <c r="N45" s="2256"/>
      <c r="O45" s="2256"/>
      <c r="P45" s="2256"/>
      <c r="Q45" s="2256"/>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8">
        <f t="shared" si="2"/>
        <v>0</v>
      </c>
      <c r="AP45" s="2258"/>
      <c r="AQ45" s="2258"/>
      <c r="AR45" s="2258"/>
      <c r="AS45" s="2258"/>
      <c r="AT45" s="2258"/>
      <c r="AU45" s="2259">
        <f t="shared" si="3"/>
        <v>0</v>
      </c>
      <c r="AV45" s="2259"/>
      <c r="AW45" s="2259"/>
      <c r="AX45" s="2259"/>
      <c r="AY45" s="2259"/>
      <c r="AZ45" s="2260"/>
      <c r="BA45" s="1207"/>
      <c r="BB45" s="1207"/>
      <c r="BC45" s="1207"/>
      <c r="BD45" s="1207"/>
      <c r="BE45" s="1213"/>
    </row>
    <row r="46" spans="1:58" ht="15.75" customHeight="1">
      <c r="A46" s="1207"/>
      <c r="B46" s="2261" t="s">
        <v>1885</v>
      </c>
      <c r="C46" s="2262"/>
      <c r="D46" s="2262"/>
      <c r="E46" s="2262"/>
      <c r="F46" s="2262"/>
      <c r="G46" s="2262"/>
      <c r="H46" s="2262"/>
      <c r="I46" s="2262"/>
      <c r="J46" s="2256"/>
      <c r="K46" s="2256"/>
      <c r="L46" s="2256"/>
      <c r="M46" s="2256"/>
      <c r="N46" s="2256">
        <v>99</v>
      </c>
      <c r="O46" s="2256"/>
      <c r="P46" s="2256"/>
      <c r="Q46" s="2256"/>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8">
        <f t="shared" si="2"/>
        <v>0</v>
      </c>
      <c r="AP46" s="2258"/>
      <c r="AQ46" s="2258"/>
      <c r="AR46" s="2258"/>
      <c r="AS46" s="2258"/>
      <c r="AT46" s="2258"/>
      <c r="AU46" s="2259">
        <f t="shared" si="3"/>
        <v>0</v>
      </c>
      <c r="AV46" s="2259"/>
      <c r="AW46" s="2259"/>
      <c r="AX46" s="2259"/>
      <c r="AY46" s="2259"/>
      <c r="AZ46" s="2260"/>
      <c r="BA46" s="1207"/>
      <c r="BB46" s="1207"/>
      <c r="BC46" s="1207"/>
      <c r="BD46" s="1207"/>
      <c r="BE46" s="1213"/>
    </row>
    <row r="47" spans="1:58" ht="15.75" customHeight="1" thickBot="1">
      <c r="A47" s="1207"/>
      <c r="B47" s="2265" t="s">
        <v>302</v>
      </c>
      <c r="C47" s="2266"/>
      <c r="D47" s="2266"/>
      <c r="E47" s="2266"/>
      <c r="F47" s="2266"/>
      <c r="G47" s="2266"/>
      <c r="H47" s="2266"/>
      <c r="I47" s="2266"/>
      <c r="J47" s="2267"/>
      <c r="K47" s="2267"/>
      <c r="L47" s="2267"/>
      <c r="M47" s="2267"/>
      <c r="N47" s="2267"/>
      <c r="O47" s="2267"/>
      <c r="P47" s="2267"/>
      <c r="Q47" s="2267"/>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72">
        <f t="shared" si="2"/>
        <v>0</v>
      </c>
      <c r="AP47" s="2272"/>
      <c r="AQ47" s="2272"/>
      <c r="AR47" s="2272"/>
      <c r="AS47" s="2272"/>
      <c r="AT47" s="2272"/>
      <c r="AU47" s="2263">
        <f t="shared" si="3"/>
        <v>0</v>
      </c>
      <c r="AV47" s="2263"/>
      <c r="AW47" s="2263"/>
      <c r="AX47" s="2263"/>
      <c r="AY47" s="2263"/>
      <c r="AZ47" s="2264"/>
      <c r="BA47" s="1207"/>
      <c r="BB47" s="1207"/>
      <c r="BC47" s="1207"/>
      <c r="BD47" s="1207"/>
      <c r="BE47" s="1213"/>
    </row>
    <row r="48" spans="1:58" ht="15.75" customHeight="1">
      <c r="A48" s="1207"/>
      <c r="B48" s="1215" t="s">
        <v>2583</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2261</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41" t="s">
        <v>1886</v>
      </c>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69" t="s">
        <v>1887</v>
      </c>
      <c r="C51" s="2270"/>
      <c r="D51" s="2270"/>
      <c r="E51" s="2270"/>
      <c r="F51" s="2270"/>
      <c r="G51" s="2270"/>
      <c r="H51" s="2270"/>
      <c r="I51" s="2270"/>
      <c r="J51" s="2270" t="s">
        <v>2584</v>
      </c>
      <c r="K51" s="2270"/>
      <c r="L51" s="2270"/>
      <c r="M51" s="2270"/>
      <c r="N51" s="2270"/>
      <c r="O51" s="2270"/>
      <c r="P51" s="2270"/>
      <c r="Q51" s="2270"/>
      <c r="R51" s="2251" t="s">
        <v>2585</v>
      </c>
      <c r="S51" s="2251"/>
      <c r="T51" s="2251"/>
      <c r="U51" s="2251"/>
      <c r="V51" s="2251"/>
      <c r="W51" s="2251"/>
      <c r="X51" s="2251"/>
      <c r="Y51" s="2251"/>
      <c r="Z51" s="2251" t="s">
        <v>1888</v>
      </c>
      <c r="AA51" s="2251"/>
      <c r="AB51" s="2251"/>
      <c r="AC51" s="2251"/>
      <c r="AD51" s="2251"/>
      <c r="AE51" s="2251"/>
      <c r="AF51" s="2251"/>
      <c r="AG51" s="2251"/>
      <c r="AH51" s="2251" t="s">
        <v>1889</v>
      </c>
      <c r="AI51" s="2251"/>
      <c r="AJ51" s="2251"/>
      <c r="AK51" s="2251"/>
      <c r="AL51" s="2251"/>
      <c r="AM51" s="2251"/>
      <c r="AN51" s="2251"/>
      <c r="AO51" s="227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61" t="s">
        <v>2262</v>
      </c>
      <c r="C52" s="2262"/>
      <c r="D52" s="2262"/>
      <c r="E52" s="2262"/>
      <c r="F52" s="2262"/>
      <c r="G52" s="2262"/>
      <c r="H52" s="2262"/>
      <c r="I52" s="2262"/>
      <c r="J52" s="2273">
        <v>0</v>
      </c>
      <c r="K52" s="2273"/>
      <c r="L52" s="2273"/>
      <c r="M52" s="2273"/>
      <c r="N52" s="2273"/>
      <c r="O52" s="2273"/>
      <c r="P52" s="2273"/>
      <c r="Q52" s="2273"/>
      <c r="R52" s="2274">
        <v>0</v>
      </c>
      <c r="S52" s="2274"/>
      <c r="T52" s="2274"/>
      <c r="U52" s="2274"/>
      <c r="V52" s="2274"/>
      <c r="W52" s="2274"/>
      <c r="X52" s="2274"/>
      <c r="Y52" s="2274"/>
      <c r="Z52" s="2275">
        <v>0</v>
      </c>
      <c r="AA52" s="2275"/>
      <c r="AB52" s="2275"/>
      <c r="AC52" s="2275"/>
      <c r="AD52" s="2275"/>
      <c r="AE52" s="2275"/>
      <c r="AF52" s="2275"/>
      <c r="AG52" s="2275"/>
      <c r="AH52" s="2276"/>
      <c r="AI52" s="2276"/>
      <c r="AJ52" s="2276"/>
      <c r="AK52" s="2276"/>
      <c r="AL52" s="2276"/>
      <c r="AM52" s="2276"/>
      <c r="AN52" s="2276"/>
      <c r="AO52" s="227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61" t="s">
        <v>2263</v>
      </c>
      <c r="C53" s="2262"/>
      <c r="D53" s="2262"/>
      <c r="E53" s="2262"/>
      <c r="F53" s="2262"/>
      <c r="G53" s="2262"/>
      <c r="H53" s="2262"/>
      <c r="I53" s="2262"/>
      <c r="J53" s="2273">
        <v>0</v>
      </c>
      <c r="K53" s="2273"/>
      <c r="L53" s="2273"/>
      <c r="M53" s="2273"/>
      <c r="N53" s="2273"/>
      <c r="O53" s="2273"/>
      <c r="P53" s="2273"/>
      <c r="Q53" s="2273"/>
      <c r="R53" s="2274">
        <v>0</v>
      </c>
      <c r="S53" s="2274"/>
      <c r="T53" s="2274"/>
      <c r="U53" s="2274"/>
      <c r="V53" s="2274"/>
      <c r="W53" s="2274"/>
      <c r="X53" s="2274"/>
      <c r="Y53" s="2274"/>
      <c r="Z53" s="2275">
        <v>0</v>
      </c>
      <c r="AA53" s="2275"/>
      <c r="AB53" s="2275"/>
      <c r="AC53" s="2275"/>
      <c r="AD53" s="2275"/>
      <c r="AE53" s="2275"/>
      <c r="AF53" s="2275"/>
      <c r="AG53" s="2275"/>
      <c r="AH53" s="2276"/>
      <c r="AI53" s="2276"/>
      <c r="AJ53" s="2276"/>
      <c r="AK53" s="2276"/>
      <c r="AL53" s="2276"/>
      <c r="AM53" s="2276"/>
      <c r="AN53" s="2276"/>
      <c r="AO53" s="227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61"/>
      <c r="C54" s="2262"/>
      <c r="D54" s="2262"/>
      <c r="E54" s="2262"/>
      <c r="F54" s="2262"/>
      <c r="G54" s="2262"/>
      <c r="H54" s="2262"/>
      <c r="I54" s="2262"/>
      <c r="J54" s="2273"/>
      <c r="K54" s="2273"/>
      <c r="L54" s="2273"/>
      <c r="M54" s="2273"/>
      <c r="N54" s="2273"/>
      <c r="O54" s="2273"/>
      <c r="P54" s="2273"/>
      <c r="Q54" s="2273"/>
      <c r="R54" s="2274"/>
      <c r="S54" s="2274"/>
      <c r="T54" s="2274"/>
      <c r="U54" s="2274"/>
      <c r="V54" s="2274"/>
      <c r="W54" s="2274"/>
      <c r="X54" s="2274"/>
      <c r="Y54" s="2274"/>
      <c r="Z54" s="2275"/>
      <c r="AA54" s="2275"/>
      <c r="AB54" s="2275"/>
      <c r="AC54" s="2275"/>
      <c r="AD54" s="2275"/>
      <c r="AE54" s="2275"/>
      <c r="AF54" s="2275"/>
      <c r="AG54" s="2275"/>
      <c r="AH54" s="2276"/>
      <c r="AI54" s="2276"/>
      <c r="AJ54" s="2276"/>
      <c r="AK54" s="2276"/>
      <c r="AL54" s="2276"/>
      <c r="AM54" s="2276"/>
      <c r="AN54" s="2276"/>
      <c r="AO54" s="227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61"/>
      <c r="C55" s="2262"/>
      <c r="D55" s="2262"/>
      <c r="E55" s="2262"/>
      <c r="F55" s="2262"/>
      <c r="G55" s="2262"/>
      <c r="H55" s="2262"/>
      <c r="I55" s="2262"/>
      <c r="J55" s="2273"/>
      <c r="K55" s="2273"/>
      <c r="L55" s="2273"/>
      <c r="M55" s="2273"/>
      <c r="N55" s="2273"/>
      <c r="O55" s="2273"/>
      <c r="P55" s="2273"/>
      <c r="Q55" s="2273"/>
      <c r="R55" s="2274"/>
      <c r="S55" s="2274"/>
      <c r="T55" s="2274"/>
      <c r="U55" s="2274"/>
      <c r="V55" s="2274"/>
      <c r="W55" s="2274"/>
      <c r="X55" s="2274"/>
      <c r="Y55" s="2274"/>
      <c r="Z55" s="2275"/>
      <c r="AA55" s="2275"/>
      <c r="AB55" s="2275"/>
      <c r="AC55" s="2275"/>
      <c r="AD55" s="2275"/>
      <c r="AE55" s="2275"/>
      <c r="AF55" s="2275"/>
      <c r="AG55" s="2275"/>
      <c r="AH55" s="2276"/>
      <c r="AI55" s="2276"/>
      <c r="AJ55" s="2276"/>
      <c r="AK55" s="2276"/>
      <c r="AL55" s="2276"/>
      <c r="AM55" s="2276"/>
      <c r="AN55" s="2276"/>
      <c r="AO55" s="227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61"/>
      <c r="C56" s="2262"/>
      <c r="D56" s="2262"/>
      <c r="E56" s="2262"/>
      <c r="F56" s="2262"/>
      <c r="G56" s="2262"/>
      <c r="H56" s="2262"/>
      <c r="I56" s="2262"/>
      <c r="J56" s="2273"/>
      <c r="K56" s="2273"/>
      <c r="L56" s="2273"/>
      <c r="M56" s="2273"/>
      <c r="N56" s="2273"/>
      <c r="O56" s="2273"/>
      <c r="P56" s="2273"/>
      <c r="Q56" s="2273"/>
      <c r="R56" s="2274"/>
      <c r="S56" s="2274"/>
      <c r="T56" s="2274"/>
      <c r="U56" s="2274"/>
      <c r="V56" s="2274"/>
      <c r="W56" s="2274"/>
      <c r="X56" s="2274"/>
      <c r="Y56" s="2274"/>
      <c r="Z56" s="2275"/>
      <c r="AA56" s="2275"/>
      <c r="AB56" s="2275"/>
      <c r="AC56" s="2275"/>
      <c r="AD56" s="2275"/>
      <c r="AE56" s="2275"/>
      <c r="AF56" s="2275"/>
      <c r="AG56" s="2275"/>
      <c r="AH56" s="2276"/>
      <c r="AI56" s="2276"/>
      <c r="AJ56" s="2276"/>
      <c r="AK56" s="2276"/>
      <c r="AL56" s="2276"/>
      <c r="AM56" s="2276"/>
      <c r="AN56" s="2276"/>
      <c r="AO56" s="227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87" t="s">
        <v>1766</v>
      </c>
      <c r="C57" s="2288"/>
      <c r="D57" s="2288"/>
      <c r="E57" s="2288"/>
      <c r="F57" s="2288"/>
      <c r="G57" s="2288"/>
      <c r="H57" s="2288"/>
      <c r="I57" s="2288"/>
      <c r="J57" s="2288"/>
      <c r="K57" s="2288"/>
      <c r="L57" s="2288"/>
      <c r="M57" s="2288"/>
      <c r="N57" s="2288"/>
      <c r="O57" s="2288"/>
      <c r="P57" s="2288"/>
      <c r="Q57" s="2288"/>
      <c r="R57" s="2289">
        <f>SUM(R52:Y56)</f>
        <v>0</v>
      </c>
      <c r="S57" s="2289"/>
      <c r="T57" s="2289"/>
      <c r="U57" s="2289"/>
      <c r="V57" s="2289"/>
      <c r="W57" s="2289"/>
      <c r="X57" s="2289"/>
      <c r="Y57" s="2289"/>
      <c r="Z57" s="2290">
        <f>SUM(Z52:AG56)</f>
        <v>0</v>
      </c>
      <c r="AA57" s="2290"/>
      <c r="AB57" s="2290"/>
      <c r="AC57" s="2290"/>
      <c r="AD57" s="2290"/>
      <c r="AE57" s="2290"/>
      <c r="AF57" s="2290"/>
      <c r="AG57" s="2290"/>
      <c r="AH57" s="2291"/>
      <c r="AI57" s="2291"/>
      <c r="AJ57" s="2291"/>
      <c r="AK57" s="2291"/>
      <c r="AL57" s="2291"/>
      <c r="AM57" s="2291"/>
      <c r="AN57" s="2291"/>
      <c r="AO57" s="229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78" t="s">
        <v>1887</v>
      </c>
      <c r="C59" s="2279"/>
      <c r="D59" s="2279"/>
      <c r="E59" s="2279"/>
      <c r="F59" s="2279"/>
      <c r="G59" s="2279"/>
      <c r="H59" s="2279"/>
      <c r="I59" s="2280"/>
      <c r="J59" s="2204" t="s">
        <v>2586</v>
      </c>
      <c r="K59" s="2204"/>
      <c r="L59" s="2204"/>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c r="AN59" s="2204"/>
      <c r="AO59" s="2204"/>
      <c r="AP59" s="2204"/>
      <c r="AQ59" s="2204"/>
      <c r="AR59" s="2204"/>
      <c r="AS59" s="2204"/>
      <c r="AT59" s="2204"/>
      <c r="AU59" s="2204"/>
      <c r="AV59" s="2204"/>
      <c r="AW59" s="2205"/>
      <c r="AX59" s="1207"/>
      <c r="AY59" s="1207"/>
      <c r="AZ59" s="1207"/>
      <c r="BA59" s="1207"/>
      <c r="BB59" s="1207"/>
      <c r="BC59" s="1207"/>
      <c r="BD59" s="1207"/>
      <c r="BE59" s="1213"/>
    </row>
    <row r="60" spans="1:58" ht="15.75" customHeight="1">
      <c r="A60" s="1207"/>
      <c r="B60" s="2281" t="str">
        <f>IF(B52="", "", B52)</f>
        <v>Services Company 1</v>
      </c>
      <c r="C60" s="2282"/>
      <c r="D60" s="2282"/>
      <c r="E60" s="2282"/>
      <c r="F60" s="2282"/>
      <c r="G60" s="2282"/>
      <c r="H60" s="2282"/>
      <c r="I60" s="2283"/>
      <c r="J60" s="2284"/>
      <c r="K60" s="2285"/>
      <c r="L60" s="228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c r="AO60" s="2285"/>
      <c r="AP60" s="2285"/>
      <c r="AQ60" s="2285"/>
      <c r="AR60" s="2285"/>
      <c r="AS60" s="2285"/>
      <c r="AT60" s="2285"/>
      <c r="AU60" s="2285"/>
      <c r="AV60" s="2285"/>
      <c r="AW60" s="2286"/>
      <c r="AX60" s="1207"/>
      <c r="AY60" s="1207"/>
      <c r="AZ60" s="1207"/>
      <c r="BA60" s="1207"/>
      <c r="BB60" s="1207"/>
      <c r="BC60" s="1207"/>
      <c r="BD60" s="1207"/>
      <c r="BE60" s="1213"/>
    </row>
    <row r="61" spans="1:58" ht="15.75" customHeight="1">
      <c r="A61" s="1207"/>
      <c r="B61" s="2281" t="str">
        <f>IF(B53="", "", B53)</f>
        <v>Services Company 2</v>
      </c>
      <c r="C61" s="2282"/>
      <c r="D61" s="2282"/>
      <c r="E61" s="2282"/>
      <c r="F61" s="2282"/>
      <c r="G61" s="2282"/>
      <c r="H61" s="2282"/>
      <c r="I61" s="2283"/>
      <c r="J61" s="2284"/>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c r="AO61" s="2285"/>
      <c r="AP61" s="2285"/>
      <c r="AQ61" s="2285"/>
      <c r="AR61" s="2285"/>
      <c r="AS61" s="2285"/>
      <c r="AT61" s="2285"/>
      <c r="AU61" s="2285"/>
      <c r="AV61" s="2285"/>
      <c r="AW61" s="2286"/>
      <c r="AX61" s="1207"/>
      <c r="AY61" s="1207"/>
      <c r="AZ61" s="1207"/>
      <c r="BA61" s="1207"/>
      <c r="BB61" s="1207"/>
      <c r="BC61" s="1207"/>
      <c r="BD61" s="1207"/>
      <c r="BE61" s="1213"/>
    </row>
    <row r="62" spans="1:58" ht="15.75" customHeight="1">
      <c r="A62" s="1207"/>
      <c r="B62" s="2281" t="str">
        <f>IF(B54="", "", B54)</f>
        <v/>
      </c>
      <c r="C62" s="2282"/>
      <c r="D62" s="2282"/>
      <c r="E62" s="2282"/>
      <c r="F62" s="2282"/>
      <c r="G62" s="2282"/>
      <c r="H62" s="2282"/>
      <c r="I62" s="2283"/>
      <c r="J62" s="2284"/>
      <c r="K62" s="2285"/>
      <c r="L62" s="2285"/>
      <c r="M62" s="2285"/>
      <c r="N62" s="2285"/>
      <c r="O62" s="2285"/>
      <c r="P62" s="2285"/>
      <c r="Q62" s="2285"/>
      <c r="R62" s="2285"/>
      <c r="S62" s="2285"/>
      <c r="T62" s="2285"/>
      <c r="U62" s="2285"/>
      <c r="V62" s="2285"/>
      <c r="W62" s="2285"/>
      <c r="X62" s="2285"/>
      <c r="Y62" s="2285"/>
      <c r="Z62" s="2285"/>
      <c r="AA62" s="2285"/>
      <c r="AB62" s="2285"/>
      <c r="AC62" s="2285"/>
      <c r="AD62" s="2285"/>
      <c r="AE62" s="2285"/>
      <c r="AF62" s="2285"/>
      <c r="AG62" s="2285"/>
      <c r="AH62" s="2285"/>
      <c r="AI62" s="2285"/>
      <c r="AJ62" s="2285"/>
      <c r="AK62" s="2285"/>
      <c r="AL62" s="2285"/>
      <c r="AM62" s="2285"/>
      <c r="AN62" s="2285"/>
      <c r="AO62" s="2285"/>
      <c r="AP62" s="2285"/>
      <c r="AQ62" s="2285"/>
      <c r="AR62" s="2285"/>
      <c r="AS62" s="2285"/>
      <c r="AT62" s="2285"/>
      <c r="AU62" s="2285"/>
      <c r="AV62" s="2285"/>
      <c r="AW62" s="2286"/>
      <c r="AX62" s="1207"/>
      <c r="AY62" s="1207"/>
      <c r="AZ62" s="1207"/>
      <c r="BA62" s="1207"/>
      <c r="BB62" s="1207"/>
      <c r="BC62" s="1207"/>
      <c r="BD62" s="1207"/>
      <c r="BE62" s="1213"/>
    </row>
    <row r="63" spans="1:58" ht="15.75" customHeight="1">
      <c r="A63" s="1207"/>
      <c r="B63" s="2281" t="str">
        <f>IF(B55="", "", B55)</f>
        <v/>
      </c>
      <c r="C63" s="2282"/>
      <c r="D63" s="2282"/>
      <c r="E63" s="2282"/>
      <c r="F63" s="2282"/>
      <c r="G63" s="2282"/>
      <c r="H63" s="2282"/>
      <c r="I63" s="2283"/>
      <c r="J63" s="2284"/>
      <c r="K63" s="2285"/>
      <c r="L63" s="2285"/>
      <c r="M63" s="2285"/>
      <c r="N63" s="2285"/>
      <c r="O63" s="2285"/>
      <c r="P63" s="2285"/>
      <c r="Q63" s="2285"/>
      <c r="R63" s="2285"/>
      <c r="S63" s="2285"/>
      <c r="T63" s="2285"/>
      <c r="U63" s="2285"/>
      <c r="V63" s="2285"/>
      <c r="W63" s="2285"/>
      <c r="X63" s="2285"/>
      <c r="Y63" s="2285"/>
      <c r="Z63" s="2285"/>
      <c r="AA63" s="2285"/>
      <c r="AB63" s="2285"/>
      <c r="AC63" s="2285"/>
      <c r="AD63" s="2285"/>
      <c r="AE63" s="2285"/>
      <c r="AF63" s="2285"/>
      <c r="AG63" s="2285"/>
      <c r="AH63" s="2285"/>
      <c r="AI63" s="2285"/>
      <c r="AJ63" s="2285"/>
      <c r="AK63" s="2285"/>
      <c r="AL63" s="2285"/>
      <c r="AM63" s="2285"/>
      <c r="AN63" s="2285"/>
      <c r="AO63" s="2285"/>
      <c r="AP63" s="2285"/>
      <c r="AQ63" s="2285"/>
      <c r="AR63" s="2285"/>
      <c r="AS63" s="2285"/>
      <c r="AT63" s="2285"/>
      <c r="AU63" s="2285"/>
      <c r="AV63" s="2285"/>
      <c r="AW63" s="2286"/>
      <c r="AX63" s="1207"/>
      <c r="AY63" s="1207"/>
      <c r="AZ63" s="1207"/>
      <c r="BA63" s="1207"/>
      <c r="BB63" s="1207"/>
      <c r="BC63" s="1207"/>
      <c r="BD63" s="1207"/>
      <c r="BE63" s="1213"/>
    </row>
    <row r="64" spans="1:58" ht="15.75" customHeight="1" thickBot="1">
      <c r="A64" s="1207"/>
      <c r="B64" s="2306" t="str">
        <f>IF(B56="", "", B56)</f>
        <v/>
      </c>
      <c r="C64" s="2307"/>
      <c r="D64" s="2307"/>
      <c r="E64" s="2307"/>
      <c r="F64" s="2307"/>
      <c r="G64" s="2307"/>
      <c r="H64" s="2307"/>
      <c r="I64" s="2308"/>
      <c r="J64" s="2309"/>
      <c r="K64" s="2310"/>
      <c r="L64" s="2310"/>
      <c r="M64" s="2310"/>
      <c r="N64" s="2310"/>
      <c r="O64" s="2310"/>
      <c r="P64" s="2310"/>
      <c r="Q64" s="2310"/>
      <c r="R64" s="2310"/>
      <c r="S64" s="2310"/>
      <c r="T64" s="2310"/>
      <c r="U64" s="2310"/>
      <c r="V64" s="2310"/>
      <c r="W64" s="2310"/>
      <c r="X64" s="2310"/>
      <c r="Y64" s="2310"/>
      <c r="Z64" s="2310"/>
      <c r="AA64" s="2310"/>
      <c r="AB64" s="2310"/>
      <c r="AC64" s="2310"/>
      <c r="AD64" s="2310"/>
      <c r="AE64" s="2310"/>
      <c r="AF64" s="2310"/>
      <c r="AG64" s="2310"/>
      <c r="AH64" s="2310"/>
      <c r="AI64" s="2310"/>
      <c r="AJ64" s="2310"/>
      <c r="AK64" s="2310"/>
      <c r="AL64" s="2310"/>
      <c r="AM64" s="2310"/>
      <c r="AN64" s="2310"/>
      <c r="AO64" s="2310"/>
      <c r="AP64" s="2310"/>
      <c r="AQ64" s="2310"/>
      <c r="AR64" s="2310"/>
      <c r="AS64" s="2310"/>
      <c r="AT64" s="2310"/>
      <c r="AU64" s="2310"/>
      <c r="AV64" s="2310"/>
      <c r="AW64" s="231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1890</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03" t="s">
        <v>1891</v>
      </c>
      <c r="C68" s="2204"/>
      <c r="D68" s="2204"/>
      <c r="E68" s="2204"/>
      <c r="F68" s="2204"/>
      <c r="G68" s="2204"/>
      <c r="H68" s="2204"/>
      <c r="I68" s="2204"/>
      <c r="J68" s="2204"/>
      <c r="K68" s="2204"/>
      <c r="L68" s="2204"/>
      <c r="M68" s="2204"/>
      <c r="N68" s="2204"/>
      <c r="O68" s="2204"/>
      <c r="P68" s="2204"/>
      <c r="Q68" s="2204"/>
      <c r="R68" s="2204"/>
      <c r="S68" s="2204"/>
      <c r="T68" s="2204"/>
      <c r="U68" s="2204"/>
      <c r="V68" s="2204"/>
      <c r="W68" s="2204"/>
      <c r="X68" s="2204"/>
      <c r="Y68" s="2204"/>
      <c r="Z68" s="2204"/>
      <c r="AA68" s="2205"/>
      <c r="AB68" s="1207"/>
      <c r="AC68" s="2318" t="s">
        <v>1892</v>
      </c>
      <c r="AD68" s="2319"/>
      <c r="AE68" s="2319"/>
      <c r="AF68" s="2319"/>
      <c r="AG68" s="2319"/>
      <c r="AH68" s="2319"/>
      <c r="AI68" s="2319"/>
      <c r="AJ68" s="2319"/>
      <c r="AK68" s="2319"/>
      <c r="AL68" s="2319"/>
      <c r="AM68" s="2319"/>
      <c r="AN68" s="2319"/>
      <c r="AO68" s="2319"/>
      <c r="AP68" s="2319"/>
      <c r="AQ68" s="2319"/>
      <c r="AR68" s="2319"/>
      <c r="AS68" s="2319"/>
      <c r="AT68" s="2319"/>
      <c r="AU68" s="2319"/>
      <c r="AV68" s="2293" t="s">
        <v>679</v>
      </c>
      <c r="AW68" s="2294"/>
      <c r="AX68" s="2294"/>
      <c r="AY68" s="2294"/>
      <c r="AZ68" s="2294"/>
      <c r="BA68" s="2294"/>
      <c r="BB68" s="2294"/>
      <c r="BC68" s="2295"/>
      <c r="BD68" s="1207"/>
      <c r="BE68" s="1213"/>
      <c r="BM68" s="1218" t="s">
        <v>2587</v>
      </c>
    </row>
    <row r="69" spans="1:65" ht="15.75" customHeight="1" thickTop="1" thickBot="1">
      <c r="A69" s="1207"/>
      <c r="B69" s="2296" t="s">
        <v>1893</v>
      </c>
      <c r="C69" s="2297"/>
      <c r="D69" s="2297"/>
      <c r="E69" s="2297"/>
      <c r="F69" s="2297"/>
      <c r="G69" s="2297"/>
      <c r="H69" s="2297"/>
      <c r="I69" s="2297"/>
      <c r="J69" s="2297"/>
      <c r="K69" s="2297"/>
      <c r="L69" s="2297"/>
      <c r="M69" s="2297"/>
      <c r="N69" s="2297"/>
      <c r="O69" s="2298" t="s">
        <v>1894</v>
      </c>
      <c r="P69" s="2299"/>
      <c r="Q69" s="2299"/>
      <c r="R69" s="2299"/>
      <c r="S69" s="2299"/>
      <c r="T69" s="2299"/>
      <c r="U69" s="2299"/>
      <c r="V69" s="2299"/>
      <c r="W69" s="2299"/>
      <c r="X69" s="2299"/>
      <c r="Y69" s="2299"/>
      <c r="Z69" s="2299"/>
      <c r="AA69" s="2300"/>
      <c r="AB69" s="1207"/>
      <c r="AC69" s="2301" t="s">
        <v>1895</v>
      </c>
      <c r="AD69" s="2302"/>
      <c r="AE69" s="2302"/>
      <c r="AF69" s="2302"/>
      <c r="AG69" s="2302"/>
      <c r="AH69" s="2302"/>
      <c r="AI69" s="2302"/>
      <c r="AJ69" s="2302"/>
      <c r="AK69" s="2302"/>
      <c r="AL69" s="2302"/>
      <c r="AM69" s="2302"/>
      <c r="AN69" s="2302"/>
      <c r="AO69" s="2302"/>
      <c r="AP69" s="2302"/>
      <c r="AQ69" s="2302"/>
      <c r="AR69" s="2302"/>
      <c r="AS69" s="2302"/>
      <c r="AT69" s="2302"/>
      <c r="AU69" s="2302"/>
      <c r="AV69" s="2303"/>
      <c r="AW69" s="2304"/>
      <c r="AX69" s="2304"/>
      <c r="AY69" s="2304"/>
      <c r="AZ69" s="2304"/>
      <c r="BA69" s="2304"/>
      <c r="BB69" s="2304"/>
      <c r="BC69" s="2305"/>
      <c r="BD69" s="1207"/>
      <c r="BE69" s="1213"/>
      <c r="BM69" s="1219" t="s">
        <v>555</v>
      </c>
    </row>
    <row r="70" spans="1:65" ht="15.75" customHeight="1">
      <c r="A70" s="1207"/>
      <c r="B70" s="2254" t="s">
        <v>2588</v>
      </c>
      <c r="C70" s="2255"/>
      <c r="D70" s="2255"/>
      <c r="E70" s="2255"/>
      <c r="F70" s="2255"/>
      <c r="G70" s="2255"/>
      <c r="H70" s="2255"/>
      <c r="I70" s="2255"/>
      <c r="J70" s="2255"/>
      <c r="K70" s="2255"/>
      <c r="L70" s="2255"/>
      <c r="M70" s="2255"/>
      <c r="N70" s="2255"/>
      <c r="O70" s="2312">
        <v>0</v>
      </c>
      <c r="P70" s="2312"/>
      <c r="Q70" s="2312"/>
      <c r="R70" s="2312"/>
      <c r="S70" s="2312"/>
      <c r="T70" s="2312"/>
      <c r="U70" s="2312"/>
      <c r="V70" s="2312"/>
      <c r="W70" s="2312"/>
      <c r="X70" s="2312"/>
      <c r="Y70" s="2312"/>
      <c r="Z70" s="2312"/>
      <c r="AA70" s="2313"/>
      <c r="AB70" s="1207"/>
      <c r="AC70" s="2241" t="s">
        <v>1896</v>
      </c>
      <c r="AD70" s="2242"/>
      <c r="AE70" s="2242"/>
      <c r="AF70" s="2314"/>
      <c r="AG70" s="2314"/>
      <c r="AH70" s="2314"/>
      <c r="AI70" s="2314"/>
      <c r="AJ70" s="2314"/>
      <c r="AK70" s="2314"/>
      <c r="AL70" s="2314"/>
      <c r="AM70" s="2314"/>
      <c r="AN70" s="2314"/>
      <c r="AO70" s="2314"/>
      <c r="AP70" s="2314"/>
      <c r="AQ70" s="2314"/>
      <c r="AR70" s="2314"/>
      <c r="AS70" s="2314"/>
      <c r="AT70" s="2314"/>
      <c r="AU70" s="2315"/>
      <c r="AV70" s="1207"/>
      <c r="AW70" s="1207"/>
      <c r="AX70" s="1207"/>
      <c r="AY70" s="1207"/>
      <c r="AZ70" s="1207"/>
      <c r="BA70" s="1207"/>
      <c r="BB70" s="1207"/>
      <c r="BC70" s="1207"/>
      <c r="BD70" s="1207"/>
      <c r="BE70" s="1213"/>
      <c r="BM70" s="1220" t="s">
        <v>679</v>
      </c>
    </row>
    <row r="71" spans="1:65" ht="15.75" customHeight="1" thickBot="1">
      <c r="A71" s="1207"/>
      <c r="B71" s="2254" t="s">
        <v>2589</v>
      </c>
      <c r="C71" s="2255"/>
      <c r="D71" s="2255"/>
      <c r="E71" s="2255"/>
      <c r="F71" s="2255"/>
      <c r="G71" s="2255"/>
      <c r="H71" s="2255"/>
      <c r="I71" s="2255"/>
      <c r="J71" s="2255"/>
      <c r="K71" s="2255"/>
      <c r="L71" s="2255"/>
      <c r="M71" s="2255"/>
      <c r="N71" s="2255"/>
      <c r="O71" s="2312">
        <v>0</v>
      </c>
      <c r="P71" s="2312"/>
      <c r="Q71" s="2312"/>
      <c r="R71" s="2312"/>
      <c r="S71" s="2312"/>
      <c r="T71" s="2312"/>
      <c r="U71" s="2312"/>
      <c r="V71" s="2312"/>
      <c r="W71" s="2312"/>
      <c r="X71" s="2312"/>
      <c r="Y71" s="2312"/>
      <c r="Z71" s="2312"/>
      <c r="AA71" s="2313"/>
      <c r="AB71" s="1207"/>
      <c r="AC71" s="2316" t="s">
        <v>1897</v>
      </c>
      <c r="AD71" s="2317"/>
      <c r="AE71" s="2317"/>
      <c r="AF71" s="2310"/>
      <c r="AG71" s="2310"/>
      <c r="AH71" s="2310"/>
      <c r="AI71" s="2310"/>
      <c r="AJ71" s="2310"/>
      <c r="AK71" s="2310"/>
      <c r="AL71" s="2310"/>
      <c r="AM71" s="2310"/>
      <c r="AN71" s="2310"/>
      <c r="AO71" s="2310"/>
      <c r="AP71" s="2310"/>
      <c r="AQ71" s="2310"/>
      <c r="AR71" s="2310"/>
      <c r="AS71" s="2310"/>
      <c r="AT71" s="2310"/>
      <c r="AU71" s="2311"/>
      <c r="AV71" s="1207"/>
      <c r="AW71" s="1207"/>
      <c r="AX71" s="1207"/>
      <c r="AY71" s="1207"/>
      <c r="AZ71" s="1207"/>
      <c r="BA71" s="1207"/>
      <c r="BB71" s="1207"/>
      <c r="BC71" s="1207"/>
      <c r="BD71" s="1207"/>
      <c r="BE71" s="1213"/>
      <c r="BM71" s="1204" t="s">
        <v>2590</v>
      </c>
    </row>
    <row r="72" spans="1:65" ht="15.75" customHeight="1">
      <c r="A72" s="1207"/>
      <c r="B72" s="2254" t="s">
        <v>2591</v>
      </c>
      <c r="C72" s="2255"/>
      <c r="D72" s="2255"/>
      <c r="E72" s="2255"/>
      <c r="F72" s="2255"/>
      <c r="G72" s="2255"/>
      <c r="H72" s="2255"/>
      <c r="I72" s="2255"/>
      <c r="J72" s="2255"/>
      <c r="K72" s="2255"/>
      <c r="L72" s="2255"/>
      <c r="M72" s="2255"/>
      <c r="N72" s="2255"/>
      <c r="O72" s="2312">
        <v>0</v>
      </c>
      <c r="P72" s="2312"/>
      <c r="Q72" s="2312"/>
      <c r="R72" s="2312"/>
      <c r="S72" s="2312"/>
      <c r="T72" s="2312"/>
      <c r="U72" s="2312"/>
      <c r="V72" s="2312"/>
      <c r="W72" s="2312"/>
      <c r="X72" s="2312"/>
      <c r="Y72" s="2312"/>
      <c r="Z72" s="2312"/>
      <c r="AA72" s="2313"/>
      <c r="AB72" s="1207"/>
      <c r="AC72" s="2320" t="s">
        <v>2592</v>
      </c>
      <c r="AD72" s="2321"/>
      <c r="AE72" s="2321"/>
      <c r="AF72" s="2321"/>
      <c r="AG72" s="2321"/>
      <c r="AH72" s="2321"/>
      <c r="AI72" s="2321"/>
      <c r="AJ72" s="2321"/>
      <c r="AK72" s="2321"/>
      <c r="AL72" s="2321"/>
      <c r="AM72" s="2321"/>
      <c r="AN72" s="2321"/>
      <c r="AO72" s="2321"/>
      <c r="AP72" s="2321"/>
      <c r="AQ72" s="2321"/>
      <c r="AR72" s="2321"/>
      <c r="AS72" s="2321"/>
      <c r="AT72" s="2321"/>
      <c r="AU72" s="2321"/>
      <c r="AV72" s="2242"/>
      <c r="AW72" s="2242"/>
      <c r="AX72" s="2242"/>
      <c r="AY72" s="2242"/>
      <c r="AZ72" s="2242"/>
      <c r="BA72" s="2242"/>
      <c r="BB72" s="2242"/>
      <c r="BC72" s="2243"/>
      <c r="BD72" s="1207"/>
      <c r="BE72" s="1213"/>
    </row>
    <row r="73" spans="1:65" ht="15.75" customHeight="1">
      <c r="A73" s="1207"/>
      <c r="B73" s="2261" t="s">
        <v>2593</v>
      </c>
      <c r="C73" s="2262"/>
      <c r="D73" s="2262"/>
      <c r="E73" s="2262"/>
      <c r="F73" s="2262"/>
      <c r="G73" s="2262"/>
      <c r="H73" s="2262"/>
      <c r="I73" s="2262"/>
      <c r="J73" s="2262"/>
      <c r="K73" s="2262"/>
      <c r="L73" s="2262"/>
      <c r="M73" s="2262"/>
      <c r="N73" s="2262"/>
      <c r="O73" s="2312">
        <v>0</v>
      </c>
      <c r="P73" s="2312"/>
      <c r="Q73" s="2312"/>
      <c r="R73" s="2312"/>
      <c r="S73" s="2312"/>
      <c r="T73" s="2312"/>
      <c r="U73" s="2312"/>
      <c r="V73" s="2312"/>
      <c r="W73" s="2312"/>
      <c r="X73" s="2312"/>
      <c r="Y73" s="2312"/>
      <c r="Z73" s="2312"/>
      <c r="AA73" s="2313"/>
      <c r="AB73" s="1207"/>
      <c r="AC73" s="2322" t="s">
        <v>2264</v>
      </c>
      <c r="AD73" s="2323"/>
      <c r="AE73" s="2323"/>
      <c r="AF73" s="2323"/>
      <c r="AG73" s="2323"/>
      <c r="AH73" s="2323"/>
      <c r="AI73" s="2323"/>
      <c r="AJ73" s="2323"/>
      <c r="AK73" s="2323"/>
      <c r="AL73" s="2323"/>
      <c r="AM73" s="2323"/>
      <c r="AN73" s="2323"/>
      <c r="AO73" s="2323"/>
      <c r="AP73" s="2323"/>
      <c r="AQ73" s="2323"/>
      <c r="AR73" s="2323"/>
      <c r="AS73" s="2323"/>
      <c r="AT73" s="2323"/>
      <c r="AU73" s="2323"/>
      <c r="AV73" s="2323"/>
      <c r="AW73" s="2323"/>
      <c r="AX73" s="2323"/>
      <c r="AY73" s="2323"/>
      <c r="AZ73" s="2323"/>
      <c r="BA73" s="2323"/>
      <c r="BB73" s="2323"/>
      <c r="BC73" s="2324"/>
      <c r="BD73" s="1207"/>
      <c r="BE73" s="1213"/>
    </row>
    <row r="74" spans="1:65" ht="15.75" customHeight="1">
      <c r="A74" s="1207"/>
      <c r="B74" s="2328"/>
      <c r="C74" s="2273"/>
      <c r="D74" s="2273"/>
      <c r="E74" s="2273"/>
      <c r="F74" s="2273"/>
      <c r="G74" s="2273"/>
      <c r="H74" s="2273"/>
      <c r="I74" s="2273"/>
      <c r="J74" s="2273"/>
      <c r="K74" s="2273"/>
      <c r="L74" s="2273"/>
      <c r="M74" s="2273"/>
      <c r="N74" s="2273"/>
      <c r="O74" s="2312"/>
      <c r="P74" s="2312"/>
      <c r="Q74" s="2312"/>
      <c r="R74" s="2312"/>
      <c r="S74" s="2312"/>
      <c r="T74" s="2312"/>
      <c r="U74" s="2312"/>
      <c r="V74" s="2312"/>
      <c r="W74" s="2312"/>
      <c r="X74" s="2312"/>
      <c r="Y74" s="2312"/>
      <c r="Z74" s="2312"/>
      <c r="AA74" s="2313"/>
      <c r="AB74" s="1207"/>
      <c r="AC74" s="2322"/>
      <c r="AD74" s="2323"/>
      <c r="AE74" s="2323"/>
      <c r="AF74" s="2323"/>
      <c r="AG74" s="2323"/>
      <c r="AH74" s="2323"/>
      <c r="AI74" s="2323"/>
      <c r="AJ74" s="2323"/>
      <c r="AK74" s="2323"/>
      <c r="AL74" s="2323"/>
      <c r="AM74" s="2323"/>
      <c r="AN74" s="2323"/>
      <c r="AO74" s="2323"/>
      <c r="AP74" s="2323"/>
      <c r="AQ74" s="2323"/>
      <c r="AR74" s="2323"/>
      <c r="AS74" s="2323"/>
      <c r="AT74" s="2323"/>
      <c r="AU74" s="2323"/>
      <c r="AV74" s="2323"/>
      <c r="AW74" s="2323"/>
      <c r="AX74" s="2323"/>
      <c r="AY74" s="2323"/>
      <c r="AZ74" s="2323"/>
      <c r="BA74" s="2323"/>
      <c r="BB74" s="2323"/>
      <c r="BC74" s="2324"/>
      <c r="BD74" s="1207"/>
      <c r="BE74" s="1213"/>
    </row>
    <row r="75" spans="1:65" ht="15.75" customHeight="1" thickBot="1">
      <c r="A75" s="1207"/>
      <c r="B75" s="2329" t="s">
        <v>125</v>
      </c>
      <c r="C75" s="2330"/>
      <c r="D75" s="2330"/>
      <c r="E75" s="2330"/>
      <c r="F75" s="2330"/>
      <c r="G75" s="2330"/>
      <c r="H75" s="2330"/>
      <c r="I75" s="2330"/>
      <c r="J75" s="2330"/>
      <c r="K75" s="2330"/>
      <c r="L75" s="2330"/>
      <c r="M75" s="2330"/>
      <c r="N75" s="2330"/>
      <c r="O75" s="2331">
        <f>SUM(O70:AA74)</f>
        <v>0</v>
      </c>
      <c r="P75" s="2331"/>
      <c r="Q75" s="2331"/>
      <c r="R75" s="2331"/>
      <c r="S75" s="2331"/>
      <c r="T75" s="2331"/>
      <c r="U75" s="2331"/>
      <c r="V75" s="2331"/>
      <c r="W75" s="2331"/>
      <c r="X75" s="2331"/>
      <c r="Y75" s="2331"/>
      <c r="Z75" s="2331"/>
      <c r="AA75" s="2332"/>
      <c r="AB75" s="1207"/>
      <c r="AC75" s="2322"/>
      <c r="AD75" s="2323"/>
      <c r="AE75" s="2323"/>
      <c r="AF75" s="2323"/>
      <c r="AG75" s="2323"/>
      <c r="AH75" s="2323"/>
      <c r="AI75" s="2323"/>
      <c r="AJ75" s="2323"/>
      <c r="AK75" s="2323"/>
      <c r="AL75" s="2323"/>
      <c r="AM75" s="2323"/>
      <c r="AN75" s="2323"/>
      <c r="AO75" s="2323"/>
      <c r="AP75" s="2323"/>
      <c r="AQ75" s="2323"/>
      <c r="AR75" s="2323"/>
      <c r="AS75" s="2323"/>
      <c r="AT75" s="2323"/>
      <c r="AU75" s="2323"/>
      <c r="AV75" s="2323"/>
      <c r="AW75" s="2323"/>
      <c r="AX75" s="2323"/>
      <c r="AY75" s="2323"/>
      <c r="AZ75" s="2323"/>
      <c r="BA75" s="2323"/>
      <c r="BB75" s="2323"/>
      <c r="BC75" s="232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22"/>
      <c r="AD76" s="2323"/>
      <c r="AE76" s="2323"/>
      <c r="AF76" s="2323"/>
      <c r="AG76" s="2323"/>
      <c r="AH76" s="2323"/>
      <c r="AI76" s="2323"/>
      <c r="AJ76" s="2323"/>
      <c r="AK76" s="2323"/>
      <c r="AL76" s="2323"/>
      <c r="AM76" s="2323"/>
      <c r="AN76" s="2323"/>
      <c r="AO76" s="2323"/>
      <c r="AP76" s="2323"/>
      <c r="AQ76" s="2323"/>
      <c r="AR76" s="2323"/>
      <c r="AS76" s="2323"/>
      <c r="AT76" s="2323"/>
      <c r="AU76" s="2323"/>
      <c r="AV76" s="2323"/>
      <c r="AW76" s="2323"/>
      <c r="AX76" s="2323"/>
      <c r="AY76" s="2323"/>
      <c r="AZ76" s="2323"/>
      <c r="BA76" s="2323"/>
      <c r="BB76" s="2323"/>
      <c r="BC76" s="2324"/>
      <c r="BD76" s="1207"/>
      <c r="BE76" s="1213"/>
    </row>
    <row r="77" spans="1:65" ht="15.75" customHeight="1" thickBot="1">
      <c r="A77" s="1207"/>
      <c r="B77" s="1221" t="s">
        <v>1898</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25"/>
      <c r="AD77" s="2326"/>
      <c r="AE77" s="2326"/>
      <c r="AF77" s="2326"/>
      <c r="AG77" s="2326"/>
      <c r="AH77" s="2326"/>
      <c r="AI77" s="2326"/>
      <c r="AJ77" s="2326"/>
      <c r="AK77" s="2326"/>
      <c r="AL77" s="2326"/>
      <c r="AM77" s="2326"/>
      <c r="AN77" s="2326"/>
      <c r="AO77" s="2326"/>
      <c r="AP77" s="2326"/>
      <c r="AQ77" s="2326"/>
      <c r="AR77" s="2326"/>
      <c r="AS77" s="2326"/>
      <c r="AT77" s="2326"/>
      <c r="AU77" s="2326"/>
      <c r="AV77" s="2326"/>
      <c r="AW77" s="2326"/>
      <c r="AX77" s="2326"/>
      <c r="AY77" s="2326"/>
      <c r="AZ77" s="2326"/>
      <c r="BA77" s="2326"/>
      <c r="BB77" s="2326"/>
      <c r="BC77" s="232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3" t="s">
        <v>2247</v>
      </c>
      <c r="C79" s="2334"/>
      <c r="D79" s="2334"/>
      <c r="E79" s="2334"/>
      <c r="F79" s="2334"/>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4"/>
      <c r="AD79" s="2334"/>
      <c r="AE79" s="2334"/>
      <c r="AF79" s="2334"/>
      <c r="AG79" s="2334"/>
      <c r="AH79" s="2335"/>
      <c r="AI79" s="1207"/>
      <c r="AJ79" s="2336" t="s">
        <v>2594</v>
      </c>
      <c r="AK79" s="2337"/>
      <c r="AL79" s="2337"/>
      <c r="AM79" s="2337"/>
      <c r="AN79" s="2337"/>
      <c r="AO79" s="2337"/>
      <c r="AP79" s="2337"/>
      <c r="AQ79" s="2337"/>
      <c r="AR79" s="2337"/>
      <c r="AS79" s="2337"/>
      <c r="AT79" s="2337"/>
      <c r="AU79" s="2337"/>
      <c r="AV79" s="2337"/>
      <c r="AW79" s="2337"/>
      <c r="AX79" s="2337"/>
      <c r="AY79" s="2340" t="s">
        <v>555</v>
      </c>
      <c r="AZ79" s="2340"/>
      <c r="BA79" s="2340"/>
      <c r="BB79" s="2341"/>
      <c r="BC79" s="1207"/>
      <c r="BD79" s="1207"/>
      <c r="BE79" s="1213"/>
    </row>
    <row r="80" spans="1:65" ht="15.75" customHeight="1">
      <c r="A80" s="1207"/>
      <c r="B80" s="2269"/>
      <c r="C80" s="2270"/>
      <c r="D80" s="2270"/>
      <c r="E80" s="2270"/>
      <c r="F80" s="2270"/>
      <c r="G80" s="2270"/>
      <c r="H80" s="2270"/>
      <c r="I80" s="2270" t="s">
        <v>1899</v>
      </c>
      <c r="J80" s="2270"/>
      <c r="K80" s="2270"/>
      <c r="L80" s="2270"/>
      <c r="M80" s="2270"/>
      <c r="N80" s="2270"/>
      <c r="O80" s="2270" t="s">
        <v>1900</v>
      </c>
      <c r="P80" s="2270"/>
      <c r="Q80" s="2270"/>
      <c r="R80" s="2270"/>
      <c r="S80" s="2270"/>
      <c r="T80" s="2270"/>
      <c r="U80" s="2270"/>
      <c r="V80" s="2344" t="s">
        <v>2265</v>
      </c>
      <c r="W80" s="2344"/>
      <c r="X80" s="2344"/>
      <c r="Y80" s="2344"/>
      <c r="Z80" s="2344"/>
      <c r="AA80" s="2344"/>
      <c r="AB80" s="2249" t="s">
        <v>1901</v>
      </c>
      <c r="AC80" s="2249"/>
      <c r="AD80" s="2249"/>
      <c r="AE80" s="2249"/>
      <c r="AF80" s="2249"/>
      <c r="AG80" s="2249"/>
      <c r="AH80" s="2250"/>
      <c r="AI80" s="1207"/>
      <c r="AJ80" s="2338"/>
      <c r="AK80" s="2339"/>
      <c r="AL80" s="2339"/>
      <c r="AM80" s="2339"/>
      <c r="AN80" s="2339"/>
      <c r="AO80" s="2339"/>
      <c r="AP80" s="2339"/>
      <c r="AQ80" s="2339"/>
      <c r="AR80" s="2339"/>
      <c r="AS80" s="2339"/>
      <c r="AT80" s="2339"/>
      <c r="AU80" s="2339"/>
      <c r="AV80" s="2339"/>
      <c r="AW80" s="2339"/>
      <c r="AX80" s="2339"/>
      <c r="AY80" s="2342"/>
      <c r="AZ80" s="2342"/>
      <c r="BA80" s="2342"/>
      <c r="BB80" s="2343"/>
      <c r="BC80" s="1207"/>
      <c r="BD80" s="1207"/>
      <c r="BE80" s="1213"/>
    </row>
    <row r="81" spans="1:57" ht="15.75" customHeight="1">
      <c r="A81" s="1207"/>
      <c r="B81" s="2269"/>
      <c r="C81" s="2270"/>
      <c r="D81" s="2270"/>
      <c r="E81" s="2270"/>
      <c r="F81" s="2270"/>
      <c r="G81" s="2270"/>
      <c r="H81" s="2270"/>
      <c r="I81" s="2270"/>
      <c r="J81" s="2270"/>
      <c r="K81" s="2270"/>
      <c r="L81" s="2270"/>
      <c r="M81" s="2270"/>
      <c r="N81" s="2270"/>
      <c r="O81" s="2270"/>
      <c r="P81" s="2270"/>
      <c r="Q81" s="2270"/>
      <c r="R81" s="2270"/>
      <c r="S81" s="2270"/>
      <c r="T81" s="2270"/>
      <c r="U81" s="2270"/>
      <c r="V81" s="2344"/>
      <c r="W81" s="2344"/>
      <c r="X81" s="2344"/>
      <c r="Y81" s="2344"/>
      <c r="Z81" s="2344"/>
      <c r="AA81" s="2344"/>
      <c r="AB81" s="2249"/>
      <c r="AC81" s="2249"/>
      <c r="AD81" s="2249"/>
      <c r="AE81" s="2249"/>
      <c r="AF81" s="2249"/>
      <c r="AG81" s="2249"/>
      <c r="AH81" s="2250"/>
      <c r="AI81" s="1207"/>
      <c r="AJ81" s="2338"/>
      <c r="AK81" s="2339"/>
      <c r="AL81" s="2339"/>
      <c r="AM81" s="2339"/>
      <c r="AN81" s="2339"/>
      <c r="AO81" s="2339"/>
      <c r="AP81" s="2339"/>
      <c r="AQ81" s="2339"/>
      <c r="AR81" s="2339"/>
      <c r="AS81" s="2339"/>
      <c r="AT81" s="2339"/>
      <c r="AU81" s="2339"/>
      <c r="AV81" s="2339"/>
      <c r="AW81" s="2339"/>
      <c r="AX81" s="2339"/>
      <c r="AY81" s="2342"/>
      <c r="AZ81" s="2342"/>
      <c r="BA81" s="2342"/>
      <c r="BB81" s="2343"/>
      <c r="BC81" s="1207"/>
      <c r="BD81" s="1207"/>
      <c r="BE81" s="1213"/>
    </row>
    <row r="82" spans="1:57" ht="15.75" customHeight="1">
      <c r="A82" s="1207"/>
      <c r="B82" s="2269" t="s">
        <v>2248</v>
      </c>
      <c r="C82" s="2270"/>
      <c r="D82" s="2270"/>
      <c r="E82" s="2270"/>
      <c r="F82" s="2270"/>
      <c r="G82" s="2270"/>
      <c r="H82" s="2270"/>
      <c r="I82" s="2345">
        <v>0</v>
      </c>
      <c r="J82" s="2345"/>
      <c r="K82" s="2345"/>
      <c r="L82" s="2345"/>
      <c r="M82" s="2345"/>
      <c r="N82" s="2345"/>
      <c r="O82" s="2345">
        <v>0</v>
      </c>
      <c r="P82" s="2345"/>
      <c r="Q82" s="2345"/>
      <c r="R82" s="2345"/>
      <c r="S82" s="2345"/>
      <c r="T82" s="2345"/>
      <c r="U82" s="2345"/>
      <c r="V82" s="2345">
        <v>0</v>
      </c>
      <c r="W82" s="2345"/>
      <c r="X82" s="2345"/>
      <c r="Y82" s="2345"/>
      <c r="Z82" s="2345"/>
      <c r="AA82" s="2345"/>
      <c r="AB82" s="2345">
        <v>0</v>
      </c>
      <c r="AC82" s="2345"/>
      <c r="AD82" s="2345"/>
      <c r="AE82" s="2345"/>
      <c r="AF82" s="2345"/>
      <c r="AG82" s="2345"/>
      <c r="AH82" s="2354"/>
      <c r="AI82" s="1207"/>
      <c r="AJ82" s="2338"/>
      <c r="AK82" s="2339"/>
      <c r="AL82" s="2339"/>
      <c r="AM82" s="2339"/>
      <c r="AN82" s="2339"/>
      <c r="AO82" s="2339"/>
      <c r="AP82" s="2339"/>
      <c r="AQ82" s="2339"/>
      <c r="AR82" s="2339"/>
      <c r="AS82" s="2339"/>
      <c r="AT82" s="2339"/>
      <c r="AU82" s="2339"/>
      <c r="AV82" s="2339"/>
      <c r="AW82" s="2339"/>
      <c r="AX82" s="2339"/>
      <c r="AY82" s="2342"/>
      <c r="AZ82" s="2342"/>
      <c r="BA82" s="2342"/>
      <c r="BB82" s="2343"/>
      <c r="BC82" s="1207"/>
      <c r="BD82" s="1207"/>
      <c r="BE82" s="1213"/>
    </row>
    <row r="83" spans="1:57" ht="15.75" customHeight="1">
      <c r="A83" s="1207"/>
      <c r="B83" s="2269" t="s">
        <v>2249</v>
      </c>
      <c r="C83" s="2270"/>
      <c r="D83" s="2270"/>
      <c r="E83" s="2270"/>
      <c r="F83" s="2270"/>
      <c r="G83" s="2270"/>
      <c r="H83" s="2270"/>
      <c r="I83" s="2345">
        <v>0</v>
      </c>
      <c r="J83" s="2345"/>
      <c r="K83" s="2345"/>
      <c r="L83" s="2345"/>
      <c r="M83" s="2345"/>
      <c r="N83" s="2345"/>
      <c r="O83" s="2345">
        <v>0</v>
      </c>
      <c r="P83" s="2345"/>
      <c r="Q83" s="2345"/>
      <c r="R83" s="2345"/>
      <c r="S83" s="2345"/>
      <c r="T83" s="2345"/>
      <c r="U83" s="2345"/>
      <c r="V83" s="2345">
        <v>0</v>
      </c>
      <c r="W83" s="2345"/>
      <c r="X83" s="2345"/>
      <c r="Y83" s="2345"/>
      <c r="Z83" s="2345"/>
      <c r="AA83" s="2345"/>
      <c r="AB83" s="2345">
        <v>0</v>
      </c>
      <c r="AC83" s="2345"/>
      <c r="AD83" s="2345"/>
      <c r="AE83" s="2345"/>
      <c r="AF83" s="2345"/>
      <c r="AG83" s="2345"/>
      <c r="AH83" s="2354"/>
      <c r="AI83" s="1207"/>
      <c r="AJ83" s="2346" t="s">
        <v>2595</v>
      </c>
      <c r="AK83" s="2347"/>
      <c r="AL83" s="2347"/>
      <c r="AM83" s="2347"/>
      <c r="AN83" s="2347"/>
      <c r="AO83" s="2347"/>
      <c r="AP83" s="2347"/>
      <c r="AQ83" s="2347"/>
      <c r="AR83" s="2347"/>
      <c r="AS83" s="2347"/>
      <c r="AT83" s="2347"/>
      <c r="AU83" s="2347"/>
      <c r="AV83" s="2347"/>
      <c r="AW83" s="2347"/>
      <c r="AX83" s="2347"/>
      <c r="AY83" s="2347"/>
      <c r="AZ83" s="2347"/>
      <c r="BA83" s="2347"/>
      <c r="BB83" s="2348"/>
      <c r="BC83" s="1207"/>
      <c r="BD83" s="1207"/>
      <c r="BE83" s="1213"/>
    </row>
    <row r="84" spans="1:57" ht="15.75" customHeight="1" thickBot="1">
      <c r="A84" s="1207"/>
      <c r="B84" s="2287" t="s">
        <v>1902</v>
      </c>
      <c r="C84" s="2288"/>
      <c r="D84" s="2288"/>
      <c r="E84" s="2288"/>
      <c r="F84" s="2288"/>
      <c r="G84" s="2288"/>
      <c r="H84" s="2288"/>
      <c r="I84" s="2352">
        <v>0</v>
      </c>
      <c r="J84" s="2352"/>
      <c r="K84" s="2352"/>
      <c r="L84" s="2352"/>
      <c r="M84" s="2352"/>
      <c r="N84" s="2352"/>
      <c r="O84" s="2352">
        <v>0</v>
      </c>
      <c r="P84" s="2352"/>
      <c r="Q84" s="2352"/>
      <c r="R84" s="2352"/>
      <c r="S84" s="2352"/>
      <c r="T84" s="2352"/>
      <c r="U84" s="2352"/>
      <c r="V84" s="2352">
        <v>0</v>
      </c>
      <c r="W84" s="2352"/>
      <c r="X84" s="2352"/>
      <c r="Y84" s="2352"/>
      <c r="Z84" s="2352"/>
      <c r="AA84" s="2352"/>
      <c r="AB84" s="2352">
        <v>0</v>
      </c>
      <c r="AC84" s="2352"/>
      <c r="AD84" s="2352"/>
      <c r="AE84" s="2352"/>
      <c r="AF84" s="2352"/>
      <c r="AG84" s="2352"/>
      <c r="AH84" s="2353"/>
      <c r="AI84" s="1207"/>
      <c r="AJ84" s="2349"/>
      <c r="AK84" s="2350"/>
      <c r="AL84" s="2350"/>
      <c r="AM84" s="2350"/>
      <c r="AN84" s="2350"/>
      <c r="AO84" s="2350"/>
      <c r="AP84" s="2350"/>
      <c r="AQ84" s="2350"/>
      <c r="AR84" s="2350"/>
      <c r="AS84" s="2350"/>
      <c r="AT84" s="2350"/>
      <c r="AU84" s="2350"/>
      <c r="AV84" s="2350"/>
      <c r="AW84" s="2350"/>
      <c r="AX84" s="2350"/>
      <c r="AY84" s="2350"/>
      <c r="AZ84" s="2350"/>
      <c r="BA84" s="2350"/>
      <c r="BB84" s="2351"/>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1903</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18" t="s">
        <v>1904</v>
      </c>
      <c r="C88" s="2319"/>
      <c r="D88" s="2319"/>
      <c r="E88" s="2319"/>
      <c r="F88" s="2319"/>
      <c r="G88" s="2319"/>
      <c r="H88" s="2319"/>
      <c r="I88" s="2319"/>
      <c r="J88" s="2319"/>
      <c r="K88" s="2319"/>
      <c r="L88" s="2319"/>
      <c r="M88" s="2319"/>
      <c r="N88" s="2319"/>
      <c r="O88" s="2319"/>
      <c r="P88" s="2319"/>
      <c r="Q88" s="2319"/>
      <c r="R88" s="2319"/>
      <c r="S88" s="2319"/>
      <c r="T88" s="2319"/>
      <c r="U88" s="2319"/>
      <c r="V88" s="2319"/>
      <c r="W88" s="2319"/>
      <c r="X88" s="2319"/>
      <c r="Y88" s="2319"/>
      <c r="Z88" s="2319"/>
      <c r="AA88" s="2319"/>
      <c r="AB88" s="2319"/>
      <c r="AC88" s="2319"/>
      <c r="AD88" s="2319"/>
      <c r="AE88" s="2319"/>
      <c r="AF88" s="2319"/>
      <c r="AG88" s="2319"/>
      <c r="AH88" s="2355"/>
      <c r="AI88" s="1207"/>
      <c r="AJ88" s="2336" t="s">
        <v>2596</v>
      </c>
      <c r="AK88" s="2337"/>
      <c r="AL88" s="2337"/>
      <c r="AM88" s="2337"/>
      <c r="AN88" s="2337"/>
      <c r="AO88" s="2337"/>
      <c r="AP88" s="2337"/>
      <c r="AQ88" s="2337"/>
      <c r="AR88" s="2337"/>
      <c r="AS88" s="2337"/>
      <c r="AT88" s="2337"/>
      <c r="AU88" s="2337"/>
      <c r="AV88" s="2337"/>
      <c r="AW88" s="2337"/>
      <c r="AX88" s="2337"/>
      <c r="AY88" s="2340" t="s">
        <v>555</v>
      </c>
      <c r="AZ88" s="2340"/>
      <c r="BA88" s="2340"/>
      <c r="BB88" s="2341"/>
      <c r="BC88" s="1207"/>
      <c r="BD88" s="1207"/>
      <c r="BE88" s="1213"/>
    </row>
    <row r="89" spans="1:57" ht="16.5" customHeight="1">
      <c r="A89" s="1207"/>
      <c r="B89" s="2269"/>
      <c r="C89" s="2270"/>
      <c r="D89" s="2270"/>
      <c r="E89" s="2270"/>
      <c r="F89" s="2270"/>
      <c r="G89" s="2270"/>
      <c r="H89" s="2270"/>
      <c r="I89" s="2270" t="s">
        <v>1899</v>
      </c>
      <c r="J89" s="2270"/>
      <c r="K89" s="2270"/>
      <c r="L89" s="2270"/>
      <c r="M89" s="2270"/>
      <c r="N89" s="2270"/>
      <c r="O89" s="2270" t="s">
        <v>1900</v>
      </c>
      <c r="P89" s="2270"/>
      <c r="Q89" s="2270"/>
      <c r="R89" s="2270"/>
      <c r="S89" s="2270"/>
      <c r="T89" s="2270"/>
      <c r="U89" s="2270"/>
      <c r="V89" s="2344" t="s">
        <v>2265</v>
      </c>
      <c r="W89" s="2344"/>
      <c r="X89" s="2344"/>
      <c r="Y89" s="2344"/>
      <c r="Z89" s="2344"/>
      <c r="AA89" s="2344"/>
      <c r="AB89" s="2249" t="s">
        <v>1901</v>
      </c>
      <c r="AC89" s="2249"/>
      <c r="AD89" s="2249"/>
      <c r="AE89" s="2249"/>
      <c r="AF89" s="2249"/>
      <c r="AG89" s="2249"/>
      <c r="AH89" s="2250"/>
      <c r="AI89" s="1207"/>
      <c r="AJ89" s="2338"/>
      <c r="AK89" s="2339"/>
      <c r="AL89" s="2339"/>
      <c r="AM89" s="2339"/>
      <c r="AN89" s="2339"/>
      <c r="AO89" s="2339"/>
      <c r="AP89" s="2339"/>
      <c r="AQ89" s="2339"/>
      <c r="AR89" s="2339"/>
      <c r="AS89" s="2339"/>
      <c r="AT89" s="2339"/>
      <c r="AU89" s="2339"/>
      <c r="AV89" s="2339"/>
      <c r="AW89" s="2339"/>
      <c r="AX89" s="2339"/>
      <c r="AY89" s="2342"/>
      <c r="AZ89" s="2342"/>
      <c r="BA89" s="2342"/>
      <c r="BB89" s="2343"/>
      <c r="BC89" s="1207"/>
      <c r="BD89" s="1207"/>
      <c r="BE89" s="1213"/>
    </row>
    <row r="90" spans="1:57" ht="16.5" customHeight="1">
      <c r="A90" s="1207"/>
      <c r="B90" s="2269"/>
      <c r="C90" s="2270"/>
      <c r="D90" s="2270"/>
      <c r="E90" s="2270"/>
      <c r="F90" s="2270"/>
      <c r="G90" s="2270"/>
      <c r="H90" s="2270"/>
      <c r="I90" s="2270"/>
      <c r="J90" s="2270"/>
      <c r="K90" s="2270"/>
      <c r="L90" s="2270"/>
      <c r="M90" s="2270"/>
      <c r="N90" s="2270"/>
      <c r="O90" s="2270"/>
      <c r="P90" s="2270"/>
      <c r="Q90" s="2270"/>
      <c r="R90" s="2270"/>
      <c r="S90" s="2270"/>
      <c r="T90" s="2270"/>
      <c r="U90" s="2270"/>
      <c r="V90" s="2344"/>
      <c r="W90" s="2344"/>
      <c r="X90" s="2344"/>
      <c r="Y90" s="2344"/>
      <c r="Z90" s="2344"/>
      <c r="AA90" s="2344"/>
      <c r="AB90" s="2249"/>
      <c r="AC90" s="2249"/>
      <c r="AD90" s="2249"/>
      <c r="AE90" s="2249"/>
      <c r="AF90" s="2249"/>
      <c r="AG90" s="2249"/>
      <c r="AH90" s="2250"/>
      <c r="AI90" s="1207"/>
      <c r="AJ90" s="2338"/>
      <c r="AK90" s="2339"/>
      <c r="AL90" s="2339"/>
      <c r="AM90" s="2339"/>
      <c r="AN90" s="2339"/>
      <c r="AO90" s="2339"/>
      <c r="AP90" s="2339"/>
      <c r="AQ90" s="2339"/>
      <c r="AR90" s="2339"/>
      <c r="AS90" s="2339"/>
      <c r="AT90" s="2339"/>
      <c r="AU90" s="2339"/>
      <c r="AV90" s="2339"/>
      <c r="AW90" s="2339"/>
      <c r="AX90" s="2339"/>
      <c r="AY90" s="2342"/>
      <c r="AZ90" s="2342"/>
      <c r="BA90" s="2342"/>
      <c r="BB90" s="2343"/>
      <c r="BC90" s="1207"/>
      <c r="BD90" s="1207"/>
      <c r="BE90" s="1213"/>
    </row>
    <row r="91" spans="1:57" ht="15.75" customHeight="1">
      <c r="A91" s="1207"/>
      <c r="B91" s="2269" t="s">
        <v>2248</v>
      </c>
      <c r="C91" s="2270"/>
      <c r="D91" s="2270"/>
      <c r="E91" s="2270"/>
      <c r="F91" s="2270"/>
      <c r="G91" s="2270"/>
      <c r="H91" s="2270"/>
      <c r="I91" s="2345">
        <v>0</v>
      </c>
      <c r="J91" s="2345"/>
      <c r="K91" s="2345"/>
      <c r="L91" s="2345"/>
      <c r="M91" s="2345"/>
      <c r="N91" s="2345"/>
      <c r="O91" s="2345">
        <v>0</v>
      </c>
      <c r="P91" s="2345"/>
      <c r="Q91" s="2345"/>
      <c r="R91" s="2345"/>
      <c r="S91" s="2345"/>
      <c r="T91" s="2345"/>
      <c r="U91" s="2345"/>
      <c r="V91" s="2345">
        <v>0</v>
      </c>
      <c r="W91" s="2345"/>
      <c r="X91" s="2345"/>
      <c r="Y91" s="2345"/>
      <c r="Z91" s="2345"/>
      <c r="AA91" s="2345"/>
      <c r="AB91" s="2345">
        <v>0</v>
      </c>
      <c r="AC91" s="2345"/>
      <c r="AD91" s="2345"/>
      <c r="AE91" s="2345"/>
      <c r="AF91" s="2345"/>
      <c r="AG91" s="2345"/>
      <c r="AH91" s="2354"/>
      <c r="AI91" s="1207"/>
      <c r="AJ91" s="2338"/>
      <c r="AK91" s="2339"/>
      <c r="AL91" s="2339"/>
      <c r="AM91" s="2339"/>
      <c r="AN91" s="2339"/>
      <c r="AO91" s="2339"/>
      <c r="AP91" s="2339"/>
      <c r="AQ91" s="2339"/>
      <c r="AR91" s="2339"/>
      <c r="AS91" s="2339"/>
      <c r="AT91" s="2339"/>
      <c r="AU91" s="2339"/>
      <c r="AV91" s="2339"/>
      <c r="AW91" s="2339"/>
      <c r="AX91" s="2339"/>
      <c r="AY91" s="2342"/>
      <c r="AZ91" s="2342"/>
      <c r="BA91" s="2342"/>
      <c r="BB91" s="2343"/>
      <c r="BC91" s="1207"/>
      <c r="BD91" s="1207"/>
      <c r="BE91" s="1213"/>
    </row>
    <row r="92" spans="1:57" ht="15.75" customHeight="1">
      <c r="A92" s="1207"/>
      <c r="B92" s="2269" t="s">
        <v>2249</v>
      </c>
      <c r="C92" s="2270"/>
      <c r="D92" s="2270"/>
      <c r="E92" s="2270"/>
      <c r="F92" s="2270"/>
      <c r="G92" s="2270"/>
      <c r="H92" s="2270"/>
      <c r="I92" s="2345">
        <v>0</v>
      </c>
      <c r="J92" s="2345"/>
      <c r="K92" s="2345"/>
      <c r="L92" s="2345"/>
      <c r="M92" s="2345"/>
      <c r="N92" s="2345"/>
      <c r="O92" s="2345">
        <v>0</v>
      </c>
      <c r="P92" s="2345"/>
      <c r="Q92" s="2345"/>
      <c r="R92" s="2345"/>
      <c r="S92" s="2345"/>
      <c r="T92" s="2345"/>
      <c r="U92" s="2345"/>
      <c r="V92" s="2345">
        <v>0</v>
      </c>
      <c r="W92" s="2345"/>
      <c r="X92" s="2345"/>
      <c r="Y92" s="2345"/>
      <c r="Z92" s="2345"/>
      <c r="AA92" s="2345"/>
      <c r="AB92" s="2345">
        <v>0</v>
      </c>
      <c r="AC92" s="2345"/>
      <c r="AD92" s="2345"/>
      <c r="AE92" s="2345"/>
      <c r="AF92" s="2345"/>
      <c r="AG92" s="2345"/>
      <c r="AH92" s="2354"/>
      <c r="AI92" s="1207"/>
      <c r="AJ92" s="2346" t="s">
        <v>2266</v>
      </c>
      <c r="AK92" s="2347"/>
      <c r="AL92" s="2347"/>
      <c r="AM92" s="2347"/>
      <c r="AN92" s="2347"/>
      <c r="AO92" s="2347"/>
      <c r="AP92" s="2347"/>
      <c r="AQ92" s="2347"/>
      <c r="AR92" s="2347"/>
      <c r="AS92" s="2347"/>
      <c r="AT92" s="2347"/>
      <c r="AU92" s="2347"/>
      <c r="AV92" s="2347"/>
      <c r="AW92" s="2347"/>
      <c r="AX92" s="2347"/>
      <c r="AY92" s="2347"/>
      <c r="AZ92" s="2347"/>
      <c r="BA92" s="2347"/>
      <c r="BB92" s="2348"/>
      <c r="BC92" s="1207"/>
      <c r="BD92" s="1207"/>
      <c r="BE92" s="1213"/>
    </row>
    <row r="93" spans="1:57" ht="15.75" customHeight="1" thickBot="1">
      <c r="A93" s="1207"/>
      <c r="B93" s="2287" t="s">
        <v>1902</v>
      </c>
      <c r="C93" s="2288"/>
      <c r="D93" s="2288"/>
      <c r="E93" s="2288"/>
      <c r="F93" s="2288"/>
      <c r="G93" s="2288"/>
      <c r="H93" s="2288"/>
      <c r="I93" s="2352">
        <v>0</v>
      </c>
      <c r="J93" s="2352"/>
      <c r="K93" s="2352"/>
      <c r="L93" s="2352"/>
      <c r="M93" s="2352"/>
      <c r="N93" s="2352"/>
      <c r="O93" s="2352">
        <v>0</v>
      </c>
      <c r="P93" s="2352"/>
      <c r="Q93" s="2352"/>
      <c r="R93" s="2352"/>
      <c r="S93" s="2352"/>
      <c r="T93" s="2352"/>
      <c r="U93" s="2352"/>
      <c r="V93" s="2352">
        <v>0</v>
      </c>
      <c r="W93" s="2352"/>
      <c r="X93" s="2352"/>
      <c r="Y93" s="2352"/>
      <c r="Z93" s="2352"/>
      <c r="AA93" s="2352"/>
      <c r="AB93" s="2352">
        <v>0</v>
      </c>
      <c r="AC93" s="2352"/>
      <c r="AD93" s="2352"/>
      <c r="AE93" s="2352"/>
      <c r="AF93" s="2352"/>
      <c r="AG93" s="2352"/>
      <c r="AH93" s="2353"/>
      <c r="AI93" s="1207"/>
      <c r="AJ93" s="2349"/>
      <c r="AK93" s="2350"/>
      <c r="AL93" s="2350"/>
      <c r="AM93" s="2350"/>
      <c r="AN93" s="2350"/>
      <c r="AO93" s="2350"/>
      <c r="AP93" s="2350"/>
      <c r="AQ93" s="2350"/>
      <c r="AR93" s="2350"/>
      <c r="AS93" s="2350"/>
      <c r="AT93" s="2350"/>
      <c r="AU93" s="2350"/>
      <c r="AV93" s="2350"/>
      <c r="AW93" s="2350"/>
      <c r="AX93" s="2350"/>
      <c r="AY93" s="2350"/>
      <c r="AZ93" s="2350"/>
      <c r="BA93" s="2350"/>
      <c r="BB93" s="2351"/>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1905</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36" t="s">
        <v>2250</v>
      </c>
      <c r="Y96" s="2337"/>
      <c r="Z96" s="2337"/>
      <c r="AA96" s="2337"/>
      <c r="AB96" s="2337"/>
      <c r="AC96" s="2337"/>
      <c r="AD96" s="2337"/>
      <c r="AE96" s="2337"/>
      <c r="AF96" s="2337"/>
      <c r="AG96" s="2337"/>
      <c r="AH96" s="2337"/>
      <c r="AI96" s="2337"/>
      <c r="AJ96" s="2337"/>
      <c r="AK96" s="2337"/>
      <c r="AL96" s="2337"/>
      <c r="AM96" s="2337"/>
      <c r="AN96" s="2337"/>
      <c r="AO96" s="2337"/>
      <c r="AP96" s="2337"/>
      <c r="AQ96" s="2337"/>
      <c r="AR96" s="2337"/>
      <c r="AS96" s="2337"/>
      <c r="AT96" s="2337"/>
      <c r="AU96" s="2337"/>
      <c r="AV96" s="2337"/>
      <c r="AW96" s="2337"/>
      <c r="AX96" s="2337"/>
      <c r="AY96" s="2337"/>
      <c r="AZ96" s="2337"/>
      <c r="BA96" s="2337"/>
      <c r="BB96" s="2337"/>
      <c r="BC96" s="2337"/>
      <c r="BD96" s="2362"/>
      <c r="BE96" s="1213"/>
    </row>
    <row r="97" spans="1:57" ht="15.75" customHeight="1">
      <c r="A97" s="1207"/>
      <c r="B97" s="2364" t="s">
        <v>1756</v>
      </c>
      <c r="C97" s="2365"/>
      <c r="D97" s="2365"/>
      <c r="E97" s="2365"/>
      <c r="F97" s="2365"/>
      <c r="G97" s="2365"/>
      <c r="H97" s="2365"/>
      <c r="I97" s="2365"/>
      <c r="J97" s="2365"/>
      <c r="K97" s="2365"/>
      <c r="L97" s="2365"/>
      <c r="M97" s="2365"/>
      <c r="N97" s="2365"/>
      <c r="O97" s="2365"/>
      <c r="P97" s="2365"/>
      <c r="Q97" s="2365"/>
      <c r="R97" s="2365"/>
      <c r="S97" s="2365"/>
      <c r="T97" s="2365"/>
      <c r="U97" s="2366"/>
      <c r="V97" s="1207"/>
      <c r="W97" s="1207"/>
      <c r="X97" s="2338"/>
      <c r="Y97" s="2339"/>
      <c r="Z97" s="2339"/>
      <c r="AA97" s="2339"/>
      <c r="AB97" s="2339"/>
      <c r="AC97" s="2339"/>
      <c r="AD97" s="2339"/>
      <c r="AE97" s="2339"/>
      <c r="AF97" s="2339"/>
      <c r="AG97" s="2339"/>
      <c r="AH97" s="2339"/>
      <c r="AI97" s="2339"/>
      <c r="AJ97" s="2339"/>
      <c r="AK97" s="2339"/>
      <c r="AL97" s="2339"/>
      <c r="AM97" s="2339"/>
      <c r="AN97" s="2339"/>
      <c r="AO97" s="2339"/>
      <c r="AP97" s="2339"/>
      <c r="AQ97" s="2339"/>
      <c r="AR97" s="2339"/>
      <c r="AS97" s="2339"/>
      <c r="AT97" s="2339"/>
      <c r="AU97" s="2339"/>
      <c r="AV97" s="2339"/>
      <c r="AW97" s="2339"/>
      <c r="AX97" s="2339"/>
      <c r="AY97" s="2339"/>
      <c r="AZ97" s="2339"/>
      <c r="BA97" s="2339"/>
      <c r="BB97" s="2339"/>
      <c r="BC97" s="2339"/>
      <c r="BD97" s="2363"/>
      <c r="BE97" s="1213"/>
    </row>
    <row r="98" spans="1:57" ht="15.75" customHeight="1">
      <c r="A98" s="1207"/>
      <c r="B98" s="2358"/>
      <c r="C98" s="2359"/>
      <c r="D98" s="2359"/>
      <c r="E98" s="2359"/>
      <c r="F98" s="2359"/>
      <c r="G98" s="2359"/>
      <c r="H98" s="2359"/>
      <c r="I98" s="2270" t="s">
        <v>2251</v>
      </c>
      <c r="J98" s="2270"/>
      <c r="K98" s="2270"/>
      <c r="L98" s="2270"/>
      <c r="M98" s="2270"/>
      <c r="N98" s="2270"/>
      <c r="O98" s="2367" t="s">
        <v>2252</v>
      </c>
      <c r="P98" s="2367"/>
      <c r="Q98" s="2367"/>
      <c r="R98" s="2367"/>
      <c r="S98" s="2367"/>
      <c r="T98" s="2367"/>
      <c r="U98" s="2368"/>
      <c r="V98" s="1207"/>
      <c r="W98" s="1207"/>
      <c r="X98" s="2322" t="s">
        <v>2264</v>
      </c>
      <c r="Y98" s="2323"/>
      <c r="Z98" s="2323"/>
      <c r="AA98" s="2323"/>
      <c r="AB98" s="2323"/>
      <c r="AC98" s="2323"/>
      <c r="AD98" s="2323"/>
      <c r="AE98" s="2323"/>
      <c r="AF98" s="2323"/>
      <c r="AG98" s="2323"/>
      <c r="AH98" s="2323"/>
      <c r="AI98" s="2323"/>
      <c r="AJ98" s="2323"/>
      <c r="AK98" s="2323"/>
      <c r="AL98" s="2323"/>
      <c r="AM98" s="2323"/>
      <c r="AN98" s="2323"/>
      <c r="AO98" s="2323"/>
      <c r="AP98" s="2323"/>
      <c r="AQ98" s="2323"/>
      <c r="AR98" s="2323"/>
      <c r="AS98" s="2323"/>
      <c r="AT98" s="2323"/>
      <c r="AU98" s="2323"/>
      <c r="AV98" s="2323"/>
      <c r="AW98" s="2323"/>
      <c r="AX98" s="2323"/>
      <c r="AY98" s="2323"/>
      <c r="AZ98" s="2323"/>
      <c r="BA98" s="2323"/>
      <c r="BB98" s="2323"/>
      <c r="BC98" s="2323"/>
      <c r="BD98" s="2324"/>
      <c r="BE98" s="1213"/>
    </row>
    <row r="99" spans="1:57" ht="15.75" customHeight="1">
      <c r="A99" s="1207"/>
      <c r="B99" s="2369" t="s">
        <v>2253</v>
      </c>
      <c r="C99" s="2370"/>
      <c r="D99" s="2370"/>
      <c r="E99" s="2370"/>
      <c r="F99" s="2370"/>
      <c r="G99" s="2370"/>
      <c r="H99" s="2370"/>
      <c r="I99" s="2345">
        <v>0</v>
      </c>
      <c r="J99" s="2345"/>
      <c r="K99" s="2345"/>
      <c r="L99" s="2345"/>
      <c r="M99" s="2345"/>
      <c r="N99" s="2345"/>
      <c r="O99" s="2345">
        <v>0</v>
      </c>
      <c r="P99" s="2345"/>
      <c r="Q99" s="2345"/>
      <c r="R99" s="2345"/>
      <c r="S99" s="2345"/>
      <c r="T99" s="2345"/>
      <c r="U99" s="2354"/>
      <c r="V99" s="1207"/>
      <c r="W99" s="1207"/>
      <c r="X99" s="2322"/>
      <c r="Y99" s="2323"/>
      <c r="Z99" s="2323"/>
      <c r="AA99" s="2323"/>
      <c r="AB99" s="2323"/>
      <c r="AC99" s="2323"/>
      <c r="AD99" s="2323"/>
      <c r="AE99" s="2323"/>
      <c r="AF99" s="2323"/>
      <c r="AG99" s="2323"/>
      <c r="AH99" s="2323"/>
      <c r="AI99" s="2323"/>
      <c r="AJ99" s="2323"/>
      <c r="AK99" s="2323"/>
      <c r="AL99" s="2323"/>
      <c r="AM99" s="2323"/>
      <c r="AN99" s="2323"/>
      <c r="AO99" s="2323"/>
      <c r="AP99" s="2323"/>
      <c r="AQ99" s="2323"/>
      <c r="AR99" s="2323"/>
      <c r="AS99" s="2323"/>
      <c r="AT99" s="2323"/>
      <c r="AU99" s="2323"/>
      <c r="AV99" s="2323"/>
      <c r="AW99" s="2323"/>
      <c r="AX99" s="2323"/>
      <c r="AY99" s="2323"/>
      <c r="AZ99" s="2323"/>
      <c r="BA99" s="2323"/>
      <c r="BB99" s="2323"/>
      <c r="BC99" s="2323"/>
      <c r="BD99" s="2324"/>
      <c r="BE99" s="1213"/>
    </row>
    <row r="100" spans="1:57" ht="15.75" customHeight="1" thickBot="1">
      <c r="A100" s="1207"/>
      <c r="B100" s="2371" t="s">
        <v>2254</v>
      </c>
      <c r="C100" s="2372"/>
      <c r="D100" s="2372"/>
      <c r="E100" s="2372"/>
      <c r="F100" s="2372"/>
      <c r="G100" s="2372"/>
      <c r="H100" s="2372"/>
      <c r="I100" s="2352">
        <v>0</v>
      </c>
      <c r="J100" s="2352"/>
      <c r="K100" s="2352"/>
      <c r="L100" s="2352"/>
      <c r="M100" s="2352"/>
      <c r="N100" s="2352"/>
      <c r="O100" s="2356"/>
      <c r="P100" s="2356"/>
      <c r="Q100" s="2356"/>
      <c r="R100" s="2356"/>
      <c r="S100" s="2356"/>
      <c r="T100" s="2356"/>
      <c r="U100" s="2357"/>
      <c r="V100" s="1207"/>
      <c r="W100" s="1207"/>
      <c r="X100" s="2322"/>
      <c r="Y100" s="2323"/>
      <c r="Z100" s="2323"/>
      <c r="AA100" s="2323"/>
      <c r="AB100" s="2323"/>
      <c r="AC100" s="2323"/>
      <c r="AD100" s="2323"/>
      <c r="AE100" s="2323"/>
      <c r="AF100" s="2323"/>
      <c r="AG100" s="2323"/>
      <c r="AH100" s="2323"/>
      <c r="AI100" s="2323"/>
      <c r="AJ100" s="2323"/>
      <c r="AK100" s="2323"/>
      <c r="AL100" s="2323"/>
      <c r="AM100" s="2323"/>
      <c r="AN100" s="2323"/>
      <c r="AO100" s="2323"/>
      <c r="AP100" s="2323"/>
      <c r="AQ100" s="2323"/>
      <c r="AR100" s="2323"/>
      <c r="AS100" s="2323"/>
      <c r="AT100" s="2323"/>
      <c r="AU100" s="2323"/>
      <c r="AV100" s="2323"/>
      <c r="AW100" s="2323"/>
      <c r="AX100" s="2323"/>
      <c r="AY100" s="2323"/>
      <c r="AZ100" s="2323"/>
      <c r="BA100" s="2323"/>
      <c r="BB100" s="2323"/>
      <c r="BC100" s="2323"/>
      <c r="BD100" s="232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22"/>
      <c r="Y101" s="2323"/>
      <c r="Z101" s="2323"/>
      <c r="AA101" s="2323"/>
      <c r="AB101" s="2323"/>
      <c r="AC101" s="2323"/>
      <c r="AD101" s="2323"/>
      <c r="AE101" s="2323"/>
      <c r="AF101" s="2323"/>
      <c r="AG101" s="2323"/>
      <c r="AH101" s="2323"/>
      <c r="AI101" s="2323"/>
      <c r="AJ101" s="2323"/>
      <c r="AK101" s="2323"/>
      <c r="AL101" s="2323"/>
      <c r="AM101" s="2323"/>
      <c r="AN101" s="2323"/>
      <c r="AO101" s="2323"/>
      <c r="AP101" s="2323"/>
      <c r="AQ101" s="2323"/>
      <c r="AR101" s="2323"/>
      <c r="AS101" s="2323"/>
      <c r="AT101" s="2323"/>
      <c r="AU101" s="2323"/>
      <c r="AV101" s="2323"/>
      <c r="AW101" s="2323"/>
      <c r="AX101" s="2323"/>
      <c r="AY101" s="2323"/>
      <c r="AZ101" s="2323"/>
      <c r="BA101" s="2323"/>
      <c r="BB101" s="2323"/>
      <c r="BC101" s="2323"/>
      <c r="BD101" s="2324"/>
      <c r="BE101" s="1213"/>
    </row>
    <row r="102" spans="1:57" ht="15.75" customHeight="1">
      <c r="A102" s="1207"/>
      <c r="B102" s="1221" t="s">
        <v>1906</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22"/>
      <c r="Y102" s="2323"/>
      <c r="Z102" s="2323"/>
      <c r="AA102" s="2323"/>
      <c r="AB102" s="2323"/>
      <c r="AC102" s="2323"/>
      <c r="AD102" s="2323"/>
      <c r="AE102" s="2323"/>
      <c r="AF102" s="2323"/>
      <c r="AG102" s="2323"/>
      <c r="AH102" s="2323"/>
      <c r="AI102" s="2323"/>
      <c r="AJ102" s="2323"/>
      <c r="AK102" s="2323"/>
      <c r="AL102" s="2323"/>
      <c r="AM102" s="2323"/>
      <c r="AN102" s="2323"/>
      <c r="AO102" s="2323"/>
      <c r="AP102" s="2323"/>
      <c r="AQ102" s="2323"/>
      <c r="AR102" s="2323"/>
      <c r="AS102" s="2323"/>
      <c r="AT102" s="2323"/>
      <c r="AU102" s="2323"/>
      <c r="AV102" s="2323"/>
      <c r="AW102" s="2323"/>
      <c r="AX102" s="2323"/>
      <c r="AY102" s="2323"/>
      <c r="AZ102" s="2323"/>
      <c r="BA102" s="2323"/>
      <c r="BB102" s="2323"/>
      <c r="BC102" s="2323"/>
      <c r="BD102" s="232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22"/>
      <c r="Y103" s="2323"/>
      <c r="Z103" s="2323"/>
      <c r="AA103" s="2323"/>
      <c r="AB103" s="2323"/>
      <c r="AC103" s="2323"/>
      <c r="AD103" s="2323"/>
      <c r="AE103" s="2323"/>
      <c r="AF103" s="2323"/>
      <c r="AG103" s="2323"/>
      <c r="AH103" s="2323"/>
      <c r="AI103" s="2323"/>
      <c r="AJ103" s="2323"/>
      <c r="AK103" s="2323"/>
      <c r="AL103" s="2323"/>
      <c r="AM103" s="2323"/>
      <c r="AN103" s="2323"/>
      <c r="AO103" s="2323"/>
      <c r="AP103" s="2323"/>
      <c r="AQ103" s="2323"/>
      <c r="AR103" s="2323"/>
      <c r="AS103" s="2323"/>
      <c r="AT103" s="2323"/>
      <c r="AU103" s="2323"/>
      <c r="AV103" s="2323"/>
      <c r="AW103" s="2323"/>
      <c r="AX103" s="2323"/>
      <c r="AY103" s="2323"/>
      <c r="AZ103" s="2323"/>
      <c r="BA103" s="2323"/>
      <c r="BB103" s="2323"/>
      <c r="BC103" s="2323"/>
      <c r="BD103" s="2324"/>
      <c r="BE103" s="1213"/>
    </row>
    <row r="104" spans="1:57" ht="15.75" customHeight="1">
      <c r="A104" s="1207"/>
      <c r="B104" s="2203" t="s">
        <v>1907</v>
      </c>
      <c r="C104" s="2204"/>
      <c r="D104" s="2204"/>
      <c r="E104" s="2204"/>
      <c r="F104" s="2204"/>
      <c r="G104" s="2204"/>
      <c r="H104" s="2204"/>
      <c r="I104" s="2204"/>
      <c r="J104" s="2204"/>
      <c r="K104" s="2204"/>
      <c r="L104" s="2204"/>
      <c r="M104" s="2204"/>
      <c r="N104" s="2204"/>
      <c r="O104" s="2204"/>
      <c r="P104" s="2204"/>
      <c r="Q104" s="2204"/>
      <c r="R104" s="2204"/>
      <c r="S104" s="2204"/>
      <c r="T104" s="2204"/>
      <c r="U104" s="2205"/>
      <c r="V104" s="1207"/>
      <c r="W104" s="1207"/>
      <c r="X104" s="2322"/>
      <c r="Y104" s="2323"/>
      <c r="Z104" s="2323"/>
      <c r="AA104" s="2323"/>
      <c r="AB104" s="2323"/>
      <c r="AC104" s="2323"/>
      <c r="AD104" s="2323"/>
      <c r="AE104" s="2323"/>
      <c r="AF104" s="2323"/>
      <c r="AG104" s="2323"/>
      <c r="AH104" s="2323"/>
      <c r="AI104" s="2323"/>
      <c r="AJ104" s="2323"/>
      <c r="AK104" s="2323"/>
      <c r="AL104" s="2323"/>
      <c r="AM104" s="2323"/>
      <c r="AN104" s="2323"/>
      <c r="AO104" s="2323"/>
      <c r="AP104" s="2323"/>
      <c r="AQ104" s="2323"/>
      <c r="AR104" s="2323"/>
      <c r="AS104" s="2323"/>
      <c r="AT104" s="2323"/>
      <c r="AU104" s="2323"/>
      <c r="AV104" s="2323"/>
      <c r="AW104" s="2323"/>
      <c r="AX104" s="2323"/>
      <c r="AY104" s="2323"/>
      <c r="AZ104" s="2323"/>
      <c r="BA104" s="2323"/>
      <c r="BB104" s="2323"/>
      <c r="BC104" s="2323"/>
      <c r="BD104" s="2324"/>
      <c r="BE104" s="1213"/>
    </row>
    <row r="105" spans="1:57" ht="15.75" customHeight="1">
      <c r="A105" s="1207"/>
      <c r="B105" s="2358"/>
      <c r="C105" s="2359"/>
      <c r="D105" s="2359"/>
      <c r="E105" s="2359"/>
      <c r="F105" s="2359"/>
      <c r="G105" s="2359"/>
      <c r="H105" s="2359"/>
      <c r="I105" s="2360" t="s">
        <v>1900</v>
      </c>
      <c r="J105" s="2360"/>
      <c r="K105" s="2360"/>
      <c r="L105" s="2360"/>
      <c r="M105" s="2360"/>
      <c r="N105" s="2360"/>
      <c r="O105" s="2360"/>
      <c r="P105" s="2360" t="s">
        <v>2265</v>
      </c>
      <c r="Q105" s="2360"/>
      <c r="R105" s="2360"/>
      <c r="S105" s="2360"/>
      <c r="T105" s="2360"/>
      <c r="U105" s="2361"/>
      <c r="V105" s="1207"/>
      <c r="W105" s="1207"/>
      <c r="X105" s="2322"/>
      <c r="Y105" s="2323"/>
      <c r="Z105" s="2323"/>
      <c r="AA105" s="2323"/>
      <c r="AB105" s="2323"/>
      <c r="AC105" s="2323"/>
      <c r="AD105" s="2323"/>
      <c r="AE105" s="2323"/>
      <c r="AF105" s="2323"/>
      <c r="AG105" s="2323"/>
      <c r="AH105" s="2323"/>
      <c r="AI105" s="2323"/>
      <c r="AJ105" s="2323"/>
      <c r="AK105" s="2323"/>
      <c r="AL105" s="2323"/>
      <c r="AM105" s="2323"/>
      <c r="AN105" s="2323"/>
      <c r="AO105" s="2323"/>
      <c r="AP105" s="2323"/>
      <c r="AQ105" s="2323"/>
      <c r="AR105" s="2323"/>
      <c r="AS105" s="2323"/>
      <c r="AT105" s="2323"/>
      <c r="AU105" s="2323"/>
      <c r="AV105" s="2323"/>
      <c r="AW105" s="2323"/>
      <c r="AX105" s="2323"/>
      <c r="AY105" s="2323"/>
      <c r="AZ105" s="2323"/>
      <c r="BA105" s="2323"/>
      <c r="BB105" s="2323"/>
      <c r="BC105" s="2323"/>
      <c r="BD105" s="2324"/>
      <c r="BE105" s="1213"/>
    </row>
    <row r="106" spans="1:57" ht="15.75" customHeight="1">
      <c r="A106" s="1207"/>
      <c r="B106" s="2358"/>
      <c r="C106" s="2359"/>
      <c r="D106" s="2359"/>
      <c r="E106" s="2359"/>
      <c r="F106" s="2359"/>
      <c r="G106" s="2359"/>
      <c r="H106" s="2359"/>
      <c r="I106" s="2360"/>
      <c r="J106" s="2360"/>
      <c r="K106" s="2360"/>
      <c r="L106" s="2360"/>
      <c r="M106" s="2360"/>
      <c r="N106" s="2360"/>
      <c r="O106" s="2360"/>
      <c r="P106" s="2360"/>
      <c r="Q106" s="2360"/>
      <c r="R106" s="2360"/>
      <c r="S106" s="2360"/>
      <c r="T106" s="2360"/>
      <c r="U106" s="2361"/>
      <c r="V106" s="1207"/>
      <c r="W106" s="1207"/>
      <c r="X106" s="2322"/>
      <c r="Y106" s="2323"/>
      <c r="Z106" s="2323"/>
      <c r="AA106" s="2323"/>
      <c r="AB106" s="2323"/>
      <c r="AC106" s="2323"/>
      <c r="AD106" s="2323"/>
      <c r="AE106" s="2323"/>
      <c r="AF106" s="2323"/>
      <c r="AG106" s="2323"/>
      <c r="AH106" s="2323"/>
      <c r="AI106" s="2323"/>
      <c r="AJ106" s="2323"/>
      <c r="AK106" s="2323"/>
      <c r="AL106" s="2323"/>
      <c r="AM106" s="2323"/>
      <c r="AN106" s="2323"/>
      <c r="AO106" s="2323"/>
      <c r="AP106" s="2323"/>
      <c r="AQ106" s="2323"/>
      <c r="AR106" s="2323"/>
      <c r="AS106" s="2323"/>
      <c r="AT106" s="2323"/>
      <c r="AU106" s="2323"/>
      <c r="AV106" s="2323"/>
      <c r="AW106" s="2323"/>
      <c r="AX106" s="2323"/>
      <c r="AY106" s="2323"/>
      <c r="AZ106" s="2323"/>
      <c r="BA106" s="2323"/>
      <c r="BB106" s="2323"/>
      <c r="BC106" s="2323"/>
      <c r="BD106" s="2324"/>
      <c r="BE106" s="1213"/>
    </row>
    <row r="107" spans="1:57" ht="15.75" customHeight="1">
      <c r="A107" s="1207"/>
      <c r="B107" s="2369" t="s">
        <v>2253</v>
      </c>
      <c r="C107" s="2370"/>
      <c r="D107" s="2370"/>
      <c r="E107" s="2370"/>
      <c r="F107" s="2370"/>
      <c r="G107" s="2370"/>
      <c r="H107" s="2370"/>
      <c r="I107" s="2345">
        <v>0</v>
      </c>
      <c r="J107" s="2345"/>
      <c r="K107" s="2345"/>
      <c r="L107" s="2345"/>
      <c r="M107" s="2345"/>
      <c r="N107" s="2345"/>
      <c r="O107" s="2345"/>
      <c r="P107" s="2345">
        <v>0</v>
      </c>
      <c r="Q107" s="2345"/>
      <c r="R107" s="2345"/>
      <c r="S107" s="2345"/>
      <c r="T107" s="2345"/>
      <c r="U107" s="2354"/>
      <c r="V107" s="1207"/>
      <c r="W107" s="1207"/>
      <c r="X107" s="2322"/>
      <c r="Y107" s="2323"/>
      <c r="Z107" s="2323"/>
      <c r="AA107" s="2323"/>
      <c r="AB107" s="2323"/>
      <c r="AC107" s="2323"/>
      <c r="AD107" s="2323"/>
      <c r="AE107" s="2323"/>
      <c r="AF107" s="2323"/>
      <c r="AG107" s="2323"/>
      <c r="AH107" s="2323"/>
      <c r="AI107" s="2323"/>
      <c r="AJ107" s="2323"/>
      <c r="AK107" s="2323"/>
      <c r="AL107" s="2323"/>
      <c r="AM107" s="2323"/>
      <c r="AN107" s="2323"/>
      <c r="AO107" s="2323"/>
      <c r="AP107" s="2323"/>
      <c r="AQ107" s="2323"/>
      <c r="AR107" s="2323"/>
      <c r="AS107" s="2323"/>
      <c r="AT107" s="2323"/>
      <c r="AU107" s="2323"/>
      <c r="AV107" s="2323"/>
      <c r="AW107" s="2323"/>
      <c r="AX107" s="2323"/>
      <c r="AY107" s="2323"/>
      <c r="AZ107" s="2323"/>
      <c r="BA107" s="2323"/>
      <c r="BB107" s="2323"/>
      <c r="BC107" s="2323"/>
      <c r="BD107" s="2324"/>
      <c r="BE107" s="1213"/>
    </row>
    <row r="108" spans="1:57" ht="15.75" customHeight="1" thickBot="1">
      <c r="A108" s="1207"/>
      <c r="B108" s="2371" t="s">
        <v>2254</v>
      </c>
      <c r="C108" s="2372"/>
      <c r="D108" s="2372"/>
      <c r="E108" s="2372"/>
      <c r="F108" s="2372"/>
      <c r="G108" s="2372"/>
      <c r="H108" s="2372"/>
      <c r="I108" s="2352">
        <v>0</v>
      </c>
      <c r="J108" s="2352"/>
      <c r="K108" s="2352"/>
      <c r="L108" s="2352"/>
      <c r="M108" s="2352"/>
      <c r="N108" s="2352"/>
      <c r="O108" s="2352"/>
      <c r="P108" s="2352">
        <v>0</v>
      </c>
      <c r="Q108" s="2352"/>
      <c r="R108" s="2352"/>
      <c r="S108" s="2352"/>
      <c r="T108" s="2352"/>
      <c r="U108" s="2353"/>
      <c r="V108" s="1207"/>
      <c r="W108" s="1207"/>
      <c r="X108" s="2325"/>
      <c r="Y108" s="2326"/>
      <c r="Z108" s="2326"/>
      <c r="AA108" s="2326"/>
      <c r="AB108" s="2326"/>
      <c r="AC108" s="2326"/>
      <c r="AD108" s="2326"/>
      <c r="AE108" s="2326"/>
      <c r="AF108" s="2326"/>
      <c r="AG108" s="2326"/>
      <c r="AH108" s="2326"/>
      <c r="AI108" s="2326"/>
      <c r="AJ108" s="2326"/>
      <c r="AK108" s="2326"/>
      <c r="AL108" s="2326"/>
      <c r="AM108" s="2326"/>
      <c r="AN108" s="2326"/>
      <c r="AO108" s="2326"/>
      <c r="AP108" s="2326"/>
      <c r="AQ108" s="2326"/>
      <c r="AR108" s="2326"/>
      <c r="AS108" s="2326"/>
      <c r="AT108" s="2326"/>
      <c r="AU108" s="2326"/>
      <c r="AV108" s="2326"/>
      <c r="AW108" s="2326"/>
      <c r="AX108" s="2326"/>
      <c r="AY108" s="2326"/>
      <c r="AZ108" s="2326"/>
      <c r="BA108" s="2326"/>
      <c r="BB108" s="2326"/>
      <c r="BC108" s="2326"/>
      <c r="BD108" s="232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73" t="s">
        <v>1908</v>
      </c>
      <c r="C110" s="2374"/>
      <c r="D110" s="2374"/>
      <c r="E110" s="2374"/>
      <c r="F110" s="2374"/>
      <c r="G110" s="2374"/>
      <c r="H110" s="2374"/>
      <c r="I110" s="2374"/>
      <c r="J110" s="2374"/>
      <c r="K110" s="2374"/>
      <c r="L110" s="2374"/>
      <c r="M110" s="2374"/>
      <c r="N110" s="2374"/>
      <c r="O110" s="2374"/>
      <c r="P110" s="2374"/>
      <c r="Q110" s="2374"/>
      <c r="R110" s="2374"/>
      <c r="S110" s="2374"/>
      <c r="T110" s="2374"/>
      <c r="U110" s="2374"/>
      <c r="V110" s="2374"/>
      <c r="W110" s="2374"/>
      <c r="X110" s="2374"/>
      <c r="Y110" s="2374"/>
      <c r="Z110" s="2374"/>
      <c r="AA110" s="2374"/>
      <c r="AB110" s="2374"/>
      <c r="AC110" s="2374"/>
      <c r="AD110" s="2374"/>
      <c r="AE110" s="2374"/>
      <c r="AF110" s="2374"/>
      <c r="AG110" s="2374"/>
      <c r="AH110" s="2294" t="s">
        <v>555</v>
      </c>
      <c r="AI110" s="2294"/>
      <c r="AJ110" s="2294"/>
      <c r="AK110" s="2294"/>
      <c r="AL110" s="2294"/>
      <c r="AM110" s="2294"/>
      <c r="AN110" s="2294"/>
      <c r="AO110" s="2294"/>
      <c r="AP110" s="2294"/>
      <c r="AQ110" s="2294"/>
      <c r="AR110" s="2294"/>
      <c r="AS110" s="2294"/>
      <c r="AT110" s="2294"/>
      <c r="AU110" s="2294"/>
      <c r="AV110" s="2294"/>
      <c r="AW110" s="2294"/>
      <c r="AX110" s="2295"/>
      <c r="AY110" s="1207"/>
      <c r="AZ110" s="1207"/>
      <c r="BA110" s="1207"/>
      <c r="BB110" s="1207"/>
      <c r="BC110" s="1207"/>
      <c r="BD110" s="1207"/>
      <c r="BE110" s="1213"/>
    </row>
    <row r="111" spans="1:57" ht="15.75" customHeight="1">
      <c r="A111" s="1207"/>
      <c r="B111" s="2375" t="s">
        <v>1909</v>
      </c>
      <c r="C111" s="2376"/>
      <c r="D111" s="2376"/>
      <c r="E111" s="2376"/>
      <c r="F111" s="2376"/>
      <c r="G111" s="2376"/>
      <c r="H111" s="2376"/>
      <c r="I111" s="2376"/>
      <c r="J111" s="2376"/>
      <c r="K111" s="2376"/>
      <c r="L111" s="2376"/>
      <c r="M111" s="2376"/>
      <c r="N111" s="2376"/>
      <c r="O111" s="2376"/>
      <c r="P111" s="2376"/>
      <c r="Q111" s="2376"/>
      <c r="R111" s="2377" t="s">
        <v>2267</v>
      </c>
      <c r="S111" s="2377"/>
      <c r="T111" s="2377"/>
      <c r="U111" s="2377"/>
      <c r="V111" s="2377"/>
      <c r="W111" s="2377"/>
      <c r="X111" s="2377"/>
      <c r="Y111" s="2377"/>
      <c r="Z111" s="2377"/>
      <c r="AA111" s="2377"/>
      <c r="AB111" s="2377"/>
      <c r="AC111" s="2377"/>
      <c r="AD111" s="2377"/>
      <c r="AE111" s="2377"/>
      <c r="AF111" s="2377"/>
      <c r="AG111" s="2377"/>
      <c r="AH111" s="2377"/>
      <c r="AI111" s="2377"/>
      <c r="AJ111" s="2377"/>
      <c r="AK111" s="2377"/>
      <c r="AL111" s="2377"/>
      <c r="AM111" s="2377"/>
      <c r="AN111" s="2377"/>
      <c r="AO111" s="2377"/>
      <c r="AP111" s="2377"/>
      <c r="AQ111" s="2377"/>
      <c r="AR111" s="2377"/>
      <c r="AS111" s="2377"/>
      <c r="AT111" s="2377"/>
      <c r="AU111" s="2377"/>
      <c r="AV111" s="2377"/>
      <c r="AW111" s="2377"/>
      <c r="AX111" s="2378"/>
      <c r="AY111" s="1207"/>
      <c r="AZ111" s="1207"/>
      <c r="BA111" s="1207"/>
      <c r="BB111" s="1207"/>
      <c r="BC111" s="1207" t="s">
        <v>252</v>
      </c>
      <c r="BD111" s="1207"/>
      <c r="BE111" s="1213"/>
    </row>
    <row r="112" spans="1:57" ht="15.75" customHeight="1">
      <c r="A112" s="1207"/>
      <c r="B112" s="2379" t="s">
        <v>2268</v>
      </c>
      <c r="C112" s="2380"/>
      <c r="D112" s="2380"/>
      <c r="E112" s="2380"/>
      <c r="F112" s="2380"/>
      <c r="G112" s="2380"/>
      <c r="H112" s="2380"/>
      <c r="I112" s="2380"/>
      <c r="J112" s="2380"/>
      <c r="K112" s="2380"/>
      <c r="L112" s="2380"/>
      <c r="M112" s="2380"/>
      <c r="N112" s="2380"/>
      <c r="O112" s="2380"/>
      <c r="P112" s="2380"/>
      <c r="Q112" s="2380"/>
      <c r="R112" s="2380"/>
      <c r="S112" s="2380"/>
      <c r="T112" s="2380"/>
      <c r="U112" s="2380"/>
      <c r="V112" s="2380"/>
      <c r="W112" s="2380"/>
      <c r="X112" s="2380"/>
      <c r="Y112" s="2380"/>
      <c r="Z112" s="2380"/>
      <c r="AA112" s="2380"/>
      <c r="AB112" s="2380"/>
      <c r="AC112" s="2380"/>
      <c r="AD112" s="2380"/>
      <c r="AE112" s="2380"/>
      <c r="AF112" s="2380"/>
      <c r="AG112" s="2380"/>
      <c r="AH112" s="2380"/>
      <c r="AI112" s="2380"/>
      <c r="AJ112" s="2380"/>
      <c r="AK112" s="2380"/>
      <c r="AL112" s="2380"/>
      <c r="AM112" s="2380"/>
      <c r="AN112" s="2380"/>
      <c r="AO112" s="2380"/>
      <c r="AP112" s="2380"/>
      <c r="AQ112" s="2380"/>
      <c r="AR112" s="2380"/>
      <c r="AS112" s="2380"/>
      <c r="AT112" s="2380"/>
      <c r="AU112" s="2380"/>
      <c r="AV112" s="2380"/>
      <c r="AW112" s="2380"/>
      <c r="AX112" s="2381"/>
      <c r="AY112" s="1207"/>
      <c r="AZ112" s="1207"/>
      <c r="BA112" s="1207"/>
      <c r="BB112" s="1207"/>
      <c r="BC112" s="1207"/>
      <c r="BD112" s="1207"/>
      <c r="BE112" s="1213"/>
    </row>
    <row r="113" spans="1:57" ht="15.75" customHeight="1">
      <c r="A113" s="1207"/>
      <c r="B113" s="2379"/>
      <c r="C113" s="2380"/>
      <c r="D113" s="2380"/>
      <c r="E113" s="2380"/>
      <c r="F113" s="2380"/>
      <c r="G113" s="2380"/>
      <c r="H113" s="2380"/>
      <c r="I113" s="2380"/>
      <c r="J113" s="2380"/>
      <c r="K113" s="2380"/>
      <c r="L113" s="2380"/>
      <c r="M113" s="2380"/>
      <c r="N113" s="2380"/>
      <c r="O113" s="2380"/>
      <c r="P113" s="2380"/>
      <c r="Q113" s="2380"/>
      <c r="R113" s="2380"/>
      <c r="S113" s="2380"/>
      <c r="T113" s="2380"/>
      <c r="U113" s="2380"/>
      <c r="V113" s="2380"/>
      <c r="W113" s="2380"/>
      <c r="X113" s="2380"/>
      <c r="Y113" s="2380"/>
      <c r="Z113" s="2380"/>
      <c r="AA113" s="2380"/>
      <c r="AB113" s="2380"/>
      <c r="AC113" s="2380"/>
      <c r="AD113" s="2380"/>
      <c r="AE113" s="2380"/>
      <c r="AF113" s="2380"/>
      <c r="AG113" s="2380"/>
      <c r="AH113" s="2380"/>
      <c r="AI113" s="2380"/>
      <c r="AJ113" s="2380"/>
      <c r="AK113" s="2380"/>
      <c r="AL113" s="2380"/>
      <c r="AM113" s="2380"/>
      <c r="AN113" s="2380"/>
      <c r="AO113" s="2380"/>
      <c r="AP113" s="2380"/>
      <c r="AQ113" s="2380"/>
      <c r="AR113" s="2380"/>
      <c r="AS113" s="2380"/>
      <c r="AT113" s="2380"/>
      <c r="AU113" s="2380"/>
      <c r="AV113" s="2380"/>
      <c r="AW113" s="2380"/>
      <c r="AX113" s="2381"/>
      <c r="AY113" s="1207"/>
      <c r="AZ113" s="1207"/>
      <c r="BA113" s="1207"/>
      <c r="BB113" s="1207"/>
      <c r="BC113" s="1207"/>
      <c r="BD113" s="1207"/>
      <c r="BE113" s="1213"/>
    </row>
    <row r="114" spans="1:57" ht="15.75" customHeight="1">
      <c r="A114" s="1207"/>
      <c r="B114" s="2379"/>
      <c r="C114" s="2380"/>
      <c r="D114" s="2380"/>
      <c r="E114" s="2380"/>
      <c r="F114" s="2380"/>
      <c r="G114" s="2380"/>
      <c r="H114" s="2380"/>
      <c r="I114" s="2380"/>
      <c r="J114" s="2380"/>
      <c r="K114" s="2380"/>
      <c r="L114" s="2380"/>
      <c r="M114" s="2380"/>
      <c r="N114" s="2380"/>
      <c r="O114" s="2380"/>
      <c r="P114" s="2380"/>
      <c r="Q114" s="2380"/>
      <c r="R114" s="2380"/>
      <c r="S114" s="2380"/>
      <c r="T114" s="2380"/>
      <c r="U114" s="2380"/>
      <c r="V114" s="2380"/>
      <c r="W114" s="2380"/>
      <c r="X114" s="2380"/>
      <c r="Y114" s="2380"/>
      <c r="Z114" s="2380"/>
      <c r="AA114" s="2380"/>
      <c r="AB114" s="2380"/>
      <c r="AC114" s="2380"/>
      <c r="AD114" s="2380"/>
      <c r="AE114" s="2380"/>
      <c r="AF114" s="2380"/>
      <c r="AG114" s="2380"/>
      <c r="AH114" s="2380"/>
      <c r="AI114" s="2380"/>
      <c r="AJ114" s="2380"/>
      <c r="AK114" s="2380"/>
      <c r="AL114" s="2380"/>
      <c r="AM114" s="2380"/>
      <c r="AN114" s="2380"/>
      <c r="AO114" s="2380"/>
      <c r="AP114" s="2380"/>
      <c r="AQ114" s="2380"/>
      <c r="AR114" s="2380"/>
      <c r="AS114" s="2380"/>
      <c r="AT114" s="2380"/>
      <c r="AU114" s="2380"/>
      <c r="AV114" s="2380"/>
      <c r="AW114" s="2380"/>
      <c r="AX114" s="2381"/>
      <c r="AY114" s="1207"/>
      <c r="AZ114" s="1207"/>
      <c r="BA114" s="1207"/>
      <c r="BB114" s="1207"/>
      <c r="BC114" s="1207"/>
      <c r="BD114" s="1207"/>
      <c r="BE114" s="1213"/>
    </row>
    <row r="115" spans="1:57" ht="15.75" customHeight="1">
      <c r="A115" s="1207"/>
      <c r="B115" s="2379"/>
      <c r="C115" s="2380"/>
      <c r="D115" s="2380"/>
      <c r="E115" s="2380"/>
      <c r="F115" s="2380"/>
      <c r="G115" s="2380"/>
      <c r="H115" s="2380"/>
      <c r="I115" s="2380"/>
      <c r="J115" s="2380"/>
      <c r="K115" s="2380"/>
      <c r="L115" s="2380"/>
      <c r="M115" s="2380"/>
      <c r="N115" s="2380"/>
      <c r="O115" s="2380"/>
      <c r="P115" s="2380"/>
      <c r="Q115" s="2380"/>
      <c r="R115" s="2380"/>
      <c r="S115" s="2380"/>
      <c r="T115" s="2380"/>
      <c r="U115" s="2380"/>
      <c r="V115" s="2380"/>
      <c r="W115" s="2380"/>
      <c r="X115" s="2380"/>
      <c r="Y115" s="2380"/>
      <c r="Z115" s="2380"/>
      <c r="AA115" s="2380"/>
      <c r="AB115" s="2380"/>
      <c r="AC115" s="2380"/>
      <c r="AD115" s="2380"/>
      <c r="AE115" s="2380"/>
      <c r="AF115" s="2380"/>
      <c r="AG115" s="2380"/>
      <c r="AH115" s="2380"/>
      <c r="AI115" s="2380"/>
      <c r="AJ115" s="2380"/>
      <c r="AK115" s="2380"/>
      <c r="AL115" s="2380"/>
      <c r="AM115" s="2380"/>
      <c r="AN115" s="2380"/>
      <c r="AO115" s="2380"/>
      <c r="AP115" s="2380"/>
      <c r="AQ115" s="2380"/>
      <c r="AR115" s="2380"/>
      <c r="AS115" s="2380"/>
      <c r="AT115" s="2380"/>
      <c r="AU115" s="2380"/>
      <c r="AV115" s="2380"/>
      <c r="AW115" s="2380"/>
      <c r="AX115" s="2381"/>
      <c r="AY115" s="1207"/>
      <c r="AZ115" s="1207"/>
      <c r="BA115" s="1207"/>
      <c r="BB115" s="1207"/>
      <c r="BC115" s="1207"/>
      <c r="BD115" s="1207"/>
      <c r="BE115" s="1213"/>
    </row>
    <row r="116" spans="1:57" ht="15.75" customHeight="1">
      <c r="A116" s="1207"/>
      <c r="B116" s="2379"/>
      <c r="C116" s="2380"/>
      <c r="D116" s="2380"/>
      <c r="E116" s="2380"/>
      <c r="F116" s="2380"/>
      <c r="G116" s="2380"/>
      <c r="H116" s="2380"/>
      <c r="I116" s="2380"/>
      <c r="J116" s="2380"/>
      <c r="K116" s="2380"/>
      <c r="L116" s="2380"/>
      <c r="M116" s="2380"/>
      <c r="N116" s="2380"/>
      <c r="O116" s="2380"/>
      <c r="P116" s="2380"/>
      <c r="Q116" s="2380"/>
      <c r="R116" s="2380"/>
      <c r="S116" s="2380"/>
      <c r="T116" s="2380"/>
      <c r="U116" s="2380"/>
      <c r="V116" s="2380"/>
      <c r="W116" s="2380"/>
      <c r="X116" s="2380"/>
      <c r="Y116" s="2380"/>
      <c r="Z116" s="2380"/>
      <c r="AA116" s="2380"/>
      <c r="AB116" s="2380"/>
      <c r="AC116" s="2380"/>
      <c r="AD116" s="2380"/>
      <c r="AE116" s="2380"/>
      <c r="AF116" s="2380"/>
      <c r="AG116" s="2380"/>
      <c r="AH116" s="2380"/>
      <c r="AI116" s="2380"/>
      <c r="AJ116" s="2380"/>
      <c r="AK116" s="2380"/>
      <c r="AL116" s="2380"/>
      <c r="AM116" s="2380"/>
      <c r="AN116" s="2380"/>
      <c r="AO116" s="2380"/>
      <c r="AP116" s="2380"/>
      <c r="AQ116" s="2380"/>
      <c r="AR116" s="2380"/>
      <c r="AS116" s="2380"/>
      <c r="AT116" s="2380"/>
      <c r="AU116" s="2380"/>
      <c r="AV116" s="2380"/>
      <c r="AW116" s="2380"/>
      <c r="AX116" s="2381"/>
      <c r="AY116" s="1207"/>
      <c r="AZ116" s="1207"/>
      <c r="BA116" s="1207"/>
      <c r="BB116" s="1207"/>
      <c r="BC116" s="1207"/>
      <c r="BD116" s="1207"/>
      <c r="BE116" s="1213"/>
    </row>
    <row r="117" spans="1:57" ht="15.75" customHeight="1">
      <c r="A117" s="1207"/>
      <c r="B117" s="2379"/>
      <c r="C117" s="2380"/>
      <c r="D117" s="2380"/>
      <c r="E117" s="2380"/>
      <c r="F117" s="2380"/>
      <c r="G117" s="2380"/>
      <c r="H117" s="2380"/>
      <c r="I117" s="2380"/>
      <c r="J117" s="2380"/>
      <c r="K117" s="2380"/>
      <c r="L117" s="2380"/>
      <c r="M117" s="2380"/>
      <c r="N117" s="2380"/>
      <c r="O117" s="2380"/>
      <c r="P117" s="2380"/>
      <c r="Q117" s="2380"/>
      <c r="R117" s="2380"/>
      <c r="S117" s="2380"/>
      <c r="T117" s="2380"/>
      <c r="U117" s="2380"/>
      <c r="V117" s="2380"/>
      <c r="W117" s="2380"/>
      <c r="X117" s="2380"/>
      <c r="Y117" s="2380"/>
      <c r="Z117" s="2380"/>
      <c r="AA117" s="2380"/>
      <c r="AB117" s="2380"/>
      <c r="AC117" s="2380"/>
      <c r="AD117" s="2380"/>
      <c r="AE117" s="2380"/>
      <c r="AF117" s="2380"/>
      <c r="AG117" s="2380"/>
      <c r="AH117" s="2380"/>
      <c r="AI117" s="2380"/>
      <c r="AJ117" s="2380"/>
      <c r="AK117" s="2380"/>
      <c r="AL117" s="2380"/>
      <c r="AM117" s="2380"/>
      <c r="AN117" s="2380"/>
      <c r="AO117" s="2380"/>
      <c r="AP117" s="2380"/>
      <c r="AQ117" s="2380"/>
      <c r="AR117" s="2380"/>
      <c r="AS117" s="2380"/>
      <c r="AT117" s="2380"/>
      <c r="AU117" s="2380"/>
      <c r="AV117" s="2380"/>
      <c r="AW117" s="2380"/>
      <c r="AX117" s="2381"/>
      <c r="AY117" s="1207"/>
      <c r="AZ117" s="1207"/>
      <c r="BA117" s="1207"/>
      <c r="BB117" s="1207"/>
      <c r="BC117" s="1207"/>
      <c r="BD117" s="1207"/>
      <c r="BE117" s="1213"/>
    </row>
    <row r="118" spans="1:57" ht="15.75" customHeight="1">
      <c r="A118" s="1207"/>
      <c r="B118" s="2379"/>
      <c r="C118" s="2380"/>
      <c r="D118" s="2380"/>
      <c r="E118" s="2380"/>
      <c r="F118" s="2380"/>
      <c r="G118" s="2380"/>
      <c r="H118" s="2380"/>
      <c r="I118" s="2380"/>
      <c r="J118" s="2380"/>
      <c r="K118" s="2380"/>
      <c r="L118" s="2380"/>
      <c r="M118" s="2380"/>
      <c r="N118" s="2380"/>
      <c r="O118" s="2380"/>
      <c r="P118" s="2380"/>
      <c r="Q118" s="2380"/>
      <c r="R118" s="2380"/>
      <c r="S118" s="2380"/>
      <c r="T118" s="2380"/>
      <c r="U118" s="2380"/>
      <c r="V118" s="2380"/>
      <c r="W118" s="2380"/>
      <c r="X118" s="2380"/>
      <c r="Y118" s="2380"/>
      <c r="Z118" s="2380"/>
      <c r="AA118" s="2380"/>
      <c r="AB118" s="2380"/>
      <c r="AC118" s="2380"/>
      <c r="AD118" s="2380"/>
      <c r="AE118" s="2380"/>
      <c r="AF118" s="2380"/>
      <c r="AG118" s="2380"/>
      <c r="AH118" s="2380"/>
      <c r="AI118" s="2380"/>
      <c r="AJ118" s="2380"/>
      <c r="AK118" s="2380"/>
      <c r="AL118" s="2380"/>
      <c r="AM118" s="2380"/>
      <c r="AN118" s="2380"/>
      <c r="AO118" s="2380"/>
      <c r="AP118" s="2380"/>
      <c r="AQ118" s="2380"/>
      <c r="AR118" s="2380"/>
      <c r="AS118" s="2380"/>
      <c r="AT118" s="2380"/>
      <c r="AU118" s="2380"/>
      <c r="AV118" s="2380"/>
      <c r="AW118" s="2380"/>
      <c r="AX118" s="2381"/>
      <c r="AY118" s="1207"/>
      <c r="AZ118" s="1207"/>
      <c r="BA118" s="1207"/>
      <c r="BB118" s="1207"/>
      <c r="BC118" s="1207"/>
      <c r="BD118" s="1207"/>
      <c r="BE118" s="1213"/>
    </row>
    <row r="119" spans="1:57" ht="15.75" customHeight="1">
      <c r="A119" s="1207"/>
      <c r="B119" s="2379"/>
      <c r="C119" s="2380"/>
      <c r="D119" s="2380"/>
      <c r="E119" s="2380"/>
      <c r="F119" s="2380"/>
      <c r="G119" s="2380"/>
      <c r="H119" s="2380"/>
      <c r="I119" s="2380"/>
      <c r="J119" s="2380"/>
      <c r="K119" s="2380"/>
      <c r="L119" s="2380"/>
      <c r="M119" s="2380"/>
      <c r="N119" s="2380"/>
      <c r="O119" s="2380"/>
      <c r="P119" s="2380"/>
      <c r="Q119" s="2380"/>
      <c r="R119" s="2380"/>
      <c r="S119" s="2380"/>
      <c r="T119" s="2380"/>
      <c r="U119" s="2380"/>
      <c r="V119" s="2380"/>
      <c r="W119" s="2380"/>
      <c r="X119" s="2380"/>
      <c r="Y119" s="2380"/>
      <c r="Z119" s="2380"/>
      <c r="AA119" s="2380"/>
      <c r="AB119" s="2380"/>
      <c r="AC119" s="2380"/>
      <c r="AD119" s="2380"/>
      <c r="AE119" s="2380"/>
      <c r="AF119" s="2380"/>
      <c r="AG119" s="2380"/>
      <c r="AH119" s="2380"/>
      <c r="AI119" s="2380"/>
      <c r="AJ119" s="2380"/>
      <c r="AK119" s="2380"/>
      <c r="AL119" s="2380"/>
      <c r="AM119" s="2380"/>
      <c r="AN119" s="2380"/>
      <c r="AO119" s="2380"/>
      <c r="AP119" s="2380"/>
      <c r="AQ119" s="2380"/>
      <c r="AR119" s="2380"/>
      <c r="AS119" s="2380"/>
      <c r="AT119" s="2380"/>
      <c r="AU119" s="2380"/>
      <c r="AV119" s="2380"/>
      <c r="AW119" s="2380"/>
      <c r="AX119" s="2381"/>
      <c r="AY119" s="1207"/>
      <c r="AZ119" s="1207"/>
      <c r="BA119" s="1207"/>
      <c r="BB119" s="1207"/>
      <c r="BC119" s="1207"/>
      <c r="BD119" s="1207"/>
      <c r="BE119" s="1213"/>
    </row>
    <row r="120" spans="1:57" ht="15.75" customHeight="1">
      <c r="A120" s="1207"/>
      <c r="B120" s="2379"/>
      <c r="C120" s="2380"/>
      <c r="D120" s="2380"/>
      <c r="E120" s="2380"/>
      <c r="F120" s="2380"/>
      <c r="G120" s="2380"/>
      <c r="H120" s="2380"/>
      <c r="I120" s="2380"/>
      <c r="J120" s="2380"/>
      <c r="K120" s="2380"/>
      <c r="L120" s="2380"/>
      <c r="M120" s="2380"/>
      <c r="N120" s="2380"/>
      <c r="O120" s="2380"/>
      <c r="P120" s="2380"/>
      <c r="Q120" s="2380"/>
      <c r="R120" s="2380"/>
      <c r="S120" s="2380"/>
      <c r="T120" s="2380"/>
      <c r="U120" s="2380"/>
      <c r="V120" s="2380"/>
      <c r="W120" s="2380"/>
      <c r="X120" s="2380"/>
      <c r="Y120" s="2380"/>
      <c r="Z120" s="2380"/>
      <c r="AA120" s="2380"/>
      <c r="AB120" s="2380"/>
      <c r="AC120" s="2380"/>
      <c r="AD120" s="2380"/>
      <c r="AE120" s="2380"/>
      <c r="AF120" s="2380"/>
      <c r="AG120" s="2380"/>
      <c r="AH120" s="2380"/>
      <c r="AI120" s="2380"/>
      <c r="AJ120" s="2380"/>
      <c r="AK120" s="2380"/>
      <c r="AL120" s="2380"/>
      <c r="AM120" s="2380"/>
      <c r="AN120" s="2380"/>
      <c r="AO120" s="2380"/>
      <c r="AP120" s="2380"/>
      <c r="AQ120" s="2380"/>
      <c r="AR120" s="2380"/>
      <c r="AS120" s="2380"/>
      <c r="AT120" s="2380"/>
      <c r="AU120" s="2380"/>
      <c r="AV120" s="2380"/>
      <c r="AW120" s="2380"/>
      <c r="AX120" s="2381"/>
      <c r="AY120" s="1207"/>
      <c r="AZ120" s="1207"/>
      <c r="BA120" s="1207"/>
      <c r="BB120" s="1207"/>
      <c r="BC120" s="1207"/>
      <c r="BD120" s="1207"/>
      <c r="BE120" s="1213"/>
    </row>
    <row r="121" spans="1:57" ht="15.75" customHeight="1" thickBot="1">
      <c r="A121" s="1207"/>
      <c r="B121" s="2382"/>
      <c r="C121" s="2383"/>
      <c r="D121" s="2383"/>
      <c r="E121" s="2383"/>
      <c r="F121" s="2383"/>
      <c r="G121" s="2383"/>
      <c r="H121" s="2383"/>
      <c r="I121" s="2383"/>
      <c r="J121" s="2383"/>
      <c r="K121" s="2383"/>
      <c r="L121" s="2383"/>
      <c r="M121" s="2383"/>
      <c r="N121" s="2383"/>
      <c r="O121" s="2383"/>
      <c r="P121" s="2383"/>
      <c r="Q121" s="2383"/>
      <c r="R121" s="2383"/>
      <c r="S121" s="2383"/>
      <c r="T121" s="2383"/>
      <c r="U121" s="2383"/>
      <c r="V121" s="2383"/>
      <c r="W121" s="2383"/>
      <c r="X121" s="2383"/>
      <c r="Y121" s="2383"/>
      <c r="Z121" s="2383"/>
      <c r="AA121" s="2383"/>
      <c r="AB121" s="2383"/>
      <c r="AC121" s="2383"/>
      <c r="AD121" s="2383"/>
      <c r="AE121" s="2383"/>
      <c r="AF121" s="2383"/>
      <c r="AG121" s="2383"/>
      <c r="AH121" s="2383"/>
      <c r="AI121" s="2383"/>
      <c r="AJ121" s="2383"/>
      <c r="AK121" s="2383"/>
      <c r="AL121" s="2383"/>
      <c r="AM121" s="2383"/>
      <c r="AN121" s="2383"/>
      <c r="AO121" s="2383"/>
      <c r="AP121" s="2383"/>
      <c r="AQ121" s="2383"/>
      <c r="AR121" s="2383"/>
      <c r="AS121" s="2383"/>
      <c r="AT121" s="2383"/>
      <c r="AU121" s="2383"/>
      <c r="AV121" s="2383"/>
      <c r="AW121" s="2383"/>
      <c r="AX121" s="238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1910</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2269</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41" t="s">
        <v>1911</v>
      </c>
      <c r="C125" s="2242"/>
      <c r="D125" s="2242"/>
      <c r="E125" s="2242"/>
      <c r="F125" s="2242"/>
      <c r="G125" s="2242"/>
      <c r="H125" s="2242"/>
      <c r="I125" s="2242"/>
      <c r="J125" s="2242"/>
      <c r="K125" s="2242"/>
      <c r="L125" s="2242"/>
      <c r="M125" s="2242"/>
      <c r="N125" s="2242"/>
      <c r="O125" s="2242"/>
      <c r="P125" s="2242"/>
      <c r="Q125" s="2242"/>
      <c r="R125" s="2242"/>
      <c r="S125" s="2242"/>
      <c r="T125" s="2242"/>
      <c r="U125" s="2243"/>
      <c r="V125" s="1207"/>
      <c r="W125" s="1209"/>
      <c r="X125" s="2241" t="s">
        <v>2270</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3"/>
      <c r="AR125" s="1207"/>
      <c r="AS125" s="1207"/>
      <c r="AT125" s="1207"/>
      <c r="AU125" s="1207"/>
      <c r="AV125" s="1207"/>
      <c r="AW125" s="1207"/>
      <c r="AX125" s="1207"/>
      <c r="AY125" s="1207"/>
      <c r="AZ125" s="1207"/>
      <c r="BA125" s="1207"/>
      <c r="BB125" s="1207"/>
      <c r="BC125" s="1207"/>
      <c r="BD125" s="1207"/>
      <c r="BE125" s="1213"/>
    </row>
    <row r="126" spans="1:57" ht="15.75" customHeight="1">
      <c r="A126" s="1207"/>
      <c r="B126" s="2358"/>
      <c r="C126" s="2359"/>
      <c r="D126" s="2359"/>
      <c r="E126" s="2359"/>
      <c r="F126" s="2359"/>
      <c r="G126" s="2359"/>
      <c r="H126" s="2359"/>
      <c r="I126" s="2360" t="s">
        <v>1900</v>
      </c>
      <c r="J126" s="2360"/>
      <c r="K126" s="2360"/>
      <c r="L126" s="2360"/>
      <c r="M126" s="2360"/>
      <c r="N126" s="2360"/>
      <c r="O126" s="2360"/>
      <c r="P126" s="2360" t="s">
        <v>2271</v>
      </c>
      <c r="Q126" s="2360"/>
      <c r="R126" s="2360"/>
      <c r="S126" s="2360"/>
      <c r="T126" s="2360"/>
      <c r="U126" s="2361"/>
      <c r="V126" s="1207"/>
      <c r="W126" s="1207"/>
      <c r="X126" s="2358"/>
      <c r="Y126" s="2359"/>
      <c r="Z126" s="2359"/>
      <c r="AA126" s="2359"/>
      <c r="AB126" s="2359"/>
      <c r="AC126" s="2359"/>
      <c r="AD126" s="2359"/>
      <c r="AE126" s="2360" t="s">
        <v>1900</v>
      </c>
      <c r="AF126" s="2360"/>
      <c r="AG126" s="2360"/>
      <c r="AH126" s="2360"/>
      <c r="AI126" s="2360"/>
      <c r="AJ126" s="2360"/>
      <c r="AK126" s="2360"/>
      <c r="AL126" s="2360" t="s">
        <v>2265</v>
      </c>
      <c r="AM126" s="2360"/>
      <c r="AN126" s="2360"/>
      <c r="AO126" s="2360"/>
      <c r="AP126" s="2360"/>
      <c r="AQ126" s="2361"/>
      <c r="AR126" s="1207"/>
      <c r="AS126" s="1207"/>
      <c r="AT126" s="1207"/>
      <c r="AU126" s="1207"/>
      <c r="AV126" s="1207"/>
      <c r="AW126" s="1207"/>
      <c r="AX126" s="1207"/>
      <c r="AY126" s="1207"/>
      <c r="AZ126" s="1207"/>
      <c r="BA126" s="1207"/>
      <c r="BB126" s="1207"/>
      <c r="BC126" s="1207"/>
      <c r="BD126" s="1207"/>
      <c r="BE126" s="1213"/>
    </row>
    <row r="127" spans="1:57" ht="15.75" customHeight="1">
      <c r="A127" s="1207"/>
      <c r="B127" s="2358"/>
      <c r="C127" s="2359"/>
      <c r="D127" s="2359"/>
      <c r="E127" s="2359"/>
      <c r="F127" s="2359"/>
      <c r="G127" s="2359"/>
      <c r="H127" s="2359"/>
      <c r="I127" s="2360"/>
      <c r="J127" s="2360"/>
      <c r="K127" s="2360"/>
      <c r="L127" s="2360"/>
      <c r="M127" s="2360"/>
      <c r="N127" s="2360"/>
      <c r="O127" s="2360"/>
      <c r="P127" s="2360"/>
      <c r="Q127" s="2360"/>
      <c r="R127" s="2360"/>
      <c r="S127" s="2360"/>
      <c r="T127" s="2360"/>
      <c r="U127" s="2361"/>
      <c r="V127" s="1207"/>
      <c r="W127" s="1207"/>
      <c r="X127" s="2358"/>
      <c r="Y127" s="2359"/>
      <c r="Z127" s="2359"/>
      <c r="AA127" s="2359"/>
      <c r="AB127" s="2359"/>
      <c r="AC127" s="2359"/>
      <c r="AD127" s="2359"/>
      <c r="AE127" s="2360"/>
      <c r="AF127" s="2360"/>
      <c r="AG127" s="2360"/>
      <c r="AH127" s="2360"/>
      <c r="AI127" s="2360"/>
      <c r="AJ127" s="2360"/>
      <c r="AK127" s="2360"/>
      <c r="AL127" s="2360"/>
      <c r="AM127" s="2360"/>
      <c r="AN127" s="2360"/>
      <c r="AO127" s="2360"/>
      <c r="AP127" s="2360"/>
      <c r="AQ127" s="2361"/>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69" t="s">
        <v>2253</v>
      </c>
      <c r="C128" s="2370"/>
      <c r="D128" s="2370"/>
      <c r="E128" s="2370"/>
      <c r="F128" s="2370"/>
      <c r="G128" s="2370"/>
      <c r="H128" s="2370"/>
      <c r="I128" s="2345">
        <v>0</v>
      </c>
      <c r="J128" s="2345"/>
      <c r="K128" s="2345"/>
      <c r="L128" s="2345"/>
      <c r="M128" s="2345"/>
      <c r="N128" s="2345"/>
      <c r="O128" s="2345"/>
      <c r="P128" s="2345">
        <v>0</v>
      </c>
      <c r="Q128" s="2345"/>
      <c r="R128" s="2345"/>
      <c r="S128" s="2345"/>
      <c r="T128" s="2345"/>
      <c r="U128" s="2354"/>
      <c r="V128" s="1207"/>
      <c r="W128" s="1207"/>
      <c r="X128" s="2371" t="s">
        <v>2253</v>
      </c>
      <c r="Y128" s="2372"/>
      <c r="Z128" s="2372"/>
      <c r="AA128" s="2372"/>
      <c r="AB128" s="2372"/>
      <c r="AC128" s="2372"/>
      <c r="AD128" s="2372"/>
      <c r="AE128" s="2352">
        <v>0</v>
      </c>
      <c r="AF128" s="2352"/>
      <c r="AG128" s="2352"/>
      <c r="AH128" s="2352"/>
      <c r="AI128" s="2352"/>
      <c r="AJ128" s="2352"/>
      <c r="AK128" s="2352"/>
      <c r="AL128" s="2352">
        <v>0</v>
      </c>
      <c r="AM128" s="2352"/>
      <c r="AN128" s="2352"/>
      <c r="AO128" s="2352"/>
      <c r="AP128" s="2352"/>
      <c r="AQ128" s="2353"/>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71" t="s">
        <v>2254</v>
      </c>
      <c r="C129" s="2372"/>
      <c r="D129" s="2372"/>
      <c r="E129" s="2372"/>
      <c r="F129" s="2372"/>
      <c r="G129" s="2372"/>
      <c r="H129" s="2372"/>
      <c r="I129" s="2352">
        <v>0</v>
      </c>
      <c r="J129" s="2352"/>
      <c r="K129" s="2352"/>
      <c r="L129" s="2352"/>
      <c r="M129" s="2352"/>
      <c r="N129" s="2352"/>
      <c r="O129" s="2352"/>
      <c r="P129" s="2352">
        <v>0</v>
      </c>
      <c r="Q129" s="2352"/>
      <c r="R129" s="2352"/>
      <c r="S129" s="2352"/>
      <c r="T129" s="2352"/>
      <c r="U129" s="2353"/>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41" t="s">
        <v>2255</v>
      </c>
      <c r="D131" s="2242"/>
      <c r="E131" s="2242"/>
      <c r="F131" s="2242"/>
      <c r="G131" s="2242"/>
      <c r="H131" s="2242"/>
      <c r="I131" s="2242"/>
      <c r="J131" s="2242"/>
      <c r="K131" s="2242"/>
      <c r="L131" s="2242"/>
      <c r="M131" s="2242"/>
      <c r="N131" s="2242"/>
      <c r="O131" s="2242"/>
      <c r="P131" s="2242"/>
      <c r="Q131" s="2242"/>
      <c r="R131" s="2242"/>
      <c r="S131" s="2242"/>
      <c r="T131" s="2242"/>
      <c r="U131" s="2242"/>
      <c r="V131" s="2242"/>
      <c r="W131" s="2242"/>
      <c r="X131" s="2242"/>
      <c r="Y131" s="2242"/>
      <c r="Z131" s="2242"/>
      <c r="AA131" s="2242"/>
      <c r="AB131" s="2242"/>
      <c r="AC131" s="2242"/>
      <c r="AD131" s="2242"/>
      <c r="AE131" s="2242"/>
      <c r="AF131" s="2242"/>
      <c r="AG131" s="224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58" t="s">
        <v>1912</v>
      </c>
      <c r="D132" s="2359"/>
      <c r="E132" s="2359"/>
      <c r="F132" s="2359"/>
      <c r="G132" s="2359"/>
      <c r="H132" s="2359"/>
      <c r="I132" s="2359"/>
      <c r="J132" s="2359"/>
      <c r="K132" s="2359"/>
      <c r="L132" s="2359"/>
      <c r="M132" s="2359"/>
      <c r="N132" s="2359"/>
      <c r="O132" s="2359"/>
      <c r="P132" s="2359"/>
      <c r="Q132" s="2359" t="s">
        <v>1913</v>
      </c>
      <c r="R132" s="2359"/>
      <c r="S132" s="2359"/>
      <c r="T132" s="2249" t="s">
        <v>2256</v>
      </c>
      <c r="U132" s="2249"/>
      <c r="V132" s="2249"/>
      <c r="W132" s="2249"/>
      <c r="X132" s="2249"/>
      <c r="Y132" s="2249"/>
      <c r="Z132" s="2249"/>
      <c r="AA132" s="2249"/>
      <c r="AB132" s="2359" t="s">
        <v>1914</v>
      </c>
      <c r="AC132" s="2359"/>
      <c r="AD132" s="2359"/>
      <c r="AE132" s="2359"/>
      <c r="AF132" s="2359"/>
      <c r="AG132" s="2390"/>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85" t="s">
        <v>1915</v>
      </c>
      <c r="D133" s="2386"/>
      <c r="E133" s="2386"/>
      <c r="F133" s="2386"/>
      <c r="G133" s="2386"/>
      <c r="H133" s="2386"/>
      <c r="I133" s="2386"/>
      <c r="J133" s="2386"/>
      <c r="K133" s="2386"/>
      <c r="L133" s="2386"/>
      <c r="M133" s="2386"/>
      <c r="N133" s="2386"/>
      <c r="O133" s="2386"/>
      <c r="P133" s="2386"/>
      <c r="Q133" s="2387">
        <v>55</v>
      </c>
      <c r="R133" s="2387"/>
      <c r="S133" s="2387"/>
      <c r="T133" s="2388"/>
      <c r="U133" s="2388"/>
      <c r="V133" s="2388"/>
      <c r="W133" s="2388"/>
      <c r="X133" s="2388"/>
      <c r="Y133" s="2388"/>
      <c r="Z133" s="2388"/>
      <c r="AA133" s="238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85" t="s">
        <v>1916</v>
      </c>
      <c r="D134" s="2386"/>
      <c r="E134" s="2386"/>
      <c r="F134" s="2386"/>
      <c r="G134" s="2386"/>
      <c r="H134" s="2386"/>
      <c r="I134" s="2386"/>
      <c r="J134" s="2386"/>
      <c r="K134" s="2386"/>
      <c r="L134" s="2386"/>
      <c r="M134" s="2386"/>
      <c r="N134" s="2386"/>
      <c r="O134" s="2386"/>
      <c r="P134" s="2386"/>
      <c r="Q134" s="2387">
        <v>55</v>
      </c>
      <c r="R134" s="2387"/>
      <c r="S134" s="2387"/>
      <c r="T134" s="2389"/>
      <c r="U134" s="2389"/>
      <c r="V134" s="2389"/>
      <c r="W134" s="2389"/>
      <c r="X134" s="2389"/>
      <c r="Y134" s="2389"/>
      <c r="Z134" s="2389"/>
      <c r="AA134" s="238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85" t="s">
        <v>1917</v>
      </c>
      <c r="D135" s="2386"/>
      <c r="E135" s="2386"/>
      <c r="F135" s="2386"/>
      <c r="G135" s="2386"/>
      <c r="H135" s="2386"/>
      <c r="I135" s="2386"/>
      <c r="J135" s="2386"/>
      <c r="K135" s="2386"/>
      <c r="L135" s="2386"/>
      <c r="M135" s="2386"/>
      <c r="N135" s="2386"/>
      <c r="O135" s="2386"/>
      <c r="P135" s="2386"/>
      <c r="Q135" s="2387">
        <v>55</v>
      </c>
      <c r="R135" s="2387"/>
      <c r="S135" s="2387"/>
      <c r="T135" s="2388"/>
      <c r="U135" s="2388"/>
      <c r="V135" s="2388"/>
      <c r="W135" s="2388"/>
      <c r="X135" s="2388"/>
      <c r="Y135" s="2388"/>
      <c r="Z135" s="2388"/>
      <c r="AA135" s="238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85" t="s">
        <v>1885</v>
      </c>
      <c r="D136" s="2386"/>
      <c r="E136" s="2386"/>
      <c r="F136" s="2386"/>
      <c r="G136" s="2386"/>
      <c r="H136" s="2386"/>
      <c r="I136" s="2386"/>
      <c r="J136" s="2386"/>
      <c r="K136" s="2386"/>
      <c r="L136" s="2386"/>
      <c r="M136" s="2386"/>
      <c r="N136" s="2386"/>
      <c r="O136" s="2386"/>
      <c r="P136" s="2386"/>
      <c r="Q136" s="2387">
        <v>55</v>
      </c>
      <c r="R136" s="2387"/>
      <c r="S136" s="2387"/>
      <c r="T136" s="2388"/>
      <c r="U136" s="2388"/>
      <c r="V136" s="2388"/>
      <c r="W136" s="2388"/>
      <c r="X136" s="2388"/>
      <c r="Y136" s="2388"/>
      <c r="Z136" s="2388"/>
      <c r="AA136" s="2388"/>
      <c r="AB136" s="2391">
        <v>0</v>
      </c>
      <c r="AC136" s="2391"/>
      <c r="AD136" s="2391"/>
      <c r="AE136" s="2391"/>
      <c r="AF136" s="2391"/>
      <c r="AG136" s="2392"/>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85" t="s">
        <v>171</v>
      </c>
      <c r="D137" s="2386"/>
      <c r="E137" s="2386"/>
      <c r="F137" s="2393" t="s">
        <v>1918</v>
      </c>
      <c r="G137" s="2393"/>
      <c r="H137" s="2393"/>
      <c r="I137" s="2393"/>
      <c r="J137" s="2393"/>
      <c r="K137" s="2393"/>
      <c r="L137" s="2393"/>
      <c r="M137" s="2393"/>
      <c r="N137" s="2393"/>
      <c r="O137" s="2393"/>
      <c r="P137" s="2393"/>
      <c r="Q137" s="2387">
        <v>55</v>
      </c>
      <c r="R137" s="2387"/>
      <c r="S137" s="2387"/>
      <c r="T137" s="2389"/>
      <c r="U137" s="2389"/>
      <c r="V137" s="2389"/>
      <c r="W137" s="2389"/>
      <c r="X137" s="2389"/>
      <c r="Y137" s="2389"/>
      <c r="Z137" s="2389"/>
      <c r="AA137" s="2389"/>
      <c r="AB137" s="2391">
        <v>0</v>
      </c>
      <c r="AC137" s="2391"/>
      <c r="AD137" s="2391"/>
      <c r="AE137" s="2391"/>
      <c r="AF137" s="2391"/>
      <c r="AG137" s="2392"/>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85" t="s">
        <v>171</v>
      </c>
      <c r="D138" s="2386"/>
      <c r="E138" s="2386"/>
      <c r="F138" s="2393" t="s">
        <v>1918</v>
      </c>
      <c r="G138" s="2393"/>
      <c r="H138" s="2393"/>
      <c r="I138" s="2393"/>
      <c r="J138" s="2393"/>
      <c r="K138" s="2393"/>
      <c r="L138" s="2393"/>
      <c r="M138" s="2393"/>
      <c r="N138" s="2393"/>
      <c r="O138" s="2393"/>
      <c r="P138" s="2393"/>
      <c r="Q138" s="2387">
        <v>55</v>
      </c>
      <c r="R138" s="2387"/>
      <c r="S138" s="2387"/>
      <c r="T138" s="2389"/>
      <c r="U138" s="2389"/>
      <c r="V138" s="2389"/>
      <c r="W138" s="2389"/>
      <c r="X138" s="2389"/>
      <c r="Y138" s="2389"/>
      <c r="Z138" s="2389"/>
      <c r="AA138" s="2389"/>
      <c r="AB138" s="2391">
        <v>0</v>
      </c>
      <c r="AC138" s="2391"/>
      <c r="AD138" s="2391"/>
      <c r="AE138" s="2391"/>
      <c r="AF138" s="2391"/>
      <c r="AG138" s="2392"/>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94" t="s">
        <v>171</v>
      </c>
      <c r="D139" s="2395"/>
      <c r="E139" s="2395"/>
      <c r="F139" s="2396" t="s">
        <v>1918</v>
      </c>
      <c r="G139" s="2396"/>
      <c r="H139" s="2396"/>
      <c r="I139" s="2396"/>
      <c r="J139" s="2396"/>
      <c r="K139" s="2396"/>
      <c r="L139" s="2396"/>
      <c r="M139" s="2396"/>
      <c r="N139" s="2396"/>
      <c r="O139" s="2396"/>
      <c r="P139" s="2396"/>
      <c r="Q139" s="2397">
        <v>55</v>
      </c>
      <c r="R139" s="2397"/>
      <c r="S139" s="2397"/>
      <c r="T139" s="2398"/>
      <c r="U139" s="2398"/>
      <c r="V139" s="2398"/>
      <c r="W139" s="2398"/>
      <c r="X139" s="2398"/>
      <c r="Y139" s="2398"/>
      <c r="Z139" s="2398"/>
      <c r="AA139" s="2398"/>
      <c r="AB139" s="2399">
        <v>0</v>
      </c>
      <c r="AC139" s="2399"/>
      <c r="AD139" s="2399"/>
      <c r="AE139" s="2399"/>
      <c r="AF139" s="2399"/>
      <c r="AG139" s="240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18" t="s">
        <v>1919</v>
      </c>
      <c r="D141" s="2319"/>
      <c r="E141" s="2319"/>
      <c r="F141" s="2319"/>
      <c r="G141" s="2319"/>
      <c r="H141" s="2319"/>
      <c r="I141" s="2319"/>
      <c r="J141" s="2319"/>
      <c r="K141" s="2319"/>
      <c r="L141" s="2319"/>
      <c r="M141" s="2319"/>
      <c r="N141" s="2355"/>
      <c r="O141" s="1207"/>
      <c r="P141" s="2373" t="s">
        <v>1920</v>
      </c>
      <c r="Q141" s="2374"/>
      <c r="R141" s="2374"/>
      <c r="S141" s="2374"/>
      <c r="T141" s="2374"/>
      <c r="U141" s="2374"/>
      <c r="V141" s="2374"/>
      <c r="W141" s="2374"/>
      <c r="X141" s="2374"/>
      <c r="Y141" s="2374"/>
      <c r="Z141" s="2374"/>
      <c r="AA141" s="2374"/>
      <c r="AB141" s="2374"/>
      <c r="AC141" s="2374"/>
      <c r="AD141" s="2374"/>
      <c r="AE141" s="2374"/>
      <c r="AF141" s="2374"/>
      <c r="AG141" s="2374"/>
      <c r="AH141" s="2374"/>
      <c r="AI141" s="2374"/>
      <c r="AJ141" s="2374"/>
      <c r="AK141" s="2374"/>
      <c r="AL141" s="2374"/>
      <c r="AM141" s="2374"/>
      <c r="AN141" s="2374"/>
      <c r="AO141" s="2402"/>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58" t="s">
        <v>1921</v>
      </c>
      <c r="D142" s="2359"/>
      <c r="E142" s="2359"/>
      <c r="F142" s="2359"/>
      <c r="G142" s="2359"/>
      <c r="H142" s="2359"/>
      <c r="I142" s="2359" t="s">
        <v>1922</v>
      </c>
      <c r="J142" s="2359"/>
      <c r="K142" s="2359"/>
      <c r="L142" s="2359"/>
      <c r="M142" s="2359"/>
      <c r="N142" s="2390"/>
      <c r="O142" s="1207"/>
      <c r="P142" s="2322" t="s">
        <v>2264</v>
      </c>
      <c r="Q142" s="2323"/>
      <c r="R142" s="2323"/>
      <c r="S142" s="2323"/>
      <c r="T142" s="2323"/>
      <c r="U142" s="2323"/>
      <c r="V142" s="2323"/>
      <c r="W142" s="2323"/>
      <c r="X142" s="2323"/>
      <c r="Y142" s="2323"/>
      <c r="Z142" s="2323"/>
      <c r="AA142" s="2323"/>
      <c r="AB142" s="2323"/>
      <c r="AC142" s="2323"/>
      <c r="AD142" s="2323"/>
      <c r="AE142" s="2323"/>
      <c r="AF142" s="2323"/>
      <c r="AG142" s="2323"/>
      <c r="AH142" s="2323"/>
      <c r="AI142" s="2323"/>
      <c r="AJ142" s="2323"/>
      <c r="AK142" s="2323"/>
      <c r="AL142" s="2323"/>
      <c r="AM142" s="2323"/>
      <c r="AN142" s="2323"/>
      <c r="AO142" s="232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28"/>
      <c r="D143" s="2273"/>
      <c r="E143" s="2273"/>
      <c r="F143" s="2273"/>
      <c r="G143" s="2273"/>
      <c r="H143" s="2273"/>
      <c r="I143" s="2388"/>
      <c r="J143" s="2388"/>
      <c r="K143" s="2388"/>
      <c r="L143" s="2388"/>
      <c r="M143" s="2388"/>
      <c r="N143" s="2401"/>
      <c r="O143" s="1207"/>
      <c r="P143" s="2322"/>
      <c r="Q143" s="2323"/>
      <c r="R143" s="2323"/>
      <c r="S143" s="2323"/>
      <c r="T143" s="2323"/>
      <c r="U143" s="2323"/>
      <c r="V143" s="2323"/>
      <c r="W143" s="2323"/>
      <c r="X143" s="2323"/>
      <c r="Y143" s="2323"/>
      <c r="Z143" s="2323"/>
      <c r="AA143" s="2323"/>
      <c r="AB143" s="2323"/>
      <c r="AC143" s="2323"/>
      <c r="AD143" s="2323"/>
      <c r="AE143" s="2323"/>
      <c r="AF143" s="2323"/>
      <c r="AG143" s="2323"/>
      <c r="AH143" s="2323"/>
      <c r="AI143" s="2323"/>
      <c r="AJ143" s="2323"/>
      <c r="AK143" s="2323"/>
      <c r="AL143" s="2323"/>
      <c r="AM143" s="2323"/>
      <c r="AN143" s="2323"/>
      <c r="AO143" s="232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28"/>
      <c r="D144" s="2273"/>
      <c r="E144" s="2273"/>
      <c r="F144" s="2273"/>
      <c r="G144" s="2273"/>
      <c r="H144" s="2273"/>
      <c r="I144" s="2388"/>
      <c r="J144" s="2388"/>
      <c r="K144" s="2388"/>
      <c r="L144" s="2388"/>
      <c r="M144" s="2388"/>
      <c r="N144" s="2401"/>
      <c r="O144" s="1207"/>
      <c r="P144" s="2322"/>
      <c r="Q144" s="2323"/>
      <c r="R144" s="2323"/>
      <c r="S144" s="2323"/>
      <c r="T144" s="2323"/>
      <c r="U144" s="2323"/>
      <c r="V144" s="2323"/>
      <c r="W144" s="2323"/>
      <c r="X144" s="2323"/>
      <c r="Y144" s="2323"/>
      <c r="Z144" s="2323"/>
      <c r="AA144" s="2323"/>
      <c r="AB144" s="2323"/>
      <c r="AC144" s="2323"/>
      <c r="AD144" s="2323"/>
      <c r="AE144" s="2323"/>
      <c r="AF144" s="2323"/>
      <c r="AG144" s="2323"/>
      <c r="AH144" s="2323"/>
      <c r="AI144" s="2323"/>
      <c r="AJ144" s="2323"/>
      <c r="AK144" s="2323"/>
      <c r="AL144" s="2323"/>
      <c r="AM144" s="2323"/>
      <c r="AN144" s="2323"/>
      <c r="AO144" s="232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28"/>
      <c r="D145" s="2273"/>
      <c r="E145" s="2273"/>
      <c r="F145" s="2273"/>
      <c r="G145" s="2273"/>
      <c r="H145" s="2273"/>
      <c r="I145" s="2388"/>
      <c r="J145" s="2388"/>
      <c r="K145" s="2388"/>
      <c r="L145" s="2388"/>
      <c r="M145" s="2388"/>
      <c r="N145" s="2401"/>
      <c r="O145" s="1207"/>
      <c r="P145" s="2322"/>
      <c r="Q145" s="2323"/>
      <c r="R145" s="2323"/>
      <c r="S145" s="2323"/>
      <c r="T145" s="2323"/>
      <c r="U145" s="2323"/>
      <c r="V145" s="2323"/>
      <c r="W145" s="2323"/>
      <c r="X145" s="2323"/>
      <c r="Y145" s="2323"/>
      <c r="Z145" s="2323"/>
      <c r="AA145" s="2323"/>
      <c r="AB145" s="2323"/>
      <c r="AC145" s="2323"/>
      <c r="AD145" s="2323"/>
      <c r="AE145" s="2323"/>
      <c r="AF145" s="2323"/>
      <c r="AG145" s="2323"/>
      <c r="AH145" s="2323"/>
      <c r="AI145" s="2323"/>
      <c r="AJ145" s="2323"/>
      <c r="AK145" s="2323"/>
      <c r="AL145" s="2323"/>
      <c r="AM145" s="2323"/>
      <c r="AN145" s="2323"/>
      <c r="AO145" s="232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28"/>
      <c r="D146" s="2273"/>
      <c r="E146" s="2273"/>
      <c r="F146" s="2273"/>
      <c r="G146" s="2273"/>
      <c r="H146" s="2273"/>
      <c r="I146" s="2388"/>
      <c r="J146" s="2388"/>
      <c r="K146" s="2388"/>
      <c r="L146" s="2388"/>
      <c r="M146" s="2388"/>
      <c r="N146" s="2401"/>
      <c r="O146" s="1207"/>
      <c r="P146" s="2322"/>
      <c r="Q146" s="2323"/>
      <c r="R146" s="2323"/>
      <c r="S146" s="2323"/>
      <c r="T146" s="2323"/>
      <c r="U146" s="2323"/>
      <c r="V146" s="2323"/>
      <c r="W146" s="2323"/>
      <c r="X146" s="2323"/>
      <c r="Y146" s="2323"/>
      <c r="Z146" s="2323"/>
      <c r="AA146" s="2323"/>
      <c r="AB146" s="2323"/>
      <c r="AC146" s="2323"/>
      <c r="AD146" s="2323"/>
      <c r="AE146" s="2323"/>
      <c r="AF146" s="2323"/>
      <c r="AG146" s="2323"/>
      <c r="AH146" s="2323"/>
      <c r="AI146" s="2323"/>
      <c r="AJ146" s="2323"/>
      <c r="AK146" s="2323"/>
      <c r="AL146" s="2323"/>
      <c r="AM146" s="2323"/>
      <c r="AN146" s="2323"/>
      <c r="AO146" s="232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28"/>
      <c r="D147" s="2273"/>
      <c r="E147" s="2273"/>
      <c r="F147" s="2273"/>
      <c r="G147" s="2273"/>
      <c r="H147" s="2273"/>
      <c r="I147" s="2388"/>
      <c r="J147" s="2388"/>
      <c r="K147" s="2388"/>
      <c r="L147" s="2388"/>
      <c r="M147" s="2388"/>
      <c r="N147" s="2401"/>
      <c r="O147" s="1207"/>
      <c r="P147" s="2322"/>
      <c r="Q147" s="2323"/>
      <c r="R147" s="2323"/>
      <c r="S147" s="2323"/>
      <c r="T147" s="2323"/>
      <c r="U147" s="2323"/>
      <c r="V147" s="2323"/>
      <c r="W147" s="2323"/>
      <c r="X147" s="2323"/>
      <c r="Y147" s="2323"/>
      <c r="Z147" s="2323"/>
      <c r="AA147" s="2323"/>
      <c r="AB147" s="2323"/>
      <c r="AC147" s="2323"/>
      <c r="AD147" s="2323"/>
      <c r="AE147" s="2323"/>
      <c r="AF147" s="2323"/>
      <c r="AG147" s="2323"/>
      <c r="AH147" s="2323"/>
      <c r="AI147" s="2323"/>
      <c r="AJ147" s="2323"/>
      <c r="AK147" s="2323"/>
      <c r="AL147" s="2323"/>
      <c r="AM147" s="2323"/>
      <c r="AN147" s="2323"/>
      <c r="AO147" s="232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28"/>
      <c r="D148" s="2273"/>
      <c r="E148" s="2273"/>
      <c r="F148" s="2273"/>
      <c r="G148" s="2273"/>
      <c r="H148" s="2273"/>
      <c r="I148" s="2388"/>
      <c r="J148" s="2388"/>
      <c r="K148" s="2388"/>
      <c r="L148" s="2388"/>
      <c r="M148" s="2388"/>
      <c r="N148" s="2401"/>
      <c r="O148" s="1207"/>
      <c r="P148" s="2322"/>
      <c r="Q148" s="2323"/>
      <c r="R148" s="2323"/>
      <c r="S148" s="2323"/>
      <c r="T148" s="2323"/>
      <c r="U148" s="2323"/>
      <c r="V148" s="2323"/>
      <c r="W148" s="2323"/>
      <c r="X148" s="2323"/>
      <c r="Y148" s="2323"/>
      <c r="Z148" s="2323"/>
      <c r="AA148" s="2323"/>
      <c r="AB148" s="2323"/>
      <c r="AC148" s="2323"/>
      <c r="AD148" s="2323"/>
      <c r="AE148" s="2323"/>
      <c r="AF148" s="2323"/>
      <c r="AG148" s="2323"/>
      <c r="AH148" s="2323"/>
      <c r="AI148" s="2323"/>
      <c r="AJ148" s="2323"/>
      <c r="AK148" s="2323"/>
      <c r="AL148" s="2323"/>
      <c r="AM148" s="2323"/>
      <c r="AN148" s="2323"/>
      <c r="AO148" s="232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10"/>
      <c r="D149" s="2411"/>
      <c r="E149" s="2411"/>
      <c r="F149" s="2411"/>
      <c r="G149" s="2411"/>
      <c r="H149" s="2411"/>
      <c r="I149" s="2412"/>
      <c r="J149" s="2412"/>
      <c r="K149" s="2412"/>
      <c r="L149" s="2412"/>
      <c r="M149" s="2412"/>
      <c r="N149" s="2413"/>
      <c r="O149" s="1207"/>
      <c r="P149" s="2325"/>
      <c r="Q149" s="2326"/>
      <c r="R149" s="2326"/>
      <c r="S149" s="2326"/>
      <c r="T149" s="2326"/>
      <c r="U149" s="2326"/>
      <c r="V149" s="2326"/>
      <c r="W149" s="2326"/>
      <c r="X149" s="2326"/>
      <c r="Y149" s="2326"/>
      <c r="Z149" s="2326"/>
      <c r="AA149" s="2326"/>
      <c r="AB149" s="2326"/>
      <c r="AC149" s="2326"/>
      <c r="AD149" s="2326"/>
      <c r="AE149" s="2326"/>
      <c r="AF149" s="2326"/>
      <c r="AG149" s="2326"/>
      <c r="AH149" s="2326"/>
      <c r="AI149" s="2326"/>
      <c r="AJ149" s="2326"/>
      <c r="AK149" s="2326"/>
      <c r="AL149" s="2326"/>
      <c r="AM149" s="2326"/>
      <c r="AN149" s="2326"/>
      <c r="AO149" s="232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14" t="s">
        <v>2597</v>
      </c>
      <c r="D151" s="2414"/>
      <c r="E151" s="2414"/>
      <c r="F151" s="2414"/>
      <c r="G151" s="2414"/>
      <c r="H151" s="2414"/>
      <c r="I151" s="2414"/>
      <c r="J151" s="2414"/>
      <c r="K151" s="2414"/>
      <c r="L151" s="2414"/>
      <c r="M151" s="2414"/>
      <c r="N151" s="2414"/>
      <c r="O151" s="2414"/>
      <c r="P151" s="2414"/>
      <c r="Q151" s="2414"/>
      <c r="R151" s="2414"/>
      <c r="S151" s="2414"/>
      <c r="T151" s="2414"/>
      <c r="U151" s="2414"/>
      <c r="V151" s="2414"/>
      <c r="W151" s="2414"/>
      <c r="X151" s="2414"/>
      <c r="Y151" s="2414"/>
      <c r="Z151" s="2414"/>
      <c r="AA151" s="2414"/>
      <c r="AB151" s="2414"/>
      <c r="AC151" s="2414"/>
      <c r="AD151" s="2414"/>
      <c r="AE151" s="241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14"/>
      <c r="D152" s="2414"/>
      <c r="E152" s="2414"/>
      <c r="F152" s="2414"/>
      <c r="G152" s="2414"/>
      <c r="H152" s="2414"/>
      <c r="I152" s="2414"/>
      <c r="J152" s="2414"/>
      <c r="K152" s="2414"/>
      <c r="L152" s="2414"/>
      <c r="M152" s="2414"/>
      <c r="N152" s="2414"/>
      <c r="O152" s="2414"/>
      <c r="P152" s="2414"/>
      <c r="Q152" s="2414"/>
      <c r="R152" s="2414"/>
      <c r="S152" s="2414"/>
      <c r="T152" s="2414"/>
      <c r="U152" s="2414"/>
      <c r="V152" s="2414"/>
      <c r="W152" s="2414"/>
      <c r="X152" s="2414"/>
      <c r="Y152" s="2414"/>
      <c r="Z152" s="2414"/>
      <c r="AA152" s="2414"/>
      <c r="AB152" s="2414"/>
      <c r="AC152" s="2414"/>
      <c r="AD152" s="2414"/>
      <c r="AE152" s="2414"/>
      <c r="AF152" s="1207"/>
      <c r="AG152" s="1207"/>
      <c r="AH152" s="1227" t="s">
        <v>1924</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18" t="s">
        <v>1912</v>
      </c>
      <c r="D153" s="2319"/>
      <c r="E153" s="2319"/>
      <c r="F153" s="2319"/>
      <c r="G153" s="2319"/>
      <c r="H153" s="2319"/>
      <c r="I153" s="2319"/>
      <c r="J153" s="2319"/>
      <c r="K153" s="2319"/>
      <c r="L153" s="2319"/>
      <c r="M153" s="2319"/>
      <c r="N153" s="2319" t="s">
        <v>1923</v>
      </c>
      <c r="O153" s="2319"/>
      <c r="P153" s="2319"/>
      <c r="Q153" s="2319"/>
      <c r="R153" s="2319"/>
      <c r="S153" s="2319"/>
      <c r="T153" s="2319"/>
      <c r="U153" s="2242" t="s">
        <v>1912</v>
      </c>
      <c r="V153" s="2242"/>
      <c r="W153" s="2242"/>
      <c r="X153" s="2242"/>
      <c r="Y153" s="2242"/>
      <c r="Z153" s="2242"/>
      <c r="AA153" s="2242"/>
      <c r="AB153" s="2242"/>
      <c r="AC153" s="2242"/>
      <c r="AD153" s="2242"/>
      <c r="AE153" s="2243"/>
      <c r="AF153" s="1207"/>
      <c r="AG153" s="1207"/>
      <c r="AH153" s="1233" t="s">
        <v>1925</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403" t="s">
        <v>2598</v>
      </c>
      <c r="D154" s="2404"/>
      <c r="E154" s="2404"/>
      <c r="F154" s="2404"/>
      <c r="G154" s="2404"/>
      <c r="H154" s="2404"/>
      <c r="I154" s="2404"/>
      <c r="J154" s="2404"/>
      <c r="K154" s="2404"/>
      <c r="L154" s="2404"/>
      <c r="M154" s="2404"/>
      <c r="N154" s="2405">
        <f>'Sources and Uses Budget'!B105</f>
        <v>66287369.630000003</v>
      </c>
      <c r="O154" s="2405"/>
      <c r="P154" s="2405"/>
      <c r="Q154" s="2405"/>
      <c r="R154" s="2405"/>
      <c r="S154" s="2405"/>
      <c r="T154" s="2405"/>
      <c r="U154" s="2406"/>
      <c r="V154" s="2406"/>
      <c r="W154" s="2406"/>
      <c r="X154" s="2406"/>
      <c r="Y154" s="2406"/>
      <c r="Z154" s="2406"/>
      <c r="AA154" s="2406"/>
      <c r="AB154" s="2406"/>
      <c r="AC154" s="2406"/>
      <c r="AD154" s="2406"/>
      <c r="AE154" s="2407"/>
      <c r="AF154" s="1207"/>
      <c r="AG154" s="1207"/>
      <c r="AH154" s="1233" t="s">
        <v>2599</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403" t="s">
        <v>2600</v>
      </c>
      <c r="D155" s="2404"/>
      <c r="E155" s="2404"/>
      <c r="F155" s="2404"/>
      <c r="G155" s="2404"/>
      <c r="H155" s="2404"/>
      <c r="I155" s="2404"/>
      <c r="J155" s="2404"/>
      <c r="K155" s="2404"/>
      <c r="L155" s="2404"/>
      <c r="M155" s="2404"/>
      <c r="N155" s="2405">
        <f>N154/J29</f>
        <v>491017.55281481484</v>
      </c>
      <c r="O155" s="2405"/>
      <c r="P155" s="2405"/>
      <c r="Q155" s="2405"/>
      <c r="R155" s="2405"/>
      <c r="S155" s="2405"/>
      <c r="T155" s="240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08" t="s">
        <v>2601</v>
      </c>
      <c r="D156" s="2409"/>
      <c r="E156" s="2409"/>
      <c r="F156" s="2409"/>
      <c r="G156" s="2409"/>
      <c r="H156" s="2409"/>
      <c r="I156" s="2409"/>
      <c r="J156" s="2409"/>
      <c r="K156" s="2409"/>
      <c r="L156" s="2409"/>
      <c r="M156" s="2409"/>
      <c r="N156" s="2312">
        <v>0</v>
      </c>
      <c r="O156" s="2312"/>
      <c r="P156" s="2312"/>
      <c r="Q156" s="2312"/>
      <c r="R156" s="2312"/>
      <c r="S156" s="2312"/>
      <c r="T156" s="2312"/>
      <c r="U156" s="2285"/>
      <c r="V156" s="2285"/>
      <c r="W156" s="2285"/>
      <c r="X156" s="2285"/>
      <c r="Y156" s="2285"/>
      <c r="Z156" s="2285"/>
      <c r="AA156" s="2285"/>
      <c r="AB156" s="2285"/>
      <c r="AC156" s="2285"/>
      <c r="AD156" s="2285"/>
      <c r="AE156" s="2286"/>
      <c r="AF156" s="1207"/>
      <c r="AG156" s="1207"/>
      <c r="AH156" s="2415" t="s">
        <v>2272</v>
      </c>
      <c r="AI156" s="2416"/>
      <c r="AJ156" s="2416"/>
      <c r="AK156" s="2416"/>
      <c r="AL156" s="2416"/>
      <c r="AM156" s="2416"/>
      <c r="AN156" s="2416"/>
      <c r="AO156" s="2416"/>
      <c r="AP156" s="2416"/>
      <c r="AQ156" s="2416"/>
      <c r="AR156" s="2416"/>
      <c r="AS156" s="2417">
        <f>SUM(AS152:AW154)</f>
        <v>0</v>
      </c>
      <c r="AT156" s="2417"/>
      <c r="AU156" s="2417"/>
      <c r="AV156" s="2417"/>
      <c r="AW156" s="2418"/>
      <c r="AX156" s="1207"/>
      <c r="AY156" s="1207"/>
      <c r="AZ156" s="1207"/>
      <c r="BA156" s="1207"/>
      <c r="BB156" s="1207"/>
      <c r="BC156" s="1207"/>
      <c r="BD156" s="1207"/>
      <c r="BE156" s="1213"/>
    </row>
    <row r="157" spans="1:57" ht="15.75" customHeight="1" thickBot="1">
      <c r="A157" s="1207"/>
      <c r="B157" s="1207"/>
      <c r="C157" s="2403" t="s">
        <v>2602</v>
      </c>
      <c r="D157" s="2404"/>
      <c r="E157" s="2404"/>
      <c r="F157" s="2404"/>
      <c r="G157" s="2404"/>
      <c r="H157" s="2404"/>
      <c r="I157" s="2404"/>
      <c r="J157" s="2404"/>
      <c r="K157" s="2404"/>
      <c r="L157" s="2404"/>
      <c r="M157" s="2404"/>
      <c r="N157" s="2419">
        <f>SUM('Sources and Uses Budget'!B85:B86)</f>
        <v>5806855.5500000007</v>
      </c>
      <c r="O157" s="2419"/>
      <c r="P157" s="2419"/>
      <c r="Q157" s="2419"/>
      <c r="R157" s="2419"/>
      <c r="S157" s="2419"/>
      <c r="T157" s="2419"/>
      <c r="U157" s="2285"/>
      <c r="V157" s="2285"/>
      <c r="W157" s="2285"/>
      <c r="X157" s="2285"/>
      <c r="Y157" s="2285"/>
      <c r="Z157" s="2285"/>
      <c r="AA157" s="2285"/>
      <c r="AB157" s="2285"/>
      <c r="AC157" s="2285"/>
      <c r="AD157" s="2285"/>
      <c r="AE157" s="2286"/>
      <c r="AF157" s="1207"/>
      <c r="AG157" s="1207"/>
      <c r="AH157" s="1247" t="s">
        <v>2603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403" t="s">
        <v>2604</v>
      </c>
      <c r="D158" s="2404"/>
      <c r="E158" s="2404"/>
      <c r="F158" s="2404"/>
      <c r="G158" s="2404"/>
      <c r="H158" s="2404"/>
      <c r="I158" s="2404"/>
      <c r="J158" s="2404"/>
      <c r="K158" s="2404"/>
      <c r="L158" s="2404"/>
      <c r="M158" s="2404"/>
      <c r="N158" s="2419">
        <f>'Sources and Uses Budget'!B8</f>
        <v>2100000</v>
      </c>
      <c r="O158" s="2419"/>
      <c r="P158" s="2419"/>
      <c r="Q158" s="2419"/>
      <c r="R158" s="2419"/>
      <c r="S158" s="2419"/>
      <c r="T158" s="2419"/>
      <c r="U158" s="2285"/>
      <c r="V158" s="2285"/>
      <c r="W158" s="2285"/>
      <c r="X158" s="2285"/>
      <c r="Y158" s="2285"/>
      <c r="Z158" s="2285"/>
      <c r="AA158" s="2285"/>
      <c r="AB158" s="2285"/>
      <c r="AC158" s="2285"/>
      <c r="AD158" s="2285"/>
      <c r="AE158" s="2286"/>
      <c r="AF158" s="1207"/>
      <c r="AG158" s="1207"/>
      <c r="AH158" s="2420" t="s">
        <v>2605</v>
      </c>
      <c r="AI158" s="2421"/>
      <c r="AJ158" s="2421"/>
      <c r="AK158" s="2421"/>
      <c r="AL158" s="2421"/>
      <c r="AM158" s="2421"/>
      <c r="AN158" s="2421"/>
      <c r="AO158" s="2421"/>
      <c r="AP158" s="2421"/>
      <c r="AQ158" s="2421"/>
      <c r="AR158" s="2422"/>
      <c r="AS158" s="2426" t="s">
        <v>2606</v>
      </c>
      <c r="AT158" s="2427"/>
      <c r="AU158" s="2427"/>
      <c r="AV158" s="2427"/>
      <c r="AW158" s="2427"/>
      <c r="AX158" s="2428"/>
      <c r="AY158" s="2427" t="s">
        <v>2607</v>
      </c>
      <c r="AZ158" s="2427"/>
      <c r="BA158" s="2427"/>
      <c r="BB158" s="2427"/>
      <c r="BC158" s="2427"/>
      <c r="BD158" s="2432"/>
      <c r="BE158" s="1213"/>
    </row>
    <row r="159" spans="1:57" ht="15.75" customHeight="1">
      <c r="A159" s="1207"/>
      <c r="B159" s="1207"/>
      <c r="C159" s="2403" t="s">
        <v>2608</v>
      </c>
      <c r="D159" s="2404"/>
      <c r="E159" s="2404"/>
      <c r="F159" s="2404"/>
      <c r="G159" s="2404"/>
      <c r="H159" s="2404"/>
      <c r="I159" s="2404"/>
      <c r="J159" s="2404"/>
      <c r="K159" s="2404"/>
      <c r="L159" s="2404"/>
      <c r="M159" s="2404"/>
      <c r="N159" s="2434">
        <v>0</v>
      </c>
      <c r="O159" s="2434"/>
      <c r="P159" s="2434"/>
      <c r="Q159" s="2434"/>
      <c r="R159" s="2434"/>
      <c r="S159" s="2434"/>
      <c r="T159" s="2434"/>
      <c r="U159" s="2285"/>
      <c r="V159" s="2285"/>
      <c r="W159" s="2285"/>
      <c r="X159" s="2285"/>
      <c r="Y159" s="2285"/>
      <c r="Z159" s="2285"/>
      <c r="AA159" s="2285"/>
      <c r="AB159" s="2285"/>
      <c r="AC159" s="2285"/>
      <c r="AD159" s="2285"/>
      <c r="AE159" s="2286"/>
      <c r="AF159" s="1207"/>
      <c r="AG159" s="1207"/>
      <c r="AH159" s="2423"/>
      <c r="AI159" s="2424"/>
      <c r="AJ159" s="2424"/>
      <c r="AK159" s="2424"/>
      <c r="AL159" s="2424"/>
      <c r="AM159" s="2424"/>
      <c r="AN159" s="2424"/>
      <c r="AO159" s="2424"/>
      <c r="AP159" s="2424"/>
      <c r="AQ159" s="2424"/>
      <c r="AR159" s="2425"/>
      <c r="AS159" s="2429"/>
      <c r="AT159" s="2430"/>
      <c r="AU159" s="2430"/>
      <c r="AV159" s="2430"/>
      <c r="AW159" s="2430"/>
      <c r="AX159" s="2431"/>
      <c r="AY159" s="2430"/>
      <c r="AZ159" s="2430"/>
      <c r="BA159" s="2430"/>
      <c r="BB159" s="2430"/>
      <c r="BC159" s="2430"/>
      <c r="BD159" s="2433"/>
      <c r="BE159" s="1213"/>
    </row>
    <row r="160" spans="1:57" ht="15.75" customHeight="1">
      <c r="A160" s="1207"/>
      <c r="B160" s="1207"/>
      <c r="C160" s="2403" t="s">
        <v>2609</v>
      </c>
      <c r="D160" s="2404"/>
      <c r="E160" s="2404"/>
      <c r="F160" s="2404"/>
      <c r="G160" s="2404"/>
      <c r="H160" s="2404"/>
      <c r="I160" s="2404"/>
      <c r="J160" s="2404"/>
      <c r="K160" s="2404"/>
      <c r="L160" s="2404"/>
      <c r="M160" s="2404"/>
      <c r="N160" s="2434">
        <v>0</v>
      </c>
      <c r="O160" s="2434"/>
      <c r="P160" s="2434"/>
      <c r="Q160" s="2434"/>
      <c r="R160" s="2434"/>
      <c r="S160" s="2434"/>
      <c r="T160" s="2434"/>
      <c r="U160" s="2285"/>
      <c r="V160" s="2285"/>
      <c r="W160" s="2285"/>
      <c r="X160" s="2285"/>
      <c r="Y160" s="2285"/>
      <c r="Z160" s="2285"/>
      <c r="AA160" s="2285"/>
      <c r="AB160" s="2285"/>
      <c r="AC160" s="2285"/>
      <c r="AD160" s="2285"/>
      <c r="AE160" s="2286"/>
      <c r="AF160" s="1207"/>
      <c r="AG160" s="1207"/>
      <c r="AH160" s="2435" t="s">
        <v>2273</v>
      </c>
      <c r="AI160" s="2436"/>
      <c r="AJ160" s="2436"/>
      <c r="AK160" s="2436"/>
      <c r="AL160" s="2436"/>
      <c r="AM160" s="2436"/>
      <c r="AN160" s="2436"/>
      <c r="AO160" s="2436"/>
      <c r="AP160" s="2436"/>
      <c r="AQ160" s="2436"/>
      <c r="AR160" s="2436"/>
      <c r="AS160" s="2437">
        <v>0</v>
      </c>
      <c r="AT160" s="2437"/>
      <c r="AU160" s="2437"/>
      <c r="AV160" s="2437"/>
      <c r="AW160" s="2437"/>
      <c r="AX160" s="2437"/>
      <c r="AY160" s="2437">
        <v>0</v>
      </c>
      <c r="AZ160" s="2437"/>
      <c r="BA160" s="2437"/>
      <c r="BB160" s="2437"/>
      <c r="BC160" s="2437"/>
      <c r="BD160" s="2438"/>
      <c r="BE160" s="1213"/>
    </row>
    <row r="161" spans="1:57" ht="15.75" customHeight="1">
      <c r="A161" s="1207"/>
      <c r="B161" s="1207"/>
      <c r="C161" s="2440" t="s">
        <v>302</v>
      </c>
      <c r="D161" s="2387"/>
      <c r="E161" s="2439" t="s">
        <v>1918</v>
      </c>
      <c r="F161" s="2439"/>
      <c r="G161" s="2439"/>
      <c r="H161" s="2439"/>
      <c r="I161" s="2439"/>
      <c r="J161" s="2439"/>
      <c r="K161" s="2439"/>
      <c r="L161" s="2439"/>
      <c r="M161" s="2439"/>
      <c r="N161" s="2434">
        <v>0</v>
      </c>
      <c r="O161" s="2434"/>
      <c r="P161" s="2434"/>
      <c r="Q161" s="2434"/>
      <c r="R161" s="2434"/>
      <c r="S161" s="2434"/>
      <c r="T161" s="2434"/>
      <c r="U161" s="2285"/>
      <c r="V161" s="2285"/>
      <c r="W161" s="2285"/>
      <c r="X161" s="2285"/>
      <c r="Y161" s="2285"/>
      <c r="Z161" s="2285"/>
      <c r="AA161" s="2285"/>
      <c r="AB161" s="2285"/>
      <c r="AC161" s="2285"/>
      <c r="AD161" s="2285"/>
      <c r="AE161" s="2286"/>
      <c r="AF161" s="1207"/>
      <c r="AG161" s="1207"/>
      <c r="AH161" s="2435" t="s">
        <v>2274</v>
      </c>
      <c r="AI161" s="2436"/>
      <c r="AJ161" s="2436"/>
      <c r="AK161" s="2436"/>
      <c r="AL161" s="2436"/>
      <c r="AM161" s="2436"/>
      <c r="AN161" s="2436"/>
      <c r="AO161" s="2436"/>
      <c r="AP161" s="2436"/>
      <c r="AQ161" s="2436"/>
      <c r="AR161" s="2436"/>
      <c r="AS161" s="2437">
        <v>0</v>
      </c>
      <c r="AT161" s="2437"/>
      <c r="AU161" s="2437"/>
      <c r="AV161" s="2437"/>
      <c r="AW161" s="2437"/>
      <c r="AX161" s="2437"/>
      <c r="AY161" s="2437">
        <v>0</v>
      </c>
      <c r="AZ161" s="2437"/>
      <c r="BA161" s="2437"/>
      <c r="BB161" s="2437"/>
      <c r="BC161" s="2437"/>
      <c r="BD161" s="2438"/>
      <c r="BE161" s="1213"/>
    </row>
    <row r="162" spans="1:57" ht="15.75" customHeight="1">
      <c r="A162" s="1207"/>
      <c r="B162" s="1207"/>
      <c r="C162" s="2328" t="s">
        <v>302</v>
      </c>
      <c r="D162" s="2273"/>
      <c r="E162" s="2439" t="s">
        <v>1918</v>
      </c>
      <c r="F162" s="2439"/>
      <c r="G162" s="2439"/>
      <c r="H162" s="2439"/>
      <c r="I162" s="2439"/>
      <c r="J162" s="2439"/>
      <c r="K162" s="2439"/>
      <c r="L162" s="2439"/>
      <c r="M162" s="2439"/>
      <c r="N162" s="2434">
        <v>0</v>
      </c>
      <c r="O162" s="2434"/>
      <c r="P162" s="2434"/>
      <c r="Q162" s="2434"/>
      <c r="R162" s="2434"/>
      <c r="S162" s="2434"/>
      <c r="T162" s="2434"/>
      <c r="U162" s="2285"/>
      <c r="V162" s="2285"/>
      <c r="W162" s="2285"/>
      <c r="X162" s="2285"/>
      <c r="Y162" s="2285"/>
      <c r="Z162" s="2285"/>
      <c r="AA162" s="2285"/>
      <c r="AB162" s="2285"/>
      <c r="AC162" s="2285"/>
      <c r="AD162" s="2285"/>
      <c r="AE162" s="2286"/>
      <c r="AF162" s="1207"/>
      <c r="AG162" s="1207"/>
      <c r="AH162" s="2435" t="s">
        <v>2275</v>
      </c>
      <c r="AI162" s="2436"/>
      <c r="AJ162" s="2436"/>
      <c r="AK162" s="2436"/>
      <c r="AL162" s="2436"/>
      <c r="AM162" s="2436"/>
      <c r="AN162" s="2436"/>
      <c r="AO162" s="2436"/>
      <c r="AP162" s="2436"/>
      <c r="AQ162" s="2436"/>
      <c r="AR162" s="2436"/>
      <c r="AS162" s="2437">
        <v>0</v>
      </c>
      <c r="AT162" s="2437"/>
      <c r="AU162" s="2437"/>
      <c r="AV162" s="2437"/>
      <c r="AW162" s="2437"/>
      <c r="AX162" s="2437"/>
      <c r="AY162" s="2437">
        <v>0</v>
      </c>
      <c r="AZ162" s="2437"/>
      <c r="BA162" s="2437"/>
      <c r="BB162" s="2437"/>
      <c r="BC162" s="2437"/>
      <c r="BD162" s="2438"/>
      <c r="BE162" s="1213"/>
    </row>
    <row r="163" spans="1:57" ht="15.75" customHeight="1" thickBot="1">
      <c r="A163" s="1207"/>
      <c r="B163" s="1207"/>
      <c r="C163" s="2445" t="s">
        <v>302</v>
      </c>
      <c r="D163" s="2446"/>
      <c r="E163" s="2447" t="s">
        <v>1918</v>
      </c>
      <c r="F163" s="2447"/>
      <c r="G163" s="2447"/>
      <c r="H163" s="2447"/>
      <c r="I163" s="2447"/>
      <c r="J163" s="2447"/>
      <c r="K163" s="2447"/>
      <c r="L163" s="2447"/>
      <c r="M163" s="2448"/>
      <c r="N163" s="2449">
        <v>0</v>
      </c>
      <c r="O163" s="2449"/>
      <c r="P163" s="2449"/>
      <c r="Q163" s="2449"/>
      <c r="R163" s="2449"/>
      <c r="S163" s="2449"/>
      <c r="T163" s="2450"/>
      <c r="U163" s="2451"/>
      <c r="V163" s="2452"/>
      <c r="W163" s="2452"/>
      <c r="X163" s="2452"/>
      <c r="Y163" s="2452"/>
      <c r="Z163" s="2452"/>
      <c r="AA163" s="2452"/>
      <c r="AB163" s="2452"/>
      <c r="AC163" s="2452"/>
      <c r="AD163" s="2452"/>
      <c r="AE163" s="2453"/>
      <c r="AF163" s="1207"/>
      <c r="AG163" s="1207"/>
      <c r="AH163" s="2435" t="s">
        <v>2276</v>
      </c>
      <c r="AI163" s="2436"/>
      <c r="AJ163" s="2436"/>
      <c r="AK163" s="2436"/>
      <c r="AL163" s="2436"/>
      <c r="AM163" s="2436"/>
      <c r="AN163" s="2436"/>
      <c r="AO163" s="2436"/>
      <c r="AP163" s="2436"/>
      <c r="AQ163" s="2436"/>
      <c r="AR163" s="2436"/>
      <c r="AS163" s="2437">
        <v>0</v>
      </c>
      <c r="AT163" s="2437"/>
      <c r="AU163" s="2437"/>
      <c r="AV163" s="2437"/>
      <c r="AW163" s="2437"/>
      <c r="AX163" s="2437"/>
      <c r="AY163" s="2437">
        <v>0</v>
      </c>
      <c r="AZ163" s="2437"/>
      <c r="BA163" s="2437"/>
      <c r="BB163" s="2437"/>
      <c r="BC163" s="2437"/>
      <c r="BD163" s="2438"/>
      <c r="BE163" s="1213"/>
    </row>
    <row r="164" spans="1:57" ht="15.75" customHeight="1">
      <c r="A164" s="1207"/>
      <c r="B164" s="1207"/>
      <c r="C164" s="2441" t="s">
        <v>1926</v>
      </c>
      <c r="D164" s="2442"/>
      <c r="E164" s="2442"/>
      <c r="F164" s="2442"/>
      <c r="G164" s="2442"/>
      <c r="H164" s="2442"/>
      <c r="I164" s="2442"/>
      <c r="J164" s="2442"/>
      <c r="K164" s="2442"/>
      <c r="L164" s="2442"/>
      <c r="M164" s="2442"/>
      <c r="N164" s="2443">
        <f>SUM(N156:T163)</f>
        <v>7906855.5500000007</v>
      </c>
      <c r="O164" s="2443"/>
      <c r="P164" s="2443"/>
      <c r="Q164" s="2443"/>
      <c r="R164" s="2443"/>
      <c r="S164" s="2443"/>
      <c r="T164" s="2444"/>
      <c r="U164" s="1207"/>
      <c r="V164" s="1207"/>
      <c r="W164" s="1207"/>
      <c r="X164" s="1207"/>
      <c r="Y164" s="1207"/>
      <c r="Z164" s="1207"/>
      <c r="AA164" s="1207"/>
      <c r="AB164" s="1207"/>
      <c r="AC164" s="1207"/>
      <c r="AD164" s="1207"/>
      <c r="AE164" s="1207"/>
      <c r="AF164" s="1207"/>
      <c r="AG164" s="1207"/>
      <c r="AH164" s="2435" t="s">
        <v>2277</v>
      </c>
      <c r="AI164" s="2436"/>
      <c r="AJ164" s="2436"/>
      <c r="AK164" s="2436"/>
      <c r="AL164" s="2436"/>
      <c r="AM164" s="2436"/>
      <c r="AN164" s="2436"/>
      <c r="AO164" s="2436"/>
      <c r="AP164" s="2436"/>
      <c r="AQ164" s="2436"/>
      <c r="AR164" s="2436"/>
      <c r="AS164" s="2437">
        <v>0</v>
      </c>
      <c r="AT164" s="2437"/>
      <c r="AU164" s="2437"/>
      <c r="AV164" s="2437"/>
      <c r="AW164" s="2437"/>
      <c r="AX164" s="2437"/>
      <c r="AY164" s="2437">
        <v>0</v>
      </c>
      <c r="AZ164" s="2437"/>
      <c r="BA164" s="2437"/>
      <c r="BB164" s="2437"/>
      <c r="BC164" s="2437"/>
      <c r="BD164" s="2438"/>
      <c r="BE164" s="1213"/>
    </row>
    <row r="165" spans="1:57" ht="15.75" customHeight="1" thickBot="1">
      <c r="A165" s="1207"/>
      <c r="B165" s="1207"/>
      <c r="C165" s="2467" t="s">
        <v>2610</v>
      </c>
      <c r="D165" s="2468"/>
      <c r="E165" s="2468"/>
      <c r="F165" s="2468"/>
      <c r="G165" s="2468"/>
      <c r="H165" s="2468"/>
      <c r="I165" s="2468"/>
      <c r="J165" s="2468"/>
      <c r="K165" s="2468"/>
      <c r="L165" s="2468"/>
      <c r="M165" s="2468"/>
      <c r="N165" s="2469">
        <f>(N154-N164)/J29</f>
        <v>432448.25244444446</v>
      </c>
      <c r="O165" s="2470"/>
      <c r="P165" s="2470"/>
      <c r="Q165" s="2470"/>
      <c r="R165" s="2470"/>
      <c r="S165" s="2470"/>
      <c r="T165" s="2471"/>
      <c r="U165" s="1214"/>
      <c r="V165" s="1207"/>
      <c r="W165" s="1207"/>
      <c r="X165" s="1207"/>
      <c r="Y165" s="1207"/>
      <c r="Z165" s="1207"/>
      <c r="AA165" s="1207"/>
      <c r="AB165" s="1207"/>
      <c r="AC165" s="1207"/>
      <c r="AD165" s="1207"/>
      <c r="AE165" s="1207"/>
      <c r="AF165" s="1207"/>
      <c r="AG165" s="1207"/>
      <c r="AH165" s="2435" t="s">
        <v>2278</v>
      </c>
      <c r="AI165" s="2436"/>
      <c r="AJ165" s="2436"/>
      <c r="AK165" s="2436"/>
      <c r="AL165" s="2436"/>
      <c r="AM165" s="2436"/>
      <c r="AN165" s="2436"/>
      <c r="AO165" s="2436"/>
      <c r="AP165" s="2436"/>
      <c r="AQ165" s="2436"/>
      <c r="AR165" s="2436"/>
      <c r="AS165" s="2437">
        <v>0</v>
      </c>
      <c r="AT165" s="2437"/>
      <c r="AU165" s="2437"/>
      <c r="AV165" s="2437"/>
      <c r="AW165" s="2437"/>
      <c r="AX165" s="2437"/>
      <c r="AY165" s="2437">
        <v>0</v>
      </c>
      <c r="AZ165" s="2437"/>
      <c r="BA165" s="2437"/>
      <c r="BB165" s="2437"/>
      <c r="BC165" s="2437"/>
      <c r="BD165" s="243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72" t="s">
        <v>125</v>
      </c>
      <c r="AI166" s="2473"/>
      <c r="AJ166" s="2473"/>
      <c r="AK166" s="2473"/>
      <c r="AL166" s="2473"/>
      <c r="AM166" s="2473"/>
      <c r="AN166" s="2473"/>
      <c r="AO166" s="2473"/>
      <c r="AP166" s="2473"/>
      <c r="AQ166" s="2473"/>
      <c r="AR166" s="2473"/>
      <c r="AS166" s="2474">
        <f>SUM(AS160:AX165)</f>
        <v>0</v>
      </c>
      <c r="AT166" s="2474"/>
      <c r="AU166" s="2474"/>
      <c r="AV166" s="2474"/>
      <c r="AW166" s="2474"/>
      <c r="AX166" s="2474"/>
      <c r="AY166" s="2474">
        <f>SUM(AY160:BD165)</f>
        <v>0</v>
      </c>
      <c r="AZ166" s="2474"/>
      <c r="BA166" s="2474"/>
      <c r="BB166" s="2474"/>
      <c r="BC166" s="2474"/>
      <c r="BD166" s="247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54" t="s">
        <v>1927</v>
      </c>
      <c r="C168" s="2455"/>
      <c r="D168" s="2455"/>
      <c r="E168" s="2455"/>
      <c r="F168" s="2455"/>
      <c r="G168" s="2455"/>
      <c r="H168" s="2455"/>
      <c r="I168" s="2455"/>
      <c r="J168" s="2455"/>
      <c r="K168" s="2455"/>
      <c r="L168" s="2455"/>
      <c r="M168" s="2455"/>
      <c r="N168" s="2455"/>
      <c r="O168" s="2455"/>
      <c r="P168" s="2455"/>
      <c r="Q168" s="2455"/>
      <c r="R168" s="2455"/>
      <c r="S168" s="2455"/>
      <c r="T168" s="2455"/>
      <c r="U168" s="2455"/>
      <c r="V168" s="2455"/>
      <c r="W168" s="2455"/>
      <c r="X168" s="2455"/>
      <c r="Y168" s="2455"/>
      <c r="Z168" s="2455"/>
      <c r="AA168" s="2455"/>
      <c r="AB168" s="2455"/>
      <c r="AC168" s="2455"/>
      <c r="AD168" s="2455"/>
      <c r="AE168" s="2455"/>
      <c r="AF168" s="2455"/>
      <c r="AG168" s="2455"/>
      <c r="AH168" s="2455"/>
      <c r="AI168" s="2455"/>
      <c r="AJ168" s="2455"/>
      <c r="AK168" s="2455"/>
      <c r="AL168" s="2455"/>
      <c r="AM168" s="2455"/>
      <c r="AN168" s="2455"/>
      <c r="AO168" s="2455"/>
      <c r="AP168" s="2455"/>
      <c r="AQ168" s="2455"/>
      <c r="AR168" s="2455"/>
      <c r="AS168" s="2455"/>
      <c r="AT168" s="2455"/>
      <c r="AU168" s="2455"/>
      <c r="AV168" s="2455"/>
      <c r="AW168" s="2455"/>
      <c r="AX168" s="2455"/>
      <c r="AY168" s="2455"/>
      <c r="AZ168" s="2455"/>
      <c r="BA168" s="2455"/>
      <c r="BB168" s="2455"/>
      <c r="BC168" s="2455"/>
      <c r="BD168" s="2456"/>
      <c r="BE168" s="1213"/>
    </row>
    <row r="169" spans="1:57" ht="15.75" customHeight="1">
      <c r="A169" s="1207"/>
      <c r="B169" s="2457"/>
      <c r="C169" s="2458"/>
      <c r="D169" s="2458"/>
      <c r="E169" s="2458"/>
      <c r="F169" s="2458"/>
      <c r="G169" s="2458"/>
      <c r="H169" s="2458"/>
      <c r="I169" s="2458"/>
      <c r="J169" s="2458"/>
      <c r="K169" s="2458"/>
      <c r="L169" s="2458"/>
      <c r="M169" s="2458"/>
      <c r="N169" s="2458"/>
      <c r="O169" s="2458"/>
      <c r="P169" s="2458"/>
      <c r="Q169" s="2458"/>
      <c r="R169" s="2458"/>
      <c r="S169" s="2458"/>
      <c r="T169" s="2458"/>
      <c r="U169" s="2458"/>
      <c r="V169" s="2458"/>
      <c r="W169" s="2458"/>
      <c r="X169" s="2458"/>
      <c r="Y169" s="2458"/>
      <c r="Z169" s="2458"/>
      <c r="AA169" s="2458"/>
      <c r="AB169" s="2458"/>
      <c r="AC169" s="2458"/>
      <c r="AD169" s="2458"/>
      <c r="AE169" s="2458"/>
      <c r="AF169" s="2458"/>
      <c r="AG169" s="2458"/>
      <c r="AH169" s="2458"/>
      <c r="AI169" s="2458"/>
      <c r="AJ169" s="2458"/>
      <c r="AK169" s="2458"/>
      <c r="AL169" s="2458"/>
      <c r="AM169" s="2458"/>
      <c r="AN169" s="2458"/>
      <c r="AO169" s="2458"/>
      <c r="AP169" s="2458"/>
      <c r="AQ169" s="2458"/>
      <c r="AR169" s="2458"/>
      <c r="AS169" s="2458"/>
      <c r="AT169" s="2458"/>
      <c r="AU169" s="2458"/>
      <c r="AV169" s="2458"/>
      <c r="AW169" s="2458"/>
      <c r="AX169" s="2458"/>
      <c r="AY169" s="2458"/>
      <c r="AZ169" s="2458"/>
      <c r="BA169" s="2458"/>
      <c r="BB169" s="2458"/>
      <c r="BC169" s="2458"/>
      <c r="BD169" s="2459"/>
      <c r="BE169" s="1213"/>
    </row>
    <row r="170" spans="1:57" ht="15.75" customHeight="1">
      <c r="A170" s="1207"/>
      <c r="B170" s="2460" t="s">
        <v>1928</v>
      </c>
      <c r="C170" s="2461"/>
      <c r="D170" s="2461"/>
      <c r="E170" s="2461"/>
      <c r="F170" s="2461"/>
      <c r="G170" s="2461"/>
      <c r="H170" s="2461"/>
      <c r="I170" s="2461"/>
      <c r="J170" s="2461"/>
      <c r="K170" s="2461"/>
      <c r="L170" s="2461"/>
      <c r="M170" s="2461"/>
      <c r="N170" s="2461"/>
      <c r="O170" s="2461"/>
      <c r="P170" s="2461"/>
      <c r="Q170" s="2461"/>
      <c r="R170" s="2461"/>
      <c r="S170" s="2461"/>
      <c r="T170" s="2461"/>
      <c r="U170" s="2461"/>
      <c r="V170" s="2461"/>
      <c r="W170" s="2461"/>
      <c r="X170" s="2461"/>
      <c r="Y170" s="2461"/>
      <c r="Z170" s="2461"/>
      <c r="AA170" s="2461"/>
      <c r="AB170" s="2461"/>
      <c r="AC170" s="2461"/>
      <c r="AD170" s="2461"/>
      <c r="AE170" s="2461"/>
      <c r="AF170" s="2461"/>
      <c r="AG170" s="2461"/>
      <c r="AH170" s="2461"/>
      <c r="AI170" s="2461"/>
      <c r="AJ170" s="2461"/>
      <c r="AK170" s="2461"/>
      <c r="AL170" s="2461"/>
      <c r="AM170" s="2461"/>
      <c r="AN170" s="2461"/>
      <c r="AO170" s="2461"/>
      <c r="AP170" s="2461"/>
      <c r="AQ170" s="2461"/>
      <c r="AR170" s="2461"/>
      <c r="AS170" s="2461"/>
      <c r="AT170" s="2461"/>
      <c r="AU170" s="2461"/>
      <c r="AV170" s="2461"/>
      <c r="AW170" s="2461"/>
      <c r="AX170" s="2461"/>
      <c r="AY170" s="2461"/>
      <c r="AZ170" s="2461"/>
      <c r="BA170" s="2461"/>
      <c r="BB170" s="2461"/>
      <c r="BC170" s="2461"/>
      <c r="BD170" s="2462"/>
      <c r="BE170" s="1213"/>
    </row>
    <row r="171" spans="1:57" ht="15.75" customHeight="1">
      <c r="A171" s="1207"/>
      <c r="B171" s="2460" t="s">
        <v>1929</v>
      </c>
      <c r="C171" s="2461"/>
      <c r="D171" s="2461"/>
      <c r="E171" s="2461"/>
      <c r="F171" s="2461"/>
      <c r="G171" s="2461"/>
      <c r="H171" s="2461"/>
      <c r="I171" s="2461"/>
      <c r="J171" s="2461"/>
      <c r="K171" s="2461"/>
      <c r="L171" s="2461"/>
      <c r="M171" s="2461"/>
      <c r="N171" s="2461"/>
      <c r="O171" s="2461"/>
      <c r="P171" s="2461"/>
      <c r="Q171" s="2461"/>
      <c r="R171" s="2461"/>
      <c r="S171" s="2461"/>
      <c r="T171" s="2461"/>
      <c r="U171" s="2461"/>
      <c r="V171" s="2461"/>
      <c r="W171" s="2461"/>
      <c r="X171" s="2461"/>
      <c r="Y171" s="2461"/>
      <c r="Z171" s="2461"/>
      <c r="AA171" s="2461"/>
      <c r="AB171" s="2461"/>
      <c r="AC171" s="2461"/>
      <c r="AD171" s="2461"/>
      <c r="AE171" s="2461"/>
      <c r="AF171" s="2461"/>
      <c r="AG171" s="2461"/>
      <c r="AH171" s="2461"/>
      <c r="AI171" s="2461"/>
      <c r="AJ171" s="2461"/>
      <c r="AK171" s="2461"/>
      <c r="AL171" s="2461"/>
      <c r="AM171" s="2461"/>
      <c r="AN171" s="2461"/>
      <c r="AO171" s="2461"/>
      <c r="AP171" s="2461"/>
      <c r="AQ171" s="2461"/>
      <c r="AR171" s="2461"/>
      <c r="AS171" s="2461"/>
      <c r="AT171" s="2461"/>
      <c r="AU171" s="2461"/>
      <c r="AV171" s="2461"/>
      <c r="AW171" s="2461"/>
      <c r="AX171" s="2461"/>
      <c r="AY171" s="2461"/>
      <c r="AZ171" s="2461"/>
      <c r="BA171" s="2461"/>
      <c r="BB171" s="2461"/>
      <c r="BC171" s="2461"/>
      <c r="BD171" s="2462"/>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63" t="s">
        <v>1930</v>
      </c>
      <c r="C173" s="2464"/>
      <c r="D173" s="2464"/>
      <c r="E173" s="2464"/>
      <c r="F173" s="2464"/>
      <c r="G173" s="2464"/>
      <c r="H173" s="2464"/>
      <c r="I173" s="2464"/>
      <c r="J173" s="2464"/>
      <c r="K173" s="2464"/>
      <c r="L173" s="2464"/>
      <c r="M173" s="2464"/>
      <c r="N173" s="2464"/>
      <c r="O173" s="2464"/>
      <c r="P173" s="2464"/>
      <c r="Q173" s="2464"/>
      <c r="R173" s="2464"/>
      <c r="S173" s="2464"/>
      <c r="T173" s="2464"/>
      <c r="U173" s="2464"/>
      <c r="V173" s="2464"/>
      <c r="W173" s="2464"/>
      <c r="X173" s="2464"/>
      <c r="Y173" s="2464"/>
      <c r="Z173" s="2464"/>
      <c r="AA173" s="2464"/>
      <c r="AB173" s="2464"/>
      <c r="AC173" s="2464"/>
      <c r="AD173" s="2464"/>
      <c r="AE173" s="2464"/>
      <c r="AF173" s="2464"/>
      <c r="AG173" s="2464"/>
      <c r="AH173" s="2464"/>
      <c r="AI173" s="2464"/>
      <c r="AJ173" s="2464"/>
      <c r="AK173" s="2464"/>
      <c r="AL173" s="2464"/>
      <c r="AM173" s="2464"/>
      <c r="AN173" s="2464"/>
      <c r="AO173" s="2464"/>
      <c r="AP173" s="2464"/>
      <c r="AQ173" s="2464"/>
      <c r="AR173" s="2464"/>
      <c r="AS173" s="2464"/>
      <c r="AT173" s="2464"/>
      <c r="AU173" s="2464"/>
      <c r="AV173" s="2464"/>
      <c r="AW173" s="2464"/>
      <c r="AX173" s="2464"/>
      <c r="AY173" s="2464"/>
      <c r="AZ173" s="2464"/>
      <c r="BA173" s="2464"/>
      <c r="BB173" s="2464"/>
      <c r="BC173" s="2464"/>
      <c r="BD173" s="2465"/>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1931</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66" t="s">
        <v>1932</v>
      </c>
      <c r="I177" s="2466"/>
      <c r="J177" s="2466"/>
      <c r="K177" s="2466"/>
      <c r="L177" s="2466"/>
      <c r="M177" s="2466"/>
      <c r="N177" s="2466"/>
      <c r="O177" s="2466"/>
      <c r="P177" s="2466"/>
      <c r="Q177" s="2466"/>
      <c r="R177" s="2466"/>
      <c r="S177" s="2466"/>
      <c r="T177" s="2466"/>
      <c r="U177" s="2466"/>
      <c r="V177" s="2466"/>
      <c r="W177" s="2466"/>
      <c r="X177" s="2466"/>
      <c r="Y177" s="2466"/>
      <c r="Z177" s="2466"/>
      <c r="AA177" s="2466"/>
      <c r="AB177" s="2466"/>
      <c r="AC177" s="2466"/>
      <c r="AD177" s="2466"/>
      <c r="AE177" s="2466"/>
      <c r="AF177" s="2466"/>
      <c r="AG177" s="2466"/>
      <c r="AH177" s="2466"/>
      <c r="AI177" s="2466"/>
      <c r="AJ177" s="2466"/>
      <c r="AK177" s="2466"/>
      <c r="AL177" s="2466"/>
      <c r="AM177" s="2466"/>
      <c r="AN177" s="2466"/>
      <c r="AO177" s="2466"/>
      <c r="AP177" s="2466"/>
      <c r="AQ177" s="2466"/>
      <c r="AR177" s="2466"/>
      <c r="AS177" s="2466"/>
      <c r="AT177" s="2466"/>
      <c r="AU177" s="2466"/>
      <c r="AV177" s="2466"/>
      <c r="AW177" s="2466"/>
      <c r="AX177" s="2466"/>
      <c r="AY177" s="2466"/>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85" t="s">
        <v>2611</v>
      </c>
      <c r="I179" s="2485"/>
      <c r="J179" s="2485"/>
      <c r="K179" s="2485"/>
      <c r="L179" s="2485"/>
      <c r="M179" s="2485"/>
      <c r="N179" s="2485"/>
      <c r="O179" s="2485"/>
      <c r="P179" s="2485"/>
      <c r="Q179" s="2485"/>
      <c r="R179" s="2485"/>
      <c r="S179" s="2485"/>
      <c r="T179" s="2485"/>
      <c r="U179" s="2485"/>
      <c r="V179" s="2485"/>
      <c r="W179" s="2485"/>
      <c r="X179" s="2485"/>
      <c r="Y179" s="2485"/>
      <c r="Z179" s="2485"/>
      <c r="AA179" s="2485"/>
      <c r="AB179" s="2485"/>
      <c r="AC179" s="2485"/>
      <c r="AD179" s="2485"/>
      <c r="AE179" s="2485"/>
      <c r="AF179" s="2485"/>
      <c r="AG179" s="2485"/>
      <c r="AH179" s="2485"/>
      <c r="AI179" s="2485"/>
      <c r="AJ179" s="2485"/>
      <c r="AK179" s="2485"/>
      <c r="AL179" s="2485"/>
      <c r="AM179" s="2485"/>
      <c r="AN179" s="2485"/>
      <c r="AO179" s="2485"/>
      <c r="AP179" s="2485"/>
      <c r="AQ179" s="2485"/>
      <c r="AR179" s="2485"/>
      <c r="AS179" s="2485"/>
      <c r="AT179" s="2485"/>
      <c r="AU179" s="2485"/>
      <c r="AV179" s="2485"/>
      <c r="AW179" s="2485"/>
      <c r="AX179" s="2485"/>
      <c r="AY179" s="2485"/>
      <c r="AZ179" s="2485"/>
      <c r="BA179" s="1207"/>
      <c r="BB179" s="1207"/>
      <c r="BC179" s="1207"/>
      <c r="BD179" s="1213"/>
      <c r="BE179" s="1213"/>
    </row>
    <row r="180" spans="1:57" ht="15.75" customHeight="1">
      <c r="A180" s="1207"/>
      <c r="B180" s="1206"/>
      <c r="C180" s="1207"/>
      <c r="D180" s="1207"/>
      <c r="E180" s="1207"/>
      <c r="F180" s="1207"/>
      <c r="G180" s="1207"/>
      <c r="H180" s="2485"/>
      <c r="I180" s="2485"/>
      <c r="J180" s="2485"/>
      <c r="K180" s="2485"/>
      <c r="L180" s="2485"/>
      <c r="M180" s="2485"/>
      <c r="N180" s="2485"/>
      <c r="O180" s="2485"/>
      <c r="P180" s="2485"/>
      <c r="Q180" s="2485"/>
      <c r="R180" s="2485"/>
      <c r="S180" s="2485"/>
      <c r="T180" s="2485"/>
      <c r="U180" s="2485"/>
      <c r="V180" s="2485"/>
      <c r="W180" s="2485"/>
      <c r="X180" s="2485"/>
      <c r="Y180" s="2485"/>
      <c r="Z180" s="2485"/>
      <c r="AA180" s="2485"/>
      <c r="AB180" s="2485"/>
      <c r="AC180" s="2485"/>
      <c r="AD180" s="2485"/>
      <c r="AE180" s="2485"/>
      <c r="AF180" s="2485"/>
      <c r="AG180" s="2485"/>
      <c r="AH180" s="2485"/>
      <c r="AI180" s="2485"/>
      <c r="AJ180" s="2485"/>
      <c r="AK180" s="2485"/>
      <c r="AL180" s="2485"/>
      <c r="AM180" s="2485"/>
      <c r="AN180" s="2485"/>
      <c r="AO180" s="2485"/>
      <c r="AP180" s="2485"/>
      <c r="AQ180" s="2485"/>
      <c r="AR180" s="2485"/>
      <c r="AS180" s="2485"/>
      <c r="AT180" s="2485"/>
      <c r="AU180" s="2485"/>
      <c r="AV180" s="2485"/>
      <c r="AW180" s="2485"/>
      <c r="AX180" s="2485"/>
      <c r="AY180" s="2485"/>
      <c r="AZ180" s="2485"/>
      <c r="BA180" s="1207"/>
      <c r="BB180" s="1207"/>
      <c r="BC180" s="1207"/>
      <c r="BD180" s="1213"/>
      <c r="BE180" s="1213"/>
    </row>
    <row r="181" spans="1:57" ht="15.75" customHeight="1">
      <c r="A181" s="1207"/>
      <c r="B181" s="1206"/>
      <c r="C181" s="1207"/>
      <c r="D181" s="1207"/>
      <c r="E181" s="1207"/>
      <c r="F181" s="1207"/>
      <c r="G181" s="1207"/>
      <c r="H181" s="2485"/>
      <c r="I181" s="2485"/>
      <c r="J181" s="2485"/>
      <c r="K181" s="2485"/>
      <c r="L181" s="2485"/>
      <c r="M181" s="2485"/>
      <c r="N181" s="2485"/>
      <c r="O181" s="2485"/>
      <c r="P181" s="2485"/>
      <c r="Q181" s="2485"/>
      <c r="R181" s="2485"/>
      <c r="S181" s="2485"/>
      <c r="T181" s="2485"/>
      <c r="U181" s="2485"/>
      <c r="V181" s="2485"/>
      <c r="W181" s="2485"/>
      <c r="X181" s="2485"/>
      <c r="Y181" s="2485"/>
      <c r="Z181" s="2485"/>
      <c r="AA181" s="2485"/>
      <c r="AB181" s="2485"/>
      <c r="AC181" s="2485"/>
      <c r="AD181" s="2485"/>
      <c r="AE181" s="2485"/>
      <c r="AF181" s="2485"/>
      <c r="AG181" s="2485"/>
      <c r="AH181" s="2485"/>
      <c r="AI181" s="2485"/>
      <c r="AJ181" s="2485"/>
      <c r="AK181" s="2485"/>
      <c r="AL181" s="2485"/>
      <c r="AM181" s="2485"/>
      <c r="AN181" s="2485"/>
      <c r="AO181" s="2485"/>
      <c r="AP181" s="2485"/>
      <c r="AQ181" s="2485"/>
      <c r="AR181" s="2485"/>
      <c r="AS181" s="2485"/>
      <c r="AT181" s="2485"/>
      <c r="AU181" s="2485"/>
      <c r="AV181" s="2485"/>
      <c r="AW181" s="2485"/>
      <c r="AX181" s="2485"/>
      <c r="AY181" s="2485"/>
      <c r="AZ181" s="2485"/>
      <c r="BA181" s="1207"/>
      <c r="BB181" s="1207"/>
      <c r="BC181" s="1207"/>
      <c r="BD181" s="1213"/>
      <c r="BE181" s="1213"/>
    </row>
    <row r="182" spans="1:57" ht="15.75" customHeight="1">
      <c r="A182" s="1207"/>
      <c r="B182" s="1206"/>
      <c r="C182" s="1207"/>
      <c r="D182" s="1207"/>
      <c r="E182" s="1207"/>
      <c r="F182" s="1207"/>
      <c r="G182" s="1207"/>
      <c r="H182" s="2485"/>
      <c r="I182" s="2485"/>
      <c r="J182" s="2485"/>
      <c r="K182" s="2485"/>
      <c r="L182" s="2485"/>
      <c r="M182" s="2485"/>
      <c r="N182" s="2485"/>
      <c r="O182" s="2485"/>
      <c r="P182" s="2485"/>
      <c r="Q182" s="2485"/>
      <c r="R182" s="2485"/>
      <c r="S182" s="2485"/>
      <c r="T182" s="2485"/>
      <c r="U182" s="2485"/>
      <c r="V182" s="2485"/>
      <c r="W182" s="2485"/>
      <c r="X182" s="2485"/>
      <c r="Y182" s="2485"/>
      <c r="Z182" s="2485"/>
      <c r="AA182" s="2485"/>
      <c r="AB182" s="2485"/>
      <c r="AC182" s="2485"/>
      <c r="AD182" s="2485"/>
      <c r="AE182" s="2485"/>
      <c r="AF182" s="2485"/>
      <c r="AG182" s="2485"/>
      <c r="AH182" s="2485"/>
      <c r="AI182" s="2485"/>
      <c r="AJ182" s="2485"/>
      <c r="AK182" s="2485"/>
      <c r="AL182" s="2485"/>
      <c r="AM182" s="2485"/>
      <c r="AN182" s="2485"/>
      <c r="AO182" s="2485"/>
      <c r="AP182" s="2485"/>
      <c r="AQ182" s="2485"/>
      <c r="AR182" s="2485"/>
      <c r="AS182" s="2485"/>
      <c r="AT182" s="2485"/>
      <c r="AU182" s="2485"/>
      <c r="AV182" s="2485"/>
      <c r="AW182" s="2485"/>
      <c r="AX182" s="2485"/>
      <c r="AY182" s="2485"/>
      <c r="AZ182" s="248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86" t="s">
        <v>1933</v>
      </c>
      <c r="I184" s="2486"/>
      <c r="J184" s="2486"/>
      <c r="K184" s="2486"/>
      <c r="L184" s="2486"/>
      <c r="M184" s="2486"/>
      <c r="N184" s="2486"/>
      <c r="O184" s="2486"/>
      <c r="P184" s="2486"/>
      <c r="Q184" s="2486"/>
      <c r="R184" s="2486"/>
      <c r="S184" s="2486"/>
      <c r="T184" s="2486"/>
      <c r="U184" s="2486"/>
      <c r="V184" s="2486"/>
      <c r="W184" s="2486"/>
      <c r="X184" s="2486"/>
      <c r="Y184" s="2486"/>
      <c r="Z184" s="2486"/>
      <c r="AA184" s="2486"/>
      <c r="AB184" s="2486"/>
      <c r="AC184" s="2486"/>
      <c r="AD184" s="2486"/>
      <c r="AE184" s="2486"/>
      <c r="AF184" s="2486"/>
      <c r="AG184" s="2486"/>
      <c r="AH184" s="2486"/>
      <c r="AI184" s="2486"/>
      <c r="AJ184" s="2486"/>
      <c r="AK184" s="2486"/>
      <c r="AL184" s="2486"/>
      <c r="AM184" s="2486"/>
      <c r="AN184" s="2486"/>
      <c r="AO184" s="2486"/>
      <c r="AP184" s="2486"/>
      <c r="AQ184" s="2486"/>
      <c r="AR184" s="2486"/>
      <c r="AS184" s="2486"/>
      <c r="AT184" s="2486"/>
      <c r="AU184" s="2486"/>
      <c r="AV184" s="248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76" t="s">
        <v>1934</v>
      </c>
      <c r="I186" s="2476"/>
      <c r="J186" s="2476"/>
      <c r="K186" s="2476"/>
      <c r="L186" s="1222"/>
      <c r="M186" s="1222"/>
      <c r="N186" s="1222"/>
      <c r="O186" s="1222"/>
      <c r="P186" s="1222"/>
      <c r="Q186" s="1222"/>
      <c r="R186" s="1222"/>
      <c r="S186" s="2487"/>
      <c r="T186" s="2483"/>
      <c r="U186" s="2483"/>
      <c r="V186" s="2483"/>
      <c r="W186" s="2483"/>
      <c r="X186" s="2483"/>
      <c r="Y186" s="2483"/>
      <c r="Z186" s="2483"/>
      <c r="AA186" s="2483"/>
      <c r="AB186" s="2483"/>
      <c r="AC186" s="2483"/>
      <c r="AD186" s="2483"/>
      <c r="AE186" s="2483"/>
      <c r="AF186" s="2483"/>
      <c r="AG186" s="2483"/>
      <c r="AH186" s="2483"/>
      <c r="AI186" s="2483"/>
      <c r="AJ186" s="248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76" t="s">
        <v>1935</v>
      </c>
      <c r="I188" s="2476"/>
      <c r="J188" s="2476"/>
      <c r="K188" s="1255"/>
      <c r="L188" s="1222"/>
      <c r="M188" s="1222"/>
      <c r="N188" s="1222"/>
      <c r="O188" s="1222"/>
      <c r="P188" s="1222"/>
      <c r="Q188" s="1222"/>
      <c r="R188" s="1222"/>
      <c r="S188" s="2477"/>
      <c r="T188" s="2478"/>
      <c r="U188" s="2478"/>
      <c r="V188" s="2478"/>
      <c r="W188" s="2478"/>
      <c r="X188" s="2478"/>
      <c r="Y188" s="2478"/>
      <c r="Z188" s="2478"/>
      <c r="AA188" s="2478"/>
      <c r="AB188" s="2478"/>
      <c r="AC188" s="2478"/>
      <c r="AD188" s="2478"/>
      <c r="AE188" s="2478"/>
      <c r="AF188" s="2478"/>
      <c r="AG188" s="2478"/>
      <c r="AH188" s="2478"/>
      <c r="AI188" s="2478"/>
      <c r="AJ188" s="247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76" t="s">
        <v>445</v>
      </c>
      <c r="I190" s="2476"/>
      <c r="J190" s="1255"/>
      <c r="K190" s="1255"/>
      <c r="L190" s="1222"/>
      <c r="M190" s="1222"/>
      <c r="N190" s="1222"/>
      <c r="O190" s="1222"/>
      <c r="P190" s="1222"/>
      <c r="Q190" s="1222"/>
      <c r="R190" s="1222"/>
      <c r="S190" s="2477"/>
      <c r="T190" s="2478"/>
      <c r="U190" s="2478"/>
      <c r="V190" s="2478"/>
      <c r="W190" s="2478"/>
      <c r="X190" s="2478"/>
      <c r="Y190" s="2478"/>
      <c r="Z190" s="2478"/>
      <c r="AA190" s="2478"/>
      <c r="AB190" s="2478"/>
      <c r="AC190" s="2478"/>
      <c r="AD190" s="2478"/>
      <c r="AE190" s="2478"/>
      <c r="AF190" s="2478"/>
      <c r="AG190" s="2478"/>
      <c r="AH190" s="2478"/>
      <c r="AI190" s="2478"/>
      <c r="AJ190" s="247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80" t="s">
        <v>1936</v>
      </c>
      <c r="I192" s="2480"/>
      <c r="J192" s="2480"/>
      <c r="K192" s="2480"/>
      <c r="L192" s="2480"/>
      <c r="M192" s="2480"/>
      <c r="N192" s="2480"/>
      <c r="O192" s="2480"/>
      <c r="P192" s="1222"/>
      <c r="Q192" s="1222"/>
      <c r="R192" s="1222"/>
      <c r="S192" s="2477"/>
      <c r="T192" s="2478"/>
      <c r="U192" s="2478"/>
      <c r="V192" s="2478"/>
      <c r="W192" s="2478"/>
      <c r="X192" s="2478"/>
      <c r="Y192" s="2478"/>
      <c r="Z192" s="2478"/>
      <c r="AA192" s="2478"/>
      <c r="AB192" s="2478"/>
      <c r="AC192" s="2478"/>
      <c r="AD192" s="2478"/>
      <c r="AE192" s="2478"/>
      <c r="AF192" s="2478"/>
      <c r="AG192" s="2478"/>
      <c r="AH192" s="2478"/>
      <c r="AI192" s="2478"/>
      <c r="AJ192" s="247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81" t="s">
        <v>1937</v>
      </c>
      <c r="I194" s="2481"/>
      <c r="J194" s="1222"/>
      <c r="K194" s="1222"/>
      <c r="L194" s="1222"/>
      <c r="M194" s="1222"/>
      <c r="N194" s="1222"/>
      <c r="O194" s="1222"/>
      <c r="P194" s="1222"/>
      <c r="Q194" s="1222"/>
      <c r="R194" s="1222"/>
      <c r="S194" s="2482"/>
      <c r="T194" s="2483"/>
      <c r="U194" s="2483"/>
      <c r="V194" s="2483"/>
      <c r="W194" s="2483"/>
      <c r="X194" s="2483"/>
      <c r="Y194" s="2483"/>
      <c r="Z194" s="2483"/>
      <c r="AA194" s="2483"/>
      <c r="AB194" s="2483"/>
      <c r="AC194" s="2483"/>
      <c r="AD194" s="2483"/>
      <c r="AE194" s="2483"/>
      <c r="AF194" s="2483"/>
      <c r="AG194" s="2483"/>
      <c r="AH194" s="2483"/>
      <c r="AI194" s="2483"/>
      <c r="AJ194" s="248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6" zoomScaleNormal="100" zoomScaleSheetLayoutView="100" workbookViewId="0">
      <selection activeCell="T11" sqref="T11:X1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9" t="s">
        <v>1447</v>
      </c>
      <c r="B1" s="2519"/>
      <c r="C1" s="2519"/>
      <c r="D1" s="2519"/>
      <c r="E1" s="2519"/>
      <c r="F1" s="2519"/>
      <c r="G1" s="2519"/>
      <c r="H1" s="2519"/>
      <c r="I1" s="2519"/>
      <c r="J1" s="2519"/>
      <c r="K1" s="2519"/>
      <c r="L1" s="2519"/>
      <c r="M1" s="2519"/>
      <c r="N1" s="2519"/>
      <c r="O1" s="2519"/>
      <c r="P1" s="2519"/>
      <c r="Q1" s="2519"/>
      <c r="R1" s="2519"/>
      <c r="S1" s="2519"/>
      <c r="T1" s="2519"/>
      <c r="U1" s="2519"/>
      <c r="V1" s="2519"/>
      <c r="W1" s="2519"/>
      <c r="X1" s="2519"/>
      <c r="Y1" s="2519"/>
      <c r="Z1" s="2519"/>
      <c r="AA1" s="2519"/>
      <c r="AB1" s="2519"/>
      <c r="AC1" s="2519"/>
      <c r="AD1" s="2519"/>
      <c r="AE1" s="2519"/>
      <c r="AF1" s="2519"/>
      <c r="AG1" s="2519"/>
      <c r="AH1" s="2519"/>
      <c r="AI1" s="2519"/>
      <c r="AJ1" s="2519"/>
      <c r="AK1" s="2519"/>
      <c r="AL1" s="2519"/>
      <c r="AM1" s="2519"/>
      <c r="AN1" s="2519"/>
    </row>
    <row r="2" spans="1:40" ht="12.95" customHeight="1" thickBot="1">
      <c r="A2" s="2520"/>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1387</v>
      </c>
    </row>
    <row r="7" spans="1:40" ht="12.95" customHeight="1">
      <c r="B7" s="437"/>
      <c r="C7" s="438"/>
      <c r="D7" s="438"/>
      <c r="E7" s="438"/>
      <c r="F7" s="438"/>
      <c r="G7" s="438"/>
      <c r="H7" s="438"/>
      <c r="I7" s="438"/>
      <c r="J7" s="438"/>
      <c r="K7" s="438"/>
      <c r="L7" s="438"/>
      <c r="M7" s="438"/>
      <c r="N7" s="438"/>
      <c r="O7" s="438"/>
      <c r="P7" s="438"/>
      <c r="Q7" s="438"/>
      <c r="R7" s="438"/>
      <c r="S7" s="438"/>
      <c r="T7" s="2521" t="str">
        <f xml:space="preserve"> IF(T25=100%,'Sources and Basis Breakdown'!G2,'Sources and Basis Breakdown'!F2)</f>
        <v>30% PVC for New Const/
Rehabilitation
DDA/QCT
Building(s)</v>
      </c>
      <c r="U7" s="2521"/>
      <c r="V7" s="2521"/>
      <c r="W7" s="2521"/>
      <c r="X7" s="2521"/>
      <c r="Y7" s="2521" t="str">
        <f>IF(T25=100%," ",'Sources and Basis Breakdown'!G2)</f>
        <v>30% PVC for New Const/
Rehabilitation
NON-DDA/
NON-QCT Building(s)</v>
      </c>
      <c r="Z7" s="2521"/>
      <c r="AA7" s="2521"/>
      <c r="AB7" s="2521"/>
      <c r="AC7" s="2521"/>
      <c r="AD7" s="2521" t="str">
        <f xml:space="preserve"> IF(T25=100%, 'Sources and Basis Breakdown'!J2,'Sources and Basis Breakdown'!I2)</f>
        <v>30% PVC for Acquisition
DDA/QCT Building(s)</v>
      </c>
      <c r="AE7" s="2521"/>
      <c r="AF7" s="2521"/>
      <c r="AG7" s="2521"/>
      <c r="AH7" s="2521"/>
      <c r="AI7" s="2521" t="str">
        <f>IF(T25=100%," ",'Sources and Basis Breakdown'!J2)</f>
        <v>30% PVC for Acquisition
NON-DDA/
NON-QCT Building(s)</v>
      </c>
      <c r="AJ7" s="2521"/>
      <c r="AK7" s="2521"/>
      <c r="AL7" s="2521"/>
      <c r="AM7" s="2521"/>
    </row>
    <row r="8" spans="1:40" ht="12.95" customHeight="1">
      <c r="B8" s="439"/>
      <c r="T8" s="2521"/>
      <c r="U8" s="2521"/>
      <c r="V8" s="2521"/>
      <c r="W8" s="2521"/>
      <c r="X8" s="2521"/>
      <c r="Y8" s="2521"/>
      <c r="Z8" s="2521"/>
      <c r="AA8" s="2521"/>
      <c r="AB8" s="2521"/>
      <c r="AC8" s="2521"/>
      <c r="AD8" s="2521"/>
      <c r="AE8" s="2521"/>
      <c r="AF8" s="2521"/>
      <c r="AG8" s="2521"/>
      <c r="AH8" s="2521"/>
      <c r="AI8" s="2521"/>
      <c r="AJ8" s="2521"/>
      <c r="AK8" s="2521"/>
      <c r="AL8" s="2521"/>
      <c r="AM8" s="2521"/>
    </row>
    <row r="9" spans="1:40" ht="12.95" customHeight="1">
      <c r="B9" s="439"/>
      <c r="T9" s="2521"/>
      <c r="U9" s="2521"/>
      <c r="V9" s="2521"/>
      <c r="W9" s="2521"/>
      <c r="X9" s="2521"/>
      <c r="Y9" s="2521"/>
      <c r="Z9" s="2521"/>
      <c r="AA9" s="2521"/>
      <c r="AB9" s="2521"/>
      <c r="AC9" s="2521"/>
      <c r="AD9" s="2521"/>
      <c r="AE9" s="2521"/>
      <c r="AF9" s="2521"/>
      <c r="AG9" s="2521"/>
      <c r="AH9" s="2521"/>
      <c r="AI9" s="2521"/>
      <c r="AJ9" s="2521"/>
      <c r="AK9" s="2521"/>
      <c r="AL9" s="2521"/>
      <c r="AM9" s="2521"/>
    </row>
    <row r="10" spans="1:40" ht="12.95" customHeight="1">
      <c r="B10" s="440"/>
      <c r="C10" s="441"/>
      <c r="D10" s="441"/>
      <c r="E10" s="441"/>
      <c r="F10" s="441"/>
      <c r="G10" s="441"/>
      <c r="H10" s="441"/>
      <c r="I10" s="441"/>
      <c r="J10" s="441"/>
      <c r="K10" s="441"/>
      <c r="L10" s="441"/>
      <c r="M10" s="441"/>
      <c r="N10" s="441"/>
      <c r="O10" s="441"/>
      <c r="P10" s="441"/>
      <c r="Q10" s="441"/>
      <c r="R10" s="441"/>
      <c r="S10" s="441"/>
      <c r="T10" s="2521"/>
      <c r="U10" s="2521"/>
      <c r="V10" s="2521"/>
      <c r="W10" s="2521"/>
      <c r="X10" s="2521"/>
      <c r="Y10" s="2521"/>
      <c r="Z10" s="2521"/>
      <c r="AA10" s="2521"/>
      <c r="AB10" s="2521"/>
      <c r="AC10" s="2521"/>
      <c r="AD10" s="2521"/>
      <c r="AE10" s="2521"/>
      <c r="AF10" s="2521"/>
      <c r="AG10" s="2521"/>
      <c r="AH10" s="2521"/>
      <c r="AI10" s="2521"/>
      <c r="AJ10" s="2521"/>
      <c r="AK10" s="2521"/>
      <c r="AL10" s="2521"/>
      <c r="AM10" s="2521"/>
    </row>
    <row r="11" spans="1:40" ht="12.95" customHeight="1">
      <c r="B11" s="2500" t="s">
        <v>377</v>
      </c>
      <c r="C11" s="2501"/>
      <c r="D11" s="2501"/>
      <c r="E11" s="2501"/>
      <c r="F11" s="2501"/>
      <c r="G11" s="2501"/>
      <c r="H11" s="2501"/>
      <c r="I11" s="2501"/>
      <c r="J11" s="2501"/>
      <c r="K11" s="2501"/>
      <c r="L11" s="2501"/>
      <c r="M11" s="2501"/>
      <c r="N11" s="2501"/>
      <c r="O11" s="2501"/>
      <c r="P11" s="2501"/>
      <c r="Q11" s="2501"/>
      <c r="R11" s="2501"/>
      <c r="S11" s="2502"/>
      <c r="T11" s="2522">
        <f>IF('Sources and Basis Breakdown'!F107=0,'Sources and Basis Breakdown'!E107,'Sources and Basis Breakdown'!F107)</f>
        <v>63468575.170000002</v>
      </c>
      <c r="U11" s="2523"/>
      <c r="V11" s="2523"/>
      <c r="W11" s="2523"/>
      <c r="X11" s="2523"/>
      <c r="Y11" s="2522">
        <f>IF(Y7=" ",0,IF('Sources and Basis Breakdown'!G107+'Sources and Basis Breakdown'!F107='Sources and Basis Breakdown'!E107,'Sources and Basis Breakdown'!G107,0))</f>
        <v>0</v>
      </c>
      <c r="Z11" s="2523"/>
      <c r="AA11" s="2523"/>
      <c r="AB11" s="2523"/>
      <c r="AC11" s="2523"/>
      <c r="AD11" s="2523">
        <f>IF('Sources and Basis Breakdown'!I107=0,'Sources and Basis Breakdown'!H107,'Sources and Basis Breakdown'!I107)</f>
        <v>0</v>
      </c>
      <c r="AE11" s="2523"/>
      <c r="AF11" s="2523"/>
      <c r="AG11" s="2523"/>
      <c r="AH11" s="2523"/>
      <c r="AI11" s="2523">
        <f>IF(Y7=" ",0,IF('Sources and Basis Breakdown'!I107+'Sources and Basis Breakdown'!J107='Sources and Basis Breakdown'!H107,'Sources and Basis Breakdown'!J107,0))</f>
        <v>0</v>
      </c>
      <c r="AJ11" s="2523"/>
      <c r="AK11" s="2523"/>
      <c r="AL11" s="2523"/>
      <c r="AM11" s="2523"/>
    </row>
    <row r="12" spans="1:40" ht="12.95" customHeight="1">
      <c r="B12" s="2515" t="s">
        <v>507</v>
      </c>
      <c r="C12" s="1284"/>
      <c r="D12" s="1284"/>
      <c r="E12" s="1284"/>
      <c r="F12" s="1284"/>
      <c r="G12" s="1284"/>
      <c r="H12" s="1284"/>
      <c r="I12" s="1284"/>
      <c r="J12" s="1284"/>
      <c r="K12" s="1284"/>
      <c r="L12" s="1284"/>
      <c r="M12" s="1284"/>
      <c r="N12" s="1284"/>
      <c r="O12" s="1284"/>
      <c r="P12" s="1284"/>
      <c r="Q12" s="1284"/>
      <c r="R12" s="1284"/>
      <c r="S12" s="2516"/>
      <c r="T12" s="2488"/>
      <c r="U12" s="2489"/>
      <c r="V12" s="2489"/>
      <c r="W12" s="2489"/>
      <c r="X12" s="2490"/>
      <c r="Y12" s="2488"/>
      <c r="Z12" s="2489"/>
      <c r="AA12" s="2489"/>
      <c r="AB12" s="2489"/>
      <c r="AC12" s="2490"/>
      <c r="AD12" s="2488"/>
      <c r="AE12" s="2489"/>
      <c r="AF12" s="2489"/>
      <c r="AG12" s="2489"/>
      <c r="AH12" s="2490"/>
      <c r="AI12" s="2488"/>
      <c r="AJ12" s="2489"/>
      <c r="AK12" s="2489"/>
      <c r="AL12" s="2489"/>
      <c r="AM12" s="2490"/>
    </row>
    <row r="13" spans="1:40" ht="12.95" customHeight="1">
      <c r="B13" s="468"/>
      <c r="C13" s="2517" t="s">
        <v>508</v>
      </c>
      <c r="D13" s="2517"/>
      <c r="E13" s="2517"/>
      <c r="F13" s="2517"/>
      <c r="G13" s="2517"/>
      <c r="H13" s="2517"/>
      <c r="I13" s="2517"/>
      <c r="J13" s="2517"/>
      <c r="K13" s="2517"/>
      <c r="L13" s="2517"/>
      <c r="M13" s="2517"/>
      <c r="N13" s="2517"/>
      <c r="O13" s="2517"/>
      <c r="P13" s="2517"/>
      <c r="Q13" s="2517"/>
      <c r="R13" s="2517"/>
      <c r="S13" s="2518"/>
      <c r="T13" s="2524"/>
      <c r="U13" s="2525"/>
      <c r="V13" s="2525"/>
      <c r="W13" s="2525"/>
      <c r="X13" s="2525"/>
      <c r="Y13" s="2524"/>
      <c r="Z13" s="2525"/>
      <c r="AA13" s="2525"/>
      <c r="AB13" s="2525"/>
      <c r="AC13" s="2525"/>
      <c r="AD13" s="2525"/>
      <c r="AE13" s="2525"/>
      <c r="AF13" s="2525"/>
      <c r="AG13" s="2525"/>
      <c r="AH13" s="2525"/>
      <c r="AI13" s="2525"/>
      <c r="AJ13" s="2525"/>
      <c r="AK13" s="2525"/>
      <c r="AL13" s="2525"/>
      <c r="AM13" s="2525"/>
    </row>
    <row r="14" spans="1:40" ht="12.95" customHeight="1">
      <c r="B14" s="468"/>
      <c r="C14" s="2517" t="s">
        <v>509</v>
      </c>
      <c r="D14" s="2517"/>
      <c r="E14" s="2517"/>
      <c r="F14" s="2517"/>
      <c r="G14" s="2517"/>
      <c r="H14" s="2517"/>
      <c r="I14" s="2517"/>
      <c r="J14" s="2517"/>
      <c r="K14" s="2517"/>
      <c r="L14" s="2517"/>
      <c r="M14" s="2517"/>
      <c r="N14" s="2517"/>
      <c r="O14" s="2517"/>
      <c r="P14" s="2517"/>
      <c r="Q14" s="2517"/>
      <c r="R14" s="2517"/>
      <c r="S14" s="2518"/>
      <c r="T14" s="2491"/>
      <c r="U14" s="2492"/>
      <c r="V14" s="2492"/>
      <c r="W14" s="2492"/>
      <c r="X14" s="2492"/>
      <c r="Y14" s="2491"/>
      <c r="Z14" s="2492"/>
      <c r="AA14" s="2492"/>
      <c r="AB14" s="2492"/>
      <c r="AC14" s="2492"/>
      <c r="AD14" s="2492"/>
      <c r="AE14" s="2492"/>
      <c r="AF14" s="2492"/>
      <c r="AG14" s="2492"/>
      <c r="AH14" s="2492"/>
      <c r="AI14" s="2492"/>
      <c r="AJ14" s="2492"/>
      <c r="AK14" s="2492"/>
      <c r="AL14" s="2492"/>
      <c r="AM14" s="2492"/>
    </row>
    <row r="15" spans="1:40" ht="12.95" customHeight="1">
      <c r="B15" s="468"/>
      <c r="C15" s="2517" t="s">
        <v>510</v>
      </c>
      <c r="D15" s="2517"/>
      <c r="E15" s="2517"/>
      <c r="F15" s="2517"/>
      <c r="G15" s="2517"/>
      <c r="H15" s="2517"/>
      <c r="I15" s="2517"/>
      <c r="J15" s="2517"/>
      <c r="K15" s="2517"/>
      <c r="L15" s="2517"/>
      <c r="M15" s="2517"/>
      <c r="N15" s="2517"/>
      <c r="O15" s="2517"/>
      <c r="P15" s="2517"/>
      <c r="Q15" s="2517"/>
      <c r="R15" s="2517"/>
      <c r="S15" s="2518"/>
      <c r="T15" s="2491"/>
      <c r="U15" s="2492"/>
      <c r="V15" s="2492"/>
      <c r="W15" s="2492"/>
      <c r="X15" s="2492"/>
      <c r="Y15" s="2491"/>
      <c r="Z15" s="2492"/>
      <c r="AA15" s="2492"/>
      <c r="AB15" s="2492"/>
      <c r="AC15" s="2492"/>
      <c r="AD15" s="2492"/>
      <c r="AE15" s="2492"/>
      <c r="AF15" s="2492"/>
      <c r="AG15" s="2492"/>
      <c r="AH15" s="2492"/>
      <c r="AI15" s="2492"/>
      <c r="AJ15" s="2492"/>
      <c r="AK15" s="2492"/>
      <c r="AL15" s="2492"/>
      <c r="AM15" s="2492"/>
    </row>
    <row r="16" spans="1:40" ht="12.95" customHeight="1">
      <c r="B16" s="468"/>
      <c r="C16" s="2517" t="s">
        <v>831</v>
      </c>
      <c r="D16" s="2517"/>
      <c r="E16" s="2517"/>
      <c r="F16" s="2517"/>
      <c r="G16" s="2517"/>
      <c r="H16" s="2517"/>
      <c r="I16" s="2517"/>
      <c r="J16" s="2517"/>
      <c r="K16" s="2517"/>
      <c r="L16" s="2517"/>
      <c r="M16" s="2517"/>
      <c r="N16" s="2517"/>
      <c r="O16" s="2517"/>
      <c r="P16" s="2517"/>
      <c r="Q16" s="2517"/>
      <c r="R16" s="2517"/>
      <c r="S16" s="2518"/>
      <c r="T16" s="2491"/>
      <c r="U16" s="2492"/>
      <c r="V16" s="2492"/>
      <c r="W16" s="2492"/>
      <c r="X16" s="2492"/>
      <c r="Y16" s="2491"/>
      <c r="Z16" s="2492"/>
      <c r="AA16" s="2492"/>
      <c r="AB16" s="2492"/>
      <c r="AC16" s="2492"/>
      <c r="AD16" s="2492"/>
      <c r="AE16" s="2492"/>
      <c r="AF16" s="2492"/>
      <c r="AG16" s="2492"/>
      <c r="AH16" s="2492"/>
      <c r="AI16" s="2492"/>
      <c r="AJ16" s="2492"/>
      <c r="AK16" s="2492"/>
      <c r="AL16" s="2492"/>
      <c r="AM16" s="2492"/>
    </row>
    <row r="17" spans="1:40" ht="12.95" customHeight="1">
      <c r="B17" s="468"/>
      <c r="C17" s="2517" t="s">
        <v>511</v>
      </c>
      <c r="D17" s="2517"/>
      <c r="E17" s="2517"/>
      <c r="F17" s="2517"/>
      <c r="G17" s="2517"/>
      <c r="H17" s="2517"/>
      <c r="I17" s="2517"/>
      <c r="J17" s="2517"/>
      <c r="K17" s="2517"/>
      <c r="L17" s="2517"/>
      <c r="M17" s="2517"/>
      <c r="N17" s="2517"/>
      <c r="O17" s="2517"/>
      <c r="P17" s="2517"/>
      <c r="Q17" s="2517"/>
      <c r="R17" s="2517"/>
      <c r="S17" s="2518"/>
      <c r="T17" s="2491"/>
      <c r="U17" s="2492"/>
      <c r="V17" s="2492"/>
      <c r="W17" s="2492"/>
      <c r="X17" s="2492"/>
      <c r="Y17" s="2491"/>
      <c r="Z17" s="2492"/>
      <c r="AA17" s="2492"/>
      <c r="AB17" s="2492"/>
      <c r="AC17" s="2492"/>
      <c r="AD17" s="2492"/>
      <c r="AE17" s="2492"/>
      <c r="AF17" s="2492"/>
      <c r="AG17" s="2492"/>
      <c r="AH17" s="2492"/>
      <c r="AI17" s="2492"/>
      <c r="AJ17" s="2492"/>
      <c r="AK17" s="2492"/>
      <c r="AL17" s="2492"/>
      <c r="AM17" s="2492"/>
    </row>
    <row r="18" spans="1:40" ht="12.95" customHeight="1">
      <c r="A18"/>
      <c r="B18" s="1203"/>
      <c r="C18" s="1676" t="s">
        <v>1001</v>
      </c>
      <c r="D18" s="1676"/>
      <c r="E18" s="1676"/>
      <c r="F18" s="1676"/>
      <c r="G18" s="1676"/>
      <c r="H18" s="1676"/>
      <c r="I18" s="1676"/>
      <c r="J18" s="1676"/>
      <c r="K18" s="1676"/>
      <c r="L18" s="1676"/>
      <c r="M18" s="1676"/>
      <c r="N18" s="1676"/>
      <c r="O18" s="1676"/>
      <c r="P18" s="1676"/>
      <c r="Q18" s="1676"/>
      <c r="R18" s="1676"/>
      <c r="S18" s="1677"/>
      <c r="T18" s="2491"/>
      <c r="U18" s="2492"/>
      <c r="V18" s="2492"/>
      <c r="W18" s="2492"/>
      <c r="X18" s="2492"/>
      <c r="Y18" s="2491"/>
      <c r="Z18" s="2492"/>
      <c r="AA18" s="2492"/>
      <c r="AB18" s="2492"/>
      <c r="AC18" s="2492"/>
      <c r="AD18" s="2492"/>
      <c r="AE18" s="2492"/>
      <c r="AF18" s="2492"/>
      <c r="AG18" s="2492"/>
      <c r="AH18" s="2492"/>
      <c r="AI18" s="2492"/>
      <c r="AJ18" s="2492"/>
      <c r="AK18" s="2492"/>
      <c r="AL18" s="2492"/>
      <c r="AM18" s="2492"/>
    </row>
    <row r="19" spans="1:40" ht="12.95" customHeight="1">
      <c r="B19" s="1203"/>
      <c r="C19" s="1676" t="s">
        <v>1001</v>
      </c>
      <c r="D19" s="1676"/>
      <c r="E19" s="1676"/>
      <c r="F19" s="1676"/>
      <c r="G19" s="1676"/>
      <c r="H19" s="1676"/>
      <c r="I19" s="1676"/>
      <c r="J19" s="1676"/>
      <c r="K19" s="1676"/>
      <c r="L19" s="1676"/>
      <c r="M19" s="1676"/>
      <c r="N19" s="1676"/>
      <c r="O19" s="1676"/>
      <c r="P19" s="1676"/>
      <c r="Q19" s="1676"/>
      <c r="R19" s="1676"/>
      <c r="S19" s="1677"/>
      <c r="T19" s="2491"/>
      <c r="U19" s="2492"/>
      <c r="V19" s="2492"/>
      <c r="W19" s="2492"/>
      <c r="X19" s="2492"/>
      <c r="Y19" s="2491"/>
      <c r="Z19" s="2492"/>
      <c r="AA19" s="2492"/>
      <c r="AB19" s="2492"/>
      <c r="AC19" s="2492"/>
      <c r="AD19" s="2492"/>
      <c r="AE19" s="2492"/>
      <c r="AF19" s="2492"/>
      <c r="AG19" s="2492"/>
      <c r="AH19" s="2492"/>
      <c r="AI19" s="2492"/>
      <c r="AJ19" s="2492"/>
      <c r="AK19" s="2492"/>
      <c r="AL19" s="2492"/>
      <c r="AM19" s="2492"/>
    </row>
    <row r="20" spans="1:40" ht="12.95" customHeight="1">
      <c r="B20" s="2500" t="s">
        <v>512</v>
      </c>
      <c r="C20" s="2501"/>
      <c r="D20" s="2501"/>
      <c r="E20" s="2501"/>
      <c r="F20" s="2501"/>
      <c r="G20" s="2501"/>
      <c r="H20" s="2501"/>
      <c r="I20" s="2501"/>
      <c r="J20" s="2501"/>
      <c r="K20" s="2501"/>
      <c r="L20" s="2501"/>
      <c r="M20" s="2501"/>
      <c r="N20" s="2501"/>
      <c r="O20" s="2501"/>
      <c r="P20" s="2501"/>
      <c r="Q20" s="2501"/>
      <c r="R20" s="2501"/>
      <c r="S20" s="2502"/>
      <c r="T20" s="2493">
        <f>SUM(T13:X19)</f>
        <v>0</v>
      </c>
      <c r="U20" s="2494"/>
      <c r="V20" s="2494"/>
      <c r="W20" s="2494"/>
      <c r="X20" s="2494"/>
      <c r="Y20" s="2493">
        <f>SUM(Y13:AC19)</f>
        <v>0</v>
      </c>
      <c r="Z20" s="2494"/>
      <c r="AA20" s="2494"/>
      <c r="AB20" s="2494"/>
      <c r="AC20" s="2494"/>
      <c r="AD20" s="2495">
        <f>SUM(AD13:AH19)</f>
        <v>0</v>
      </c>
      <c r="AE20" s="2496"/>
      <c r="AF20" s="2496"/>
      <c r="AG20" s="2496"/>
      <c r="AH20" s="2493"/>
      <c r="AI20" s="2495">
        <f>SUM(AI13:AM19)</f>
        <v>0</v>
      </c>
      <c r="AJ20" s="2496"/>
      <c r="AK20" s="2496"/>
      <c r="AL20" s="2496"/>
      <c r="AM20" s="2493"/>
    </row>
    <row r="21" spans="1:40" ht="12.95" customHeight="1">
      <c r="B21" s="2500" t="s">
        <v>1423</v>
      </c>
      <c r="C21" s="2501"/>
      <c r="D21" s="2501"/>
      <c r="E21" s="2501"/>
      <c r="F21" s="2501"/>
      <c r="G21" s="2501"/>
      <c r="H21" s="2501"/>
      <c r="I21" s="2501"/>
      <c r="J21" s="2501"/>
      <c r="K21" s="2501"/>
      <c r="L21" s="2501"/>
      <c r="M21" s="2501"/>
      <c r="N21" s="2501"/>
      <c r="O21" s="2501"/>
      <c r="P21" s="2501"/>
      <c r="Q21" s="2501"/>
      <c r="R21" s="2501"/>
      <c r="S21" s="2502"/>
      <c r="T21" s="2491"/>
      <c r="U21" s="2492"/>
      <c r="V21" s="2492"/>
      <c r="W21" s="2492"/>
      <c r="X21" s="2492"/>
      <c r="Y21" s="2491"/>
      <c r="Z21" s="2492"/>
      <c r="AA21" s="2492"/>
      <c r="AB21" s="2492"/>
      <c r="AC21" s="2492"/>
      <c r="AD21" s="2488"/>
      <c r="AE21" s="2489"/>
      <c r="AF21" s="2489"/>
      <c r="AG21" s="2489"/>
      <c r="AH21" s="2490"/>
      <c r="AI21" s="2488"/>
      <c r="AJ21" s="2489"/>
      <c r="AK21" s="2489"/>
      <c r="AL21" s="2489"/>
      <c r="AM21" s="2490"/>
    </row>
    <row r="22" spans="1:40" ht="12.95" customHeight="1">
      <c r="B22" s="2500" t="s">
        <v>513</v>
      </c>
      <c r="C22" s="2501"/>
      <c r="D22" s="2501"/>
      <c r="E22" s="2501"/>
      <c r="F22" s="2501"/>
      <c r="G22" s="2501"/>
      <c r="H22" s="2501"/>
      <c r="I22" s="2501"/>
      <c r="J22" s="2501"/>
      <c r="K22" s="2501"/>
      <c r="L22" s="2501"/>
      <c r="M22" s="2501"/>
      <c r="N22" s="2501"/>
      <c r="O22" s="2501"/>
      <c r="P22" s="2501"/>
      <c r="Q22" s="2501"/>
      <c r="R22" s="2501"/>
      <c r="S22" s="2502"/>
      <c r="T22" s="2526">
        <f>(ABS(T20)+ABS(T21))*-1</f>
        <v>0</v>
      </c>
      <c r="U22" s="2527"/>
      <c r="V22" s="2527"/>
      <c r="W22" s="2527"/>
      <c r="X22" s="2527"/>
      <c r="Y22" s="2526">
        <f>(Y20+Y21)*-1</f>
        <v>0</v>
      </c>
      <c r="Z22" s="2527"/>
      <c r="AA22" s="2527"/>
      <c r="AB22" s="2527"/>
      <c r="AC22" s="2527"/>
      <c r="AD22" s="2528">
        <f>(AD20)*-1</f>
        <v>0</v>
      </c>
      <c r="AE22" s="2529"/>
      <c r="AF22" s="2529"/>
      <c r="AG22" s="2529"/>
      <c r="AH22" s="2526"/>
      <c r="AI22" s="2528">
        <f>(AI20)*-1</f>
        <v>0</v>
      </c>
      <c r="AJ22" s="2529"/>
      <c r="AK22" s="2529"/>
      <c r="AL22" s="2529"/>
      <c r="AM22" s="2526"/>
    </row>
    <row r="23" spans="1:40" ht="12.95" customHeight="1">
      <c r="B23" s="2500" t="s">
        <v>514</v>
      </c>
      <c r="C23" s="2501"/>
      <c r="D23" s="2501"/>
      <c r="E23" s="2501"/>
      <c r="F23" s="2501"/>
      <c r="G23" s="2501"/>
      <c r="H23" s="2501"/>
      <c r="I23" s="2501"/>
      <c r="J23" s="2501"/>
      <c r="K23" s="2501"/>
      <c r="L23" s="2501"/>
      <c r="M23" s="2501"/>
      <c r="N23" s="2501"/>
      <c r="O23" s="2501"/>
      <c r="P23" s="2501"/>
      <c r="Q23" s="2501"/>
      <c r="R23" s="2501"/>
      <c r="S23" s="2502"/>
      <c r="T23" s="2493">
        <f>T11+T22</f>
        <v>63468575.170000002</v>
      </c>
      <c r="U23" s="2494"/>
      <c r="V23" s="2494"/>
      <c r="W23" s="2494"/>
      <c r="X23" s="2494"/>
      <c r="Y23" s="2493">
        <f>Y11+Y22</f>
        <v>0</v>
      </c>
      <c r="Z23" s="2494"/>
      <c r="AA23" s="2494"/>
      <c r="AB23" s="2494"/>
      <c r="AC23" s="2494"/>
      <c r="AD23" s="2493">
        <f>AD11+AD22</f>
        <v>0</v>
      </c>
      <c r="AE23" s="2494"/>
      <c r="AF23" s="2494"/>
      <c r="AG23" s="2494"/>
      <c r="AH23" s="2494"/>
      <c r="AI23" s="2493">
        <f>AI11+AI22</f>
        <v>0</v>
      </c>
      <c r="AJ23" s="2494"/>
      <c r="AK23" s="2494"/>
      <c r="AL23" s="2494"/>
      <c r="AM23" s="2494"/>
    </row>
    <row r="24" spans="1:40" ht="12.95" customHeight="1">
      <c r="B24" s="2500" t="s">
        <v>1002</v>
      </c>
      <c r="C24" s="2501"/>
      <c r="D24" s="2501"/>
      <c r="E24" s="2501"/>
      <c r="F24" s="2501"/>
      <c r="G24" s="2501"/>
      <c r="H24" s="2501"/>
      <c r="I24" s="2501"/>
      <c r="J24" s="2501"/>
      <c r="K24" s="2501"/>
      <c r="L24" s="2501"/>
      <c r="M24" s="2501"/>
      <c r="N24" s="2501"/>
      <c r="O24" s="2501"/>
      <c r="P24" s="2501"/>
      <c r="Q24" s="2501"/>
      <c r="R24" s="2501"/>
      <c r="S24" s="2502"/>
      <c r="T24" s="2495">
        <f>Application!AJ1018</f>
        <v>103764557</v>
      </c>
      <c r="U24" s="2496"/>
      <c r="V24" s="2496"/>
      <c r="W24" s="2496"/>
      <c r="X24" s="2496"/>
      <c r="Y24" s="2496"/>
      <c r="Z24" s="2496"/>
      <c r="AA24" s="2496"/>
      <c r="AB24" s="2496"/>
      <c r="AC24" s="2496"/>
      <c r="AD24" s="2496"/>
      <c r="AE24" s="2496"/>
      <c r="AF24" s="2496"/>
      <c r="AG24" s="2496"/>
      <c r="AH24" s="2496"/>
      <c r="AI24" s="2496"/>
      <c r="AJ24" s="2496"/>
      <c r="AK24" s="2496"/>
      <c r="AL24" s="2496"/>
      <c r="AM24" s="2493"/>
    </row>
    <row r="25" spans="1:40" ht="12.95" customHeight="1">
      <c r="B25" s="2504" t="s">
        <v>1424</v>
      </c>
      <c r="C25" s="2505"/>
      <c r="D25" s="2505"/>
      <c r="E25" s="2505"/>
      <c r="F25" s="2505"/>
      <c r="G25" s="2505"/>
      <c r="H25" s="2505"/>
      <c r="I25" s="2505"/>
      <c r="J25" s="2505"/>
      <c r="K25" s="2505"/>
      <c r="L25" s="2505"/>
      <c r="M25" s="2505"/>
      <c r="N25" s="2505"/>
      <c r="O25" s="2505"/>
      <c r="P25" s="2505"/>
      <c r="Q25" s="2505"/>
      <c r="R25" s="2505"/>
      <c r="S25" s="2506"/>
      <c r="T25" s="2530">
        <f>IF(OR(Application!T195="yes",Application!T194="yes"),1.3,1)</f>
        <v>1.3</v>
      </c>
      <c r="U25" s="2531"/>
      <c r="V25" s="2531"/>
      <c r="W25" s="2531"/>
      <c r="X25" s="2531"/>
      <c r="Y25" s="2530">
        <v>1</v>
      </c>
      <c r="Z25" s="2531"/>
      <c r="AA25" s="2531"/>
      <c r="AB25" s="2531"/>
      <c r="AC25" s="2531"/>
      <c r="AD25" s="2530">
        <v>1</v>
      </c>
      <c r="AE25" s="2531"/>
      <c r="AF25" s="2531"/>
      <c r="AG25" s="2531"/>
      <c r="AH25" s="2532"/>
      <c r="AI25" s="2530">
        <v>1</v>
      </c>
      <c r="AJ25" s="2531"/>
      <c r="AK25" s="2531"/>
      <c r="AL25" s="2531"/>
      <c r="AM25" s="2532"/>
    </row>
    <row r="26" spans="1:40" ht="12.95" customHeight="1">
      <c r="B26" s="2500" t="s">
        <v>515</v>
      </c>
      <c r="C26" s="2501"/>
      <c r="D26" s="2501"/>
      <c r="E26" s="2501"/>
      <c r="F26" s="2501"/>
      <c r="G26" s="2501"/>
      <c r="H26" s="2501"/>
      <c r="I26" s="2501"/>
      <c r="J26" s="2501"/>
      <c r="K26" s="2501"/>
      <c r="L26" s="2501"/>
      <c r="M26" s="2501"/>
      <c r="N26" s="2501"/>
      <c r="O26" s="2501"/>
      <c r="P26" s="2501"/>
      <c r="Q26" s="2501"/>
      <c r="R26" s="2501"/>
      <c r="S26" s="2502"/>
      <c r="T26" s="2493">
        <f>T23*T25</f>
        <v>82509147.721000001</v>
      </c>
      <c r="U26" s="2494"/>
      <c r="V26" s="2494"/>
      <c r="W26" s="2494"/>
      <c r="X26" s="2494"/>
      <c r="Y26" s="2493">
        <f>Y23*Y25</f>
        <v>0</v>
      </c>
      <c r="Z26" s="2494"/>
      <c r="AA26" s="2494"/>
      <c r="AB26" s="2494"/>
      <c r="AC26" s="2494"/>
      <c r="AD26" s="2493">
        <f>AD23*AD25</f>
        <v>0</v>
      </c>
      <c r="AE26" s="2494"/>
      <c r="AF26" s="2494"/>
      <c r="AG26" s="2494"/>
      <c r="AH26" s="2494"/>
      <c r="AI26" s="2493">
        <f>AI23*AI25</f>
        <v>0</v>
      </c>
      <c r="AJ26" s="2494"/>
      <c r="AK26" s="2494"/>
      <c r="AL26" s="2494"/>
      <c r="AM26" s="2494"/>
    </row>
    <row r="27" spans="1:40" ht="12.95" customHeight="1">
      <c r="A27" s="442"/>
      <c r="B27" s="2507" t="s">
        <v>428</v>
      </c>
      <c r="C27" s="2508"/>
      <c r="D27" s="2508"/>
      <c r="E27" s="2508"/>
      <c r="F27" s="2508"/>
      <c r="G27" s="2508"/>
      <c r="H27" s="2508"/>
      <c r="I27" s="2508"/>
      <c r="J27" s="2508"/>
      <c r="K27" s="2508"/>
      <c r="L27" s="2508"/>
      <c r="M27" s="2508"/>
      <c r="N27" s="2508"/>
      <c r="O27" s="2508"/>
      <c r="P27" s="2508"/>
      <c r="Q27" s="2508"/>
      <c r="R27" s="2508"/>
      <c r="S27" s="2509"/>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2.95" customHeight="1">
      <c r="A28" s="436"/>
      <c r="B28" s="2500" t="s">
        <v>516</v>
      </c>
      <c r="C28" s="2501"/>
      <c r="D28" s="2501"/>
      <c r="E28" s="2501"/>
      <c r="F28" s="2501"/>
      <c r="G28" s="2501"/>
      <c r="H28" s="2501"/>
      <c r="I28" s="2501"/>
      <c r="J28" s="2501"/>
      <c r="K28" s="2501"/>
      <c r="L28" s="2501"/>
      <c r="M28" s="2501"/>
      <c r="N28" s="2501"/>
      <c r="O28" s="2501"/>
      <c r="P28" s="2501"/>
      <c r="Q28" s="2501"/>
      <c r="R28" s="2501"/>
      <c r="S28" s="2502"/>
      <c r="T28" s="2493">
        <f>IF(ISERROR((T26*T27)),0,(T26*T27))</f>
        <v>82509147.721000001</v>
      </c>
      <c r="U28" s="2494"/>
      <c r="V28" s="2494"/>
      <c r="W28" s="2494"/>
      <c r="X28" s="2494"/>
      <c r="Y28" s="2493">
        <f>IF(ISERROR((Y26*Y27)),0,(Y26*Y27))</f>
        <v>0</v>
      </c>
      <c r="Z28" s="2494"/>
      <c r="AA28" s="2494"/>
      <c r="AB28" s="2494"/>
      <c r="AC28" s="2494"/>
      <c r="AD28" s="2493">
        <f>IF(ISERROR((AD26*AD27)),0,(AD26*AD27))</f>
        <v>0</v>
      </c>
      <c r="AE28" s="2494"/>
      <c r="AF28" s="2494"/>
      <c r="AG28" s="2494"/>
      <c r="AH28" s="2494"/>
      <c r="AI28" s="2493">
        <f>IF(ISERROR((AI26*AI27)),0,(AI26*AI27))</f>
        <v>0</v>
      </c>
      <c r="AJ28" s="2494"/>
      <c r="AK28" s="2494"/>
      <c r="AL28" s="2494"/>
      <c r="AM28" s="2494"/>
    </row>
    <row r="29" spans="1:40" ht="12.95" customHeight="1">
      <c r="B29" s="2500" t="s">
        <v>533</v>
      </c>
      <c r="C29" s="2501"/>
      <c r="D29" s="2501"/>
      <c r="E29" s="2501"/>
      <c r="F29" s="2501"/>
      <c r="G29" s="2501"/>
      <c r="H29" s="2501"/>
      <c r="I29" s="2501"/>
      <c r="J29" s="2501"/>
      <c r="K29" s="2501"/>
      <c r="L29" s="2501"/>
      <c r="M29" s="2501"/>
      <c r="N29" s="2501"/>
      <c r="O29" s="2501"/>
      <c r="P29" s="2501"/>
      <c r="Q29" s="2501"/>
      <c r="R29" s="2501"/>
      <c r="S29" s="2502"/>
      <c r="T29" s="2495">
        <f>T28+Y28+AD28+AI28</f>
        <v>82509147.721000001</v>
      </c>
      <c r="U29" s="2496"/>
      <c r="V29" s="2496"/>
      <c r="W29" s="2496"/>
      <c r="X29" s="2496"/>
      <c r="Y29" s="2496"/>
      <c r="Z29" s="2496"/>
      <c r="AA29" s="2496"/>
      <c r="AB29" s="2496"/>
      <c r="AC29" s="2496"/>
      <c r="AD29" s="2496"/>
      <c r="AE29" s="2496"/>
      <c r="AF29" s="2496"/>
      <c r="AG29" s="2496"/>
      <c r="AH29" s="2496"/>
      <c r="AI29" s="2496"/>
      <c r="AJ29" s="2496"/>
      <c r="AK29" s="2496"/>
      <c r="AL29" s="2496"/>
      <c r="AM29" s="2493"/>
    </row>
    <row r="30" spans="1:40" ht="12.95" customHeight="1">
      <c r="B30" s="2503" t="s">
        <v>1426</v>
      </c>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40" ht="12.95" customHeight="1">
      <c r="B31" s="2503" t="s">
        <v>1425</v>
      </c>
      <c r="C31" s="2503"/>
      <c r="D31" s="2503"/>
      <c r="E31" s="2503"/>
      <c r="F31" s="2503"/>
      <c r="G31" s="2503"/>
      <c r="H31" s="2503"/>
      <c r="I31" s="2503"/>
      <c r="J31" s="2503"/>
      <c r="K31" s="2503"/>
      <c r="L31" s="2503"/>
      <c r="M31" s="2503"/>
      <c r="N31" s="2503"/>
      <c r="O31" s="2503"/>
      <c r="P31" s="2503"/>
      <c r="Q31" s="2503"/>
      <c r="R31" s="2503"/>
      <c r="S31" s="2503"/>
      <c r="T31" s="2503"/>
      <c r="U31" s="2503"/>
      <c r="V31" s="2503"/>
      <c r="W31" s="2503"/>
      <c r="X31" s="2503"/>
      <c r="Y31" s="2503"/>
      <c r="Z31" s="2503"/>
      <c r="AA31" s="2503"/>
      <c r="AB31" s="2503"/>
      <c r="AC31" s="2503"/>
      <c r="AD31" s="2503"/>
      <c r="AE31" s="2503"/>
      <c r="AF31" s="2503"/>
      <c r="AG31" s="2503"/>
      <c r="AH31" s="2503"/>
      <c r="AI31" s="2503"/>
      <c r="AJ31" s="2503"/>
      <c r="AK31" s="2503"/>
      <c r="AL31" s="2503"/>
      <c r="AM31" s="2503"/>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1" t="s">
        <v>1294</v>
      </c>
      <c r="Z35" s="2521"/>
      <c r="AA35" s="2521"/>
      <c r="AB35" s="2521"/>
      <c r="AC35" s="2521"/>
      <c r="AD35" s="2544" t="s">
        <v>371</v>
      </c>
      <c r="AE35" s="2544"/>
      <c r="AF35" s="2544"/>
      <c r="AG35" s="2544"/>
      <c r="AH35" s="2544"/>
    </row>
    <row r="36" spans="1:76" ht="12.95" customHeight="1">
      <c r="B36" s="439"/>
      <c r="X36" s="444"/>
      <c r="Y36" s="2521"/>
      <c r="Z36" s="2521"/>
      <c r="AA36" s="2521"/>
      <c r="AB36" s="2521"/>
      <c r="AC36" s="2521"/>
      <c r="AD36" s="2544"/>
      <c r="AE36" s="2544"/>
      <c r="AF36" s="2544"/>
      <c r="AG36" s="2544"/>
      <c r="AH36" s="254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1"/>
      <c r="Z37" s="2521"/>
      <c r="AA37" s="2521"/>
      <c r="AB37" s="2521"/>
      <c r="AC37" s="2521"/>
      <c r="AD37" s="2544"/>
      <c r="AE37" s="2544"/>
      <c r="AF37" s="2544"/>
      <c r="AG37" s="2544"/>
      <c r="AH37" s="2544"/>
    </row>
    <row r="38" spans="1:76" ht="12.95" customHeight="1">
      <c r="A38" s="436"/>
      <c r="B38" s="2500" t="s">
        <v>516</v>
      </c>
      <c r="C38" s="2501"/>
      <c r="D38" s="2501"/>
      <c r="E38" s="2501"/>
      <c r="F38" s="2501"/>
      <c r="G38" s="2501"/>
      <c r="H38" s="2501"/>
      <c r="I38" s="2501"/>
      <c r="J38" s="2501"/>
      <c r="K38" s="2501"/>
      <c r="L38" s="2501"/>
      <c r="M38" s="2501"/>
      <c r="N38" s="2501"/>
      <c r="O38" s="2501"/>
      <c r="P38" s="2501"/>
      <c r="Q38" s="2501"/>
      <c r="R38" s="2501"/>
      <c r="S38" s="2501"/>
      <c r="T38" s="2501"/>
      <c r="U38" s="2501"/>
      <c r="V38" s="2501"/>
      <c r="W38" s="2501"/>
      <c r="X38" s="2502"/>
      <c r="Y38" s="2494">
        <f>IF(T24&gt;=(T23+Y23+AD23+AI23),T28+Y28,0)</f>
        <v>82509147.721000001</v>
      </c>
      <c r="Z38" s="2494"/>
      <c r="AA38" s="2494"/>
      <c r="AB38" s="2494"/>
      <c r="AC38" s="2494"/>
      <c r="AD38" s="2494">
        <f>IF(T24&gt;=(T23+Y23+AD23+AI23),AD28+AI28,0)</f>
        <v>0</v>
      </c>
      <c r="AE38" s="2494"/>
      <c r="AF38" s="2494"/>
      <c r="AG38" s="2494"/>
      <c r="AH38" s="2494"/>
    </row>
    <row r="39" spans="1:76" ht="12.95" customHeight="1">
      <c r="B39" s="2500" t="s">
        <v>1954</v>
      </c>
      <c r="C39" s="2501"/>
      <c r="D39" s="2501"/>
      <c r="E39" s="2501"/>
      <c r="F39" s="2501"/>
      <c r="G39" s="2501"/>
      <c r="H39" s="2501"/>
      <c r="I39" s="2501"/>
      <c r="J39" s="2501"/>
      <c r="K39" s="2501"/>
      <c r="L39" s="2501"/>
      <c r="M39" s="2501"/>
      <c r="N39" s="2501"/>
      <c r="O39" s="2501"/>
      <c r="P39" s="2501"/>
      <c r="Q39" s="2501"/>
      <c r="R39" s="2501"/>
      <c r="S39" s="2501"/>
      <c r="T39" s="2501"/>
      <c r="U39" s="2501"/>
      <c r="V39" s="2501"/>
      <c r="W39" s="2501"/>
      <c r="X39" s="2502"/>
      <c r="Y39" s="2545">
        <v>0.04</v>
      </c>
      <c r="Z39" s="2545"/>
      <c r="AA39" s="2545"/>
      <c r="AB39" s="2545"/>
      <c r="AC39" s="2545"/>
      <c r="AD39" s="2545">
        <v>0.04</v>
      </c>
      <c r="AE39" s="2545"/>
      <c r="AF39" s="2545"/>
      <c r="AG39" s="2545"/>
      <c r="AH39" s="2545"/>
    </row>
    <row r="40" spans="1:76" ht="12.95" customHeight="1">
      <c r="A40" s="436"/>
      <c r="B40" s="2500" t="s">
        <v>652</v>
      </c>
      <c r="C40" s="2501"/>
      <c r="D40" s="2501"/>
      <c r="E40" s="2501"/>
      <c r="F40" s="2501"/>
      <c r="G40" s="2501"/>
      <c r="H40" s="2501"/>
      <c r="I40" s="2501"/>
      <c r="J40" s="2501"/>
      <c r="K40" s="2501"/>
      <c r="L40" s="2501"/>
      <c r="M40" s="2501"/>
      <c r="N40" s="2501"/>
      <c r="O40" s="2501"/>
      <c r="P40" s="2501"/>
      <c r="Q40" s="2501"/>
      <c r="R40" s="2501"/>
      <c r="S40" s="2501"/>
      <c r="T40" s="2501"/>
      <c r="U40" s="2501"/>
      <c r="V40" s="2501"/>
      <c r="W40" s="2501"/>
      <c r="X40" s="2502"/>
      <c r="Y40" s="2494">
        <f>ROUND(Y38*Y39,0)</f>
        <v>3300366</v>
      </c>
      <c r="Z40" s="2494"/>
      <c r="AA40" s="2494"/>
      <c r="AB40" s="2494"/>
      <c r="AC40" s="2494"/>
      <c r="AD40" s="2493">
        <f>ROUND(AD38*AD39,0)</f>
        <v>0</v>
      </c>
      <c r="AE40" s="2494"/>
      <c r="AF40" s="2494"/>
      <c r="AG40" s="2494"/>
      <c r="AH40" s="2494"/>
    </row>
    <row r="41" spans="1:76" ht="12.95" customHeight="1">
      <c r="B41" s="2500" t="s">
        <v>653</v>
      </c>
      <c r="C41" s="2501"/>
      <c r="D41" s="2501"/>
      <c r="E41" s="2501"/>
      <c r="F41" s="2501"/>
      <c r="G41" s="2501"/>
      <c r="H41" s="2501"/>
      <c r="I41" s="2501"/>
      <c r="J41" s="2501"/>
      <c r="K41" s="2501"/>
      <c r="L41" s="2501"/>
      <c r="M41" s="2501"/>
      <c r="N41" s="2501"/>
      <c r="O41" s="2501"/>
      <c r="P41" s="2501"/>
      <c r="Q41" s="2501"/>
      <c r="R41" s="2501"/>
      <c r="S41" s="2501"/>
      <c r="T41" s="2501"/>
      <c r="U41" s="2501"/>
      <c r="V41" s="2501"/>
      <c r="W41" s="2501"/>
      <c r="X41" s="2502"/>
      <c r="Y41" s="2495">
        <f>Y40+AD40</f>
        <v>3300366</v>
      </c>
      <c r="Z41" s="2496"/>
      <c r="AA41" s="2496"/>
      <c r="AB41" s="2496"/>
      <c r="AC41" s="2496"/>
      <c r="AD41" s="2496"/>
      <c r="AE41" s="2496"/>
      <c r="AF41" s="2496"/>
      <c r="AG41" s="2496"/>
      <c r="AH41" s="2493"/>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8" t="s">
        <v>1437</v>
      </c>
      <c r="B44" s="2498"/>
      <c r="C44" s="2498"/>
      <c r="D44" s="2498"/>
      <c r="E44" s="2498"/>
      <c r="F44" s="2498"/>
      <c r="G44" s="2498"/>
      <c r="H44" s="2498"/>
      <c r="I44" s="2498"/>
      <c r="J44" s="2498"/>
      <c r="K44" s="2498"/>
      <c r="L44" s="2498"/>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c r="BA44" s="2498"/>
      <c r="BB44" s="2498"/>
      <c r="BC44" s="2498"/>
      <c r="BD44" s="2498"/>
      <c r="BE44" s="2498"/>
      <c r="BF44" s="2498"/>
      <c r="BG44" s="2498"/>
      <c r="BH44" s="2498"/>
      <c r="BI44" s="2498"/>
      <c r="BJ44" s="2498"/>
      <c r="BK44" s="2498"/>
      <c r="BL44" s="2498"/>
      <c r="BM44" s="2498"/>
      <c r="BN44" s="2498"/>
      <c r="BO44" s="2498"/>
      <c r="BP44" s="2498"/>
      <c r="BQ44" s="2498"/>
      <c r="BR44" s="2498"/>
      <c r="BS44" s="2498"/>
      <c r="BT44" s="2498"/>
      <c r="BU44" s="2498"/>
      <c r="BV44" s="2498"/>
      <c r="BW44" s="2498"/>
      <c r="BX44" s="2498"/>
    </row>
    <row r="45" spans="1:76" s="218" customFormat="1" ht="12.95" customHeight="1" thickTop="1"/>
    <row r="46" spans="1:76" ht="12.95" customHeight="1">
      <c r="A46" s="436" t="s">
        <v>596</v>
      </c>
      <c r="C46" s="436" t="s">
        <v>284</v>
      </c>
    </row>
    <row r="47" spans="1:76" ht="12.95" customHeight="1">
      <c r="D47" s="436" t="s">
        <v>285</v>
      </c>
      <c r="AB47" s="2510">
        <f>'Sources and Uses Budget'!B105-MAX(IF('Sources and Uses Budget'!B15="",0,'Sources and Uses Budget'!B15),IF(Application!AG393="",0,Application!AG393))</f>
        <v>66287369.630000003</v>
      </c>
      <c r="AC47" s="2511"/>
      <c r="AD47" s="2511"/>
      <c r="AE47" s="2511"/>
      <c r="AF47" s="2512"/>
    </row>
    <row r="48" spans="1:76" ht="12.95" customHeight="1">
      <c r="D48" s="436" t="s">
        <v>21</v>
      </c>
      <c r="AB48" s="2510">
        <f>Application!AO635-MAX(IF('Sources and Uses Budget'!B15="",0,'Sources and Uses Budget'!B15),IF(Application!AG393="",0,Application!AG393))</f>
        <v>22303646</v>
      </c>
      <c r="AC48" s="2511"/>
      <c r="AD48" s="2511"/>
      <c r="AE48" s="2511"/>
      <c r="AF48" s="2512"/>
    </row>
    <row r="49" spans="1:76" ht="12.95" customHeight="1">
      <c r="D49" s="436" t="s">
        <v>92</v>
      </c>
      <c r="AB49" s="2510">
        <f>AB47-AB48</f>
        <v>43983723.630000003</v>
      </c>
      <c r="AC49" s="2511"/>
      <c r="AD49" s="2511"/>
      <c r="AE49" s="2511"/>
      <c r="AF49" s="2512"/>
    </row>
    <row r="50" spans="1:76" ht="12.95" customHeight="1">
      <c r="D50" s="436" t="s">
        <v>691</v>
      </c>
      <c r="AA50" s="447"/>
      <c r="AB50" s="2537">
        <v>0.9</v>
      </c>
      <c r="AC50" s="2538"/>
      <c r="AD50" s="2538"/>
      <c r="AE50" s="2538"/>
      <c r="AF50" s="2539"/>
    </row>
    <row r="51" spans="1:76" s="449" customFormat="1" ht="12.95" customHeight="1">
      <c r="A51" s="434"/>
      <c r="B51" s="434"/>
      <c r="C51" s="434"/>
      <c r="D51" s="434"/>
      <c r="E51" s="2540" t="s">
        <v>2115</v>
      </c>
      <c r="F51" s="2540"/>
      <c r="G51" s="2540"/>
      <c r="H51" s="2540"/>
      <c r="I51" s="2540"/>
      <c r="J51" s="2540"/>
      <c r="K51" s="2540"/>
      <c r="L51" s="2540"/>
      <c r="M51" s="2540"/>
      <c r="N51" s="2540"/>
      <c r="O51" s="2540"/>
      <c r="P51" s="2540"/>
      <c r="Q51" s="2540"/>
      <c r="R51" s="2540"/>
      <c r="S51" s="2540"/>
      <c r="T51" s="2540"/>
      <c r="U51" s="2540"/>
      <c r="V51" s="2540"/>
      <c r="W51" s="2540"/>
      <c r="X51" s="2540"/>
      <c r="Y51" s="2540"/>
      <c r="Z51" s="2540"/>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40"/>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10">
        <f>ROUND(IF(ISERROR((AB49/AB50)),0,(AB49/AB50)),0)</f>
        <v>48870804</v>
      </c>
      <c r="AC54" s="2511"/>
      <c r="AD54" s="2511"/>
      <c r="AE54" s="2511"/>
      <c r="AF54" s="2512"/>
    </row>
    <row r="55" spans="1:76" ht="12.95" customHeight="1">
      <c r="D55" s="436" t="s">
        <v>335</v>
      </c>
      <c r="AB55" s="2510">
        <f>(AB54/10)</f>
        <v>4887080.4000000004</v>
      </c>
      <c r="AC55" s="2511"/>
      <c r="AD55" s="2511"/>
      <c r="AE55" s="2511"/>
      <c r="AF55" s="2512"/>
    </row>
    <row r="56" spans="1:76" ht="12.95" customHeight="1">
      <c r="D56" s="436" t="s">
        <v>769</v>
      </c>
      <c r="AB56" s="2541">
        <f>(IF((Y41&lt;AB55),Y41,AB55))</f>
        <v>3300366</v>
      </c>
      <c r="AC56" s="2542"/>
      <c r="AD56" s="2542"/>
      <c r="AE56" s="2542"/>
      <c r="AF56" s="2543"/>
    </row>
    <row r="57" spans="1:76" ht="12.95" customHeight="1">
      <c r="D57" s="436" t="s">
        <v>768</v>
      </c>
      <c r="AB57" s="2510">
        <f>ROUND((10*AB56*AB50),0)</f>
        <v>29703294</v>
      </c>
      <c r="AC57" s="2511"/>
      <c r="AD57" s="2511"/>
      <c r="AE57" s="2511"/>
      <c r="AF57" s="2512"/>
    </row>
    <row r="58" spans="1:76" ht="12.95" customHeight="1">
      <c r="D58" s="436"/>
      <c r="AB58" s="455"/>
      <c r="AC58" s="455"/>
      <c r="AD58" s="455"/>
      <c r="AE58" s="455"/>
      <c r="AF58" s="455"/>
    </row>
    <row r="59" spans="1:76" ht="12.95" customHeight="1">
      <c r="D59" s="436" t="s">
        <v>767</v>
      </c>
      <c r="AB59" s="2533">
        <f>AB49-AB57</f>
        <v>14280429.630000003</v>
      </c>
      <c r="AC59" s="2533"/>
      <c r="AD59" s="2533"/>
      <c r="AE59" s="2533"/>
      <c r="AF59" s="2533"/>
    </row>
    <row r="60" spans="1:76" ht="12.95" customHeight="1">
      <c r="D60" s="436"/>
      <c r="AB60" s="455"/>
      <c r="AC60" s="455"/>
      <c r="AD60" s="455"/>
      <c r="AE60" s="455"/>
      <c r="AF60" s="455"/>
    </row>
    <row r="61" spans="1:76" s="218" customFormat="1" ht="12.95" customHeight="1" thickBot="1">
      <c r="A61" s="2498" t="str">
        <f>IF(Application!AP204="yes","Farmworker State Credit", "State Credit" )</f>
        <v>State Credit</v>
      </c>
      <c r="B61" s="2498"/>
      <c r="C61" s="2498"/>
      <c r="D61" s="2498"/>
      <c r="E61" s="2498"/>
      <c r="F61" s="2498"/>
      <c r="G61" s="2498"/>
      <c r="H61" s="2498"/>
      <c r="I61" s="2498"/>
      <c r="J61" s="2498"/>
      <c r="K61" s="2498"/>
      <c r="L61" s="2498"/>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c r="AS61" s="2498"/>
      <c r="AT61" s="2498"/>
      <c r="AU61" s="2498"/>
      <c r="AV61" s="2498"/>
      <c r="AW61" s="2498"/>
      <c r="AX61" s="2498"/>
      <c r="AY61" s="2498"/>
      <c r="AZ61" s="2498"/>
      <c r="BA61" s="2498"/>
      <c r="BB61" s="2498"/>
      <c r="BC61" s="2498"/>
      <c r="BD61" s="2498"/>
      <c r="BE61" s="2498"/>
      <c r="BF61" s="2498"/>
      <c r="BG61" s="2498"/>
      <c r="BH61" s="2498"/>
      <c r="BI61" s="2498"/>
      <c r="BJ61" s="2498"/>
      <c r="BK61" s="2498"/>
      <c r="BL61" s="2498"/>
      <c r="BM61" s="2498"/>
      <c r="BN61" s="2498"/>
      <c r="BO61" s="2498"/>
      <c r="BP61" s="2498"/>
      <c r="BQ61" s="2498"/>
      <c r="BR61" s="2498"/>
      <c r="BS61" s="2498"/>
      <c r="BT61" s="2498"/>
      <c r="BU61" s="2498"/>
      <c r="BV61" s="2498"/>
      <c r="BW61" s="2498"/>
      <c r="BX61" s="2498"/>
    </row>
    <row r="62" spans="1:76" s="218" customFormat="1" ht="12.95" customHeight="1" thickTop="1"/>
    <row r="63" spans="1:76" ht="12.95" customHeight="1">
      <c r="A63" s="436" t="s">
        <v>599</v>
      </c>
      <c r="C63" s="219" t="s">
        <v>1407</v>
      </c>
      <c r="Y63" s="2534" t="s">
        <v>1025</v>
      </c>
      <c r="Z63" s="2534"/>
      <c r="AA63" s="2534"/>
      <c r="AB63" s="2534"/>
      <c r="AC63" s="2534"/>
      <c r="AD63" s="2534" t="s">
        <v>371</v>
      </c>
      <c r="AE63" s="2534"/>
      <c r="AF63" s="2534"/>
      <c r="AG63" s="2534"/>
      <c r="AH63" s="2534"/>
    </row>
    <row r="64" spans="1:76" ht="12.95" customHeight="1">
      <c r="C64" s="436"/>
      <c r="D64" s="409" t="s">
        <v>1408</v>
      </c>
      <c r="E64" s="452"/>
      <c r="F64" s="452"/>
      <c r="G64" s="452"/>
      <c r="H64" s="452"/>
      <c r="I64" s="452"/>
      <c r="J64" s="452"/>
      <c r="K64" s="452"/>
      <c r="L64" s="452"/>
      <c r="M64" s="452"/>
      <c r="N64" s="452"/>
      <c r="O64" s="452"/>
      <c r="P64" s="452"/>
      <c r="Q64" s="452"/>
      <c r="R64" s="452"/>
      <c r="S64" s="452"/>
      <c r="T64" s="452"/>
      <c r="U64" s="452"/>
      <c r="V64" s="452"/>
      <c r="W64" s="452"/>
      <c r="X64" s="452"/>
      <c r="Y64" s="2495">
        <f>IF(Application!Z204="(select)",0,((T23*T27)+Y28))</f>
        <v>63468575.170000002</v>
      </c>
      <c r="Z64" s="2535"/>
      <c r="AA64" s="2535"/>
      <c r="AB64" s="2535"/>
      <c r="AC64" s="2536"/>
      <c r="AD64" s="2495">
        <f>IF(AND(OR(Application!D210="At-Risk",Application!D210="At-Risk and Special Needs"),Application!M357="yes"),AD28+AI28,0)</f>
        <v>0</v>
      </c>
      <c r="AE64" s="2535"/>
      <c r="AF64" s="2535"/>
      <c r="AG64" s="2535"/>
      <c r="AH64" s="2536"/>
    </row>
    <row r="65" spans="1:36" ht="12.95" customHeight="1">
      <c r="C65" s="436"/>
      <c r="E65" s="1054" t="s">
        <v>2113</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2114</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51">
        <f>IF(Application!AP204="yes",0.75,IF(Application!Z203="15% set-aside",0.13,IF(Application!Z203="15% set-aside with qualifying low value rehab",0.95,0.3)))</f>
        <v>0.3</v>
      </c>
      <c r="Z67" s="2551"/>
      <c r="AA67" s="2551"/>
      <c r="AB67" s="2551"/>
      <c r="AC67" s="2551"/>
      <c r="AD67" s="2551">
        <f>IF(Application!Z203="15% set-aside with qualifying low value rehab", 0.95,0.13)</f>
        <v>0.13</v>
      </c>
      <c r="AE67" s="2551"/>
      <c r="AF67" s="2551"/>
      <c r="AG67" s="2551"/>
      <c r="AH67" s="2551"/>
    </row>
    <row r="68" spans="1:36" ht="12.95" customHeight="1">
      <c r="C68" s="436"/>
      <c r="D68" s="219" t="s">
        <v>1409</v>
      </c>
      <c r="Y68" s="2494">
        <f>ROUND(Y64*Y67,0)</f>
        <v>19040573</v>
      </c>
      <c r="Z68" s="2552"/>
      <c r="AA68" s="2552"/>
      <c r="AB68" s="2552"/>
      <c r="AC68" s="2552"/>
      <c r="AD68" s="2494">
        <f>ROUND(AD64*AD67,0)</f>
        <v>0</v>
      </c>
      <c r="AE68" s="2552"/>
      <c r="AF68" s="2552"/>
      <c r="AG68" s="2552"/>
      <c r="AH68" s="2552"/>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1410</v>
      </c>
      <c r="AB71" s="2537">
        <v>0.75</v>
      </c>
      <c r="AC71" s="2538"/>
      <c r="AD71" s="2538"/>
      <c r="AE71" s="2538"/>
      <c r="AF71" s="2539"/>
    </row>
    <row r="72" spans="1:36" ht="12.95" customHeight="1">
      <c r="A72" s="436"/>
      <c r="C72" s="436"/>
      <c r="D72" s="436"/>
      <c r="E72" s="2553" t="s">
        <v>1411</v>
      </c>
      <c r="F72" s="2553"/>
      <c r="G72" s="2553"/>
      <c r="H72" s="2553"/>
      <c r="I72" s="2553"/>
      <c r="J72" s="2553"/>
      <c r="K72" s="2553"/>
      <c r="L72" s="2553"/>
      <c r="M72" s="2553"/>
      <c r="N72" s="2553"/>
      <c r="O72" s="2553"/>
      <c r="P72" s="2553"/>
      <c r="Q72" s="2553"/>
      <c r="R72" s="2553"/>
      <c r="S72" s="2553"/>
      <c r="T72" s="2553"/>
      <c r="U72" s="2553"/>
      <c r="V72" s="2553"/>
      <c r="W72" s="2553"/>
      <c r="X72" s="2553"/>
      <c r="Y72" s="2553"/>
      <c r="Z72" s="2553"/>
      <c r="AA72" s="2553"/>
      <c r="AB72" s="472"/>
      <c r="AC72" s="472"/>
    </row>
    <row r="73" spans="1:36" ht="12.95" customHeight="1">
      <c r="A73" s="436"/>
      <c r="C73" s="436"/>
      <c r="D73" s="436"/>
      <c r="E73" s="2553"/>
      <c r="F73" s="2553"/>
      <c r="G73" s="2553"/>
      <c r="H73" s="2553"/>
      <c r="I73" s="2553"/>
      <c r="J73" s="2553"/>
      <c r="K73" s="2553"/>
      <c r="L73" s="2553"/>
      <c r="M73" s="2553"/>
      <c r="N73" s="2553"/>
      <c r="O73" s="2553"/>
      <c r="P73" s="2553"/>
      <c r="Q73" s="2553"/>
      <c r="R73" s="2553"/>
      <c r="S73" s="2553"/>
      <c r="T73" s="2553"/>
      <c r="U73" s="2553"/>
      <c r="V73" s="2553"/>
      <c r="W73" s="2553"/>
      <c r="X73" s="2553"/>
      <c r="Y73" s="2553"/>
      <c r="Z73" s="2553"/>
      <c r="AA73" s="2553"/>
      <c r="AB73" s="472"/>
      <c r="AC73" s="472"/>
    </row>
    <row r="74" spans="1:36" ht="12.95" customHeight="1">
      <c r="A74" s="436"/>
      <c r="C74" s="436"/>
      <c r="D74" s="436"/>
      <c r="E74" s="2553"/>
      <c r="F74" s="2553"/>
      <c r="G74" s="2553"/>
      <c r="H74" s="2553"/>
      <c r="I74" s="2553"/>
      <c r="J74" s="2553"/>
      <c r="K74" s="2553"/>
      <c r="L74" s="2553"/>
      <c r="M74" s="2553"/>
      <c r="N74" s="2553"/>
      <c r="O74" s="2553"/>
      <c r="P74" s="2553"/>
      <c r="Q74" s="2553"/>
      <c r="R74" s="2553"/>
      <c r="S74" s="2553"/>
      <c r="T74" s="2553"/>
      <c r="U74" s="2553"/>
      <c r="V74" s="2553"/>
      <c r="W74" s="2553"/>
      <c r="X74" s="2553"/>
      <c r="Y74" s="2553"/>
      <c r="Z74" s="2553"/>
      <c r="AA74" s="255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1412</v>
      </c>
      <c r="AB76" s="2546">
        <f>ROUND(IF(ISERROR((AB59/AB71)),0,(AB59/AB71)),0)</f>
        <v>19040573</v>
      </c>
      <c r="AC76" s="2546"/>
      <c r="AD76" s="2546"/>
      <c r="AE76" s="2546"/>
      <c r="AF76" s="2546"/>
    </row>
    <row r="77" spans="1:36" ht="12.95" customHeight="1">
      <c r="C77" s="436"/>
      <c r="D77" s="219" t="s">
        <v>1413</v>
      </c>
      <c r="AB77" s="2547">
        <f>IF((Y68+AD68&lt;AB76),Y68+AD68,AB76)</f>
        <v>19040573</v>
      </c>
      <c r="AC77" s="2548"/>
      <c r="AD77" s="2548"/>
      <c r="AE77" s="2548"/>
      <c r="AF77" s="2549"/>
    </row>
    <row r="78" spans="1:36" ht="12.95" customHeight="1">
      <c r="C78" s="436"/>
      <c r="D78" s="219" t="s">
        <v>1414</v>
      </c>
      <c r="AB78" s="2550">
        <f>AB77*AB71</f>
        <v>14280429.75</v>
      </c>
      <c r="AC78" s="2550"/>
      <c r="AD78" s="2550"/>
      <c r="AE78" s="2550"/>
      <c r="AF78" s="2550"/>
    </row>
    <row r="79" spans="1:36" ht="12.95" customHeight="1">
      <c r="C79" s="436"/>
      <c r="D79" s="436"/>
      <c r="AB79" s="457"/>
      <c r="AC79" s="457"/>
      <c r="AD79" s="457"/>
      <c r="AE79" s="457"/>
      <c r="AF79" s="457"/>
    </row>
    <row r="80" spans="1:36" ht="12.95" customHeight="1">
      <c r="D80" s="436" t="s">
        <v>767</v>
      </c>
      <c r="AB80" s="2533">
        <f>AB49-(AB57+AB78)</f>
        <v>-0.11999999731779099</v>
      </c>
      <c r="AC80" s="2533"/>
      <c r="AD80" s="2533"/>
      <c r="AE80" s="2533"/>
      <c r="AF80" s="2533"/>
    </row>
    <row r="81" spans="1:78" ht="12.95" customHeight="1">
      <c r="F81" s="557"/>
      <c r="J81" s="557" t="str">
        <f>IF(AB80&gt;0,"FUNDING GAP MUST NOT EXCEED ZERO","")</f>
        <v/>
      </c>
    </row>
    <row r="82" spans="1:78" ht="12.95" customHeight="1">
      <c r="D82" s="558"/>
    </row>
    <row r="83" spans="1:78" ht="12.95" customHeight="1" thickBot="1">
      <c r="A83" s="2498"/>
      <c r="B83" s="2498"/>
      <c r="C83" s="2498"/>
      <c r="D83" s="2498"/>
      <c r="E83" s="2498"/>
      <c r="F83" s="2498"/>
      <c r="G83" s="2498"/>
      <c r="H83" s="2498"/>
      <c r="I83" s="2498"/>
      <c r="J83" s="2498"/>
      <c r="K83" s="2498"/>
      <c r="L83" s="2498"/>
      <c r="M83" s="2498"/>
      <c r="N83" s="2498"/>
      <c r="O83" s="2498"/>
      <c r="P83" s="2498"/>
      <c r="Q83" s="2498"/>
      <c r="R83" s="2498"/>
      <c r="S83" s="2498"/>
      <c r="T83" s="2498"/>
      <c r="U83" s="2498"/>
      <c r="V83" s="2498"/>
      <c r="W83" s="2498"/>
      <c r="X83" s="2498"/>
      <c r="Y83" s="2498"/>
      <c r="Z83" s="2498"/>
      <c r="AA83" s="2498"/>
      <c r="AB83" s="2498"/>
      <c r="AC83" s="2498"/>
      <c r="AD83" s="2498"/>
      <c r="AE83" s="2498"/>
      <c r="AF83" s="2498"/>
      <c r="AG83" s="2498"/>
      <c r="AH83" s="2498"/>
      <c r="AI83" s="2498"/>
      <c r="AJ83" s="2498"/>
      <c r="AK83" s="2498"/>
      <c r="AL83" s="2498"/>
      <c r="AM83" s="2498"/>
      <c r="AN83" s="2498"/>
      <c r="AO83" s="2498"/>
      <c r="AP83" s="2498"/>
      <c r="AQ83" s="2498"/>
      <c r="AR83" s="2498"/>
      <c r="AS83" s="2498"/>
      <c r="AT83" s="2498"/>
      <c r="AU83" s="2498"/>
      <c r="AV83" s="2498"/>
      <c r="AW83" s="2498"/>
      <c r="AX83" s="2498"/>
      <c r="AY83" s="2498"/>
      <c r="AZ83" s="2498"/>
      <c r="BA83" s="2498"/>
      <c r="BB83" s="2498"/>
      <c r="BC83" s="2498"/>
      <c r="BD83" s="2498"/>
      <c r="BE83" s="2498"/>
      <c r="BF83" s="2498"/>
      <c r="BG83" s="2498"/>
      <c r="BH83" s="2498"/>
      <c r="BI83" s="2498"/>
      <c r="BJ83" s="2498"/>
      <c r="BK83" s="2498"/>
      <c r="BL83" s="2498"/>
      <c r="BM83" s="2498"/>
      <c r="BN83" s="2498"/>
      <c r="BO83" s="2498"/>
      <c r="BP83" s="2498"/>
      <c r="BQ83" s="2498"/>
      <c r="BR83" s="2498"/>
      <c r="BS83" s="2498"/>
      <c r="BT83" s="2498"/>
      <c r="BU83" s="2498"/>
      <c r="BV83" s="2498"/>
      <c r="BW83" s="2498"/>
      <c r="BX83" s="2498"/>
    </row>
    <row r="84" spans="1:78" ht="12.95" customHeight="1" thickTop="1"/>
    <row r="85" spans="1:78" ht="12.95" customHeight="1">
      <c r="A85" s="436"/>
      <c r="C85" s="219"/>
    </row>
    <row r="86" spans="1:78" ht="12.95" customHeight="1">
      <c r="D86" s="219"/>
      <c r="AB86" s="2499"/>
      <c r="AC86" s="2499"/>
      <c r="AD86" s="2499"/>
      <c r="AE86" s="2499"/>
      <c r="AF86" s="2499"/>
    </row>
    <row r="87" spans="1:78" ht="12.95" customHeight="1" thickBot="1">
      <c r="D87" s="219"/>
      <c r="AB87" s="2497"/>
      <c r="AC87" s="2497"/>
      <c r="AD87" s="2497"/>
      <c r="AE87" s="2497"/>
      <c r="AF87" s="249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3" sqref="F13"/>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54" t="s">
        <v>943</v>
      </c>
      <c r="B1" s="2554"/>
      <c r="C1" s="2554"/>
      <c r="D1" s="2554"/>
      <c r="E1" s="2554"/>
      <c r="F1" s="2554"/>
      <c r="G1" s="2554"/>
      <c r="H1" s="2554"/>
      <c r="I1" s="2554"/>
      <c r="J1" s="2554"/>
      <c r="K1" s="218"/>
      <c r="L1" s="218"/>
    </row>
    <row r="2" spans="1:12">
      <c r="A2" s="225"/>
      <c r="B2" s="225"/>
      <c r="C2" s="225"/>
      <c r="D2" s="225"/>
      <c r="E2" s="225"/>
      <c r="F2" s="225"/>
      <c r="G2" s="225"/>
      <c r="H2" s="225"/>
      <c r="I2" s="225"/>
      <c r="J2" s="225"/>
    </row>
    <row r="3" spans="1:12" ht="99.75">
      <c r="A3" s="458" t="s">
        <v>944</v>
      </c>
      <c r="B3" s="458" t="s">
        <v>945</v>
      </c>
      <c r="C3" s="458" t="s">
        <v>2344</v>
      </c>
      <c r="D3" s="1199" t="s">
        <v>946</v>
      </c>
      <c r="E3" s="218"/>
      <c r="F3" s="1199" t="s">
        <v>947</v>
      </c>
      <c r="G3" s="458" t="s">
        <v>948</v>
      </c>
      <c r="H3" s="459"/>
      <c r="I3" s="458" t="s">
        <v>949</v>
      </c>
      <c r="J3" s="458" t="s">
        <v>950</v>
      </c>
      <c r="K3" s="218"/>
      <c r="L3" s="328"/>
    </row>
    <row r="4" spans="1:12">
      <c r="A4" s="460" t="str">
        <f>Application!B714</f>
        <v>SRO/Studio</v>
      </c>
      <c r="B4" s="1130">
        <f>Application!G714</f>
        <v>2</v>
      </c>
      <c r="C4" s="1131"/>
      <c r="D4" s="460">
        <f>Application!O714</f>
        <v>508</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2</v>
      </c>
      <c r="C5" s="1131" t="s">
        <v>387</v>
      </c>
      <c r="D5" s="460">
        <f>Application!O715</f>
        <v>508</v>
      </c>
      <c r="E5" s="461"/>
      <c r="F5" s="1132">
        <v>1366</v>
      </c>
      <c r="G5" s="460">
        <f t="shared" ref="G5:G28" si="0">F5*B5</f>
        <v>2732</v>
      </c>
      <c r="H5" s="461"/>
      <c r="I5" s="460">
        <f t="shared" ref="I5:I28" si="1">IF(F5=0," ",(F5-D5))</f>
        <v>858</v>
      </c>
      <c r="J5" s="460">
        <f t="shared" ref="J5:J28" si="2">IF(F5=0," ",(I5*B5))</f>
        <v>1716</v>
      </c>
      <c r="K5" s="218"/>
      <c r="L5" s="328"/>
    </row>
    <row r="6" spans="1:12">
      <c r="A6" s="460" t="str">
        <f>Application!B716</f>
        <v>SRO/Studio</v>
      </c>
      <c r="B6" s="1130">
        <f>Application!G716</f>
        <v>17</v>
      </c>
      <c r="C6" s="1131"/>
      <c r="D6" s="460">
        <f>Application!O716</f>
        <v>1079</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12</v>
      </c>
      <c r="C8" s="1131"/>
      <c r="D8" s="460">
        <f>Application!O718</f>
        <v>536</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4</v>
      </c>
      <c r="C9" s="1131" t="s">
        <v>387</v>
      </c>
      <c r="D9" s="460">
        <f>Application!O719</f>
        <v>536</v>
      </c>
      <c r="E9" s="461"/>
      <c r="F9" s="1132">
        <v>1625</v>
      </c>
      <c r="G9" s="460">
        <f t="shared" si="0"/>
        <v>6500</v>
      </c>
      <c r="H9" s="461"/>
      <c r="I9" s="460">
        <f t="shared" si="1"/>
        <v>1089</v>
      </c>
      <c r="J9" s="460">
        <f t="shared" si="2"/>
        <v>4356</v>
      </c>
      <c r="K9" s="218"/>
      <c r="L9" s="328"/>
    </row>
    <row r="10" spans="1:12">
      <c r="A10" s="460" t="str">
        <f>Application!B720</f>
        <v>1 Bedroom</v>
      </c>
      <c r="B10" s="1130">
        <f>Application!G720</f>
        <v>66</v>
      </c>
      <c r="C10" s="1131"/>
      <c r="D10" s="460">
        <f>Application!O720</f>
        <v>1147</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5</v>
      </c>
      <c r="C11" s="1131"/>
      <c r="D11" s="460">
        <f>Application!O721</f>
        <v>631</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2</v>
      </c>
      <c r="C12" s="1131" t="s">
        <v>387</v>
      </c>
      <c r="D12" s="460">
        <f>Application!O722</f>
        <v>631</v>
      </c>
      <c r="E12" s="461"/>
      <c r="F12" s="1132">
        <v>1898</v>
      </c>
      <c r="G12" s="460">
        <f t="shared" si="0"/>
        <v>3796</v>
      </c>
      <c r="H12" s="461"/>
      <c r="I12" s="460">
        <f t="shared" si="1"/>
        <v>1267</v>
      </c>
      <c r="J12" s="460">
        <f t="shared" si="2"/>
        <v>2534</v>
      </c>
      <c r="K12" s="218"/>
      <c r="L12" s="328"/>
    </row>
    <row r="13" spans="1:12">
      <c r="A13" s="460" t="str">
        <f>Application!B723</f>
        <v>2 Bedrooms</v>
      </c>
      <c r="B13" s="1130">
        <f>Application!G723</f>
        <v>23</v>
      </c>
      <c r="C13" s="1131"/>
      <c r="D13" s="460">
        <f>Application!O723</f>
        <v>1365</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140465</v>
      </c>
      <c r="E30" s="461"/>
      <c r="F30" s="461"/>
      <c r="G30" s="464">
        <f>SUM(G4:G28)*12</f>
        <v>156336</v>
      </c>
      <c r="H30" s="465"/>
      <c r="I30" s="463"/>
      <c r="J30" s="464">
        <f>SUM(J4:J28)*12</f>
        <v>103272</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2526</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71" firstPageNumber="48"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zoomScaleNormal="100" zoomScaleSheetLayoutView="100" workbookViewId="0">
      <selection activeCell="X71" sqref="X71"/>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2516</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1685580</v>
      </c>
      <c r="G4" s="235">
        <f>E4*$C$4</f>
        <v>1727719.4999999998</v>
      </c>
      <c r="I4" s="235">
        <f>G4*$C$4</f>
        <v>1770912.4874999996</v>
      </c>
      <c r="K4" s="235">
        <f>I4*$C$4</f>
        <v>1815185.2996874994</v>
      </c>
      <c r="M4" s="235">
        <f>K4*$C$4</f>
        <v>1860564.9321796868</v>
      </c>
      <c r="O4" s="235">
        <f>M4*$C$4</f>
        <v>1907079.0554841789</v>
      </c>
      <c r="Q4" s="235">
        <f>O4*$C$4</f>
        <v>1954756.0318712832</v>
      </c>
      <c r="S4" s="235">
        <f>Q4*$C$4</f>
        <v>2003624.9326680652</v>
      </c>
      <c r="U4" s="235">
        <f>S4*$C$4</f>
        <v>2053715.5559847667</v>
      </c>
      <c r="W4" s="235">
        <f>U4*$C$4</f>
        <v>2105058.4448843854</v>
      </c>
      <c r="Y4" s="235">
        <f>W4*$C$4</f>
        <v>2157684.906006495</v>
      </c>
      <c r="AA4" s="235">
        <f>Y4*$C$4</f>
        <v>2211627.0286566573</v>
      </c>
      <c r="AC4" s="235">
        <f>AA4*$C$4</f>
        <v>2266917.7043730738</v>
      </c>
      <c r="AE4" s="235">
        <f>AC4*$C$4</f>
        <v>2323590.6469824002</v>
      </c>
      <c r="AG4" s="235">
        <f>AE4*$C$4</f>
        <v>2381680.4131569602</v>
      </c>
    </row>
    <row r="5" spans="1:34" s="225" customFormat="1" ht="14.25">
      <c r="B5" s="225" t="s">
        <v>867</v>
      </c>
      <c r="C5" s="254">
        <f>IF(Application!$D$210="Special Needs",0.1,0.05)</f>
        <v>0.05</v>
      </c>
      <c r="E5" s="237">
        <f>-E4*$C$5</f>
        <v>-84279</v>
      </c>
      <c r="F5" s="237"/>
      <c r="G5" s="237">
        <f>-G4*$C$5</f>
        <v>-86385.974999999991</v>
      </c>
      <c r="H5" s="237"/>
      <c r="I5" s="237">
        <f>-I4*$C$5</f>
        <v>-88545.624374999985</v>
      </c>
      <c r="J5" s="237"/>
      <c r="K5" s="237">
        <f>-K4*$C$5</f>
        <v>-90759.264984374982</v>
      </c>
      <c r="L5" s="237"/>
      <c r="M5" s="237">
        <f>-M4*$C$5</f>
        <v>-93028.246608984351</v>
      </c>
      <c r="N5" s="237"/>
      <c r="O5" s="237">
        <f>-O4*$C$5</f>
        <v>-95353.952774208956</v>
      </c>
      <c r="P5" s="237"/>
      <c r="Q5" s="237">
        <f>-Q4*$C$5</f>
        <v>-97737.80159356416</v>
      </c>
      <c r="R5" s="237"/>
      <c r="S5" s="237">
        <f>-S4*$C$5</f>
        <v>-100181.24663340327</v>
      </c>
      <c r="T5" s="237"/>
      <c r="U5" s="237">
        <f>-U4*$C$5</f>
        <v>-102685.77779923833</v>
      </c>
      <c r="V5" s="237"/>
      <c r="W5" s="237">
        <f>-W4*$C$5</f>
        <v>-105252.92224421928</v>
      </c>
      <c r="X5" s="237"/>
      <c r="Y5" s="237">
        <f>-Y4*$C$5</f>
        <v>-107884.24530032475</v>
      </c>
      <c r="Z5" s="237"/>
      <c r="AA5" s="237">
        <f>-AA4*$C$5</f>
        <v>-110581.35143283287</v>
      </c>
      <c r="AB5" s="237"/>
      <c r="AC5" s="237">
        <f>-AC4*$C$5</f>
        <v>-113345.8852186537</v>
      </c>
      <c r="AD5" s="237"/>
      <c r="AE5" s="237">
        <f>-AE4*$C$5</f>
        <v>-116179.53234912001</v>
      </c>
      <c r="AF5" s="237"/>
      <c r="AG5" s="237">
        <f>-AG4*$C$5</f>
        <v>-119084.02065784801</v>
      </c>
    </row>
    <row r="6" spans="1:34" s="225" customFormat="1" ht="14.25">
      <c r="A6" s="225" t="s">
        <v>865</v>
      </c>
      <c r="C6" s="253">
        <v>1.0249999999999999</v>
      </c>
      <c r="E6" s="238">
        <f>Application!Z793</f>
        <v>103272</v>
      </c>
      <c r="F6" s="238"/>
      <c r="G6" s="238">
        <f>E6*$C$6</f>
        <v>105853.79999999999</v>
      </c>
      <c r="H6" s="238"/>
      <c r="I6" s="238">
        <f>G6*$C$6</f>
        <v>108500.14499999997</v>
      </c>
      <c r="J6" s="238"/>
      <c r="K6" s="238">
        <f>I6*$C$6</f>
        <v>111212.64862499996</v>
      </c>
      <c r="L6" s="238"/>
      <c r="M6" s="238">
        <f>K6*$C$6</f>
        <v>113992.96484062495</v>
      </c>
      <c r="N6" s="238"/>
      <c r="O6" s="238">
        <f>M6*$C$6</f>
        <v>116842.78896164056</v>
      </c>
      <c r="P6" s="238"/>
      <c r="Q6" s="238">
        <f>O6*$C$6</f>
        <v>119763.85868568157</v>
      </c>
      <c r="R6" s="238"/>
      <c r="S6" s="238">
        <f>Q6*$C$6</f>
        <v>122757.95515282359</v>
      </c>
      <c r="T6" s="238"/>
      <c r="U6" s="238">
        <f>S6*$C$6</f>
        <v>125826.90403164417</v>
      </c>
      <c r="V6" s="238"/>
      <c r="W6" s="238">
        <f>U6*$C$6</f>
        <v>128972.57663243526</v>
      </c>
      <c r="X6" s="238"/>
      <c r="Y6" s="238">
        <f>W6*$C$6</f>
        <v>132196.89104824612</v>
      </c>
      <c r="Z6" s="238"/>
      <c r="AA6" s="238">
        <f>Y6*$C$6</f>
        <v>135501.81332445226</v>
      </c>
      <c r="AB6" s="238"/>
      <c r="AC6" s="238">
        <f>AA6*$C$6</f>
        <v>138889.35865756354</v>
      </c>
      <c r="AD6" s="238"/>
      <c r="AE6" s="238">
        <f>AC6*$C$6</f>
        <v>142361.59262400263</v>
      </c>
      <c r="AF6" s="238"/>
      <c r="AG6" s="238">
        <f>AE6*$C$6</f>
        <v>145920.63243960269</v>
      </c>
    </row>
    <row r="7" spans="1:34" s="225" customFormat="1" ht="14.25">
      <c r="B7" s="225" t="s">
        <v>867</v>
      </c>
      <c r="C7" s="254">
        <f>IF(Application!$D$210="Special Needs",0.1,0.05)</f>
        <v>0.05</v>
      </c>
      <c r="E7" s="237">
        <f>-E6*$C$7</f>
        <v>-5163.6000000000004</v>
      </c>
      <c r="F7" s="237"/>
      <c r="G7" s="237">
        <f>-G6*$C$7</f>
        <v>-5292.69</v>
      </c>
      <c r="H7" s="237"/>
      <c r="I7" s="237">
        <f>-I6*$C$7</f>
        <v>-5425.0072499999987</v>
      </c>
      <c r="J7" s="237"/>
      <c r="K7" s="237">
        <f>-K6*$C$7</f>
        <v>-5560.6324312499983</v>
      </c>
      <c r="L7" s="237"/>
      <c r="M7" s="237">
        <f>-M6*$C$7</f>
        <v>-5699.6482420312477</v>
      </c>
      <c r="N7" s="237"/>
      <c r="O7" s="237">
        <f>-O6*$C$7</f>
        <v>-5842.1394480820281</v>
      </c>
      <c r="P7" s="237"/>
      <c r="Q7" s="237">
        <f>-Q6*$C$7</f>
        <v>-5988.1929342840785</v>
      </c>
      <c r="R7" s="237"/>
      <c r="S7" s="237">
        <f>-S6*$C$7</f>
        <v>-6137.8977576411799</v>
      </c>
      <c r="T7" s="237"/>
      <c r="U7" s="237">
        <f>-U6*$C$7</f>
        <v>-6291.3452015822086</v>
      </c>
      <c r="V7" s="237"/>
      <c r="W7" s="237">
        <f>-W6*$C$7</f>
        <v>-6448.6288316217633</v>
      </c>
      <c r="X7" s="237"/>
      <c r="Y7" s="237">
        <f>-Y6*$C$7</f>
        <v>-6609.8445524123063</v>
      </c>
      <c r="Z7" s="237"/>
      <c r="AA7" s="237">
        <f>-AA6*$C$7</f>
        <v>-6775.0906662226134</v>
      </c>
      <c r="AB7" s="237"/>
      <c r="AC7" s="237">
        <f>-AC6*$C$7</f>
        <v>-6944.4679328781776</v>
      </c>
      <c r="AD7" s="237"/>
      <c r="AE7" s="237">
        <f>-AE6*$C$7</f>
        <v>-7118.0796312001321</v>
      </c>
      <c r="AF7" s="237"/>
      <c r="AG7" s="237">
        <f>-AG6*$C$7</f>
        <v>-7296.0316219801352</v>
      </c>
    </row>
    <row r="8" spans="1:34" s="225" customFormat="1" ht="14.25">
      <c r="A8" s="225" t="s">
        <v>290</v>
      </c>
      <c r="C8" s="253">
        <v>1.0249999999999999</v>
      </c>
      <c r="E8" s="238">
        <f>Application!Z801</f>
        <v>4455</v>
      </c>
      <c r="F8" s="238"/>
      <c r="G8" s="238">
        <f>E8*$C$8</f>
        <v>4566.375</v>
      </c>
      <c r="H8" s="238"/>
      <c r="I8" s="238">
        <f>G8*$C$8</f>
        <v>4680.5343749999993</v>
      </c>
      <c r="J8" s="238"/>
      <c r="K8" s="238">
        <f>I8*$C$8</f>
        <v>4797.547734374999</v>
      </c>
      <c r="L8" s="238"/>
      <c r="M8" s="238">
        <f>K8*$C$8</f>
        <v>4917.4864277343731</v>
      </c>
      <c r="N8" s="238"/>
      <c r="O8" s="238">
        <f>M8*$C$8</f>
        <v>5040.4235884277323</v>
      </c>
      <c r="P8" s="238"/>
      <c r="Q8" s="238">
        <f>O8*$C$8</f>
        <v>5166.4341781384255</v>
      </c>
      <c r="R8" s="238"/>
      <c r="S8" s="238">
        <f>Q8*$C$8</f>
        <v>5295.5950325918857</v>
      </c>
      <c r="T8" s="238"/>
      <c r="U8" s="238">
        <f>S8*$C$8</f>
        <v>5427.9849084066827</v>
      </c>
      <c r="V8" s="238"/>
      <c r="W8" s="238">
        <f>U8*$C$8</f>
        <v>5563.684531116849</v>
      </c>
      <c r="X8" s="238"/>
      <c r="Y8" s="238">
        <f>W8*$C$8</f>
        <v>5702.7766443947694</v>
      </c>
      <c r="Z8" s="238"/>
      <c r="AA8" s="238">
        <f>Y8*$C$8</f>
        <v>5845.3460605046384</v>
      </c>
      <c r="AB8" s="238"/>
      <c r="AC8" s="238">
        <f>AA8*$C$8</f>
        <v>5991.4797120172543</v>
      </c>
      <c r="AD8" s="238"/>
      <c r="AE8" s="238">
        <f>AC8*$C$8</f>
        <v>6141.2667048176854</v>
      </c>
      <c r="AF8" s="238"/>
      <c r="AG8" s="238">
        <f>AE8*$C$8</f>
        <v>6294.7983724381274</v>
      </c>
    </row>
    <row r="9" spans="1:34" s="225" customFormat="1" ht="14.25">
      <c r="B9" s="225" t="s">
        <v>867</v>
      </c>
      <c r="C9" s="254">
        <f>IF(Application!$D$210="Special Needs",0.1,0.05)</f>
        <v>0.05</v>
      </c>
      <c r="E9" s="237">
        <f>-E8*$C$9</f>
        <v>-222.75</v>
      </c>
      <c r="F9" s="237"/>
      <c r="G9" s="237">
        <f>-G8*$C$9</f>
        <v>-228.31875000000002</v>
      </c>
      <c r="H9" s="237"/>
      <c r="I9" s="237">
        <f>-I8*$C$9</f>
        <v>-234.02671874999999</v>
      </c>
      <c r="J9" s="237"/>
      <c r="K9" s="237">
        <f>-K8*$C$9</f>
        <v>-239.87738671874996</v>
      </c>
      <c r="L9" s="237"/>
      <c r="M9" s="237">
        <f>-M8*$C$9</f>
        <v>-245.87432138671866</v>
      </c>
      <c r="N9" s="237"/>
      <c r="O9" s="237">
        <f>-O8*$C$9</f>
        <v>-252.02117942138662</v>
      </c>
      <c r="P9" s="237"/>
      <c r="Q9" s="237">
        <f>-Q8*$C$9</f>
        <v>-258.32170890692129</v>
      </c>
      <c r="R9" s="237"/>
      <c r="S9" s="237">
        <f>-S8*$C$9</f>
        <v>-264.77975162959427</v>
      </c>
      <c r="T9" s="237"/>
      <c r="U9" s="237">
        <f>-U8*$C$9</f>
        <v>-271.39924542033413</v>
      </c>
      <c r="V9" s="237"/>
      <c r="W9" s="237">
        <f>-W8*$C$9</f>
        <v>-278.18422655584249</v>
      </c>
      <c r="X9" s="237"/>
      <c r="Y9" s="237">
        <f>-Y8*$C$9</f>
        <v>-285.1388322197385</v>
      </c>
      <c r="Z9" s="237"/>
      <c r="AA9" s="237">
        <f>-AA8*$C$9</f>
        <v>-292.26730302523191</v>
      </c>
      <c r="AB9" s="237"/>
      <c r="AC9" s="237">
        <f>-AC8*$C$9</f>
        <v>-299.57398560086273</v>
      </c>
      <c r="AD9" s="237"/>
      <c r="AE9" s="237">
        <f>-AE8*$C$9</f>
        <v>-307.06333524088427</v>
      </c>
      <c r="AF9" s="237"/>
      <c r="AG9" s="237">
        <f>-AG8*$C$9</f>
        <v>-314.73991862190638</v>
      </c>
    </row>
    <row r="10" spans="1:34" s="225" customFormat="1" ht="14.25">
      <c r="A10" s="1196" t="s">
        <v>2521</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1703641.65</v>
      </c>
      <c r="G11" s="239">
        <f>SUM(G4:G10)</f>
        <v>1746232.6912499997</v>
      </c>
      <c r="I11" s="239">
        <f>SUM(I4:I10)</f>
        <v>1789888.5085312498</v>
      </c>
      <c r="K11" s="239">
        <f>SUM(K4:K10)</f>
        <v>1834635.7212445305</v>
      </c>
      <c r="M11" s="239">
        <f>SUM(M4:M10)</f>
        <v>1880501.6142756438</v>
      </c>
      <c r="O11" s="239">
        <f>SUM(O4:O10)</f>
        <v>1927514.1546325348</v>
      </c>
      <c r="Q11" s="239">
        <f>SUM(Q4:Q10)</f>
        <v>1975702.0084983481</v>
      </c>
      <c r="S11" s="239">
        <f>SUM(S4:S10)</f>
        <v>2025094.5587108065</v>
      </c>
      <c r="U11" s="239">
        <f>SUM(U4:U10)</f>
        <v>2075721.9226785765</v>
      </c>
      <c r="W11" s="239">
        <f>SUM(W4:W10)</f>
        <v>2127614.9707455407</v>
      </c>
      <c r="Y11" s="239">
        <f>SUM(Y4:Y10)</f>
        <v>2180805.3450141791</v>
      </c>
      <c r="AA11" s="239">
        <f>SUM(AA4:AA10)</f>
        <v>2235325.4786395337</v>
      </c>
      <c r="AC11" s="239">
        <f>SUM(AC4:AC10)</f>
        <v>2291208.6156055219</v>
      </c>
      <c r="AE11" s="239">
        <f>SUM(AE4:AE10)</f>
        <v>2348488.8309956598</v>
      </c>
      <c r="AG11" s="239">
        <f>SUM(AG4:AG10)</f>
        <v>2407201.0517705511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31702</v>
      </c>
      <c r="G15" s="235">
        <f>E15*$C$14</f>
        <v>32811.57</v>
      </c>
      <c r="I15" s="235">
        <f>G15*$C$14</f>
        <v>33959.974949999996</v>
      </c>
      <c r="K15" s="235">
        <f>I15*$C$14</f>
        <v>35148.574073249991</v>
      </c>
      <c r="M15" s="235">
        <f>K15*$C$14</f>
        <v>36378.774165813738</v>
      </c>
      <c r="O15" s="235">
        <f>M15*$C$14</f>
        <v>37652.031261617216</v>
      </c>
      <c r="Q15" s="235">
        <f>O15*$C$14</f>
        <v>38969.852355773815</v>
      </c>
      <c r="S15" s="235">
        <f>Q15*$C$14</f>
        <v>40333.797188225893</v>
      </c>
      <c r="U15" s="235">
        <f>S15*$C$14</f>
        <v>41745.480089813798</v>
      </c>
      <c r="W15" s="235">
        <f>U15*$C$14</f>
        <v>43206.571892957276</v>
      </c>
      <c r="Y15" s="235">
        <f>W15*$C$14</f>
        <v>44718.801909210779</v>
      </c>
      <c r="AA15" s="235">
        <f>Y15*$C$14</f>
        <v>46283.959976033155</v>
      </c>
      <c r="AC15" s="235">
        <f>AA15*$C$14</f>
        <v>47903.898575194311</v>
      </c>
      <c r="AE15" s="235">
        <f>AC15*$C$14</f>
        <v>49580.535025326106</v>
      </c>
      <c r="AG15" s="235">
        <f>AE15*$C$14</f>
        <v>51315.853751212519</v>
      </c>
    </row>
    <row r="16" spans="1:34" s="225" customFormat="1" ht="14.25">
      <c r="A16" s="225" t="s">
        <v>346</v>
      </c>
      <c r="C16" s="249"/>
      <c r="E16" s="238">
        <f>Application!W833</f>
        <v>85162</v>
      </c>
      <c r="F16" s="238"/>
      <c r="G16" s="238">
        <f t="shared" ref="G16:AG21" si="0">E16*$C$14</f>
        <v>88142.67</v>
      </c>
      <c r="H16" s="238"/>
      <c r="I16" s="238">
        <f t="shared" si="0"/>
        <v>91227.663449999993</v>
      </c>
      <c r="J16" s="238"/>
      <c r="K16" s="238">
        <f t="shared" si="0"/>
        <v>94420.631670749979</v>
      </c>
      <c r="L16" s="238"/>
      <c r="M16" s="238">
        <f t="shared" si="0"/>
        <v>97725.353779226221</v>
      </c>
      <c r="N16" s="238"/>
      <c r="O16" s="238">
        <f t="shared" si="0"/>
        <v>101145.74116149913</v>
      </c>
      <c r="P16" s="238"/>
      <c r="Q16" s="238">
        <f t="shared" si="0"/>
        <v>104685.8421021516</v>
      </c>
      <c r="R16" s="238"/>
      <c r="S16" s="238">
        <f t="shared" si="0"/>
        <v>108349.8465757269</v>
      </c>
      <c r="T16" s="238"/>
      <c r="U16" s="238">
        <f t="shared" si="0"/>
        <v>112142.09120587734</v>
      </c>
      <c r="V16" s="238"/>
      <c r="W16" s="238">
        <f t="shared" si="0"/>
        <v>116067.06439808304</v>
      </c>
      <c r="X16" s="238"/>
      <c r="Y16" s="238">
        <f t="shared" si="0"/>
        <v>120129.41165201593</v>
      </c>
      <c r="Z16" s="238"/>
      <c r="AA16" s="238">
        <f t="shared" si="0"/>
        <v>124333.94105983648</v>
      </c>
      <c r="AB16" s="238"/>
      <c r="AC16" s="238">
        <f t="shared" si="0"/>
        <v>128685.62899693074</v>
      </c>
      <c r="AD16" s="238"/>
      <c r="AE16" s="238">
        <f t="shared" si="0"/>
        <v>133189.6260118233</v>
      </c>
      <c r="AF16" s="238"/>
      <c r="AG16" s="238">
        <f t="shared" si="0"/>
        <v>137851.2629222371</v>
      </c>
    </row>
    <row r="17" spans="1:33" s="225" customFormat="1" ht="14.25">
      <c r="A17" s="225" t="s">
        <v>571</v>
      </c>
      <c r="C17" s="249"/>
      <c r="E17" s="238">
        <f>Application!W839</f>
        <v>212627</v>
      </c>
      <c r="F17" s="238"/>
      <c r="G17" s="238">
        <f t="shared" si="0"/>
        <v>220068.94499999998</v>
      </c>
      <c r="H17" s="238"/>
      <c r="I17" s="238">
        <f t="shared" si="0"/>
        <v>227771.35807499997</v>
      </c>
      <c r="J17" s="238"/>
      <c r="K17" s="238">
        <f t="shared" si="0"/>
        <v>235743.35560762495</v>
      </c>
      <c r="L17" s="238"/>
      <c r="M17" s="238">
        <f t="shared" si="0"/>
        <v>243994.37305389182</v>
      </c>
      <c r="N17" s="238"/>
      <c r="O17" s="238">
        <f t="shared" si="0"/>
        <v>252534.176110778</v>
      </c>
      <c r="P17" s="238"/>
      <c r="Q17" s="238">
        <f t="shared" si="0"/>
        <v>261372.87227465521</v>
      </c>
      <c r="R17" s="238"/>
      <c r="S17" s="238">
        <f t="shared" si="0"/>
        <v>270520.92280426814</v>
      </c>
      <c r="T17" s="238"/>
      <c r="U17" s="238">
        <f t="shared" si="0"/>
        <v>279989.15510241751</v>
      </c>
      <c r="V17" s="238"/>
      <c r="W17" s="238">
        <f t="shared" si="0"/>
        <v>289788.77553100209</v>
      </c>
      <c r="X17" s="238"/>
      <c r="Y17" s="238">
        <f t="shared" si="0"/>
        <v>299931.38267458713</v>
      </c>
      <c r="Z17" s="238"/>
      <c r="AA17" s="238">
        <f t="shared" si="0"/>
        <v>310428.98106819764</v>
      </c>
      <c r="AB17" s="238"/>
      <c r="AC17" s="238">
        <f t="shared" si="0"/>
        <v>321293.99540558452</v>
      </c>
      <c r="AD17" s="238"/>
      <c r="AE17" s="238">
        <f t="shared" si="0"/>
        <v>332539.28524477995</v>
      </c>
      <c r="AF17" s="238"/>
      <c r="AG17" s="238">
        <f t="shared" si="0"/>
        <v>344178.16022834723</v>
      </c>
    </row>
    <row r="18" spans="1:33" s="225" customFormat="1" ht="14.25">
      <c r="A18" s="225" t="s">
        <v>871</v>
      </c>
      <c r="C18" s="249"/>
      <c r="E18" s="238">
        <f>Application!W846</f>
        <v>219144</v>
      </c>
      <c r="F18" s="238"/>
      <c r="G18" s="238">
        <f t="shared" si="0"/>
        <v>226814.03999999998</v>
      </c>
      <c r="H18" s="238"/>
      <c r="I18" s="238">
        <f t="shared" si="0"/>
        <v>234752.53139999995</v>
      </c>
      <c r="J18" s="238"/>
      <c r="K18" s="238">
        <f t="shared" si="0"/>
        <v>242968.86999899993</v>
      </c>
      <c r="L18" s="238"/>
      <c r="M18" s="238">
        <f t="shared" si="0"/>
        <v>251472.78044896491</v>
      </c>
      <c r="N18" s="238"/>
      <c r="O18" s="238">
        <f t="shared" si="0"/>
        <v>260274.32776467866</v>
      </c>
      <c r="P18" s="238"/>
      <c r="Q18" s="238">
        <f t="shared" si="0"/>
        <v>269383.92923644237</v>
      </c>
      <c r="R18" s="238"/>
      <c r="S18" s="238">
        <f t="shared" si="0"/>
        <v>278812.36675971781</v>
      </c>
      <c r="T18" s="238"/>
      <c r="U18" s="238">
        <f t="shared" si="0"/>
        <v>288570.79959630792</v>
      </c>
      <c r="V18" s="238"/>
      <c r="W18" s="238">
        <f t="shared" si="0"/>
        <v>298670.77758217865</v>
      </c>
      <c r="X18" s="238"/>
      <c r="Y18" s="238">
        <f t="shared" si="0"/>
        <v>309124.25479755487</v>
      </c>
      <c r="Z18" s="238"/>
      <c r="AA18" s="238">
        <f t="shared" si="0"/>
        <v>319943.60371546925</v>
      </c>
      <c r="AB18" s="238"/>
      <c r="AC18" s="238">
        <f t="shared" si="0"/>
        <v>331141.62984551064</v>
      </c>
      <c r="AD18" s="238"/>
      <c r="AE18" s="238">
        <f t="shared" si="0"/>
        <v>342731.58689010347</v>
      </c>
      <c r="AF18" s="238"/>
      <c r="AG18" s="238">
        <f t="shared" si="0"/>
        <v>354727.19243125705</v>
      </c>
    </row>
    <row r="19" spans="1:33" s="225" customFormat="1" ht="14.25">
      <c r="A19" s="225" t="s">
        <v>156</v>
      </c>
      <c r="C19" s="249"/>
      <c r="E19" s="238">
        <f>Application!W847</f>
        <v>98692</v>
      </c>
      <c r="F19" s="238"/>
      <c r="G19" s="238">
        <f t="shared" si="0"/>
        <v>102146.21999999999</v>
      </c>
      <c r="H19" s="238"/>
      <c r="I19" s="238">
        <f t="shared" si="0"/>
        <v>105721.33769999997</v>
      </c>
      <c r="J19" s="238"/>
      <c r="K19" s="238">
        <f t="shared" si="0"/>
        <v>109421.58451949997</v>
      </c>
      <c r="L19" s="238"/>
      <c r="M19" s="238">
        <f t="shared" si="0"/>
        <v>113251.33997768247</v>
      </c>
      <c r="N19" s="238"/>
      <c r="O19" s="238">
        <f t="shared" si="0"/>
        <v>117215.13687690135</v>
      </c>
      <c r="P19" s="238"/>
      <c r="Q19" s="238">
        <f t="shared" si="0"/>
        <v>121317.66666759289</v>
      </c>
      <c r="R19" s="238"/>
      <c r="S19" s="238">
        <f t="shared" si="0"/>
        <v>125563.78500095863</v>
      </c>
      <c r="T19" s="238"/>
      <c r="U19" s="238">
        <f t="shared" si="0"/>
        <v>129958.51747599216</v>
      </c>
      <c r="V19" s="238"/>
      <c r="W19" s="238">
        <f t="shared" si="0"/>
        <v>134507.06558765189</v>
      </c>
      <c r="X19" s="238"/>
      <c r="Y19" s="238">
        <f t="shared" si="0"/>
        <v>139214.81288321968</v>
      </c>
      <c r="Z19" s="238"/>
      <c r="AA19" s="238">
        <f t="shared" si="0"/>
        <v>144087.33133413235</v>
      </c>
      <c r="AB19" s="238"/>
      <c r="AC19" s="238">
        <f t="shared" si="0"/>
        <v>149130.38793082698</v>
      </c>
      <c r="AD19" s="238"/>
      <c r="AE19" s="238">
        <f t="shared" si="0"/>
        <v>154349.95150840591</v>
      </c>
      <c r="AF19" s="238"/>
      <c r="AG19" s="238">
        <f t="shared" si="0"/>
        <v>159752.19981120012</v>
      </c>
    </row>
    <row r="20" spans="1:33" s="225" customFormat="1" ht="14.25">
      <c r="A20" s="225" t="s">
        <v>392</v>
      </c>
      <c r="C20" s="249"/>
      <c r="E20" s="238">
        <f>Application!W856</f>
        <v>121353</v>
      </c>
      <c r="F20" s="238"/>
      <c r="G20" s="238">
        <f t="shared" si="0"/>
        <v>125600.355</v>
      </c>
      <c r="H20" s="238"/>
      <c r="I20" s="238">
        <f t="shared" si="0"/>
        <v>129996.36742499999</v>
      </c>
      <c r="J20" s="238"/>
      <c r="K20" s="238">
        <f t="shared" si="0"/>
        <v>134546.24028487498</v>
      </c>
      <c r="L20" s="238"/>
      <c r="M20" s="238">
        <f t="shared" si="0"/>
        <v>139255.35869484558</v>
      </c>
      <c r="N20" s="238"/>
      <c r="O20" s="238">
        <f t="shared" si="0"/>
        <v>144129.29624916517</v>
      </c>
      <c r="P20" s="238"/>
      <c r="Q20" s="238">
        <f t="shared" si="0"/>
        <v>149173.82161788593</v>
      </c>
      <c r="R20" s="238"/>
      <c r="S20" s="238">
        <f t="shared" si="0"/>
        <v>154394.90537451193</v>
      </c>
      <c r="T20" s="238"/>
      <c r="U20" s="238">
        <f t="shared" si="0"/>
        <v>159798.72706261984</v>
      </c>
      <c r="V20" s="238"/>
      <c r="W20" s="238">
        <f t="shared" si="0"/>
        <v>165391.68250981154</v>
      </c>
      <c r="X20" s="238"/>
      <c r="Y20" s="238">
        <f t="shared" si="0"/>
        <v>171180.39139765492</v>
      </c>
      <c r="Z20" s="238"/>
      <c r="AA20" s="238">
        <f t="shared" si="0"/>
        <v>177171.70509657284</v>
      </c>
      <c r="AB20" s="238"/>
      <c r="AC20" s="238">
        <f t="shared" si="0"/>
        <v>183372.71477495288</v>
      </c>
      <c r="AD20" s="238"/>
      <c r="AE20" s="238">
        <f t="shared" si="0"/>
        <v>189790.75979207622</v>
      </c>
      <c r="AF20" s="238"/>
      <c r="AG20" s="238">
        <f t="shared" si="0"/>
        <v>196433.43638479887</v>
      </c>
    </row>
    <row r="21" spans="1:33" s="225" customFormat="1" ht="14.25">
      <c r="A21" s="242" t="s">
        <v>1003</v>
      </c>
      <c r="B21" s="242"/>
      <c r="C21" s="249"/>
      <c r="E21" s="248"/>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768680</v>
      </c>
      <c r="G22" s="239">
        <f>SUM(G15:G21)</f>
        <v>795583.79999999981</v>
      </c>
      <c r="I22" s="239">
        <f>SUM(I15:I21)</f>
        <v>823429.23299999989</v>
      </c>
      <c r="K22" s="239">
        <f>SUM(K15:K21)</f>
        <v>852249.25615499984</v>
      </c>
      <c r="M22" s="239">
        <f>SUM(M15:M21)</f>
        <v>882077.98012042476</v>
      </c>
      <c r="O22" s="239">
        <f>SUM(O15:O21)</f>
        <v>912950.70942463959</v>
      </c>
      <c r="Q22" s="239">
        <f>SUM(Q15:Q21)</f>
        <v>944903.98425450199</v>
      </c>
      <c r="S22" s="239">
        <f>SUM(S15:S21)</f>
        <v>977975.62370340934</v>
      </c>
      <c r="U22" s="239">
        <f>SUM(U15:U21)</f>
        <v>1012204.7705330286</v>
      </c>
      <c r="W22" s="239">
        <f>SUM(W15:W21)</f>
        <v>1047631.9375016845</v>
      </c>
      <c r="Y22" s="239">
        <f>SUM(Y15:Y21)</f>
        <v>1084299.0553142433</v>
      </c>
      <c r="AA22" s="239">
        <f>SUM(AA15:AA21)</f>
        <v>1122249.5222502416</v>
      </c>
      <c r="AC22" s="239">
        <f>SUM(AC15:AC21)</f>
        <v>1161528.2555290002</v>
      </c>
      <c r="AE22" s="239">
        <f>SUM(AE15:AE21)</f>
        <v>1202181.7444725148</v>
      </c>
      <c r="AG22" s="239">
        <f>SUM(AG15:AG21)</f>
        <v>1244258.1055290531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1944</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22998</v>
      </c>
      <c r="F27" s="238"/>
      <c r="G27" s="238">
        <f>E27*$C$27</f>
        <v>23802.929999999997</v>
      </c>
      <c r="H27" s="238"/>
      <c r="I27" s="238">
        <f>G27*$C$27</f>
        <v>24636.032549999996</v>
      </c>
      <c r="J27" s="238"/>
      <c r="K27" s="238">
        <f>I27*$C$27</f>
        <v>25498.293689249993</v>
      </c>
      <c r="L27" s="238"/>
      <c r="M27" s="238">
        <f>K27*$C$27</f>
        <v>26390.733968373741</v>
      </c>
      <c r="N27" s="238"/>
      <c r="O27" s="238">
        <f>M27*$C$27</f>
        <v>27314.40965726682</v>
      </c>
      <c r="P27" s="238"/>
      <c r="Q27" s="238">
        <f>O27*$C$27</f>
        <v>28270.413995271156</v>
      </c>
      <c r="R27" s="238"/>
      <c r="S27" s="238">
        <f>Q27*$C$27</f>
        <v>29259.878485105644</v>
      </c>
      <c r="T27" s="238"/>
      <c r="U27" s="238">
        <f>S27*$C$27</f>
        <v>30283.97423208434</v>
      </c>
      <c r="V27" s="238"/>
      <c r="W27" s="238">
        <f>U27*$C$27</f>
        <v>31343.913330207288</v>
      </c>
      <c r="X27" s="238"/>
      <c r="Y27" s="238">
        <f>W27*$C$27</f>
        <v>32440.950296764542</v>
      </c>
      <c r="Z27" s="238"/>
      <c r="AA27" s="238">
        <f>Y27*$C$27</f>
        <v>33576.383557151297</v>
      </c>
      <c r="AB27" s="238"/>
      <c r="AC27" s="238">
        <f>AA27*$C$27</f>
        <v>34751.556981651593</v>
      </c>
      <c r="AD27" s="238"/>
      <c r="AE27" s="238">
        <f>AC27*$C$27</f>
        <v>35967.861476009399</v>
      </c>
      <c r="AF27" s="238"/>
      <c r="AG27" s="238">
        <f>AE27*$C$27</f>
        <v>37226.736627669728</v>
      </c>
    </row>
    <row r="28" spans="1:33" s="225" customFormat="1" ht="14.25">
      <c r="A28" s="225" t="s">
        <v>875</v>
      </c>
      <c r="C28" s="253"/>
      <c r="E28" s="238">
        <f>Application!AC873</f>
        <v>33750</v>
      </c>
      <c r="F28" s="238"/>
      <c r="G28" s="238">
        <f>$E$28</f>
        <v>33750</v>
      </c>
      <c r="H28" s="238"/>
      <c r="I28" s="238">
        <f>$E$28</f>
        <v>33750</v>
      </c>
      <c r="J28" s="238"/>
      <c r="K28" s="238">
        <f>$E$28</f>
        <v>33750</v>
      </c>
      <c r="L28" s="238"/>
      <c r="M28" s="238">
        <f>$E$28</f>
        <v>33750</v>
      </c>
      <c r="N28" s="238"/>
      <c r="O28" s="238">
        <f>$E$28</f>
        <v>33750</v>
      </c>
      <c r="P28" s="238"/>
      <c r="Q28" s="238">
        <f>$E$28</f>
        <v>33750</v>
      </c>
      <c r="R28" s="238"/>
      <c r="S28" s="238">
        <f>$E$28</f>
        <v>33750</v>
      </c>
      <c r="T28" s="238"/>
      <c r="U28" s="238">
        <f>$E$28</f>
        <v>33750</v>
      </c>
      <c r="V28" s="238"/>
      <c r="W28" s="238">
        <f>$E$28</f>
        <v>33750</v>
      </c>
      <c r="X28" s="238"/>
      <c r="Y28" s="238">
        <f>$E$28</f>
        <v>33750</v>
      </c>
      <c r="Z28" s="238"/>
      <c r="AA28" s="238">
        <f>$E$28</f>
        <v>33750</v>
      </c>
      <c r="AB28" s="238"/>
      <c r="AC28" s="238">
        <f>$E$28</f>
        <v>33750</v>
      </c>
      <c r="AD28" s="238"/>
      <c r="AE28" s="238">
        <f>$E$28</f>
        <v>33750</v>
      </c>
      <c r="AF28" s="238"/>
      <c r="AG28" s="238">
        <f>$E$28</f>
        <v>33750</v>
      </c>
    </row>
    <row r="29" spans="1:33" s="225" customFormat="1" ht="14.25">
      <c r="A29" s="225" t="s">
        <v>1942</v>
      </c>
      <c r="C29" s="253"/>
      <c r="E29" s="238">
        <v>15900</v>
      </c>
      <c r="F29" s="238"/>
      <c r="G29" s="238">
        <f>$E$29</f>
        <v>15900</v>
      </c>
      <c r="H29" s="238"/>
      <c r="I29" s="238">
        <f>$E$29</f>
        <v>15900</v>
      </c>
      <c r="J29" s="238"/>
      <c r="K29" s="238">
        <f>$E$29</f>
        <v>15900</v>
      </c>
      <c r="L29" s="238"/>
      <c r="M29" s="238">
        <f>$E$29</f>
        <v>15900</v>
      </c>
      <c r="N29" s="238"/>
      <c r="O29" s="238">
        <f>$E$29</f>
        <v>15900</v>
      </c>
      <c r="P29" s="238"/>
      <c r="Q29" s="238">
        <f>$E$29</f>
        <v>15900</v>
      </c>
      <c r="R29" s="238"/>
      <c r="S29" s="238">
        <f>$E$29</f>
        <v>15900</v>
      </c>
      <c r="T29" s="238"/>
      <c r="U29" s="238">
        <f>$E$29</f>
        <v>15900</v>
      </c>
      <c r="V29" s="238"/>
      <c r="W29" s="238">
        <f>$E$29</f>
        <v>15900</v>
      </c>
      <c r="X29" s="238"/>
      <c r="Y29" s="238">
        <f>$E$29</f>
        <v>15900</v>
      </c>
      <c r="Z29" s="238"/>
      <c r="AA29" s="238">
        <f>$E$29</f>
        <v>15900</v>
      </c>
      <c r="AB29" s="238"/>
      <c r="AC29" s="238">
        <f>$E$29</f>
        <v>15900</v>
      </c>
      <c r="AD29" s="238"/>
      <c r="AE29" s="238">
        <f>$E$29</f>
        <v>15900</v>
      </c>
      <c r="AF29" s="238"/>
      <c r="AG29" s="238">
        <f>$E$29</f>
        <v>15900</v>
      </c>
    </row>
    <row r="30" spans="1:33" s="225" customFormat="1" ht="14.25">
      <c r="A30" s="225" t="s">
        <v>873</v>
      </c>
      <c r="C30" s="253">
        <v>1.02</v>
      </c>
      <c r="E30" s="238">
        <f>Application!AC875</f>
        <v>27593</v>
      </c>
      <c r="F30" s="238"/>
      <c r="G30" s="238">
        <f>E30*$C$30</f>
        <v>28144.86</v>
      </c>
      <c r="H30" s="238"/>
      <c r="I30" s="238">
        <f>G30*$C$30</f>
        <v>28707.7572</v>
      </c>
      <c r="J30" s="238"/>
      <c r="K30" s="238">
        <f>I30*$C$30</f>
        <v>29281.912344</v>
      </c>
      <c r="L30" s="238"/>
      <c r="M30" s="238">
        <f>K30*$C$30</f>
        <v>29867.550590880001</v>
      </c>
      <c r="N30" s="238"/>
      <c r="O30" s="238">
        <f>M30*$C$30</f>
        <v>30464.901602697602</v>
      </c>
      <c r="P30" s="238"/>
      <c r="Q30" s="238">
        <f>O30*$C$30</f>
        <v>31074.199634751556</v>
      </c>
      <c r="R30" s="238"/>
      <c r="S30" s="238">
        <f>Q30*$C$30</f>
        <v>31695.683627446586</v>
      </c>
      <c r="T30" s="238"/>
      <c r="U30" s="238">
        <f>S30*$C$30</f>
        <v>32329.597299995519</v>
      </c>
      <c r="V30" s="238"/>
      <c r="W30" s="238">
        <f>U30*$C$30</f>
        <v>32976.189245995432</v>
      </c>
      <c r="X30" s="238"/>
      <c r="Y30" s="238">
        <f>W30*$C$30</f>
        <v>33635.713030915344</v>
      </c>
      <c r="Z30" s="238"/>
      <c r="AA30" s="238">
        <f>Y30*$C$30</f>
        <v>34308.427291533648</v>
      </c>
      <c r="AB30" s="238"/>
      <c r="AC30" s="238">
        <f>AA30*$C$30</f>
        <v>34994.595837364323</v>
      </c>
      <c r="AD30" s="238"/>
      <c r="AE30" s="238">
        <f>AC30*$C$30</f>
        <v>35694.487754111608</v>
      </c>
      <c r="AF30" s="238"/>
      <c r="AG30" s="238">
        <f>AE30*$C$30</f>
        <v>36408.377509193837</v>
      </c>
    </row>
    <row r="31" spans="1:33" s="225" customFormat="1" ht="14.25">
      <c r="A31" s="225" t="s">
        <v>1943</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868921</v>
      </c>
      <c r="G35" s="239">
        <f>SUM(G22:G33)</f>
        <v>897181.58999999985</v>
      </c>
      <c r="I35" s="239">
        <f>SUM(I22:I33)</f>
        <v>926423.02274999989</v>
      </c>
      <c r="K35" s="239">
        <f>SUM(K22:K33)</f>
        <v>956679.4621882498</v>
      </c>
      <c r="M35" s="239">
        <f>SUM(M22:M33)</f>
        <v>987986.26467967848</v>
      </c>
      <c r="O35" s="239">
        <f>SUM(O22:O33)</f>
        <v>1020380.020684604</v>
      </c>
      <c r="Q35" s="239">
        <f>SUM(Q22:Q33)</f>
        <v>1053898.5978845248</v>
      </c>
      <c r="S35" s="239">
        <f>SUM(S22:S33)</f>
        <v>1088581.1858159616</v>
      </c>
      <c r="U35" s="239">
        <f>SUM(U22:U33)</f>
        <v>1124468.3420651087</v>
      </c>
      <c r="W35" s="239">
        <f>SUM(W22:W33)</f>
        <v>1161602.0400778872</v>
      </c>
      <c r="Y35" s="239">
        <f>SUM(Y22:Y33)</f>
        <v>1200025.718641923</v>
      </c>
      <c r="AA35" s="239">
        <f>SUM(AA22:AA33)</f>
        <v>1239784.3330989266</v>
      </c>
      <c r="AC35" s="239">
        <f>SUM(AC22:AC33)</f>
        <v>1280924.408348016</v>
      </c>
      <c r="AE35" s="239">
        <f>SUM(AE22:AE33)</f>
        <v>1323494.093702636</v>
      </c>
      <c r="AG35" s="239">
        <f>SUM(AG22:AG33)</f>
        <v>1367543.2196659166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834720.64999999991</v>
      </c>
      <c r="G37" s="239">
        <f>G11-G35</f>
        <v>849051.10124999983</v>
      </c>
      <c r="I37" s="239">
        <f>I11-I35</f>
        <v>863465.48578124994</v>
      </c>
      <c r="K37" s="239">
        <f>K11-K35</f>
        <v>877956.25905628072</v>
      </c>
      <c r="M37" s="239">
        <f>M11-M35</f>
        <v>892515.34959596535</v>
      </c>
      <c r="O37" s="239">
        <f>O11-O35</f>
        <v>907134.13394793088</v>
      </c>
      <c r="Q37" s="239">
        <f>Q11-Q35</f>
        <v>921803.41061382322</v>
      </c>
      <c r="S37" s="239">
        <f>S11-S35</f>
        <v>936513.37289484497</v>
      </c>
      <c r="U37" s="239">
        <f>U11-U35</f>
        <v>951253.58061346784</v>
      </c>
      <c r="W37" s="239">
        <f>W11-W35</f>
        <v>966012.93066765345</v>
      </c>
      <c r="Y37" s="239">
        <f>Y11-Y35</f>
        <v>980779.62637225608</v>
      </c>
      <c r="AA37" s="239">
        <f>AA11-AA35</f>
        <v>995541.14554060716</v>
      </c>
      <c r="AC37" s="239">
        <f>AC11-AC35</f>
        <v>1010284.207257506</v>
      </c>
      <c r="AE37" s="239">
        <f>AE11-AE35</f>
        <v>1024994.7372930238</v>
      </c>
      <c r="AG37" s="239">
        <f>AG11-AG35</f>
        <v>1039657.8321046345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Perm Loan</v>
      </c>
      <c r="B40" s="242"/>
      <c r="C40" s="236"/>
      <c r="E40" s="238">
        <f>Application!AF623</f>
        <v>698492</v>
      </c>
      <c r="F40" s="238"/>
      <c r="G40" s="238">
        <f>$E$40</f>
        <v>698492</v>
      </c>
      <c r="H40" s="238"/>
      <c r="I40" s="238">
        <f>$E$40</f>
        <v>698492</v>
      </c>
      <c r="J40" s="238"/>
      <c r="K40" s="238">
        <f>$E$40</f>
        <v>698492</v>
      </c>
      <c r="L40" s="238"/>
      <c r="M40" s="238">
        <f>$E$40</f>
        <v>698492</v>
      </c>
      <c r="N40" s="238"/>
      <c r="O40" s="238">
        <f>$E$40</f>
        <v>698492</v>
      </c>
      <c r="P40" s="238"/>
      <c r="Q40" s="238">
        <f>$E$40</f>
        <v>698492</v>
      </c>
      <c r="R40" s="238"/>
      <c r="S40" s="238">
        <f>$E$40</f>
        <v>698492</v>
      </c>
      <c r="T40" s="238"/>
      <c r="U40" s="238">
        <f>$E$40</f>
        <v>698492</v>
      </c>
      <c r="V40" s="238"/>
      <c r="W40" s="238">
        <f>$E$40</f>
        <v>698492</v>
      </c>
      <c r="X40" s="238"/>
      <c r="Y40" s="238">
        <f>$E$40</f>
        <v>698492</v>
      </c>
      <c r="Z40" s="238"/>
      <c r="AA40" s="238">
        <f>$E$40</f>
        <v>698492</v>
      </c>
      <c r="AB40" s="238"/>
      <c r="AC40" s="238">
        <f>$E$40</f>
        <v>698492</v>
      </c>
      <c r="AD40" s="238"/>
      <c r="AE40" s="238">
        <f>$E$40</f>
        <v>698492</v>
      </c>
      <c r="AF40" s="238"/>
      <c r="AG40" s="238">
        <f>$E$40</f>
        <v>698492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698492</v>
      </c>
      <c r="G43" s="239">
        <f>SUM(G40:G42)</f>
        <v>698492</v>
      </c>
      <c r="I43" s="239">
        <f>SUM(I40:I42)</f>
        <v>698492</v>
      </c>
      <c r="K43" s="239">
        <f>SUM(K40:K42)</f>
        <v>698492</v>
      </c>
      <c r="M43" s="239">
        <f>SUM(M40:M42)</f>
        <v>698492</v>
      </c>
      <c r="O43" s="239">
        <f>SUM(O40:O42)</f>
        <v>698492</v>
      </c>
      <c r="Q43" s="239">
        <f>SUM(Q40:Q42)</f>
        <v>698492</v>
      </c>
      <c r="S43" s="239">
        <f>SUM(S40:S42)</f>
        <v>698492</v>
      </c>
      <c r="U43" s="239">
        <f>SUM(U40:U42)</f>
        <v>698492</v>
      </c>
      <c r="W43" s="239">
        <f>SUM(W40:W42)</f>
        <v>698492</v>
      </c>
      <c r="Y43" s="239">
        <f>SUM(Y40:Y42)</f>
        <v>698492</v>
      </c>
      <c r="AA43" s="239">
        <f>SUM(AA40:AA42)</f>
        <v>698492</v>
      </c>
      <c r="AC43" s="239">
        <f>SUM(AC40:AC42)</f>
        <v>698492</v>
      </c>
      <c r="AE43" s="239">
        <f>SUM(AE40:AE42)</f>
        <v>698492</v>
      </c>
      <c r="AG43" s="239">
        <f>SUM(AG40:AG42)</f>
        <v>698492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136228.64999999991</v>
      </c>
      <c r="G45" s="239">
        <f>G37-G43</f>
        <v>150559.10124999983</v>
      </c>
      <c r="I45" s="239">
        <f>I37-I43</f>
        <v>164973.48578124994</v>
      </c>
      <c r="K45" s="239">
        <f>K37-K43</f>
        <v>179464.25905628072</v>
      </c>
      <c r="M45" s="239">
        <f>M37-M43</f>
        <v>194023.34959596535</v>
      </c>
      <c r="O45" s="239">
        <f>O37-O43</f>
        <v>208642.13394793088</v>
      </c>
      <c r="Q45" s="239">
        <f>Q37-Q43</f>
        <v>223311.41061382322</v>
      </c>
      <c r="S45" s="239">
        <f>S37-S43</f>
        <v>238021.37289484497</v>
      </c>
      <c r="U45" s="239">
        <f>U37-U43</f>
        <v>252761.58061346784</v>
      </c>
      <c r="W45" s="239">
        <f>W37-W43</f>
        <v>267520.93066765345</v>
      </c>
      <c r="Y45" s="239">
        <f>Y37-Y43</f>
        <v>282287.62637225608</v>
      </c>
      <c r="AA45" s="239">
        <f>AA37-AA43</f>
        <v>297049.14554060716</v>
      </c>
      <c r="AC45" s="239">
        <f>AC37-AC43</f>
        <v>311792.20725750597</v>
      </c>
      <c r="AE45" s="239">
        <f>AE37-AE43</f>
        <v>326502.73729302385</v>
      </c>
      <c r="AG45" s="239">
        <f>AG37-AG43</f>
        <v>341165.83210463449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7.5965046698641056E-2</v>
      </c>
      <c r="G47" s="243">
        <f>G45/(G4+G6+G8)</f>
        <v>8.1908411693469296E-2</v>
      </c>
      <c r="I47" s="243">
        <f>I45/(I4+I6+I8)</f>
        <v>8.7561214424910189E-2</v>
      </c>
      <c r="K47" s="243">
        <f>K45/(K4+K6+K8)</f>
        <v>9.2929099836676882E-2</v>
      </c>
      <c r="M47" s="243">
        <f>M45/(M4+M6+M8)</f>
        <v>9.801756122776141E-2</v>
      </c>
      <c r="O47" s="243">
        <f>O45/(O4+O6+O8)</f>
        <v>0.10283194381434853</v>
      </c>
      <c r="Q47" s="243">
        <f>Q45/(Q4+Q6+Q8)</f>
        <v>0.1073774482035252</v>
      </c>
      <c r="S47" s="243">
        <f>S45/(S4+S6+S8)</f>
        <v>0.11165913378091981</v>
      </c>
      <c r="U47" s="243">
        <f>U45/(U4+U6+U8)</f>
        <v>0.11568192201435709</v>
      </c>
      <c r="W47" s="243">
        <f>W45/(W4+W6+W8)</f>
        <v>0.11945059967556793</v>
      </c>
      <c r="Y47" s="243">
        <f>Y45/(Y4+Y6+Y8)</f>
        <v>0.12296982198193378</v>
      </c>
      <c r="AA47" s="243">
        <f>AA45/(AA4+AA6+AA8)</f>
        <v>0.12624411566020696</v>
      </c>
      <c r="AC47" s="243">
        <f>AC45/(AC4+AC6+AC8)</f>
        <v>0.12927788193409445</v>
      </c>
      <c r="AE47" s="243">
        <f>AE45/(AE4+AE6+AE8)</f>
        <v>0.13207539943754831</v>
      </c>
      <c r="AG47" s="243">
        <f>AG45/(AG4+AG6+AG8)</f>
        <v>0.1346408270555608</v>
      </c>
    </row>
    <row r="48" spans="1:33" s="243" customFormat="1" ht="14.25">
      <c r="A48" s="243" t="s">
        <v>881</v>
      </c>
      <c r="C48" s="236"/>
      <c r="E48" s="243">
        <f>E45/E43</f>
        <v>0.19503251289921703</v>
      </c>
      <c r="G48" s="243">
        <f>G45/G43</f>
        <v>0.21554878402329566</v>
      </c>
      <c r="I48" s="243">
        <f>I45/I43</f>
        <v>0.23618521870150258</v>
      </c>
      <c r="K48" s="243">
        <f>K45/K43</f>
        <v>0.25693101575434035</v>
      </c>
      <c r="M48" s="243">
        <f>M45/M43</f>
        <v>0.2777746196033245</v>
      </c>
      <c r="O48" s="243">
        <f>O45/O43</f>
        <v>0.29870368443436845</v>
      </c>
      <c r="Q48" s="243">
        <f>Q45/Q43</f>
        <v>0.31970503687060586</v>
      </c>
      <c r="S48" s="243">
        <f>S45/S43</f>
        <v>0.34076463709655225</v>
      </c>
      <c r="U48" s="243">
        <f>U45/U43</f>
        <v>0.36186753837333546</v>
      </c>
      <c r="W48" s="243">
        <f>W45/W43</f>
        <v>0.38299784488248034</v>
      </c>
      <c r="Y48" s="243">
        <f>Y45/Y43</f>
        <v>0.40413866783335539</v>
      </c>
      <c r="AA48" s="243">
        <f>AA45/AA43</f>
        <v>0.42527207976699399</v>
      </c>
      <c r="AC48" s="243">
        <f>AC45/AC43</f>
        <v>0.44637906698645935</v>
      </c>
      <c r="AE48" s="243">
        <f>AE45/AE43</f>
        <v>0.46743948004132307</v>
      </c>
      <c r="AG48" s="243">
        <f>AG45/AG43</f>
        <v>0.48843198219111239</v>
      </c>
    </row>
    <row r="49" spans="1:35" s="244" customFormat="1" ht="14.25">
      <c r="A49" s="244" t="s">
        <v>879</v>
      </c>
      <c r="C49" s="245"/>
      <c r="E49" s="244">
        <f>E37/E43</f>
        <v>1.195032512899217</v>
      </c>
      <c r="G49" s="244">
        <f>G37/G43</f>
        <v>1.2155487840232957</v>
      </c>
      <c r="I49" s="244">
        <f>I37/I43</f>
        <v>1.2361852187015026</v>
      </c>
      <c r="K49" s="244">
        <f>K37/K43</f>
        <v>1.2569310157543403</v>
      </c>
      <c r="M49" s="244">
        <f>M37/M43</f>
        <v>1.2777746196033246</v>
      </c>
      <c r="O49" s="244">
        <f>O37/O43</f>
        <v>1.2987036844343685</v>
      </c>
      <c r="Q49" s="244">
        <f>Q37/Q43</f>
        <v>1.3197050368706058</v>
      </c>
      <c r="S49" s="244">
        <f>S37/S43</f>
        <v>1.3407646370965522</v>
      </c>
      <c r="U49" s="244">
        <f>U37/U43</f>
        <v>1.3618675383733354</v>
      </c>
      <c r="W49" s="244">
        <f>W37/W43</f>
        <v>1.3829978448824802</v>
      </c>
      <c r="Y49" s="244">
        <f>Y37/Y43</f>
        <v>1.4041386678333554</v>
      </c>
      <c r="AA49" s="244">
        <f>AA37/AA43</f>
        <v>1.425272079766994</v>
      </c>
      <c r="AC49" s="244">
        <f>AC37/AC43</f>
        <v>1.4463790669864593</v>
      </c>
      <c r="AE49" s="244">
        <f>AE37/AE43</f>
        <v>1.4674394800413231</v>
      </c>
      <c r="AG49" s="244">
        <f>AG37/AG43</f>
        <v>1.4884319821911125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7" t="s">
        <v>1328</v>
      </c>
      <c r="B52" s="2557"/>
      <c r="C52" s="255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5000</v>
      </c>
      <c r="G53" s="997">
        <f>E53*$C$53</f>
        <v>5150</v>
      </c>
      <c r="I53" s="997">
        <f>G53*$C$53</f>
        <v>5304.5</v>
      </c>
      <c r="K53" s="997">
        <f>I53*$C$53</f>
        <v>5463.6350000000002</v>
      </c>
      <c r="M53" s="997">
        <f>K53*$C$53</f>
        <v>5627.5440500000004</v>
      </c>
      <c r="O53" s="997">
        <f>M53*$C$53</f>
        <v>5796.3703715000001</v>
      </c>
      <c r="Q53" s="997">
        <f>O53*$C$53</f>
        <v>5970.2614826449999</v>
      </c>
      <c r="S53" s="997">
        <f>Q53*$C$53</f>
        <v>6149.3693271243501</v>
      </c>
      <c r="U53" s="997">
        <f>S53*$C$53</f>
        <v>6333.8504069380806</v>
      </c>
      <c r="W53" s="997">
        <f>U53*$C$53</f>
        <v>6523.865919146223</v>
      </c>
      <c r="Y53" s="997">
        <f>W53*$C$53</f>
        <v>6719.5818967206096</v>
      </c>
      <c r="AA53" s="997">
        <f>Y53*$C$53</f>
        <v>6921.1693536222283</v>
      </c>
      <c r="AC53" s="997">
        <f>AA53*$C$53</f>
        <v>7128.8044342308949</v>
      </c>
      <c r="AE53" s="997">
        <f>AC53*$C$53</f>
        <v>7342.6685672578224</v>
      </c>
      <c r="AG53" s="997">
        <f>AE53*$C$53</f>
        <v>7562.9486242755574</v>
      </c>
    </row>
    <row r="54" spans="1:35" s="3" customFormat="1">
      <c r="A54" s="3" t="s">
        <v>884</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10000</v>
      </c>
      <c r="F58" s="997"/>
      <c r="G58" s="997">
        <f>SUM(G53:G57)</f>
        <v>10300</v>
      </c>
      <c r="H58" s="997"/>
      <c r="I58" s="997">
        <f>SUM(I53:I57)</f>
        <v>10609</v>
      </c>
      <c r="J58" s="997"/>
      <c r="K58" s="997">
        <f>SUM(K53:K57)</f>
        <v>10927.27</v>
      </c>
      <c r="L58" s="997"/>
      <c r="M58" s="997">
        <f>SUM(M53:M57)</f>
        <v>11255.088100000001</v>
      </c>
      <c r="N58" s="997"/>
      <c r="O58" s="997">
        <f>SUM(O53:O57)</f>
        <v>11592.740743</v>
      </c>
      <c r="P58" s="997"/>
      <c r="Q58" s="997">
        <f>SUM(Q53:Q57)</f>
        <v>11940.52296529</v>
      </c>
      <c r="R58" s="997"/>
      <c r="S58" s="997">
        <f>SUM(S53:S57)</f>
        <v>12298.7386542487</v>
      </c>
      <c r="T58" s="997"/>
      <c r="U58" s="997">
        <f>SUM(U53:U57)</f>
        <v>12667.700813876161</v>
      </c>
      <c r="V58" s="997"/>
      <c r="W58" s="997">
        <f>SUM(W53:W57)</f>
        <v>13047.731838292446</v>
      </c>
      <c r="X58" s="997"/>
      <c r="Y58" s="997">
        <f>SUM(Y53:Y57)</f>
        <v>13439.163793441219</v>
      </c>
      <c r="Z58" s="997"/>
      <c r="AA58" s="997">
        <f>SUM(AA53:AA57)</f>
        <v>13842.338707244457</v>
      </c>
      <c r="AB58" s="997"/>
      <c r="AC58" s="997">
        <f>SUM(AC53:AC57)</f>
        <v>14257.60886846179</v>
      </c>
      <c r="AD58" s="997"/>
      <c r="AE58" s="997">
        <f>SUM(AE53:AE57)</f>
        <v>14685.337134515645</v>
      </c>
      <c r="AF58" s="997"/>
      <c r="AG58" s="997">
        <f>SUM(AG53:AG57)</f>
        <v>15125.897248551115</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126228.64999999991</v>
      </c>
      <c r="G60" s="999">
        <f>G45-G58</f>
        <v>140259.10124999983</v>
      </c>
      <c r="I60" s="999">
        <f>I45-I58</f>
        <v>154364.48578124994</v>
      </c>
      <c r="K60" s="999">
        <f>K45-K58</f>
        <v>168536.98905628073</v>
      </c>
      <c r="M60" s="999">
        <f>M45-M58</f>
        <v>182768.26149596536</v>
      </c>
      <c r="O60" s="999">
        <f>O45-O58</f>
        <v>197049.39320493088</v>
      </c>
      <c r="Q60" s="999">
        <f>Q45-Q58</f>
        <v>211370.88764853321</v>
      </c>
      <c r="S60" s="999">
        <f>S45-S58</f>
        <v>225722.63424059626</v>
      </c>
      <c r="U60" s="999">
        <f>U45-U58</f>
        <v>240093.87979959167</v>
      </c>
      <c r="W60" s="999">
        <f>W45-W58</f>
        <v>254473.198829361</v>
      </c>
      <c r="Y60" s="999">
        <f>Y45-Y58</f>
        <v>268848.46257881488</v>
      </c>
      <c r="AA60" s="999">
        <f>AA45-AA58</f>
        <v>283206.80683336273</v>
      </c>
      <c r="AC60" s="999">
        <f>AC45-AC58</f>
        <v>297534.59838904417</v>
      </c>
      <c r="AE60" s="999">
        <f>AE45-AE58</f>
        <v>311817.40015850822</v>
      </c>
      <c r="AG60" s="999">
        <f>AG45-AG58</f>
        <v>326039.93485608336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126228.64999999991</v>
      </c>
      <c r="G62" s="999">
        <f>G60*$C$62</f>
        <v>140259.10124999983</v>
      </c>
      <c r="I62" s="999">
        <f>I60*$C$62</f>
        <v>154364.48578124994</v>
      </c>
      <c r="K62" s="999">
        <f>K60*$C$62</f>
        <v>168536.98905628073</v>
      </c>
      <c r="M62" s="999">
        <f>M60*$C$62</f>
        <v>182768.26149596536</v>
      </c>
      <c r="O62" s="999">
        <f>O60*$C$62</f>
        <v>197049.39320493088</v>
      </c>
      <c r="Q62" s="999">
        <f>Q60*$C$62</f>
        <v>211370.88764853321</v>
      </c>
      <c r="S62" s="999">
        <f>S60*$C$62</f>
        <v>225722.63424059626</v>
      </c>
      <c r="U62" s="999">
        <f>U60*$C$62</f>
        <v>240093.87979959167</v>
      </c>
      <c r="W62" s="999">
        <f>W60*$C$62</f>
        <v>254473.198829361</v>
      </c>
      <c r="Y62" s="999">
        <f>Y60*$C$62</f>
        <v>268848.46257881488</v>
      </c>
      <c r="AA62" s="999">
        <f>AA60*$C$62</f>
        <v>283206.80683336273</v>
      </c>
      <c r="AC62" s="999">
        <f>AC60*$C$62</f>
        <v>297534.59838904417</v>
      </c>
      <c r="AE62" s="999">
        <f>AE60*$C$62</f>
        <v>311817.40015850822</v>
      </c>
      <c r="AG62" s="999">
        <f>AG60*$C$62</f>
        <v>326039.93485608336</v>
      </c>
    </row>
    <row r="63" spans="1:35" s="999" customFormat="1">
      <c r="A63" s="2557" t="s">
        <v>1328</v>
      </c>
      <c r="B63" s="2557"/>
      <c r="C63" s="255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2744</v>
      </c>
      <c r="B66" s="1001"/>
      <c r="C66" s="1000">
        <v>9.5000000000000001E-2</v>
      </c>
      <c r="E66" s="1001"/>
      <c r="G66" s="997"/>
      <c r="I66" s="997"/>
      <c r="K66" s="997"/>
      <c r="M66" s="997"/>
      <c r="O66" s="997"/>
      <c r="Q66" s="997"/>
      <c r="S66" s="997"/>
      <c r="U66" s="997"/>
      <c r="W66" s="997"/>
      <c r="Y66" s="997">
        <f>Y60*$C$65</f>
        <v>67212.115644703721</v>
      </c>
      <c r="AA66" s="997">
        <f>AA60*$C$65</f>
        <v>70801.701708340683</v>
      </c>
      <c r="AC66" s="997">
        <f>AC60*$C$65</f>
        <v>74383.649597261043</v>
      </c>
      <c r="AE66" s="997">
        <f>AE60*$C$65</f>
        <v>77954.350039627054</v>
      </c>
      <c r="AG66" s="997">
        <f>AG60*$C$65</f>
        <v>81509.98371402084</v>
      </c>
    </row>
    <row r="67" spans="1:35" s="997" customFormat="1">
      <c r="A67" s="1002" t="s">
        <v>2745</v>
      </c>
      <c r="B67" s="1002"/>
      <c r="C67" s="1007"/>
      <c r="E67" s="1001"/>
      <c r="Y67" s="997">
        <f>Y60*$C$65</f>
        <v>67212.115644703721</v>
      </c>
      <c r="AA67" s="997">
        <f>AA60*$C$65</f>
        <v>70801.701708340683</v>
      </c>
      <c r="AC67" s="997">
        <f>AC60*$C$65</f>
        <v>74383.649597261043</v>
      </c>
      <c r="AE67" s="997">
        <f>AE60*$C$65</f>
        <v>77954.350039627054</v>
      </c>
      <c r="AG67" s="997">
        <f>AG60*$C$65</f>
        <v>81509.98371402084</v>
      </c>
    </row>
    <row r="68" spans="1:35" s="997" customFormat="1">
      <c r="A68" s="1002" t="s">
        <v>2760</v>
      </c>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134424.23128940744</v>
      </c>
      <c r="AA70" s="997">
        <f>SUM(AA66:AA69)</f>
        <v>141603.40341668137</v>
      </c>
      <c r="AC70" s="997">
        <f>SUM(AC66:AC69)</f>
        <v>148767.29919452209</v>
      </c>
      <c r="AE70" s="997">
        <f>SUM(AE66:AE69)</f>
        <v>155908.70007925411</v>
      </c>
      <c r="AG70" s="997">
        <f>SUM(AG66:AG69)</f>
        <v>163019.96742804168</v>
      </c>
    </row>
    <row r="71" spans="1:35" s="997" customFormat="1">
      <c r="A71" s="999"/>
      <c r="C71" s="1007"/>
    </row>
    <row r="72" spans="1:35" s="997" customFormat="1">
      <c r="A72" s="999" t="s">
        <v>1986</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-134424.23128940744</v>
      </c>
      <c r="AA72" s="999">
        <f>AA60-AA62-AA70</f>
        <v>-141603.40341668137</v>
      </c>
      <c r="AC72" s="999">
        <f>AC60-AC62-AC70</f>
        <v>-148767.29919452209</v>
      </c>
      <c r="AE72" s="999">
        <f>AE60-AE62-AE70</f>
        <v>-155908.70007925411</v>
      </c>
      <c r="AG72" s="999">
        <f>AG60-AG62-AG70</f>
        <v>-163019.96742804168</v>
      </c>
    </row>
    <row r="73" spans="1:35" s="997" customFormat="1">
      <c r="A73" s="564"/>
      <c r="C73" s="1007"/>
    </row>
    <row r="74" spans="1:35" s="233" customFormat="1">
      <c r="A74" s="564"/>
      <c r="C74" s="192"/>
    </row>
    <row r="75" spans="1:35" s="233" customFormat="1">
      <c r="A75" s="997" t="s">
        <v>1985</v>
      </c>
      <c r="C75" s="192"/>
    </row>
    <row r="76" spans="1:35" s="233" customFormat="1">
      <c r="C76" s="192"/>
    </row>
    <row r="77" spans="1:35" s="250" customFormat="1" ht="30" customHeight="1">
      <c r="A77" s="2555" t="s">
        <v>1984</v>
      </c>
      <c r="B77" s="2556"/>
      <c r="C77" s="2556"/>
      <c r="D77" s="2556"/>
      <c r="E77" s="2556"/>
      <c r="F77" s="2556"/>
      <c r="G77" s="2556"/>
      <c r="H77" s="2556"/>
      <c r="I77" s="2556"/>
      <c r="J77" s="2556"/>
      <c r="K77" s="2556"/>
      <c r="L77" s="2556"/>
      <c r="M77" s="2556"/>
      <c r="N77" s="2556"/>
      <c r="O77" s="2556"/>
      <c r="P77" s="2556"/>
      <c r="Q77" s="2556"/>
      <c r="R77" s="2556"/>
      <c r="S77" s="2556"/>
      <c r="T77" s="2556"/>
      <c r="U77" s="2556"/>
      <c r="V77" s="2556"/>
      <c r="W77" s="2556"/>
      <c r="X77" s="2556"/>
      <c r="Y77" s="2556"/>
      <c r="Z77" s="2556"/>
      <c r="AA77" s="2556"/>
      <c r="AB77" s="2556"/>
      <c r="AC77" s="2556"/>
      <c r="AD77" s="2556"/>
      <c r="AE77" s="2556"/>
      <c r="AF77" s="2556"/>
      <c r="AG77" s="255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3" scale="6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2100000</v>
      </c>
      <c r="C5" s="286">
        <f>'Sources and Uses Budget'!$C4</f>
        <v>2100000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2100000</v>
      </c>
      <c r="C9" s="290">
        <f>SUM(C5:C8)</f>
        <v>2100000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2100000</v>
      </c>
      <c r="C13" s="290">
        <f>SUM(C9+C12)</f>
        <v>2100000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1823</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37526387.490000002</v>
      </c>
      <c r="C31" s="286">
        <f>'Sources and Uses Budget'!$C30</f>
        <v>37526387.490000002</v>
      </c>
      <c r="D31" s="290">
        <f t="shared" si="0"/>
        <v>0</v>
      </c>
      <c r="E31" s="288"/>
      <c r="F31" s="287"/>
      <c r="G31" s="384"/>
    </row>
    <row r="32" spans="1:7" s="381" customFormat="1">
      <c r="A32" s="145" t="s">
        <v>610</v>
      </c>
      <c r="B32" s="286">
        <f>'Sources and Uses Budget'!$C31</f>
        <v>2251583.25</v>
      </c>
      <c r="C32" s="286">
        <f>'Sources and Uses Budget'!$C31</f>
        <v>2251583.25</v>
      </c>
      <c r="D32" s="290">
        <f t="shared" si="0"/>
        <v>0</v>
      </c>
      <c r="E32" s="288"/>
      <c r="F32" s="287"/>
      <c r="G32" s="384"/>
    </row>
    <row r="33" spans="1:7" s="381" customFormat="1">
      <c r="A33" s="145" t="s">
        <v>138</v>
      </c>
      <c r="B33" s="286">
        <f>'Sources and Uses Budget'!$C32</f>
        <v>750527.75</v>
      </c>
      <c r="C33" s="286">
        <f>'Sources and Uses Budget'!$C32</f>
        <v>750527.75</v>
      </c>
      <c r="D33" s="290">
        <f t="shared" si="0"/>
        <v>0</v>
      </c>
      <c r="E33" s="288"/>
      <c r="F33" s="287"/>
      <c r="G33" s="384"/>
    </row>
    <row r="34" spans="1:7" s="381" customFormat="1">
      <c r="A34" s="145" t="s">
        <v>139</v>
      </c>
      <c r="B34" s="286">
        <f>'Sources and Uses Budget'!$C33</f>
        <v>2251583.25</v>
      </c>
      <c r="C34" s="286">
        <f>'Sources and Uses Budget'!$C33</f>
        <v>2251583.25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375000</v>
      </c>
      <c r="C36" s="286">
        <f>'Sources and Uses Budget'!$C35</f>
        <v>375000</v>
      </c>
      <c r="D36" s="290">
        <f t="shared" si="0"/>
        <v>0</v>
      </c>
      <c r="E36" s="288"/>
      <c r="F36" s="287"/>
      <c r="G36" s="384"/>
    </row>
    <row r="37" spans="1:7" s="381" customFormat="1">
      <c r="A37" s="304" t="s">
        <v>1823</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43155081.740000002</v>
      </c>
      <c r="C39" s="290">
        <f>SUM(C30:C38)</f>
        <v>43155081.740000002</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1000000</v>
      </c>
      <c r="C43" s="290">
        <f>SUM(C41:C42)</f>
        <v>1000000</v>
      </c>
      <c r="D43" s="290">
        <f t="shared" si="0"/>
        <v>0</v>
      </c>
      <c r="E43" s="288"/>
      <c r="F43" s="287"/>
      <c r="G43" s="384"/>
    </row>
    <row r="44" spans="1:7" s="381" customFormat="1">
      <c r="A44" s="291" t="s">
        <v>149</v>
      </c>
      <c r="B44" s="286">
        <f>'Sources and Uses Budget'!$C43</f>
        <v>250000</v>
      </c>
      <c r="C44" s="286">
        <f>'Sources and Uses Budget'!$C43</f>
        <v>250000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4389519</v>
      </c>
      <c r="C46" s="286">
        <f>'Sources and Uses Budget'!$C45</f>
        <v>4389519</v>
      </c>
      <c r="D46" s="290">
        <f t="shared" si="0"/>
        <v>0</v>
      </c>
      <c r="E46" s="288"/>
      <c r="F46" s="287"/>
      <c r="G46" s="384"/>
    </row>
    <row r="47" spans="1:7" s="381" customFormat="1">
      <c r="A47" s="145" t="s">
        <v>152</v>
      </c>
      <c r="B47" s="286">
        <f>'Sources and Uses Budget'!$C46</f>
        <v>483800</v>
      </c>
      <c r="C47" s="286">
        <f>'Sources and Uses Budget'!$C46</f>
        <v>483800</v>
      </c>
      <c r="D47" s="290">
        <f t="shared" si="0"/>
        <v>0</v>
      </c>
      <c r="E47" s="288"/>
      <c r="F47" s="287"/>
      <c r="G47" s="384"/>
    </row>
    <row r="48" spans="1:7" s="381" customFormat="1" ht="12" customHeight="1">
      <c r="A48" s="198" t="s">
        <v>153</v>
      </c>
      <c r="B48" s="286">
        <f>'Sources and Uses Budget'!$C47</f>
        <v>20000</v>
      </c>
      <c r="C48" s="286">
        <f>'Sources and Uses Budget'!$C47</f>
        <v>20000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75000</v>
      </c>
      <c r="C51" s="286">
        <f>'Sources and Uses Budget'!$C50</f>
        <v>75000</v>
      </c>
      <c r="D51" s="290">
        <f t="shared" si="0"/>
        <v>0</v>
      </c>
      <c r="E51" s="288"/>
      <c r="F51" s="287"/>
      <c r="G51" s="384"/>
    </row>
    <row r="52" spans="1:7" s="381" customFormat="1">
      <c r="A52" s="304" t="s">
        <v>155</v>
      </c>
      <c r="B52" s="286">
        <f>'Sources and Uses Budget'!$C51</f>
        <v>100000</v>
      </c>
      <c r="C52" s="286">
        <f>'Sources and Uses Budget'!$C51</f>
        <v>100000</v>
      </c>
      <c r="D52" s="290">
        <f t="shared" si="0"/>
        <v>0</v>
      </c>
      <c r="E52" s="288"/>
      <c r="F52" s="287"/>
      <c r="G52" s="384"/>
    </row>
    <row r="53" spans="1:7" s="381" customFormat="1">
      <c r="A53" s="145" t="s">
        <v>156</v>
      </c>
      <c r="B53" s="286">
        <f>'Sources and Uses Budget'!$C52</f>
        <v>664000</v>
      </c>
      <c r="C53" s="286">
        <f>'Sources and Uses Budget'!$C52</f>
        <v>664000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5732319</v>
      </c>
      <c r="C55" s="293">
        <f>SUM(C46:C54)</f>
        <v>5732319</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10000</v>
      </c>
      <c r="C57" s="286">
        <f>'Sources and Uses Budget'!$C56</f>
        <v>10000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ht="25.5">
      <c r="A62" s="1056" t="str">
        <f>'Sources and Uses Budget'!A61</f>
        <v xml:space="preserve">Bond Issuer Issuance Fees, Bond Counsel, CDLAC Fees </v>
      </c>
      <c r="B62" s="286">
        <f>'Sources and Uses Budget'!$C61</f>
        <v>142000</v>
      </c>
      <c r="C62" s="286">
        <f>'Sources and Uses Budget'!$C61</f>
        <v>142000</v>
      </c>
      <c r="D62" s="290">
        <f t="shared" si="0"/>
        <v>0</v>
      </c>
      <c r="E62" s="288"/>
      <c r="F62" s="287"/>
      <c r="G62" s="384"/>
    </row>
    <row r="63" spans="1:7" s="381" customFormat="1" ht="13.7" customHeight="1">
      <c r="A63" s="291" t="s">
        <v>303</v>
      </c>
      <c r="B63" s="290">
        <f>SUM(B57:B62)</f>
        <v>152000</v>
      </c>
      <c r="C63" s="290">
        <f>SUM(C57:C62)</f>
        <v>152000</v>
      </c>
      <c r="D63" s="290">
        <f t="shared" si="0"/>
        <v>0</v>
      </c>
      <c r="E63" s="288"/>
      <c r="F63" s="287"/>
      <c r="G63" s="384"/>
    </row>
    <row r="64" spans="1:7" s="381" customFormat="1">
      <c r="A64" s="294" t="s">
        <v>304</v>
      </c>
      <c r="B64" s="290">
        <f>SUM(B9+B12+B14+B15+B17+B26+B28+B39+B43+B44+B55+B63)</f>
        <v>52389400.740000002</v>
      </c>
      <c r="C64" s="290">
        <f>SUM(C9+C12+C14+C15+C17+C26+C28+C39+C43+C44+C55+C63)</f>
        <v>52389400.740000002</v>
      </c>
      <c r="D64" s="290">
        <f t="shared" si="0"/>
        <v>0</v>
      </c>
      <c r="E64" s="288"/>
      <c r="F64" s="287"/>
      <c r="G64" s="384"/>
    </row>
    <row r="65" spans="1:7" s="381" customFormat="1" ht="24">
      <c r="A65" s="141" t="s">
        <v>1827</v>
      </c>
      <c r="B65" s="284"/>
      <c r="C65" s="284"/>
      <c r="D65" s="284"/>
      <c r="E65" s="303"/>
      <c r="F65" s="284"/>
      <c r="G65" s="384"/>
    </row>
    <row r="66" spans="1:7" s="381" customFormat="1">
      <c r="A66" s="145" t="s">
        <v>172</v>
      </c>
      <c r="B66" s="286">
        <f>'Sources and Uses Budget'!$C65</f>
        <v>60000</v>
      </c>
      <c r="C66" s="286">
        <f>'Sources and Uses Budget'!$C65</f>
        <v>60000</v>
      </c>
      <c r="D66" s="290">
        <f t="shared" si="0"/>
        <v>0</v>
      </c>
      <c r="E66" s="288"/>
      <c r="F66" s="287"/>
      <c r="G66" s="384"/>
    </row>
    <row r="67" spans="1:7" s="381" customFormat="1" ht="24">
      <c r="A67" s="304" t="s">
        <v>1824</v>
      </c>
      <c r="B67" s="286">
        <f>'Sources and Uses Budget'!$C66</f>
        <v>0</v>
      </c>
      <c r="C67" s="286">
        <f>'Sources and Uses Budget'!$C66</f>
        <v>0</v>
      </c>
      <c r="D67" s="290"/>
      <c r="E67" s="288"/>
      <c r="F67" s="287"/>
      <c r="G67" s="384"/>
    </row>
    <row r="68" spans="1:7" s="381" customFormat="1" ht="24">
      <c r="A68" s="304" t="s">
        <v>1825</v>
      </c>
      <c r="B68" s="286">
        <f>'Sources and Uses Budget'!$C67</f>
        <v>0</v>
      </c>
      <c r="C68" s="286">
        <f>'Sources and Uses Budget'!$C67</f>
        <v>0</v>
      </c>
      <c r="D68" s="290"/>
      <c r="E68" s="288"/>
      <c r="F68" s="287"/>
      <c r="G68" s="384"/>
    </row>
    <row r="69" spans="1:7" s="381" customFormat="1">
      <c r="A69" s="304" t="s">
        <v>1831</v>
      </c>
      <c r="B69" s="286">
        <f>'Sources and Uses Budget'!$C68</f>
        <v>0</v>
      </c>
      <c r="C69" s="286">
        <f>'Sources and Uses Budget'!$C68</f>
        <v>0</v>
      </c>
      <c r="D69" s="290"/>
      <c r="E69" s="288"/>
      <c r="F69" s="287"/>
      <c r="G69" s="384"/>
    </row>
    <row r="70" spans="1:7" s="381" customFormat="1">
      <c r="A70" s="155" t="str">
        <f>'Sources and Uses Budget'!A69</f>
        <v>Other: Borrower Attny</v>
      </c>
      <c r="B70" s="286">
        <f>'Sources and Uses Budget'!$C69</f>
        <v>135000</v>
      </c>
      <c r="C70" s="286">
        <f>'Sources and Uses Budget'!$C69</f>
        <v>135000</v>
      </c>
      <c r="D70" s="290">
        <f t="shared" si="0"/>
        <v>0</v>
      </c>
      <c r="E70" s="288"/>
      <c r="F70" s="287"/>
      <c r="G70" s="384"/>
    </row>
    <row r="71" spans="1:7" s="381" customFormat="1">
      <c r="A71" s="149" t="s">
        <v>1828</v>
      </c>
      <c r="B71" s="290">
        <f>SUM(B66:B70)</f>
        <v>195000</v>
      </c>
      <c r="C71" s="290">
        <f>SUM(C66:C70)</f>
        <v>195000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379440.31</v>
      </c>
      <c r="C76" s="286">
        <f>'Sources and Uses Budget'!$C75</f>
        <v>379440.31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379440.31</v>
      </c>
      <c r="C78" s="290">
        <f>SUM(C73:C77)</f>
        <v>379440.31</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1876319.37</v>
      </c>
      <c r="C80" s="286">
        <f>'Sources and Uses Budget'!$C79</f>
        <v>1876319.37</v>
      </c>
      <c r="D80" s="290">
        <f t="shared" si="1"/>
        <v>0</v>
      </c>
      <c r="E80" s="288"/>
      <c r="F80" s="287"/>
      <c r="G80" s="384"/>
    </row>
    <row r="81" spans="1:7" s="381" customFormat="1">
      <c r="A81" s="545" t="s">
        <v>58</v>
      </c>
      <c r="B81" s="286">
        <f>'Sources and Uses Budget'!$C80</f>
        <v>200000</v>
      </c>
      <c r="C81" s="286">
        <f>'Sources and Uses Budget'!$C80</f>
        <v>200000</v>
      </c>
      <c r="D81" s="290">
        <f>C81-B81</f>
        <v>0</v>
      </c>
      <c r="E81" s="288"/>
      <c r="F81" s="287"/>
      <c r="G81" s="384"/>
    </row>
    <row r="82" spans="1:7" s="381" customFormat="1">
      <c r="A82" s="291" t="s">
        <v>1353</v>
      </c>
      <c r="B82" s="290">
        <f>SUM(B80:B81)</f>
        <v>2076319.37</v>
      </c>
      <c r="C82" s="290">
        <f>SUM(C80:C81)</f>
        <v>2076319.37</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90353.66</v>
      </c>
      <c r="C84" s="286">
        <f>'Sources and Uses Budget'!$C83</f>
        <v>90353.66</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5479534.0300000003</v>
      </c>
      <c r="C86" s="286">
        <f>'Sources and Uses Budget'!$C85</f>
        <v>5479534.0300000003</v>
      </c>
      <c r="D86" s="290">
        <f t="shared" si="1"/>
        <v>0</v>
      </c>
      <c r="E86" s="288"/>
      <c r="F86" s="287"/>
      <c r="G86" s="384"/>
    </row>
    <row r="87" spans="1:7" s="381" customFormat="1">
      <c r="A87" s="289" t="s">
        <v>794</v>
      </c>
      <c r="B87" s="286">
        <f>'Sources and Uses Budget'!$C86</f>
        <v>327321.52</v>
      </c>
      <c r="C87" s="286">
        <f>'Sources and Uses Budget'!$C86</f>
        <v>327321.52</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70000</v>
      </c>
      <c r="C89" s="286">
        <f>'Sources and Uses Budget'!$C88</f>
        <v>70000</v>
      </c>
      <c r="D89" s="290">
        <f t="shared" si="1"/>
        <v>0</v>
      </c>
      <c r="E89" s="288"/>
      <c r="F89" s="287"/>
      <c r="G89" s="384"/>
    </row>
    <row r="90" spans="1:7" s="381" customFormat="1">
      <c r="A90" s="289" t="s">
        <v>797</v>
      </c>
      <c r="B90" s="286">
        <f>'Sources and Uses Budget'!$C89</f>
        <v>175000</v>
      </c>
      <c r="C90" s="286">
        <f>'Sources and Uses Budget'!$C89</f>
        <v>175000</v>
      </c>
      <c r="D90" s="290">
        <f t="shared" si="1"/>
        <v>0</v>
      </c>
      <c r="E90" s="288"/>
      <c r="F90" s="287"/>
      <c r="G90" s="384"/>
    </row>
    <row r="91" spans="1:7" s="381" customFormat="1">
      <c r="A91" s="289" t="s">
        <v>798</v>
      </c>
      <c r="B91" s="286">
        <f>'Sources and Uses Budget'!$C90</f>
        <v>10000</v>
      </c>
      <c r="C91" s="286">
        <f>'Sources and Uses Budget'!$C90</f>
        <v>10000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25000</v>
      </c>
      <c r="C93" s="286">
        <f>'Sources and Uses Budget'!$C92</f>
        <v>25000</v>
      </c>
      <c r="D93" s="290">
        <f t="shared" si="1"/>
        <v>0</v>
      </c>
      <c r="E93" s="288"/>
      <c r="F93" s="287"/>
      <c r="G93" s="384"/>
    </row>
    <row r="94" spans="1:7" s="381" customFormat="1">
      <c r="A94" s="292" t="s">
        <v>34</v>
      </c>
      <c r="B94" s="286">
        <f>'Sources and Uses Budget'!$C93</f>
        <v>30000</v>
      </c>
      <c r="C94" s="286">
        <f>'Sources and Uses Budget'!$C93</f>
        <v>30000</v>
      </c>
      <c r="D94" s="290">
        <f t="shared" si="1"/>
        <v>0</v>
      </c>
      <c r="E94" s="288"/>
      <c r="F94" s="287"/>
      <c r="G94" s="384"/>
    </row>
    <row r="95" spans="1:7" s="381" customFormat="1">
      <c r="A95" s="292" t="s">
        <v>34</v>
      </c>
      <c r="B95" s="286">
        <f>'Sources and Uses Budget'!$C94</f>
        <v>40000</v>
      </c>
      <c r="C95" s="286">
        <f>'Sources and Uses Budget'!$C94</f>
        <v>40000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6247209.2100000009</v>
      </c>
      <c r="C97" s="290">
        <f>SUM(C84:C96)</f>
        <v>6247209.2100000009</v>
      </c>
      <c r="D97" s="290">
        <f t="shared" si="1"/>
        <v>0</v>
      </c>
      <c r="E97" s="288"/>
      <c r="F97" s="287"/>
      <c r="G97" s="384"/>
    </row>
    <row r="98" spans="1:7" s="381" customFormat="1">
      <c r="A98" s="291" t="s">
        <v>800</v>
      </c>
      <c r="B98" s="290">
        <f>SUM(B64+B71+B78+B82+B97)</f>
        <v>61287369.630000003</v>
      </c>
      <c r="C98" s="290">
        <f>SUM(C64+C71+C78+C82+C97)</f>
        <v>61287369.630000003</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5000000</v>
      </c>
      <c r="C100" s="286">
        <f>'Sources and Uses Budget'!$C99</f>
        <v>5000000</v>
      </c>
      <c r="D100" s="290">
        <f t="shared" si="1"/>
        <v>0</v>
      </c>
      <c r="E100" s="288"/>
      <c r="F100" s="287"/>
      <c r="G100" s="384"/>
    </row>
    <row r="101" spans="1:7" s="381" customFormat="1">
      <c r="A101" s="304" t="s">
        <v>1829</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1830</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5000000</v>
      </c>
      <c r="C105" s="290">
        <f>SUM(C100:C104)</f>
        <v>5000000</v>
      </c>
      <c r="D105" s="290">
        <f t="shared" si="1"/>
        <v>0</v>
      </c>
      <c r="E105" s="288"/>
      <c r="F105" s="287"/>
      <c r="G105" s="384"/>
    </row>
    <row r="106" spans="1:7" s="381" customFormat="1">
      <c r="A106" s="291" t="s">
        <v>805</v>
      </c>
      <c r="B106" s="293">
        <f>SUM(B98+B105)</f>
        <v>66287369.630000003</v>
      </c>
      <c r="C106" s="293">
        <f>SUM(C98+C105)</f>
        <v>66287369.630000003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1106</v>
      </c>
      <c r="B2" s="1301"/>
      <c r="C2" s="1265"/>
      <c r="D2" s="1265"/>
      <c r="E2" s="1265"/>
      <c r="F2" s="1265"/>
      <c r="G2" s="1265"/>
    </row>
    <row r="3" spans="1:9" s="173" customFormat="1">
      <c r="A3" s="1301" t="s">
        <v>1043</v>
      </c>
      <c r="B3" s="1301"/>
      <c r="C3" s="1265"/>
      <c r="D3" s="1265"/>
      <c r="E3" s="1265"/>
      <c r="F3" s="1265"/>
      <c r="G3" s="1265"/>
      <c r="I3" t="s">
        <v>309</v>
      </c>
    </row>
    <row r="4" spans="1:9">
      <c r="I4" s="3" t="s">
        <v>1107</v>
      </c>
    </row>
    <row r="5" spans="1:9">
      <c r="A5" s="1303" t="s">
        <v>1044</v>
      </c>
      <c r="B5" s="1303"/>
      <c r="C5" s="1265"/>
      <c r="D5" s="1265"/>
      <c r="E5" s="1265"/>
      <c r="F5" s="1265"/>
      <c r="G5" s="1265"/>
      <c r="I5" s="3" t="s">
        <v>1108</v>
      </c>
    </row>
    <row r="6" spans="1:9">
      <c r="A6" s="1303" t="s">
        <v>846</v>
      </c>
      <c r="B6" s="1303"/>
      <c r="C6" s="1265"/>
      <c r="D6" s="1265"/>
      <c r="E6" s="1265"/>
      <c r="F6" s="1265"/>
      <c r="G6" s="1265"/>
      <c r="I6" t="s">
        <v>601</v>
      </c>
    </row>
    <row r="7" spans="1:9" ht="11.85" customHeight="1"/>
    <row r="8" spans="1:9">
      <c r="A8" s="1301" t="s">
        <v>1203</v>
      </c>
      <c r="B8" s="1301"/>
      <c r="C8" s="1302"/>
      <c r="D8" s="1302"/>
      <c r="E8" s="1302"/>
      <c r="F8" s="1302"/>
      <c r="G8" s="1302"/>
    </row>
    <row r="9" spans="1:9">
      <c r="A9" s="1301" t="s">
        <v>1204</v>
      </c>
      <c r="B9" s="1301"/>
      <c r="C9" s="1302"/>
      <c r="D9" s="1302"/>
      <c r="E9" s="1302"/>
      <c r="F9" s="1302"/>
      <c r="G9" s="1302"/>
    </row>
    <row r="10" spans="1:9">
      <c r="A10" s="174"/>
      <c r="B10" s="174"/>
      <c r="C10" s="172"/>
      <c r="D10" s="172"/>
      <c r="E10" s="172"/>
      <c r="F10" s="172"/>
    </row>
    <row r="11" spans="1:9">
      <c r="A11" s="1284" t="s">
        <v>1206</v>
      </c>
      <c r="B11" s="1284"/>
      <c r="C11" s="1284"/>
      <c r="D11" s="1284"/>
      <c r="E11" s="1284"/>
      <c r="F11" s="1284"/>
      <c r="G11" s="1284"/>
    </row>
    <row r="12" spans="1:9">
      <c r="A12" s="172"/>
      <c r="B12" s="172"/>
      <c r="E12" s="2"/>
    </row>
    <row r="13" spans="1:9" ht="13.15" customHeight="1">
      <c r="C13" s="172"/>
      <c r="D13" s="1286" t="s">
        <v>1205</v>
      </c>
      <c r="E13" s="1286"/>
      <c r="F13" s="1286"/>
    </row>
    <row r="14" spans="1:9">
      <c r="C14" s="172"/>
      <c r="D14" s="1286"/>
      <c r="E14" s="1286"/>
      <c r="F14" s="1286"/>
    </row>
    <row r="15" spans="1:9">
      <c r="A15" s="175"/>
      <c r="B15" s="175"/>
      <c r="C15" s="175"/>
      <c r="D15" s="1283" t="s">
        <v>1188</v>
      </c>
      <c r="E15" s="1283"/>
      <c r="F15" s="1283"/>
    </row>
    <row r="16" spans="1:9">
      <c r="A16" s="175"/>
      <c r="B16" s="175"/>
      <c r="C16" s="175"/>
      <c r="D16" s="218"/>
    </row>
    <row r="17" spans="1:6" ht="14.25">
      <c r="A17" s="176"/>
      <c r="B17" s="469" t="s">
        <v>309</v>
      </c>
      <c r="C17" s="175"/>
      <c r="D17" s="1263" t="s">
        <v>1189</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309</v>
      </c>
      <c r="D21" s="1287" t="s">
        <v>1190</v>
      </c>
      <c r="E21" s="1287"/>
      <c r="F21" s="1287"/>
    </row>
    <row r="22" spans="1:6" ht="14.25">
      <c r="A22" s="176"/>
      <c r="B22" s="176"/>
      <c r="D22" s="35"/>
    </row>
    <row r="23" spans="1:6" ht="14.25">
      <c r="A23" s="176"/>
      <c r="B23" s="469" t="s">
        <v>309</v>
      </c>
      <c r="D23" s="1263" t="s">
        <v>1191</v>
      </c>
      <c r="E23" s="1263"/>
      <c r="F23" s="1263"/>
    </row>
    <row r="24" spans="1:6" ht="14.25">
      <c r="A24" s="176"/>
      <c r="B24" s="176"/>
      <c r="D24" s="1263"/>
      <c r="E24" s="1263"/>
      <c r="F24" s="1263"/>
    </row>
    <row r="25" spans="1:6"/>
    <row r="26" spans="1:6" ht="14.25">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ht="14.25">
      <c r="A34" s="176"/>
      <c r="B34" s="176"/>
      <c r="D34" s="220"/>
    </row>
    <row r="35" spans="1:6" ht="14.45" customHeight="1">
      <c r="A35" s="176"/>
      <c r="B35" s="469" t="s">
        <v>309</v>
      </c>
      <c r="D35" s="1263" t="s">
        <v>1194</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309</v>
      </c>
      <c r="D39" s="1263" t="s">
        <v>1195</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309</v>
      </c>
      <c r="D45" s="1263" t="s">
        <v>1196</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309</v>
      </c>
      <c r="D50" s="1263" t="s">
        <v>1197</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309</v>
      </c>
      <c r="C54" s="386"/>
      <c r="D54" s="1263" t="s">
        <v>1198</v>
      </c>
      <c r="E54" s="1263"/>
      <c r="F54" s="1263"/>
      <c r="G54" s="3"/>
    </row>
    <row r="55" spans="1:7" ht="14.25">
      <c r="A55" s="176"/>
      <c r="B55" s="176"/>
      <c r="C55" s="386"/>
      <c r="D55" s="1263"/>
      <c r="E55" s="1263"/>
      <c r="F55" s="1263"/>
      <c r="G55" s="3"/>
    </row>
    <row r="56" spans="1:7">
      <c r="D56" s="220"/>
    </row>
    <row r="57" spans="1:7" ht="14.25">
      <c r="A57" s="176"/>
      <c r="B57" s="469" t="s">
        <v>309</v>
      </c>
      <c r="D57" s="1263" t="s">
        <v>1199</v>
      </c>
      <c r="E57" s="1263"/>
      <c r="F57" s="1263"/>
    </row>
    <row r="58" spans="1:7">
      <c r="D58" s="1263"/>
      <c r="E58" s="1263"/>
      <c r="F58" s="1263"/>
    </row>
    <row r="59" spans="1:7">
      <c r="D59" s="1263"/>
      <c r="E59" s="1263"/>
      <c r="F59" s="1263"/>
    </row>
    <row r="60" spans="1:7">
      <c r="D60" s="3"/>
    </row>
    <row r="61" spans="1:7" ht="14.25">
      <c r="A61" s="176"/>
      <c r="B61" s="469" t="s">
        <v>309</v>
      </c>
      <c r="D61" s="1263" t="s">
        <v>1200</v>
      </c>
      <c r="E61" s="1263"/>
      <c r="F61" s="1263"/>
    </row>
    <row r="62" spans="1:7">
      <c r="D62" s="1263"/>
      <c r="E62" s="1263"/>
      <c r="F62" s="1263"/>
    </row>
    <row r="63" spans="1:7"/>
    <row r="64" spans="1:7" ht="14.25">
      <c r="A64" s="176"/>
      <c r="B64" s="469" t="s">
        <v>309</v>
      </c>
      <c r="D64" s="1263" t="s">
        <v>1201</v>
      </c>
      <c r="E64" s="1263"/>
      <c r="F64" s="1263"/>
    </row>
    <row r="65" spans="1:7">
      <c r="D65" s="1263"/>
      <c r="E65" s="1263"/>
      <c r="F65" s="1263"/>
    </row>
    <row r="66" spans="1:7">
      <c r="D66" s="1263"/>
      <c r="E66" s="1263"/>
      <c r="F66" s="1263"/>
    </row>
    <row r="67" spans="1:7">
      <c r="D67"/>
    </row>
    <row r="68" spans="1:7" ht="14.25">
      <c r="A68" s="176"/>
      <c r="B68" s="469" t="s">
        <v>309</v>
      </c>
      <c r="D68" s="1263" t="s">
        <v>1202</v>
      </c>
      <c r="E68" s="1263"/>
      <c r="F68" s="1263"/>
    </row>
    <row r="69" spans="1:7">
      <c r="D69" s="1263"/>
      <c r="E69" s="1263"/>
      <c r="F69" s="1263"/>
    </row>
    <row r="70" spans="1:7" ht="14.25">
      <c r="A70" s="176"/>
      <c r="B70" s="176"/>
      <c r="D70" s="35"/>
    </row>
    <row r="71" spans="1:7">
      <c r="A71" s="1284" t="s">
        <v>1109</v>
      </c>
      <c r="B71" s="1284"/>
      <c r="C71" s="1284"/>
      <c r="D71" s="1284"/>
      <c r="E71" s="1284"/>
      <c r="F71" s="1284"/>
      <c r="G71" s="1284"/>
    </row>
    <row r="72" spans="1:7"/>
    <row r="73" spans="1:7">
      <c r="C73" s="177"/>
      <c r="D73" s="1295" t="s">
        <v>1207</v>
      </c>
      <c r="E73" s="1295"/>
      <c r="F73" s="1295"/>
    </row>
    <row r="74" spans="1:7">
      <c r="A74" s="35"/>
      <c r="B74" s="35"/>
      <c r="D74" s="1263" t="s">
        <v>1234</v>
      </c>
      <c r="E74" s="1263"/>
      <c r="F74" s="1263"/>
    </row>
    <row r="75" spans="1:7">
      <c r="A75" s="35"/>
      <c r="B75" s="35"/>
    </row>
    <row r="76" spans="1:7" ht="14.25">
      <c r="A76" s="176"/>
      <c r="B76" s="469" t="s">
        <v>309</v>
      </c>
      <c r="D76" s="1263" t="s">
        <v>1208</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309</v>
      </c>
      <c r="D83" s="1266" t="s">
        <v>1307</v>
      </c>
      <c r="E83" s="1266"/>
      <c r="F83" s="1266"/>
    </row>
    <row r="84" spans="1:6" ht="14.25">
      <c r="A84" s="176"/>
      <c r="B84" s="176"/>
      <c r="D84" s="1266"/>
      <c r="E84" s="1266"/>
      <c r="F84" s="1266"/>
    </row>
    <row r="85" spans="1:6" ht="14.25">
      <c r="A85" s="176"/>
      <c r="B85" s="176"/>
      <c r="D85" s="1266"/>
      <c r="E85" s="1266"/>
      <c r="F85" s="1266"/>
    </row>
    <row r="86" spans="1:6" ht="14.25">
      <c r="A86" s="176"/>
      <c r="B86" s="176"/>
      <c r="D86" s="1266"/>
      <c r="E86" s="1266"/>
      <c r="F86" s="1266"/>
    </row>
    <row r="87" spans="1:6" ht="14.25">
      <c r="A87" s="176"/>
      <c r="B87" s="176"/>
      <c r="D87" s="1266"/>
      <c r="E87" s="1266"/>
      <c r="F87" s="1266"/>
    </row>
    <row r="88" spans="1:6" ht="14.25">
      <c r="A88" s="176"/>
      <c r="B88" s="176"/>
      <c r="D88" s="1266"/>
      <c r="E88" s="1266"/>
      <c r="F88" s="1266"/>
    </row>
    <row r="89" spans="1:6" ht="14.25">
      <c r="A89" s="176"/>
      <c r="B89" s="176"/>
      <c r="D89" s="1266"/>
      <c r="E89" s="1266"/>
      <c r="F89" s="1266"/>
    </row>
    <row r="90" spans="1:6" ht="14.25">
      <c r="A90" s="176"/>
      <c r="B90" s="176"/>
      <c r="D90" s="1266"/>
      <c r="E90" s="1266"/>
      <c r="F90" s="1266"/>
    </row>
    <row r="91" spans="1:6" ht="14.25">
      <c r="A91" s="176"/>
      <c r="B91" s="176"/>
      <c r="D91" s="1266"/>
      <c r="E91" s="1266"/>
      <c r="F91" s="1266"/>
    </row>
    <row r="92" spans="1:6" ht="14.25">
      <c r="A92" s="176"/>
      <c r="B92" s="176"/>
      <c r="D92" s="1266"/>
      <c r="E92" s="1266"/>
      <c r="F92" s="1266"/>
    </row>
    <row r="93" spans="1:6" ht="14.25">
      <c r="A93" s="176"/>
      <c r="B93" s="176"/>
      <c r="D93" s="1266"/>
      <c r="E93" s="1266"/>
      <c r="F93" s="1266"/>
    </row>
    <row r="94" spans="1:6" ht="14.25">
      <c r="A94" s="176"/>
      <c r="B94" s="176"/>
      <c r="D94" s="1266"/>
      <c r="E94" s="1266"/>
      <c r="F94" s="1266"/>
    </row>
    <row r="95" spans="1:6" ht="14.25">
      <c r="A95" s="176"/>
      <c r="B95" s="176"/>
      <c r="D95" s="1266"/>
      <c r="E95" s="1266"/>
      <c r="F95" s="1266"/>
    </row>
    <row r="96" spans="1:6" ht="14.25">
      <c r="A96" s="176"/>
      <c r="B96" s="176"/>
      <c r="D96" s="1266"/>
      <c r="E96" s="1266"/>
      <c r="F96" s="1266"/>
    </row>
    <row r="97" spans="1:11" ht="14.25">
      <c r="A97" s="176"/>
      <c r="B97" s="469" t="s">
        <v>309</v>
      </c>
      <c r="D97" s="1263" t="s">
        <v>1209</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309</v>
      </c>
      <c r="C106" s="179"/>
      <c r="D106" s="1304" t="s">
        <v>1210</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9" t="s">
        <v>309</v>
      </c>
      <c r="C114"/>
      <c r="D114" s="1305" t="s">
        <v>1211</v>
      </c>
      <c r="E114" s="1305"/>
      <c r="F114" s="1305"/>
      <c r="G114"/>
    </row>
    <row r="115" spans="1:7" ht="14.25">
      <c r="A115" s="176"/>
      <c r="B115" s="176"/>
      <c r="C115"/>
      <c r="D115" s="1305"/>
      <c r="E115" s="1305"/>
      <c r="F115" s="1305"/>
      <c r="G115"/>
    </row>
    <row r="116" spans="1:7"/>
    <row r="117" spans="1:7" ht="14.25">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309</v>
      </c>
      <c r="D123" s="1263" t="s">
        <v>1213</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309</v>
      </c>
      <c r="D136" s="1263" t="s">
        <v>1321</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309</v>
      </c>
      <c r="C156" s="218"/>
      <c r="D156" s="1266" t="s">
        <v>1214</v>
      </c>
      <c r="E156" s="1266"/>
      <c r="F156" s="1266"/>
      <c r="G156" s="218"/>
    </row>
    <row r="157" spans="1:7" ht="13.7" customHeight="1">
      <c r="A157" s="256"/>
      <c r="B157" s="256"/>
      <c r="C157" s="218"/>
      <c r="D157" s="1266"/>
      <c r="E157" s="1266"/>
      <c r="F157" s="1266"/>
      <c r="G157" s="218"/>
    </row>
    <row r="158" spans="1:7" ht="13.7" customHeight="1">
      <c r="A158" s="256"/>
      <c r="B158" s="256"/>
      <c r="C158" s="218"/>
      <c r="D158" s="218"/>
      <c r="E158" s="218"/>
      <c r="F158" s="218"/>
      <c r="G158" s="218"/>
    </row>
    <row r="159" spans="1:7" ht="13.7" customHeight="1">
      <c r="A159" s="256"/>
      <c r="B159" s="469" t="s">
        <v>309</v>
      </c>
      <c r="C159" s="218"/>
      <c r="D159" s="1266" t="s">
        <v>1215</v>
      </c>
      <c r="E159" s="1266"/>
      <c r="F159" s="1266"/>
      <c r="G159" s="218"/>
    </row>
    <row r="160" spans="1:7" ht="13.7" customHeight="1">
      <c r="A160" s="256"/>
      <c r="B160" s="256"/>
      <c r="C160" s="218"/>
      <c r="D160" s="1266"/>
      <c r="E160" s="1266"/>
      <c r="F160" s="1266"/>
      <c r="G160" s="218"/>
    </row>
    <row r="161" spans="1:7" ht="13.7" customHeight="1">
      <c r="A161" s="256"/>
      <c r="B161" s="256"/>
      <c r="C161" s="218"/>
      <c r="D161" s="1266"/>
      <c r="E161" s="1266"/>
      <c r="F161" s="1266"/>
      <c r="G161" s="218"/>
    </row>
    <row r="162" spans="1:7" ht="13.7" customHeight="1">
      <c r="A162" s="256"/>
      <c r="B162" s="256"/>
      <c r="C162" s="218"/>
      <c r="D162" s="1266"/>
      <c r="E162" s="1266"/>
      <c r="F162" s="1266"/>
      <c r="G162" s="218"/>
    </row>
    <row r="163" spans="1:7" ht="13.7" customHeight="1">
      <c r="D163" s="35"/>
      <c r="E163" s="35"/>
      <c r="F163" s="35"/>
    </row>
    <row r="164" spans="1:7" ht="13.7" customHeight="1">
      <c r="B164" s="469" t="s">
        <v>309</v>
      </c>
      <c r="D164" s="1300" t="s">
        <v>1216</v>
      </c>
      <c r="E164" s="1300"/>
      <c r="F164" s="1300"/>
    </row>
    <row r="165" spans="1:7" ht="13.7" customHeight="1">
      <c r="D165" s="1300"/>
      <c r="E165" s="1300"/>
      <c r="F165" s="1300"/>
    </row>
    <row r="166" spans="1:7" ht="13.7" customHeight="1">
      <c r="D166" s="1300"/>
      <c r="E166" s="1300"/>
      <c r="F166" s="1300"/>
    </row>
    <row r="167" spans="1:7" ht="13.7" customHeight="1">
      <c r="A167" s="13"/>
      <c r="B167" s="13"/>
      <c r="E167" s="35"/>
      <c r="F167" s="35"/>
    </row>
    <row r="168" spans="1:7">
      <c r="A168" s="1284" t="s">
        <v>1110</v>
      </c>
      <c r="B168" s="1284"/>
      <c r="C168" s="1284"/>
      <c r="D168" s="1284"/>
      <c r="E168" s="1284"/>
      <c r="F168" s="1284"/>
      <c r="G168" s="1284"/>
    </row>
    <row r="169" spans="1:7" ht="12" customHeight="1">
      <c r="D169" s="35"/>
      <c r="E169" s="35"/>
      <c r="F169" s="35"/>
    </row>
    <row r="170" spans="1:7">
      <c r="B170" s="1281" t="s">
        <v>450</v>
      </c>
      <c r="C170" s="1281"/>
      <c r="D170" s="1281"/>
      <c r="E170" s="1281"/>
      <c r="F170" s="1281"/>
    </row>
    <row r="171" spans="1:7" ht="12" customHeight="1">
      <c r="A171" s="172"/>
      <c r="B171" s="172"/>
      <c r="C171" s="172"/>
    </row>
    <row r="172" spans="1:7">
      <c r="A172" s="1284" t="s">
        <v>1111</v>
      </c>
      <c r="B172" s="1284"/>
      <c r="C172" s="1284"/>
      <c r="D172" s="1284"/>
      <c r="E172" s="1284"/>
      <c r="F172" s="1284"/>
      <c r="G172" s="1284"/>
    </row>
    <row r="173" spans="1:7" ht="12" customHeight="1">
      <c r="A173" s="2"/>
      <c r="B173" s="2"/>
      <c r="E173" s="2"/>
    </row>
    <row r="174" spans="1:7" ht="13.15" customHeight="1">
      <c r="A174" s="2"/>
      <c r="B174" s="2"/>
      <c r="D174" s="1306" t="s">
        <v>1219</v>
      </c>
      <c r="E174" s="1306"/>
      <c r="F174" s="1306"/>
    </row>
    <row r="175" spans="1:7">
      <c r="A175" s="2"/>
      <c r="B175" s="2"/>
      <c r="D175" s="1306"/>
      <c r="E175" s="1306"/>
      <c r="F175" s="1306"/>
    </row>
    <row r="176" spans="1:7">
      <c r="A176" s="2"/>
      <c r="B176" s="2"/>
      <c r="D176" s="1293" t="s">
        <v>1220</v>
      </c>
      <c r="E176" s="1293"/>
      <c r="F176" s="1293"/>
    </row>
    <row r="177" spans="1:7" ht="12" customHeight="1">
      <c r="A177" s="2"/>
      <c r="B177" s="2"/>
      <c r="E177" s="2"/>
    </row>
    <row r="178" spans="1:7" ht="14.25">
      <c r="A178" s="176"/>
      <c r="B178" s="469" t="s">
        <v>309</v>
      </c>
      <c r="D178" s="1278" t="s">
        <v>1218</v>
      </c>
      <c r="E178" s="1278"/>
      <c r="F178" s="1278"/>
    </row>
    <row r="179" spans="1:7" ht="14.25">
      <c r="A179" s="176"/>
      <c r="B179" s="176"/>
      <c r="D179" s="1278"/>
      <c r="E179" s="1278"/>
      <c r="F179" s="1278"/>
    </row>
    <row r="180" spans="1:7" ht="14.25">
      <c r="A180" s="176"/>
      <c r="B180" s="176"/>
      <c r="D180" s="1278"/>
      <c r="E180" s="1278"/>
      <c r="F180" s="1278"/>
    </row>
    <row r="181" spans="1:7">
      <c r="D181" s="1278"/>
      <c r="E181" s="1278"/>
      <c r="F181" s="1278"/>
    </row>
    <row r="182" spans="1:7">
      <c r="D182" s="220"/>
    </row>
    <row r="183" spans="1:7">
      <c r="D183" s="1299" t="s">
        <v>1127</v>
      </c>
      <c r="E183" s="1299"/>
      <c r="F183" s="1299"/>
    </row>
    <row r="184" spans="1:7">
      <c r="D184" s="1299"/>
      <c r="E184" s="1299"/>
      <c r="F184" s="1299"/>
    </row>
    <row r="185" spans="1:7">
      <c r="D185" s="476"/>
      <c r="E185" s="476"/>
      <c r="F185" s="476"/>
    </row>
    <row r="186" spans="1:7" ht="14.25">
      <c r="A186" s="176"/>
      <c r="B186" s="469" t="s">
        <v>309</v>
      </c>
      <c r="C186" s="386"/>
      <c r="D186" s="1263" t="s">
        <v>1217</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84" t="s">
        <v>1112</v>
      </c>
      <c r="B191" s="1284"/>
      <c r="C191" s="1284"/>
      <c r="D191" s="1284"/>
      <c r="E191" s="1284"/>
      <c r="F191" s="1284"/>
      <c r="G191" s="1284"/>
    </row>
    <row r="192" spans="1:7" ht="12" customHeight="1">
      <c r="D192" s="35"/>
      <c r="E192" s="35"/>
      <c r="F192" s="35"/>
    </row>
    <row r="193" spans="1:6">
      <c r="C193" s="177"/>
      <c r="D193" s="1282" t="s">
        <v>210</v>
      </c>
      <c r="E193" s="1282"/>
      <c r="F193" s="1282"/>
    </row>
    <row r="194" spans="1:6">
      <c r="A194" s="172"/>
      <c r="B194" s="172"/>
      <c r="C194" s="172"/>
      <c r="D194" s="1283" t="s">
        <v>1241</v>
      </c>
      <c r="E194" s="1289"/>
      <c r="F194" s="1289"/>
    </row>
    <row r="195" spans="1:6" ht="12" customHeight="1">
      <c r="A195" s="13"/>
      <c r="B195" s="13"/>
      <c r="C195" s="13"/>
    </row>
    <row r="196" spans="1:6" ht="13.15" customHeight="1">
      <c r="A196" s="13"/>
      <c r="C196" s="13"/>
      <c r="D196" s="1282" t="s">
        <v>556</v>
      </c>
      <c r="E196" s="1282"/>
      <c r="F196" s="1282"/>
    </row>
    <row r="197" spans="1:6" ht="14.25">
      <c r="A197" s="176"/>
      <c r="B197" s="469" t="s">
        <v>309</v>
      </c>
      <c r="D197" s="1263" t="s">
        <v>1235</v>
      </c>
      <c r="E197" s="1263"/>
      <c r="F197" s="1263"/>
    </row>
    <row r="198" spans="1:6" ht="14.25">
      <c r="A198" s="176"/>
      <c r="B198" s="176"/>
      <c r="D198" s="1263"/>
      <c r="E198" s="1263"/>
      <c r="F198" s="1263"/>
    </row>
    <row r="199" spans="1:6"/>
    <row r="200" spans="1:6" ht="14.25">
      <c r="A200" s="176"/>
      <c r="B200" s="469" t="s">
        <v>309</v>
      </c>
      <c r="D200" s="1263" t="s">
        <v>1236</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1237</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309</v>
      </c>
      <c r="D210" s="1263" t="s">
        <v>1238</v>
      </c>
      <c r="E210" s="1263"/>
      <c r="F210" s="1263"/>
    </row>
    <row r="211" spans="1:7" ht="14.25">
      <c r="A211" s="176"/>
      <c r="B211" s="176"/>
      <c r="D211" s="1263"/>
      <c r="E211" s="1263"/>
      <c r="F211" s="1263"/>
    </row>
    <row r="212" spans="1:7" ht="14.25">
      <c r="A212" s="176"/>
      <c r="B212" s="176"/>
      <c r="D212" s="1281" t="s">
        <v>928</v>
      </c>
      <c r="E212" s="1281"/>
      <c r="F212" s="1281"/>
    </row>
    <row r="213" spans="1:7" ht="14.25">
      <c r="A213" s="176"/>
      <c r="B213" s="176"/>
      <c r="D213" s="35"/>
      <c r="E213" s="35"/>
      <c r="F213" s="35"/>
    </row>
    <row r="214" spans="1:7" ht="14.45" customHeight="1">
      <c r="A214" s="176"/>
      <c r="B214" s="469" t="s">
        <v>309</v>
      </c>
      <c r="D214" s="1263" t="s">
        <v>1240</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309</v>
      </c>
      <c r="D220" s="1263" t="s">
        <v>1239</v>
      </c>
      <c r="E220" s="1263"/>
      <c r="F220" s="1263"/>
    </row>
    <row r="221" spans="1:7" ht="14.25">
      <c r="A221" s="176"/>
      <c r="B221" s="176"/>
      <c r="D221" s="1263"/>
      <c r="E221" s="1263"/>
      <c r="F221" s="1263"/>
    </row>
    <row r="222" spans="1:7">
      <c r="D222" s="19"/>
    </row>
    <row r="223" spans="1:7">
      <c r="A223" s="1284" t="s">
        <v>1113</v>
      </c>
      <c r="B223" s="1284"/>
      <c r="C223" s="1284"/>
      <c r="D223" s="1284"/>
      <c r="E223" s="1284"/>
      <c r="F223" s="1284"/>
      <c r="G223" s="1284"/>
    </row>
    <row r="224" spans="1:7">
      <c r="D224" s="19"/>
    </row>
    <row r="225" spans="1:6">
      <c r="C225" s="177"/>
      <c r="D225" s="1282" t="s">
        <v>1242</v>
      </c>
      <c r="E225" s="1282"/>
      <c r="F225" s="1282"/>
    </row>
    <row r="226" spans="1:6">
      <c r="A226" s="172"/>
      <c r="B226" s="172"/>
      <c r="C226" s="172"/>
      <c r="D226" s="35"/>
      <c r="E226" s="35"/>
      <c r="F226" s="35"/>
    </row>
    <row r="227" spans="1:6">
      <c r="A227" s="175"/>
      <c r="B227" s="175"/>
      <c r="C227" s="175"/>
      <c r="D227" s="1282" t="s">
        <v>271</v>
      </c>
      <c r="E227" s="1282"/>
      <c r="F227" s="1282"/>
    </row>
    <row r="228" spans="1:6" ht="14.25">
      <c r="A228" s="176"/>
      <c r="B228" s="469" t="s">
        <v>309</v>
      </c>
      <c r="D228" s="1312" t="s">
        <v>1243</v>
      </c>
      <c r="E228" s="1312"/>
      <c r="F228" s="1312"/>
    </row>
    <row r="229" spans="1:6" ht="14.25">
      <c r="A229" s="176"/>
      <c r="B229" s="176"/>
      <c r="D229" s="1312"/>
      <c r="E229" s="1312"/>
      <c r="F229" s="1312"/>
    </row>
    <row r="230" spans="1:6">
      <c r="D230" s="35"/>
      <c r="E230" s="35"/>
      <c r="F230" s="35"/>
    </row>
    <row r="231" spans="1:6" ht="14.45" customHeight="1">
      <c r="A231" s="176"/>
      <c r="B231" s="469" t="s">
        <v>309</v>
      </c>
      <c r="D231" s="1263" t="s">
        <v>1244</v>
      </c>
      <c r="E231" s="1263"/>
      <c r="F231" s="1263"/>
    </row>
    <row r="232" spans="1:6">
      <c r="D232" s="1263"/>
      <c r="E232" s="1263"/>
      <c r="F232" s="1263"/>
    </row>
    <row r="233" spans="1:6">
      <c r="D233" s="1289" t="s">
        <v>919</v>
      </c>
      <c r="E233" s="1289"/>
      <c r="F233" s="1289"/>
    </row>
    <row r="234" spans="1:6">
      <c r="D234" s="35"/>
      <c r="E234" s="35"/>
      <c r="F234" s="35"/>
    </row>
    <row r="235" spans="1:6" ht="14.45"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c r="A245" s="1284" t="s">
        <v>1114</v>
      </c>
      <c r="B245" s="1284"/>
      <c r="C245" s="1284"/>
      <c r="D245" s="1284"/>
      <c r="E245" s="1284"/>
      <c r="F245" s="1284"/>
      <c r="G245" s="1284"/>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82" t="s">
        <v>211</v>
      </c>
      <c r="E250" s="1282"/>
      <c r="F250" s="1282"/>
    </row>
    <row r="251" spans="1:7" ht="15.75" customHeight="1">
      <c r="A251" s="176"/>
      <c r="B251" s="176"/>
      <c r="D251" s="1288" t="s">
        <v>1248</v>
      </c>
      <c r="E251" s="1288"/>
      <c r="F251" s="1288"/>
    </row>
    <row r="252" spans="1:7">
      <c r="E252" s="35"/>
      <c r="F252" s="35"/>
    </row>
    <row r="253" spans="1:7" ht="14.25">
      <c r="A253" s="176"/>
      <c r="B253" s="469" t="s">
        <v>309</v>
      </c>
      <c r="D253" s="1263" t="s">
        <v>1249</v>
      </c>
      <c r="E253" s="1263"/>
      <c r="F253" s="1263"/>
    </row>
    <row r="254" spans="1:7" ht="14.25">
      <c r="A254" s="176"/>
      <c r="B254" s="176"/>
      <c r="D254" s="1263"/>
      <c r="E254" s="1263"/>
      <c r="F254" s="1263"/>
    </row>
    <row r="255" spans="1:7">
      <c r="D255" s="35"/>
      <c r="E255" s="35"/>
      <c r="F255" s="35"/>
    </row>
    <row r="256" spans="1:7" ht="14.25">
      <c r="A256" s="176"/>
      <c r="B256" s="469" t="s">
        <v>309</v>
      </c>
      <c r="D256" s="1263" t="s">
        <v>1250</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309</v>
      </c>
      <c r="D260" s="1263" t="s">
        <v>1251</v>
      </c>
      <c r="E260" s="1263"/>
      <c r="F260" s="1263"/>
    </row>
    <row r="261" spans="1:7" ht="14.25">
      <c r="A261" s="176"/>
      <c r="B261" s="176"/>
      <c r="D261" s="1263"/>
      <c r="E261" s="1263"/>
      <c r="F261" s="1263"/>
    </row>
    <row r="262" spans="1:7">
      <c r="A262" s="13"/>
      <c r="B262" s="13"/>
      <c r="E262" s="35"/>
      <c r="F262" s="35"/>
    </row>
    <row r="263" spans="1:7">
      <c r="A263" s="1284" t="s">
        <v>1115</v>
      </c>
      <c r="B263" s="1284"/>
      <c r="C263" s="1284"/>
      <c r="D263" s="1284"/>
      <c r="E263" s="1284"/>
      <c r="F263" s="1284"/>
      <c r="G263" s="1284"/>
    </row>
    <row r="264" spans="1:7">
      <c r="A264" s="13"/>
      <c r="B264" s="13"/>
      <c r="D264" s="35"/>
      <c r="E264" s="35"/>
      <c r="F264" s="35"/>
    </row>
    <row r="265" spans="1:7">
      <c r="C265" s="13"/>
      <c r="D265" s="1282" t="s">
        <v>692</v>
      </c>
      <c r="E265" s="1282"/>
      <c r="F265" s="1282"/>
    </row>
    <row r="266" spans="1:7">
      <c r="C266" s="13"/>
      <c r="D266" s="1283" t="s">
        <v>1252</v>
      </c>
      <c r="E266" s="1283"/>
      <c r="F266" s="1283"/>
    </row>
    <row r="267" spans="1:7">
      <c r="C267" s="13"/>
      <c r="D267" s="173"/>
    </row>
    <row r="268" spans="1:7">
      <c r="B268" s="469" t="s">
        <v>309</v>
      </c>
      <c r="D268" s="1283" t="s">
        <v>1253</v>
      </c>
      <c r="E268" s="1283"/>
      <c r="F268" s="1283"/>
    </row>
    <row r="269" spans="1:7" ht="14.25">
      <c r="A269" s="176"/>
      <c r="B269" s="176"/>
      <c r="D269" s="342"/>
      <c r="E269" s="343"/>
      <c r="F269" s="343"/>
    </row>
    <row r="270" spans="1:7" ht="13.15" customHeight="1">
      <c r="B270" s="469" t="s">
        <v>309</v>
      </c>
      <c r="D270" s="1313" t="s">
        <v>1254</v>
      </c>
      <c r="E270" s="1313"/>
      <c r="F270" s="1313"/>
    </row>
    <row r="271" spans="1:7" ht="14.25">
      <c r="A271" s="176"/>
      <c r="B271" s="176"/>
      <c r="D271" s="1313"/>
      <c r="E271" s="1313"/>
      <c r="F271" s="1313"/>
    </row>
    <row r="272" spans="1:7" ht="14.25">
      <c r="A272" s="176"/>
      <c r="B272" s="176"/>
      <c r="D272" s="1313"/>
      <c r="E272" s="1313"/>
      <c r="F272" s="1313"/>
    </row>
    <row r="273" spans="1:6" ht="14.25">
      <c r="A273" s="176"/>
      <c r="B273" s="176"/>
      <c r="D273" s="1313"/>
      <c r="E273" s="1313"/>
      <c r="F273" s="1313"/>
    </row>
    <row r="274" spans="1:6" ht="14.25">
      <c r="A274" s="176"/>
      <c r="B274" s="176"/>
      <c r="D274" s="1313"/>
      <c r="E274" s="1313"/>
      <c r="F274" s="1313"/>
    </row>
    <row r="275" spans="1:6" ht="14.25">
      <c r="A275" s="176"/>
      <c r="B275" s="176"/>
      <c r="D275" s="342"/>
      <c r="E275" s="343"/>
      <c r="F275" s="343"/>
    </row>
    <row r="276" spans="1:6" ht="13.15" customHeight="1">
      <c r="B276" s="469" t="s">
        <v>309</v>
      </c>
      <c r="D276" s="1313" t="s">
        <v>1255</v>
      </c>
      <c r="E276" s="1313"/>
      <c r="F276" s="1313"/>
    </row>
    <row r="277" spans="1:6">
      <c r="D277" s="1313"/>
      <c r="E277" s="1313"/>
      <c r="F277" s="1313"/>
    </row>
    <row r="278" spans="1:6" ht="14.25">
      <c r="A278" s="176"/>
      <c r="B278" s="176"/>
      <c r="D278" s="342"/>
      <c r="E278" s="343"/>
      <c r="F278" s="343"/>
    </row>
    <row r="279" spans="1:6">
      <c r="B279" s="469" t="s">
        <v>309</v>
      </c>
      <c r="D279" s="1283" t="s">
        <v>1256</v>
      </c>
      <c r="E279" s="1283"/>
      <c r="F279" s="1283"/>
    </row>
    <row r="280" spans="1:6">
      <c r="E280" s="35"/>
      <c r="F280" s="35"/>
    </row>
    <row r="281" spans="1:6" ht="14.25">
      <c r="A281" s="176"/>
      <c r="B281" s="469" t="s">
        <v>309</v>
      </c>
      <c r="D281" s="1263" t="s">
        <v>1257</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309" t="s">
        <v>1020</v>
      </c>
      <c r="E314" s="1309"/>
      <c r="F314" s="1309"/>
      <c r="G314"/>
    </row>
    <row r="315" spans="1:7" ht="13.5" thickTop="1">
      <c r="D315" s="1310" t="s">
        <v>1260</v>
      </c>
      <c r="E315" s="1310"/>
      <c r="F315" s="1310"/>
      <c r="G315"/>
    </row>
    <row r="316" spans="1:7">
      <c r="A316" s="218"/>
      <c r="B316" s="218"/>
      <c r="C316" s="218"/>
      <c r="D316" s="220"/>
      <c r="E316" s="220"/>
      <c r="F316" s="35"/>
      <c r="G316"/>
    </row>
    <row r="317" spans="1:7" ht="14.25">
      <c r="A317" s="176"/>
      <c r="B317" s="469" t="s">
        <v>309</v>
      </c>
      <c r="C317" s="218"/>
      <c r="D317" s="1311" t="s">
        <v>1261</v>
      </c>
      <c r="E317" s="1311"/>
      <c r="F317" s="1311"/>
      <c r="G317"/>
    </row>
    <row r="318" spans="1:7">
      <c r="A318" s="218"/>
      <c r="B318" s="218"/>
      <c r="C318" s="218"/>
      <c r="D318" s="220"/>
      <c r="E318" s="220"/>
      <c r="F318" s="35"/>
      <c r="G318"/>
    </row>
    <row r="319" spans="1:7">
      <c r="A319" s="218"/>
      <c r="B319" s="469" t="s">
        <v>309</v>
      </c>
      <c r="C319" s="218"/>
      <c r="D319" s="1266" t="s">
        <v>1262</v>
      </c>
      <c r="E319" s="1266"/>
      <c r="F319" s="1266"/>
      <c r="G319"/>
    </row>
    <row r="320" spans="1:7">
      <c r="A320" s="218"/>
      <c r="B320" s="218"/>
      <c r="C320" s="218"/>
      <c r="D320" s="1266"/>
      <c r="E320" s="1266"/>
      <c r="F320" s="1266"/>
      <c r="G320"/>
    </row>
    <row r="321" spans="1:7">
      <c r="A321" s="218"/>
      <c r="B321" s="218"/>
      <c r="C321" s="218"/>
      <c r="D321" s="1266"/>
      <c r="E321" s="1266"/>
      <c r="F321" s="1266"/>
      <c r="G321"/>
    </row>
    <row r="322" spans="1:7">
      <c r="A322" s="218"/>
      <c r="B322" s="218"/>
      <c r="C322" s="218"/>
      <c r="D322" s="1266"/>
      <c r="E322" s="1266"/>
      <c r="F322" s="1266"/>
      <c r="G322"/>
    </row>
    <row r="323" spans="1:7">
      <c r="A323" s="218"/>
      <c r="B323" s="218"/>
      <c r="C323" s="218"/>
      <c r="D323" s="1266"/>
      <c r="E323" s="1266"/>
      <c r="F323" s="1266"/>
      <c r="G323"/>
    </row>
    <row r="324" spans="1:7">
      <c r="A324" s="218"/>
      <c r="B324" s="218"/>
      <c r="C324" s="218"/>
      <c r="D324" s="1266"/>
      <c r="E324" s="1266"/>
      <c r="F324" s="1266"/>
      <c r="G324"/>
    </row>
    <row r="325" spans="1:7">
      <c r="A325" s="218"/>
      <c r="B325" s="218"/>
      <c r="C325" s="218"/>
      <c r="D325" s="1266"/>
      <c r="E325" s="1266"/>
      <c r="F325" s="1266"/>
      <c r="G325"/>
    </row>
    <row r="326" spans="1:7">
      <c r="A326" s="218"/>
      <c r="B326" s="218"/>
      <c r="C326" s="218"/>
      <c r="D326" s="1266"/>
      <c r="E326" s="1266"/>
      <c r="F326" s="1266"/>
      <c r="G326"/>
    </row>
    <row r="327" spans="1:7">
      <c r="A327" s="218"/>
      <c r="B327" s="218"/>
      <c r="C327" s="218"/>
      <c r="D327" s="1266"/>
      <c r="E327" s="1266"/>
      <c r="F327" s="1266"/>
      <c r="G327"/>
    </row>
    <row r="328" spans="1:7">
      <c r="A328" s="218"/>
      <c r="B328" s="218"/>
      <c r="C328" s="218"/>
      <c r="D328" s="1266"/>
      <c r="E328" s="1266"/>
      <c r="F328" s="1266"/>
      <c r="G328"/>
    </row>
    <row r="329" spans="1:7">
      <c r="A329" s="218"/>
      <c r="B329" s="218"/>
      <c r="C329" s="218"/>
      <c r="D329" s="1266"/>
      <c r="E329" s="1266"/>
      <c r="F329" s="1266"/>
      <c r="G329"/>
    </row>
    <row r="330" spans="1:7">
      <c r="A330" s="218"/>
      <c r="B330" s="218"/>
      <c r="C330" s="218"/>
      <c r="D330"/>
      <c r="E330" s="220"/>
      <c r="F330" s="35"/>
      <c r="G330"/>
    </row>
    <row r="331" spans="1:7" ht="14.25">
      <c r="A331" s="176"/>
      <c r="B331" s="469" t="s">
        <v>309</v>
      </c>
      <c r="C331" s="218"/>
      <c r="D331" s="1266" t="s">
        <v>1263</v>
      </c>
      <c r="E331" s="1266"/>
      <c r="F331" s="1266"/>
      <c r="G331"/>
    </row>
    <row r="332" spans="1:7">
      <c r="A332" s="218"/>
      <c r="B332" s="218"/>
      <c r="C332" s="218"/>
      <c r="D332" s="1266"/>
      <c r="E332" s="1266"/>
      <c r="F332" s="1266"/>
      <c r="G332"/>
    </row>
    <row r="333" spans="1:7">
      <c r="A333" s="218"/>
      <c r="B333" s="218"/>
      <c r="C333" s="218"/>
      <c r="D333" s="1266"/>
      <c r="E333" s="1266"/>
      <c r="F333" s="1266"/>
      <c r="G333"/>
    </row>
    <row r="334" spans="1:7">
      <c r="A334" s="218"/>
      <c r="B334" s="218"/>
      <c r="C334" s="218"/>
      <c r="D334" s="1266"/>
      <c r="E334" s="1266"/>
      <c r="F334" s="1266"/>
      <c r="G334"/>
    </row>
    <row r="335" spans="1:7">
      <c r="A335" s="218"/>
      <c r="B335" s="218"/>
      <c r="C335" s="218"/>
      <c r="D335" s="220"/>
      <c r="E335" s="220"/>
      <c r="F335" s="35"/>
      <c r="G335"/>
    </row>
    <row r="336" spans="1:7">
      <c r="A336" s="218"/>
      <c r="B336" s="218"/>
      <c r="C336" s="218"/>
      <c r="D336" s="1266" t="s">
        <v>1264</v>
      </c>
      <c r="E336" s="1266"/>
      <c r="F336" s="1266"/>
      <c r="G336"/>
    </row>
    <row r="337" spans="1:7">
      <c r="A337" s="218"/>
      <c r="B337" s="218"/>
      <c r="C337" s="218"/>
      <c r="D337" s="1266"/>
      <c r="E337" s="1266"/>
      <c r="F337" s="1266"/>
      <c r="G337"/>
    </row>
    <row r="338" spans="1:7">
      <c r="A338" s="218"/>
      <c r="B338" s="218"/>
      <c r="C338" s="218"/>
      <c r="D338" s="1266"/>
      <c r="E338" s="1266"/>
      <c r="F338" s="1266"/>
      <c r="G338"/>
    </row>
    <row r="339" spans="1:7">
      <c r="A339" s="218"/>
      <c r="B339" s="218"/>
      <c r="C339" s="218"/>
      <c r="D339" s="1266"/>
      <c r="E339" s="1266"/>
      <c r="F339" s="1266"/>
      <c r="G339"/>
    </row>
    <row r="340" spans="1:7" ht="18" customHeight="1">
      <c r="A340" s="218"/>
      <c r="B340" s="218"/>
      <c r="C340" s="218"/>
      <c r="D340" s="1266"/>
      <c r="E340" s="1266"/>
      <c r="F340" s="1266"/>
      <c r="G340"/>
    </row>
    <row r="341" spans="1:7">
      <c r="A341" s="218"/>
      <c r="B341" s="218"/>
      <c r="C341" s="218"/>
      <c r="D341" s="1266"/>
      <c r="E341" s="1266"/>
      <c r="F341" s="1266"/>
      <c r="G341"/>
    </row>
    <row r="342" spans="1:7">
      <c r="A342" s="218"/>
      <c r="B342" s="218"/>
      <c r="C342" s="218"/>
      <c r="D342" s="1266"/>
      <c r="E342" s="1266"/>
      <c r="F342" s="1266"/>
      <c r="G342"/>
    </row>
    <row r="343" spans="1:7">
      <c r="A343" s="218"/>
      <c r="B343" s="218"/>
      <c r="C343" s="218"/>
      <c r="D343" s="1266"/>
      <c r="E343" s="1266"/>
      <c r="F343" s="1266"/>
      <c r="G343"/>
    </row>
    <row r="344" spans="1:7" ht="8.25" customHeight="1">
      <c r="A344" s="218"/>
      <c r="B344" s="218"/>
      <c r="C344" s="218"/>
      <c r="D344" s="1266"/>
      <c r="E344" s="1266"/>
      <c r="F344" s="1266"/>
      <c r="G344"/>
    </row>
    <row r="345" spans="1:7" ht="13.15" customHeight="1">
      <c r="A345" s="218"/>
      <c r="B345" s="218"/>
      <c r="C345" s="218"/>
      <c r="D345" s="1266" t="s">
        <v>1265</v>
      </c>
      <c r="E345" s="1266"/>
      <c r="F345" s="1266"/>
      <c r="G345"/>
    </row>
    <row r="346" spans="1:7">
      <c r="A346" s="218"/>
      <c r="B346" s="218"/>
      <c r="C346" s="218"/>
      <c r="D346" s="1266"/>
      <c r="E346" s="1266"/>
      <c r="F346" s="1266"/>
      <c r="G346"/>
    </row>
    <row r="347" spans="1:7">
      <c r="A347" s="218"/>
      <c r="B347" s="218"/>
      <c r="C347" s="218"/>
      <c r="D347" s="1266"/>
      <c r="E347" s="1266"/>
      <c r="F347" s="1266"/>
      <c r="G347"/>
    </row>
    <row r="348" spans="1:7">
      <c r="A348" s="218"/>
      <c r="B348" s="218"/>
      <c r="C348" s="218"/>
      <c r="D348" s="1266"/>
      <c r="E348" s="1266"/>
      <c r="F348" s="1266"/>
      <c r="G348"/>
    </row>
    <row r="349" spans="1:7">
      <c r="A349" s="218"/>
      <c r="B349" s="218"/>
      <c r="C349" s="218"/>
      <c r="D349" s="1266"/>
      <c r="E349" s="1266"/>
      <c r="F349" s="1266"/>
      <c r="G349"/>
    </row>
    <row r="350" spans="1:7">
      <c r="A350" s="218"/>
      <c r="B350" s="218"/>
      <c r="C350" s="218"/>
      <c r="D350" s="1266"/>
      <c r="E350" s="1266"/>
      <c r="F350" s="1266"/>
      <c r="G350"/>
    </row>
    <row r="351" spans="1:7">
      <c r="A351" s="218"/>
      <c r="B351" s="218"/>
      <c r="C351" s="218"/>
      <c r="D351" s="1266"/>
      <c r="E351" s="1266"/>
      <c r="F351" s="1266"/>
      <c r="G351"/>
    </row>
    <row r="352" spans="1:7">
      <c r="A352" s="218"/>
      <c r="B352" s="218"/>
      <c r="C352" s="218"/>
      <c r="D352" s="1266"/>
      <c r="E352" s="1266"/>
      <c r="F352" s="1266"/>
      <c r="G352"/>
    </row>
    <row r="353" spans="1:7">
      <c r="A353" s="218"/>
      <c r="B353" s="218"/>
      <c r="C353" s="218"/>
      <c r="D353" s="1266"/>
      <c r="E353" s="1266"/>
      <c r="F353" s="1266"/>
      <c r="G353"/>
    </row>
    <row r="354" spans="1:7">
      <c r="A354" s="218"/>
      <c r="B354" s="218"/>
      <c r="C354" s="218"/>
      <c r="D354" s="1266"/>
      <c r="E354" s="1266"/>
      <c r="F354" s="1266"/>
      <c r="G354"/>
    </row>
    <row r="355" spans="1:7">
      <c r="A355" s="218"/>
      <c r="B355" s="218"/>
      <c r="C355" s="218"/>
      <c r="D355" s="1266"/>
      <c r="E355" s="1266"/>
      <c r="F355" s="1266"/>
      <c r="G355"/>
    </row>
    <row r="356" spans="1:7">
      <c r="A356" s="218"/>
      <c r="B356" s="218"/>
      <c r="C356" s="218"/>
      <c r="D356" s="1266"/>
      <c r="E356" s="1266"/>
      <c r="F356" s="1266"/>
      <c r="G356"/>
    </row>
    <row r="357" spans="1:7">
      <c r="A357" s="218"/>
      <c r="B357" s="218"/>
      <c r="C357" s="348"/>
      <c r="D357" s="1266"/>
      <c r="E357" s="1266"/>
      <c r="F357" s="1266"/>
      <c r="G357"/>
    </row>
    <row r="358" spans="1:7">
      <c r="A358" s="218"/>
      <c r="B358" s="218"/>
      <c r="C358" s="348"/>
      <c r="D358" s="1266"/>
      <c r="E358" s="1266"/>
      <c r="F358" s="1266"/>
      <c r="G358"/>
    </row>
    <row r="359" spans="1:7">
      <c r="A359" s="218"/>
      <c r="B359" s="218"/>
      <c r="C359" s="218"/>
      <c r="D359" s="1266"/>
      <c r="E359" s="1266"/>
      <c r="F359" s="1266"/>
      <c r="G359"/>
    </row>
    <row r="360" spans="1:7">
      <c r="A360" s="218"/>
      <c r="B360" s="218"/>
      <c r="C360" s="348"/>
      <c r="D360" s="1266"/>
      <c r="E360" s="1266"/>
      <c r="F360" s="1266"/>
      <c r="G360"/>
    </row>
    <row r="361" spans="1:7">
      <c r="A361" s="218"/>
      <c r="B361" s="218"/>
      <c r="C361" s="348"/>
      <c r="D361" s="1266"/>
      <c r="E361" s="1266"/>
      <c r="F361" s="1266"/>
      <c r="G361"/>
    </row>
    <row r="362" spans="1:7">
      <c r="A362" s="218"/>
      <c r="B362" s="218"/>
      <c r="C362" s="348"/>
      <c r="D362" s="1266"/>
      <c r="E362" s="1266"/>
      <c r="F362" s="1266"/>
      <c r="G362"/>
    </row>
    <row r="363" spans="1:7">
      <c r="A363" s="218"/>
      <c r="B363" s="218"/>
      <c r="C363" s="218"/>
      <c r="D363" s="220"/>
      <c r="E363" s="220"/>
      <c r="F363" s="35"/>
      <c r="G363"/>
    </row>
    <row r="364" spans="1:7">
      <c r="A364" s="218"/>
      <c r="B364" s="469" t="s">
        <v>309</v>
      </c>
      <c r="C364" s="218"/>
      <c r="D364" s="1266" t="s">
        <v>1266</v>
      </c>
      <c r="E364" s="1266"/>
      <c r="F364" s="1266"/>
      <c r="G364"/>
    </row>
    <row r="365" spans="1:7">
      <c r="A365" s="218"/>
      <c r="B365" s="218"/>
      <c r="C365" s="218"/>
      <c r="D365" s="1266"/>
      <c r="E365" s="1266"/>
      <c r="F365" s="1266"/>
      <c r="G365"/>
    </row>
    <row r="366" spans="1:7">
      <c r="A366" s="218"/>
      <c r="B366" s="218"/>
      <c r="C366" s="218"/>
      <c r="D366" s="220"/>
      <c r="E366" s="220"/>
      <c r="F366" s="35"/>
      <c r="G366"/>
    </row>
    <row r="367" spans="1:7" ht="14.25">
      <c r="A367" s="176"/>
      <c r="B367" s="469" t="s">
        <v>309</v>
      </c>
      <c r="C367" s="218"/>
      <c r="D367" s="1266" t="s">
        <v>1267</v>
      </c>
      <c r="E367" s="1266"/>
      <c r="F367" s="1266"/>
      <c r="G367"/>
    </row>
    <row r="368" spans="1:7" ht="14.25">
      <c r="A368" s="347"/>
      <c r="B368" s="347"/>
      <c r="C368" s="218"/>
      <c r="D368" s="1266"/>
      <c r="E368" s="1266"/>
      <c r="F368" s="1266"/>
      <c r="G368"/>
    </row>
    <row r="369" spans="1:7" ht="14.25">
      <c r="A369" s="347"/>
      <c r="B369" s="347"/>
      <c r="C369" s="218"/>
      <c r="D369" s="1266"/>
      <c r="E369" s="1266"/>
      <c r="F369" s="1266"/>
      <c r="G369"/>
    </row>
    <row r="370" spans="1:7" ht="14.25">
      <c r="A370" s="347"/>
      <c r="B370" s="347"/>
      <c r="C370" s="218"/>
      <c r="D370" s="1266"/>
      <c r="E370" s="1266"/>
      <c r="F370" s="1266"/>
      <c r="G370"/>
    </row>
    <row r="371" spans="1:7" ht="14.25">
      <c r="A371" s="347"/>
      <c r="B371" s="347"/>
      <c r="C371" s="218"/>
      <c r="D371" s="1266"/>
      <c r="E371" s="1266"/>
      <c r="F371" s="1266"/>
      <c r="G371"/>
    </row>
    <row r="372" spans="1:7">
      <c r="D372" s="35"/>
      <c r="E372" s="35"/>
      <c r="F372" s="35"/>
      <c r="G372"/>
    </row>
    <row r="373" spans="1:7" ht="14.25">
      <c r="A373" s="176"/>
      <c r="B373" s="469" t="s">
        <v>309</v>
      </c>
      <c r="C373" s="179"/>
      <c r="D373" s="1263" t="s">
        <v>1268</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309</v>
      </c>
      <c r="C405" s="179"/>
      <c r="D405" s="1283" t="s">
        <v>1269</v>
      </c>
      <c r="E405" s="1283"/>
      <c r="F405" s="1283"/>
    </row>
    <row r="406" spans="1:7">
      <c r="D406" s="1308" t="s">
        <v>1040</v>
      </c>
      <c r="E406" s="1308"/>
      <c r="F406" s="1308"/>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309</v>
      </c>
      <c r="C416" s="176"/>
      <c r="D416" s="1263" t="s">
        <v>1272</v>
      </c>
      <c r="E416" s="1263"/>
      <c r="F416" s="1263"/>
      <c r="G416"/>
    </row>
    <row r="417" spans="1:7">
      <c r="D417" s="1263"/>
      <c r="E417" s="1263"/>
      <c r="F417" s="1263"/>
      <c r="G417"/>
    </row>
    <row r="418" spans="1:7">
      <c r="D418" s="35"/>
      <c r="E418" s="35"/>
      <c r="F418" s="35"/>
      <c r="G418"/>
    </row>
    <row r="419" spans="1:7" ht="14.25">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83" t="s">
        <v>1275</v>
      </c>
      <c r="E440" s="1283"/>
      <c r="F440" s="1283"/>
    </row>
    <row r="441" spans="1:7">
      <c r="A441" s="35"/>
      <c r="B441" s="35"/>
    </row>
    <row r="442" spans="1:7">
      <c r="A442" s="1284" t="s">
        <v>1116</v>
      </c>
      <c r="B442" s="1284"/>
      <c r="C442" s="1284"/>
      <c r="D442" s="1284"/>
      <c r="E442" s="1284"/>
      <c r="F442" s="1284"/>
      <c r="G442" s="1284"/>
    </row>
    <row r="443" spans="1:7">
      <c r="A443" s="35"/>
      <c r="B443" s="35"/>
    </row>
    <row r="444" spans="1:7">
      <c r="D444" s="1314" t="s">
        <v>913</v>
      </c>
      <c r="E444" s="1314"/>
      <c r="F444" s="1314"/>
    </row>
    <row r="445" spans="1:7" ht="14.25">
      <c r="A445" s="176"/>
      <c r="B445" s="176"/>
      <c r="D445" s="1311" t="s">
        <v>1276</v>
      </c>
      <c r="E445" s="1311"/>
      <c r="F445" s="1311"/>
    </row>
    <row r="446" spans="1:7" ht="14.25">
      <c r="A446" s="176"/>
      <c r="B446" s="176"/>
      <c r="D446" s="482"/>
      <c r="E446" s="3"/>
      <c r="F446" s="3"/>
    </row>
    <row r="447" spans="1:7" ht="14.25">
      <c r="A447" s="176"/>
      <c r="B447" s="469" t="s">
        <v>309</v>
      </c>
      <c r="D447" s="1266" t="s">
        <v>1277</v>
      </c>
      <c r="E447" s="1266"/>
      <c r="F447" s="1266"/>
    </row>
    <row r="448" spans="1:7" ht="14.25">
      <c r="A448" s="176"/>
      <c r="B448" s="176"/>
      <c r="D448" s="1266"/>
      <c r="E448" s="1266"/>
      <c r="F448" s="1266"/>
    </row>
    <row r="449" spans="1:7" ht="14.25">
      <c r="A449" s="176"/>
      <c r="B449" s="176"/>
      <c r="D449" s="118"/>
      <c r="E449" s="3"/>
      <c r="F449" s="3"/>
    </row>
    <row r="450" spans="1:7">
      <c r="B450" s="469" t="s">
        <v>309</v>
      </c>
      <c r="D450" s="1300" t="s">
        <v>1278</v>
      </c>
      <c r="E450" s="1300"/>
      <c r="F450" s="1300"/>
    </row>
    <row r="451" spans="1:7" ht="14.25">
      <c r="A451" s="176"/>
      <c r="D451" s="1300"/>
      <c r="E451" s="1300"/>
      <c r="F451" s="1300"/>
    </row>
    <row r="452" spans="1:7" ht="14.25">
      <c r="A452" s="176"/>
      <c r="B452" s="176"/>
      <c r="D452" s="1300"/>
      <c r="E452" s="1300"/>
      <c r="F452" s="1300"/>
    </row>
    <row r="453" spans="1:7" ht="14.25">
      <c r="A453" s="176"/>
      <c r="B453" s="176"/>
      <c r="D453" s="1300"/>
      <c r="E453" s="1300"/>
      <c r="F453" s="1300"/>
    </row>
    <row r="454" spans="1:7">
      <c r="D454" s="3"/>
      <c r="E454" s="3"/>
      <c r="F454" s="3"/>
      <c r="G454"/>
    </row>
    <row r="455" spans="1:7" ht="14.25">
      <c r="A455" s="176"/>
      <c r="B455" s="469" t="s">
        <v>309</v>
      </c>
      <c r="D455" s="1263" t="s">
        <v>1279</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309</v>
      </c>
      <c r="D459" s="1283" t="s">
        <v>1280</v>
      </c>
      <c r="E459" s="1283"/>
      <c r="F459" s="1283"/>
      <c r="G459"/>
    </row>
    <row r="460" spans="1:7" ht="14.25">
      <c r="A460" s="176"/>
      <c r="B460" s="176"/>
      <c r="D460" s="118"/>
      <c r="E460" s="3"/>
      <c r="F460" s="3"/>
      <c r="G460"/>
    </row>
    <row r="461" spans="1:7" ht="14.25">
      <c r="A461" s="176"/>
      <c r="B461" s="469" t="s">
        <v>309</v>
      </c>
      <c r="D461" s="1263" t="s">
        <v>1281</v>
      </c>
      <c r="E461" s="1263"/>
      <c r="F461" s="1263"/>
      <c r="G461"/>
    </row>
    <row r="462" spans="1:7" ht="14.25">
      <c r="A462" s="176"/>
      <c r="D462" s="1263"/>
      <c r="E462" s="1263"/>
      <c r="F462" s="1263"/>
      <c r="G462"/>
    </row>
    <row r="463" spans="1:7">
      <c r="A463" s="13"/>
      <c r="B463" s="13"/>
      <c r="D463" s="482"/>
      <c r="E463" s="3"/>
      <c r="F463" s="3"/>
      <c r="G463"/>
    </row>
    <row r="464" spans="1:7">
      <c r="A464" s="13"/>
      <c r="B464" s="469" t="s">
        <v>309</v>
      </c>
      <c r="D464" s="1283" t="s">
        <v>1282</v>
      </c>
      <c r="E464" s="1283"/>
      <c r="F464" s="1283"/>
      <c r="G464"/>
    </row>
    <row r="465" spans="1:7" ht="14.25">
      <c r="A465" s="176"/>
      <c r="B465" s="176"/>
      <c r="D465" s="35"/>
    </row>
    <row r="466" spans="1:7">
      <c r="A466" s="1284" t="s">
        <v>1117</v>
      </c>
      <c r="B466" s="1284"/>
      <c r="C466" s="1284"/>
      <c r="D466" s="1284"/>
      <c r="E466" s="1284"/>
      <c r="F466" s="1284"/>
      <c r="G466" s="1284"/>
    </row>
    <row r="467" spans="1:7" ht="12" customHeight="1">
      <c r="A467" s="176"/>
      <c r="B467" s="176"/>
      <c r="D467" s="35"/>
    </row>
    <row r="468" spans="1:7">
      <c r="C468" s="172"/>
      <c r="D468" s="1282" t="s">
        <v>818</v>
      </c>
      <c r="E468" s="1282"/>
      <c r="F468" s="1282"/>
    </row>
    <row r="469" spans="1:7" ht="13.15" customHeight="1">
      <c r="A469" s="175"/>
      <c r="B469" s="175"/>
      <c r="C469" s="175"/>
      <c r="D469" s="1315" t="s">
        <v>1160</v>
      </c>
      <c r="E469" s="1315"/>
      <c r="F469" s="1315"/>
    </row>
    <row r="470" spans="1:7">
      <c r="A470" s="175"/>
      <c r="B470" s="175"/>
      <c r="C470" s="175"/>
      <c r="D470" s="1315"/>
      <c r="E470" s="1315"/>
      <c r="F470" s="1315"/>
    </row>
    <row r="471" spans="1:7">
      <c r="A471" s="175"/>
      <c r="B471" s="175"/>
      <c r="C471" s="175"/>
      <c r="D471" s="1315"/>
      <c r="E471" s="1315"/>
      <c r="F471" s="1315"/>
    </row>
    <row r="472" spans="1:7">
      <c r="A472" s="175"/>
      <c r="B472" s="175"/>
      <c r="C472" s="175"/>
      <c r="D472" s="1315"/>
      <c r="E472" s="1315"/>
      <c r="F472" s="1315"/>
    </row>
    <row r="473" spans="1:7">
      <c r="A473" s="175"/>
      <c r="B473" s="175"/>
      <c r="C473" s="175"/>
      <c r="D473" s="1315"/>
      <c r="E473" s="1315"/>
      <c r="F473" s="1315"/>
    </row>
    <row r="474" spans="1:7">
      <c r="A474" s="175"/>
      <c r="B474" s="175"/>
      <c r="C474" s="175"/>
      <c r="D474" s="326"/>
      <c r="F474" s="35"/>
    </row>
    <row r="475" spans="1:7" ht="14.45" customHeight="1">
      <c r="A475" s="176"/>
      <c r="B475" s="469" t="s">
        <v>309</v>
      </c>
      <c r="C475" s="175"/>
      <c r="D475" s="1299" t="s">
        <v>1151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9" t="s">
        <v>309</v>
      </c>
      <c r="C481" s="175"/>
      <c r="D481" s="1299" t="s">
        <v>1154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9" t="s">
        <v>309</v>
      </c>
      <c r="C486" s="175"/>
      <c r="D486" s="1299" t="s">
        <v>1152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6"/>
      <c r="E489" s="476"/>
      <c r="F489" s="476"/>
    </row>
    <row r="490" spans="1:6" ht="14.45" customHeight="1">
      <c r="A490" s="176"/>
      <c r="B490" s="469" t="s">
        <v>309</v>
      </c>
      <c r="C490" s="175"/>
      <c r="D490" s="1299" t="s">
        <v>1153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9" t="s">
        <v>309</v>
      </c>
      <c r="C500" s="175"/>
      <c r="D500" s="1266" t="s">
        <v>1297</v>
      </c>
      <c r="E500" s="1266"/>
      <c r="F500" s="1266"/>
    </row>
    <row r="501" spans="1:7">
      <c r="A501" s="175"/>
      <c r="B501" s="175"/>
      <c r="C501" s="175"/>
      <c r="D501" s="1266"/>
      <c r="E501" s="1266"/>
      <c r="F501" s="1266"/>
    </row>
    <row r="502" spans="1:7">
      <c r="A502" s="175"/>
      <c r="B502" s="175"/>
      <c r="C502" s="175"/>
      <c r="D502" s="1266"/>
      <c r="E502" s="1266"/>
      <c r="F502" s="1266"/>
    </row>
    <row r="503" spans="1:7">
      <c r="A503" s="175"/>
      <c r="B503" s="175"/>
      <c r="C503" s="175"/>
      <c r="D503" s="1266"/>
      <c r="E503" s="1266"/>
      <c r="F503" s="1266"/>
    </row>
    <row r="504" spans="1:7">
      <c r="A504" s="175"/>
      <c r="B504" s="175"/>
      <c r="C504" s="175"/>
      <c r="D504" s="1266"/>
      <c r="E504" s="1266"/>
      <c r="F504" s="1266"/>
    </row>
    <row r="505" spans="1:7">
      <c r="A505" s="175"/>
      <c r="B505" s="175"/>
      <c r="C505" s="175"/>
      <c r="D505" s="486"/>
      <c r="E505" s="486"/>
      <c r="F505" s="486"/>
    </row>
    <row r="506" spans="1:7" ht="14.45" customHeight="1">
      <c r="A506" s="176"/>
      <c r="B506" s="469" t="s">
        <v>309</v>
      </c>
      <c r="D506" s="1299" t="s">
        <v>1155</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4" t="s">
        <v>1118</v>
      </c>
      <c r="B510" s="1284"/>
      <c r="C510" s="1284"/>
      <c r="D510" s="1284"/>
      <c r="E510" s="1284"/>
      <c r="F510" s="1284"/>
      <c r="G510" s="1284"/>
    </row>
    <row r="511" spans="1:7">
      <c r="A511" s="35"/>
      <c r="B511" s="35"/>
      <c r="C511" s="179"/>
      <c r="F511" s="57"/>
    </row>
    <row r="512" spans="1:7">
      <c r="B512" s="1281" t="s">
        <v>450</v>
      </c>
      <c r="C512" s="1281"/>
      <c r="D512" s="1281"/>
      <c r="E512" s="1281"/>
      <c r="F512" s="1281"/>
    </row>
    <row r="513" spans="1:7">
      <c r="A513" s="35"/>
      <c r="B513" s="35"/>
      <c r="C513" s="179"/>
      <c r="D513" s="35"/>
      <c r="F513" s="35"/>
    </row>
    <row r="514" spans="1:7">
      <c r="A514" s="1285" t="s">
        <v>1119</v>
      </c>
      <c r="B514" s="1285"/>
      <c r="C514" s="1285"/>
      <c r="D514" s="1285"/>
      <c r="E514" s="1285"/>
      <c r="F514" s="1285"/>
      <c r="G514" s="1285"/>
    </row>
    <row r="515" spans="1:7">
      <c r="A515" s="35"/>
      <c r="B515" s="35"/>
      <c r="C515" s="179"/>
      <c r="D515" s="35"/>
      <c r="F515" s="35"/>
    </row>
    <row r="516" spans="1:7">
      <c r="C516" s="179"/>
      <c r="D516" s="1282" t="s">
        <v>693</v>
      </c>
      <c r="E516" s="1282"/>
      <c r="F516" s="1282"/>
    </row>
    <row r="517" spans="1:7">
      <c r="C517" s="179"/>
      <c r="D517" s="1283" t="s">
        <v>1176</v>
      </c>
      <c r="E517" s="1283"/>
      <c r="F517" s="1283"/>
    </row>
    <row r="518" spans="1:7">
      <c r="C518" s="179"/>
      <c r="D518" s="118"/>
      <c r="E518" s="118"/>
      <c r="F518" s="118"/>
    </row>
    <row r="519" spans="1:7" ht="13.15" customHeight="1">
      <c r="A519" s="176"/>
      <c r="B519" s="469" t="s">
        <v>309</v>
      </c>
      <c r="C519" s="179"/>
      <c r="D519" s="1283" t="s">
        <v>914</v>
      </c>
      <c r="E519" s="1283"/>
      <c r="F519" s="1283"/>
      <c r="G519"/>
    </row>
    <row r="520" spans="1:7" ht="13.15" customHeight="1">
      <c r="A520" s="179"/>
      <c r="B520" s="179"/>
      <c r="C520" s="179"/>
      <c r="D520" s="118"/>
      <c r="E520"/>
      <c r="F520"/>
      <c r="G520"/>
    </row>
    <row r="521" spans="1:7" ht="14.25">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309</v>
      </c>
      <c r="C543" s="179"/>
      <c r="D543" s="1283" t="s">
        <v>1183</v>
      </c>
      <c r="E543" s="1283"/>
      <c r="F543" s="1283"/>
    </row>
    <row r="544" spans="1:7">
      <c r="A544" s="13"/>
      <c r="B544" s="13"/>
      <c r="C544" s="179"/>
      <c r="D544" s="1283" t="s">
        <v>847</v>
      </c>
      <c r="E544" s="1283"/>
      <c r="F544" s="1283"/>
    </row>
    <row r="545" spans="1:7">
      <c r="A545" s="13"/>
      <c r="B545" s="13"/>
      <c r="C545" s="179"/>
      <c r="D545" s="3"/>
      <c r="E545" s="1288" t="s">
        <v>1184</v>
      </c>
      <c r="F545" s="1288"/>
    </row>
    <row r="546" spans="1:7" ht="14.25">
      <c r="A546" s="176"/>
      <c r="B546" s="176"/>
      <c r="C546" s="179"/>
      <c r="E546" s="35"/>
      <c r="F546" s="35"/>
    </row>
    <row r="547" spans="1:7" ht="14.25">
      <c r="A547" s="176"/>
      <c r="B547" s="469" t="s">
        <v>309</v>
      </c>
      <c r="C547" s="179"/>
      <c r="D547" s="1283" t="s">
        <v>1185</v>
      </c>
      <c r="E547" s="1283"/>
      <c r="F547" s="1283"/>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309</v>
      </c>
      <c r="C552" s="179"/>
      <c r="D552" s="1263" t="s">
        <v>1187</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84" t="s">
        <v>1120</v>
      </c>
      <c r="B557" s="1284"/>
      <c r="C557" s="1284"/>
      <c r="D557" s="1284"/>
      <c r="E557" s="1284"/>
      <c r="F557" s="1284"/>
      <c r="G557" s="1284"/>
    </row>
    <row r="558" spans="1:7">
      <c r="A558" s="179"/>
      <c r="B558" s="179"/>
      <c r="C558" s="179"/>
      <c r="E558" s="35"/>
      <c r="F558" s="35"/>
    </row>
    <row r="559" spans="1:7" ht="12.75" customHeight="1">
      <c r="C559" s="172"/>
      <c r="D559" s="1295" t="s">
        <v>212</v>
      </c>
      <c r="E559" s="1295"/>
      <c r="F559" s="1295"/>
    </row>
    <row r="560" spans="1:7">
      <c r="A560" s="175"/>
      <c r="B560" s="175"/>
      <c r="C560" s="175"/>
      <c r="D560" s="1300" t="s">
        <v>1136</v>
      </c>
      <c r="E560" s="1300"/>
      <c r="F560" s="1300"/>
    </row>
    <row r="561" spans="1:6">
      <c r="A561"/>
      <c r="B561"/>
      <c r="C561" s="175"/>
      <c r="D561" s="255"/>
    </row>
    <row r="562" spans="1:6">
      <c r="A562" s="175"/>
      <c r="B562" s="469" t="s">
        <v>309</v>
      </c>
      <c r="D562" s="1300" t="s">
        <v>920</v>
      </c>
      <c r="E562" s="1300"/>
      <c r="F562" s="1300"/>
    </row>
    <row r="563" spans="1:6">
      <c r="A563" s="13"/>
      <c r="B563" s="13"/>
      <c r="D563" s="218"/>
    </row>
    <row r="564" spans="1:6">
      <c r="A564" s="13"/>
      <c r="B564" s="469" t="s">
        <v>309</v>
      </c>
      <c r="D564" s="1300" t="s">
        <v>1137</v>
      </c>
      <c r="E564" s="1300"/>
      <c r="F564" s="1300"/>
    </row>
    <row r="565" spans="1:6">
      <c r="A565" s="13"/>
      <c r="B565" s="13"/>
      <c r="D565" s="1300"/>
      <c r="E565" s="1300"/>
      <c r="F565" s="1300"/>
    </row>
    <row r="566" spans="1:6">
      <c r="A566" s="13"/>
      <c r="B566" s="13"/>
      <c r="D566" s="1300"/>
      <c r="E566" s="1300"/>
      <c r="F566" s="1300"/>
    </row>
    <row r="567" spans="1:6">
      <c r="A567" s="13"/>
      <c r="B567" s="13"/>
      <c r="D567" s="255"/>
    </row>
    <row r="568" spans="1:6">
      <c r="A568" s="13"/>
      <c r="B568" s="469" t="s">
        <v>309</v>
      </c>
      <c r="D568" s="1300" t="s">
        <v>1138</v>
      </c>
      <c r="E568" s="1300"/>
      <c r="F568" s="1300"/>
    </row>
    <row r="569" spans="1:6">
      <c r="A569" s="13"/>
      <c r="B569" s="13"/>
      <c r="D569" s="1300"/>
      <c r="E569" s="1300"/>
      <c r="F569" s="1300"/>
    </row>
    <row r="570" spans="1:6">
      <c r="A570" s="13"/>
      <c r="B570" s="13"/>
      <c r="D570" s="1300"/>
      <c r="E570" s="1300"/>
      <c r="F570" s="1300"/>
    </row>
    <row r="571" spans="1:6">
      <c r="A571" s="13"/>
      <c r="B571" s="13"/>
      <c r="D571" s="1300"/>
      <c r="E571" s="1300"/>
      <c r="F571" s="1300"/>
    </row>
    <row r="572" spans="1:6">
      <c r="A572" s="13"/>
      <c r="B572" s="13"/>
      <c r="D572" s="474"/>
      <c r="E572" s="474"/>
      <c r="F572" s="474"/>
    </row>
    <row r="573" spans="1:6">
      <c r="A573" s="13"/>
      <c r="B573" s="469" t="s">
        <v>309</v>
      </c>
      <c r="D573" s="1300" t="s">
        <v>1139</v>
      </c>
      <c r="E573" s="1300"/>
      <c r="F573" s="1300"/>
    </row>
    <row r="574" spans="1:6">
      <c r="A574" s="13"/>
      <c r="B574" s="13"/>
      <c r="D574" s="1300"/>
      <c r="E574" s="1300"/>
      <c r="F574" s="1300"/>
    </row>
    <row r="575" spans="1:6">
      <c r="A575" s="13"/>
      <c r="B575" s="13"/>
      <c r="D575" s="255"/>
    </row>
    <row r="576" spans="1:6">
      <c r="A576" s="13"/>
      <c r="B576" s="469" t="s">
        <v>309</v>
      </c>
      <c r="D576" s="1300" t="s">
        <v>1140</v>
      </c>
      <c r="E576" s="1300"/>
      <c r="F576" s="1300"/>
    </row>
    <row r="577" spans="1:7">
      <c r="A577" s="13"/>
      <c r="B577" s="13"/>
      <c r="D577" s="1300"/>
      <c r="E577" s="1300"/>
      <c r="F577" s="1300"/>
    </row>
    <row r="578" spans="1:7">
      <c r="A578" s="13"/>
      <c r="B578" s="13"/>
      <c r="D578" s="255"/>
    </row>
    <row r="579" spans="1:7" ht="14.25">
      <c r="A579" s="176"/>
      <c r="B579" s="469" t="s">
        <v>309</v>
      </c>
      <c r="D579" s="1300" t="s">
        <v>915</v>
      </c>
      <c r="E579" s="1300"/>
      <c r="F579" s="1300"/>
    </row>
    <row r="580" spans="1:7" ht="14.25">
      <c r="A580" s="176"/>
      <c r="B580" s="176"/>
      <c r="D580" s="255"/>
    </row>
    <row r="581" spans="1:7" ht="14.25">
      <c r="A581" s="176"/>
      <c r="B581" s="469" t="s">
        <v>309</v>
      </c>
      <c r="D581" s="1300" t="s">
        <v>1141</v>
      </c>
      <c r="E581" s="1300"/>
      <c r="F581" s="1300"/>
    </row>
    <row r="582" spans="1:7" ht="14.25">
      <c r="A582" s="176"/>
      <c r="B582" s="176"/>
      <c r="D582" s="1300"/>
      <c r="E582" s="1300"/>
      <c r="F582" s="1300"/>
    </row>
    <row r="583" spans="1:7">
      <c r="D583" s="1300"/>
      <c r="E583" s="1300"/>
      <c r="F583" s="1300"/>
    </row>
    <row r="584" spans="1:7">
      <c r="D584" s="1300"/>
      <c r="E584" s="1300"/>
      <c r="F584" s="1300"/>
    </row>
    <row r="585" spans="1:7">
      <c r="D585" s="1300"/>
      <c r="E585" s="1300"/>
      <c r="F585" s="1300"/>
    </row>
    <row r="586" spans="1:7">
      <c r="D586" s="1300"/>
      <c r="E586" s="1300"/>
      <c r="F586" s="1300"/>
    </row>
    <row r="587" spans="1:7"/>
    <row r="588" spans="1:7">
      <c r="A588" s="1284" t="s">
        <v>1121</v>
      </c>
      <c r="B588" s="1284"/>
      <c r="C588" s="1284"/>
      <c r="D588" s="1284"/>
      <c r="E588" s="1284"/>
      <c r="F588" s="1284"/>
      <c r="G588" s="1284"/>
    </row>
    <row r="589" spans="1:7"/>
    <row r="590" spans="1:7">
      <c r="D590" s="1276" t="s">
        <v>1221</v>
      </c>
      <c r="E590" s="1276"/>
      <c r="F590" s="1276"/>
    </row>
    <row r="591" spans="1:7">
      <c r="D591" s="1277" t="s">
        <v>1222</v>
      </c>
      <c r="E591" s="1277"/>
      <c r="F591" s="1277"/>
    </row>
    <row r="592" spans="1:7">
      <c r="D592" s="479"/>
      <c r="E592" s="434"/>
      <c r="F592" s="434"/>
    </row>
    <row r="593" spans="1:7" ht="14.25">
      <c r="A593" s="176"/>
      <c r="B593" s="469" t="s">
        <v>309</v>
      </c>
      <c r="D593" s="1278" t="s">
        <v>1223</v>
      </c>
      <c r="E593" s="1278"/>
      <c r="F593" s="1278"/>
    </row>
    <row r="594" spans="1:7">
      <c r="D594" s="1278"/>
      <c r="E594" s="1278"/>
      <c r="F594" s="1278"/>
    </row>
    <row r="595" spans="1:7">
      <c r="D595" s="1278"/>
      <c r="E595" s="1278"/>
      <c r="F595" s="1278"/>
    </row>
    <row r="596" spans="1:7"/>
    <row r="597" spans="1:7">
      <c r="A597" s="1284" t="s">
        <v>1122</v>
      </c>
      <c r="B597" s="1284"/>
      <c r="C597" s="1284"/>
      <c r="D597" s="1284"/>
      <c r="E597" s="1284"/>
      <c r="F597" s="1284"/>
      <c r="G597" s="1284"/>
    </row>
    <row r="598" spans="1:7">
      <c r="A598" s="35"/>
      <c r="B598" s="35"/>
    </row>
    <row r="599" spans="1:7">
      <c r="A599" s="172"/>
      <c r="B599" s="172"/>
      <c r="C599" s="172"/>
      <c r="D599" s="1279" t="s">
        <v>1224</v>
      </c>
      <c r="E599" s="1279"/>
      <c r="F599" s="1279"/>
    </row>
    <row r="600" spans="1:7">
      <c r="A600" s="172"/>
      <c r="B600" s="172"/>
      <c r="C600" s="172"/>
      <c r="D600" s="1279"/>
      <c r="E600" s="1279"/>
      <c r="F600" s="1279"/>
    </row>
    <row r="601" spans="1:7">
      <c r="C601" s="175"/>
      <c r="D601" s="1277" t="s">
        <v>1225</v>
      </c>
      <c r="E601" s="1277"/>
      <c r="F601" s="1277"/>
    </row>
    <row r="602" spans="1:7">
      <c r="C602" s="175"/>
      <c r="D602" s="479"/>
      <c r="E602" s="479"/>
      <c r="F602" s="479"/>
    </row>
    <row r="603" spans="1:7">
      <c r="A603" s="13"/>
      <c r="B603" s="469" t="s">
        <v>309</v>
      </c>
      <c r="D603" s="1277" t="s">
        <v>434</v>
      </c>
      <c r="E603" s="1277"/>
      <c r="F603" s="1277"/>
    </row>
    <row r="604" spans="1:7">
      <c r="C604" s="180"/>
      <c r="E604"/>
    </row>
    <row r="605" spans="1:7">
      <c r="A605" s="13"/>
      <c r="B605" s="469" t="s">
        <v>309</v>
      </c>
      <c r="D605" s="1280" t="s">
        <v>1226</v>
      </c>
      <c r="E605" s="1280"/>
      <c r="F605" s="1280"/>
    </row>
    <row r="606" spans="1:7">
      <c r="D606" s="1280"/>
      <c r="E606" s="1280"/>
      <c r="F606" s="1280"/>
    </row>
    <row r="607" spans="1:7">
      <c r="D607"/>
    </row>
    <row r="608" spans="1:7">
      <c r="B608" s="469" t="s">
        <v>309</v>
      </c>
      <c r="D608" s="1280" t="s">
        <v>1227</v>
      </c>
      <c r="E608" s="1280"/>
      <c r="F608" s="1280"/>
    </row>
    <row r="609" spans="1:7">
      <c r="C609" s="180"/>
      <c r="D609" s="1280"/>
      <c r="E609" s="1280"/>
      <c r="F609" s="1280"/>
    </row>
    <row r="610" spans="1:7">
      <c r="C610" s="180"/>
    </row>
    <row r="611" spans="1:7">
      <c r="B611" s="469" t="s">
        <v>309</v>
      </c>
      <c r="C611" s="180"/>
      <c r="D611" s="1280" t="s">
        <v>1228</v>
      </c>
      <c r="E611" s="1280"/>
      <c r="F611" s="1280"/>
    </row>
    <row r="612" spans="1:7">
      <c r="C612" s="180"/>
      <c r="D612" s="1280"/>
      <c r="E612" s="1280"/>
      <c r="F612" s="1280"/>
    </row>
    <row r="613" spans="1:7">
      <c r="C613" s="180"/>
    </row>
    <row r="614" spans="1:7">
      <c r="A614" s="1284" t="s">
        <v>1123</v>
      </c>
      <c r="B614" s="1284"/>
      <c r="C614" s="1284"/>
      <c r="D614" s="1284"/>
      <c r="E614" s="1284"/>
      <c r="F614" s="1284"/>
      <c r="G614" s="1284"/>
    </row>
    <row r="615" spans="1:7">
      <c r="A615" s="172"/>
      <c r="B615" s="172"/>
      <c r="C615" s="172"/>
    </row>
    <row r="616" spans="1:7">
      <c r="C616" s="13"/>
      <c r="D616" s="1276" t="s">
        <v>1229</v>
      </c>
      <c r="E616" s="1276"/>
      <c r="F616" s="1276"/>
    </row>
    <row r="617" spans="1:7">
      <c r="A617" s="13"/>
      <c r="B617" s="13"/>
      <c r="D617" s="2"/>
    </row>
    <row r="618" spans="1:7" ht="14.25">
      <c r="A618" s="176"/>
      <c r="B618" s="469" t="s">
        <v>309</v>
      </c>
      <c r="D618" s="1278" t="s">
        <v>1230</v>
      </c>
      <c r="E618" s="1278"/>
      <c r="F618" s="1278"/>
    </row>
    <row r="619" spans="1:7">
      <c r="D619" s="1278"/>
      <c r="E619" s="1278"/>
      <c r="F619" s="1278"/>
    </row>
    <row r="620" spans="1:7">
      <c r="D620" s="1278"/>
      <c r="E620" s="1278"/>
      <c r="F620" s="1278"/>
    </row>
    <row r="621" spans="1:7">
      <c r="D621" s="1278"/>
      <c r="E621" s="1278"/>
      <c r="F621" s="1278"/>
    </row>
    <row r="622" spans="1:7">
      <c r="D622" s="1278"/>
      <c r="E622" s="1278"/>
      <c r="F622" s="1278"/>
    </row>
    <row r="623" spans="1:7">
      <c r="D623" s="1278"/>
      <c r="E623" s="1278"/>
      <c r="F623" s="1278"/>
    </row>
    <row r="624" spans="1:7">
      <c r="D624" s="480"/>
      <c r="E624" s="480"/>
      <c r="F624" s="480"/>
    </row>
    <row r="625" spans="1:7" ht="14.25">
      <c r="A625" s="176"/>
      <c r="B625" s="469" t="s">
        <v>309</v>
      </c>
      <c r="D625" s="1278" t="s">
        <v>1231</v>
      </c>
      <c r="E625" s="1278"/>
      <c r="F625" s="1278"/>
    </row>
    <row r="626" spans="1:7">
      <c r="A626" s="179"/>
      <c r="B626" s="179"/>
      <c r="C626" s="179"/>
      <c r="D626" s="1278"/>
      <c r="E626" s="1278"/>
      <c r="F626" s="1278"/>
    </row>
    <row r="627" spans="1:7">
      <c r="A627" s="179"/>
      <c r="B627" s="179"/>
      <c r="C627" s="179"/>
      <c r="D627" s="35"/>
      <c r="E627" s="35"/>
      <c r="F627" s="35"/>
    </row>
    <row r="628" spans="1:7" ht="14.25">
      <c r="A628" s="176"/>
      <c r="B628" s="469" t="s">
        <v>309</v>
      </c>
      <c r="C628" s="179"/>
      <c r="D628" s="1278" t="s">
        <v>1232</v>
      </c>
      <c r="E628" s="1278"/>
      <c r="F628" s="1278"/>
    </row>
    <row r="629" spans="1:7" ht="14.25">
      <c r="A629" s="176"/>
      <c r="B629" s="176"/>
      <c r="C629" s="179"/>
      <c r="D629" s="1278"/>
      <c r="E629" s="1278"/>
      <c r="F629" s="1278"/>
    </row>
    <row r="630" spans="1:7" ht="14.25">
      <c r="A630" s="176"/>
      <c r="B630" s="176"/>
      <c r="C630" s="179"/>
      <c r="D630" s="1278"/>
      <c r="E630" s="1278"/>
      <c r="F630" s="1278"/>
    </row>
    <row r="631" spans="1:7">
      <c r="A631" s="179"/>
      <c r="B631" s="179"/>
      <c r="C631" s="179"/>
      <c r="D631" s="1278"/>
      <c r="E631" s="1278"/>
      <c r="F631" s="1278"/>
    </row>
    <row r="632" spans="1:7">
      <c r="A632" s="179"/>
      <c r="B632" s="179"/>
      <c r="C632" s="179"/>
      <c r="D632" s="480"/>
      <c r="E632" s="480"/>
      <c r="F632" s="480"/>
    </row>
    <row r="633" spans="1:7">
      <c r="A633" s="179"/>
      <c r="B633" s="469" t="s">
        <v>309</v>
      </c>
      <c r="C633" s="179"/>
      <c r="D633" s="1307" t="s">
        <v>1233</v>
      </c>
      <c r="E633" s="1307"/>
      <c r="F633" s="1307"/>
    </row>
    <row r="634" spans="1:7">
      <c r="A634" s="179"/>
      <c r="B634" s="179"/>
      <c r="C634" s="179"/>
      <c r="D634" s="481"/>
      <c r="E634" s="481"/>
      <c r="F634" s="481"/>
    </row>
    <row r="635" spans="1:7">
      <c r="A635" s="1284" t="s">
        <v>1124</v>
      </c>
      <c r="B635" s="1284"/>
      <c r="C635" s="1284"/>
      <c r="D635" s="1284"/>
      <c r="E635" s="1284"/>
      <c r="F635" s="1284"/>
      <c r="G635" s="1284"/>
    </row>
    <row r="636" spans="1:7">
      <c r="A636" s="35"/>
      <c r="B636" s="35"/>
      <c r="C636" s="179"/>
      <c r="D636" s="35"/>
      <c r="E636" s="35"/>
      <c r="F636" s="35"/>
    </row>
    <row r="637" spans="1:7">
      <c r="C637" s="172"/>
      <c r="D637" s="1282" t="s">
        <v>1283</v>
      </c>
      <c r="E637" s="1282"/>
      <c r="F637" s="1282"/>
    </row>
    <row r="638" spans="1:7">
      <c r="A638" s="175"/>
      <c r="B638" s="175"/>
      <c r="C638" s="175"/>
      <c r="D638" s="1283" t="s">
        <v>1284</v>
      </c>
      <c r="E638" s="1283"/>
      <c r="F638" s="1283"/>
    </row>
    <row r="639" spans="1:7">
      <c r="A639" s="175"/>
      <c r="B639" s="175"/>
      <c r="C639" s="175"/>
      <c r="D639" s="118"/>
      <c r="E639" s="118"/>
      <c r="F639" s="118"/>
    </row>
    <row r="640" spans="1:7" ht="14.45" customHeight="1">
      <c r="A640" s="176"/>
      <c r="B640" s="469" t="s">
        <v>309</v>
      </c>
      <c r="C640" s="179"/>
      <c r="D640" s="1263" t="s">
        <v>1285</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309</v>
      </c>
      <c r="C646" s="179"/>
      <c r="D646" s="1297" t="s">
        <v>1135</v>
      </c>
      <c r="E646" s="1297"/>
      <c r="F646" s="1297"/>
    </row>
    <row r="647" spans="1:11" ht="14.25">
      <c r="A647" s="176"/>
      <c r="B647" s="176"/>
      <c r="C647" s="179"/>
      <c r="D647" s="1296" t="s">
        <v>1286</v>
      </c>
      <c r="E647" s="1296"/>
      <c r="F647" s="1296"/>
    </row>
    <row r="648" spans="1:11" ht="14.25">
      <c r="A648" s="176"/>
      <c r="B648" s="176"/>
      <c r="C648" s="179"/>
      <c r="D648" s="1296"/>
      <c r="E648" s="1296"/>
      <c r="F648" s="1296"/>
    </row>
    <row r="649" spans="1:11" ht="14.25">
      <c r="A649" s="176"/>
      <c r="B649" s="176"/>
      <c r="C649" s="179"/>
      <c r="D649" s="1296"/>
      <c r="E649" s="1296"/>
      <c r="F649" s="1296"/>
    </row>
    <row r="650" spans="1:11" ht="14.25">
      <c r="A650" s="176"/>
      <c r="B650" s="176"/>
      <c r="C650" s="179"/>
      <c r="D650" s="1296"/>
      <c r="E650" s="1296"/>
      <c r="F650" s="1296"/>
    </row>
    <row r="651" spans="1:11" ht="14.25">
      <c r="A651" s="176"/>
      <c r="B651" s="176"/>
      <c r="C651" s="179"/>
      <c r="D651" s="1296"/>
      <c r="E651" s="1296"/>
      <c r="F651" s="1296"/>
    </row>
    <row r="652" spans="1:11" ht="14.25">
      <c r="A652" s="176"/>
      <c r="B652" s="176"/>
      <c r="C652" s="179"/>
      <c r="D652" s="1298" t="s">
        <v>1287</v>
      </c>
      <c r="E652" s="1298"/>
      <c r="F652" s="1298"/>
    </row>
    <row r="653" spans="1:11">
      <c r="A653" s="179"/>
      <c r="B653" s="179"/>
      <c r="C653" s="179"/>
      <c r="D653" s="35"/>
      <c r="E653" s="35"/>
      <c r="F653" s="35"/>
    </row>
    <row r="654" spans="1:11">
      <c r="A654" s="1284" t="s">
        <v>1125</v>
      </c>
      <c r="B654" s="1284"/>
      <c r="C654" s="1284"/>
      <c r="D654" s="1284"/>
      <c r="E654" s="1284"/>
      <c r="F654" s="1284"/>
      <c r="G654" s="1284"/>
      <c r="H654" s="181"/>
      <c r="I654" s="181"/>
      <c r="J654" s="181"/>
      <c r="K654" s="181"/>
    </row>
    <row r="655" spans="1:11">
      <c r="A655" s="483"/>
      <c r="B655" s="483"/>
      <c r="C655" s="483"/>
      <c r="D655" s="483"/>
      <c r="E655" s="483"/>
      <c r="F655" s="483"/>
      <c r="G655" s="483"/>
      <c r="H655" s="181"/>
      <c r="I655" s="181"/>
      <c r="J655" s="181"/>
      <c r="K655" s="181"/>
    </row>
    <row r="656" spans="1:11">
      <c r="C656" s="172"/>
      <c r="D656" s="1282" t="s">
        <v>100</v>
      </c>
      <c r="E656" s="1282"/>
      <c r="F656" s="1282"/>
      <c r="H656" s="181"/>
      <c r="I656" s="181"/>
      <c r="J656" s="181"/>
      <c r="K656" s="181"/>
    </row>
    <row r="657" spans="1:11">
      <c r="A657" s="172"/>
      <c r="B657" s="172"/>
      <c r="C657" s="172"/>
      <c r="D657" s="1282" t="s">
        <v>124</v>
      </c>
      <c r="E657" s="1282"/>
      <c r="F657" s="1282"/>
      <c r="H657" s="181"/>
      <c r="I657" s="181"/>
      <c r="J657" s="181"/>
      <c r="K657" s="181"/>
    </row>
    <row r="658" spans="1:11">
      <c r="A658" s="175"/>
      <c r="B658" s="175"/>
      <c r="C658" s="175"/>
      <c r="D658" s="1283" t="s">
        <v>1161</v>
      </c>
      <c r="E658" s="1283"/>
      <c r="F658" s="1283"/>
      <c r="H658" s="181"/>
      <c r="I658" s="181"/>
      <c r="J658" s="181"/>
      <c r="K658" s="181"/>
    </row>
    <row r="659" spans="1:11">
      <c r="A659" s="175"/>
      <c r="B659" s="175"/>
      <c r="C659" s="175"/>
      <c r="H659" s="181"/>
      <c r="I659" s="181"/>
      <c r="J659" s="181"/>
      <c r="K659" s="181"/>
    </row>
    <row r="660" spans="1:11" ht="14.25">
      <c r="A660" s="176"/>
      <c r="B660" s="469" t="s">
        <v>309</v>
      </c>
      <c r="C660" s="175"/>
      <c r="D660" s="1283" t="s">
        <v>916</v>
      </c>
      <c r="E660" s="1283"/>
      <c r="F660" s="1283"/>
      <c r="H660" s="181"/>
      <c r="I660" s="181"/>
      <c r="J660" s="181"/>
      <c r="K660" s="181"/>
    </row>
    <row r="661" spans="1:11">
      <c r="A661" s="175"/>
      <c r="B661" s="175"/>
      <c r="C661" s="175"/>
      <c r="D661" s="1283" t="s">
        <v>927</v>
      </c>
      <c r="E661" s="1283"/>
      <c r="F661" s="1283"/>
      <c r="H661" s="181"/>
      <c r="I661" s="181"/>
      <c r="J661" s="181"/>
      <c r="K661" s="181"/>
    </row>
    <row r="662" spans="1:11">
      <c r="A662" s="175"/>
      <c r="B662" s="175"/>
      <c r="C662" s="175"/>
      <c r="D662" s="3"/>
      <c r="E662" s="1267" t="s">
        <v>1162</v>
      </c>
      <c r="F662" s="1267"/>
      <c r="H662" s="181"/>
      <c r="I662" s="181"/>
      <c r="J662" s="181"/>
      <c r="K662" s="181"/>
    </row>
    <row r="663" spans="1:11">
      <c r="A663" s="175"/>
      <c r="B663" s="175"/>
      <c r="C663" s="175"/>
      <c r="D663" s="3"/>
      <c r="E663" s="1267"/>
      <c r="F663" s="1267"/>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3" t="s">
        <v>1163</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309</v>
      </c>
      <c r="C669" s="175"/>
      <c r="D669" s="1283" t="s">
        <v>955</v>
      </c>
      <c r="E669" s="1283"/>
      <c r="F669" s="1283"/>
      <c r="H669" s="181"/>
      <c r="I669" s="181"/>
      <c r="J669" s="181"/>
      <c r="K669" s="181"/>
    </row>
    <row r="670" spans="1:11" ht="14.25">
      <c r="A670" s="176"/>
      <c r="B670" s="176"/>
      <c r="C670" s="175"/>
      <c r="D670" s="1283" t="s">
        <v>927</v>
      </c>
      <c r="E670" s="1283"/>
      <c r="F670" s="1283"/>
      <c r="H670" s="181"/>
      <c r="I670" s="181"/>
      <c r="J670" s="181"/>
      <c r="K670" s="181"/>
    </row>
    <row r="671" spans="1:11">
      <c r="A671" s="175"/>
      <c r="B671" s="175"/>
      <c r="C671" s="175"/>
      <c r="D671" s="3"/>
      <c r="E671" s="1288" t="s">
        <v>1164</v>
      </c>
      <c r="F671" s="1288"/>
      <c r="H671" s="181"/>
      <c r="I671" s="181"/>
      <c r="J671" s="181"/>
      <c r="K671" s="181"/>
    </row>
    <row r="672" spans="1:11">
      <c r="A672" s="175"/>
      <c r="B672" s="175"/>
      <c r="C672" s="175"/>
      <c r="D672" s="2"/>
      <c r="H672" s="181"/>
      <c r="I672" s="181"/>
      <c r="J672" s="181"/>
      <c r="K672" s="181"/>
    </row>
    <row r="673" spans="1:11" ht="14.25">
      <c r="A673" s="176"/>
      <c r="B673" s="469" t="s">
        <v>309</v>
      </c>
      <c r="C673" s="175"/>
      <c r="D673" s="1263" t="s">
        <v>1174</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3" t="s">
        <v>1165</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3" t="s">
        <v>1175</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1172</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1173</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1166</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1167</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309</v>
      </c>
      <c r="C712" s="175"/>
      <c r="D712" s="1263" t="s">
        <v>1168</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309</v>
      </c>
      <c r="C717" s="175"/>
      <c r="D717" s="1263" t="s">
        <v>1301</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290" t="s">
        <v>1169</v>
      </c>
      <c r="E724" s="1290"/>
      <c r="F724" s="1290"/>
      <c r="H724" s="181"/>
      <c r="I724" s="181"/>
      <c r="J724" s="181"/>
      <c r="K724" s="181"/>
    </row>
    <row r="725" spans="1:11">
      <c r="A725" s="175"/>
      <c r="B725" s="175"/>
      <c r="C725" s="175"/>
      <c r="D725" s="370"/>
      <c r="H725" s="181"/>
      <c r="I725" s="181"/>
      <c r="J725" s="181"/>
      <c r="K725" s="181"/>
    </row>
    <row r="726" spans="1:11">
      <c r="A726" s="1285" t="s">
        <v>1126</v>
      </c>
      <c r="B726" s="1285"/>
      <c r="C726" s="1285"/>
      <c r="D726" s="1285"/>
      <c r="E726" s="1285"/>
      <c r="F726" s="1285"/>
      <c r="G726" s="1285"/>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287" t="s">
        <v>1143</v>
      </c>
      <c r="E729" s="1287"/>
      <c r="F729" s="1287"/>
      <c r="G729" s="183"/>
      <c r="H729" s="181"/>
      <c r="I729" s="181"/>
      <c r="J729" s="181"/>
      <c r="K729" s="181"/>
    </row>
    <row r="730" spans="1:11">
      <c r="A730" s="175"/>
      <c r="B730" s="175"/>
      <c r="C730" s="175"/>
      <c r="G730" s="183"/>
      <c r="H730" s="181"/>
      <c r="I730" s="181"/>
      <c r="J730" s="181"/>
      <c r="K730" s="181"/>
    </row>
    <row r="731" spans="1:11" ht="14.25">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309</v>
      </c>
      <c r="C743" s="273"/>
      <c r="D743" s="1296" t="s">
        <v>1146</v>
      </c>
      <c r="E743" s="1296"/>
      <c r="F743" s="1296"/>
      <c r="G743" s="210"/>
    </row>
    <row r="744" spans="1:11" s="274" customFormat="1">
      <c r="A744" s="273"/>
      <c r="B744" s="273"/>
      <c r="C744" s="273"/>
      <c r="D744" s="1296"/>
      <c r="E744" s="1296"/>
      <c r="F744" s="1296"/>
      <c r="G744" s="210"/>
    </row>
    <row r="745" spans="1:11" s="274" customFormat="1">
      <c r="A745" s="273"/>
      <c r="B745" s="273"/>
      <c r="C745" s="273"/>
      <c r="D745" s="1296"/>
      <c r="E745" s="1296"/>
      <c r="F745" s="1296"/>
      <c r="G745" s="210"/>
    </row>
    <row r="746" spans="1:11">
      <c r="D746" s="255"/>
      <c r="E746" s="35"/>
      <c r="F746" s="35"/>
      <c r="G746" s="183"/>
      <c r="H746" s="181"/>
      <c r="I746" s="181"/>
      <c r="J746" s="181"/>
      <c r="K746" s="181"/>
    </row>
    <row r="747" spans="1:11" ht="14.25">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84" t="s">
        <v>1149</v>
      </c>
      <c r="B754" s="1284"/>
      <c r="C754" s="1284"/>
      <c r="D754" s="1284"/>
      <c r="E754" s="1284"/>
      <c r="F754" s="1284"/>
      <c r="G754" s="1284"/>
    </row>
    <row r="755" spans="1:11">
      <c r="A755" s="175"/>
      <c r="B755" s="175"/>
      <c r="C755" s="175"/>
      <c r="D755" s="184"/>
      <c r="F755" s="35"/>
      <c r="G755" s="183"/>
    </row>
    <row r="756" spans="1:11">
      <c r="D756" s="1292" t="s">
        <v>1133</v>
      </c>
      <c r="E756" s="1292"/>
      <c r="F756" s="1292"/>
      <c r="G756" s="183"/>
    </row>
    <row r="757" spans="1:11">
      <c r="A757" s="346"/>
      <c r="B757" s="346"/>
      <c r="C757" s="346"/>
      <c r="D757" s="1293" t="s">
        <v>1150</v>
      </c>
      <c r="E757" s="1293"/>
      <c r="F757" s="1293"/>
      <c r="G757" s="183"/>
    </row>
    <row r="758" spans="1:11">
      <c r="D758" s="434"/>
      <c r="E758" s="434"/>
      <c r="F758" s="434"/>
      <c r="G758" s="183"/>
    </row>
    <row r="759" spans="1:11" ht="14.25">
      <c r="A759" s="176"/>
      <c r="B759" s="469" t="s">
        <v>309</v>
      </c>
      <c r="D759" s="1293" t="s">
        <v>1027</v>
      </c>
      <c r="E759" s="1293"/>
      <c r="F759" s="1293"/>
      <c r="G759" s="183"/>
    </row>
    <row r="760" spans="1:11">
      <c r="D760" s="434"/>
      <c r="E760" s="1294" t="s">
        <v>1134</v>
      </c>
      <c r="F760" s="1294"/>
      <c r="G760" s="183"/>
    </row>
    <row r="761" spans="1:11">
      <c r="A761" s="172"/>
      <c r="B761" s="172"/>
      <c r="C761" s="172"/>
      <c r="D761" s="35"/>
      <c r="G761" s="183"/>
    </row>
    <row r="762" spans="1:11">
      <c r="A762" s="1291" t="s">
        <v>451</v>
      </c>
      <c r="B762" s="1291"/>
      <c r="C762" s="1291"/>
      <c r="D762" s="1291"/>
      <c r="E762" s="1291"/>
      <c r="F762" s="1291"/>
      <c r="G762" s="1291"/>
    </row>
    <row r="763" spans="1:11">
      <c r="A763" s="172"/>
      <c r="B763" s="172"/>
      <c r="C763" s="179"/>
      <c r="D763" s="183"/>
      <c r="E763" s="183"/>
      <c r="F763" s="183"/>
      <c r="G763" s="183"/>
    </row>
    <row r="764" spans="1:11">
      <c r="A764" s="35"/>
      <c r="B764" s="1287" t="s">
        <v>1026</v>
      </c>
      <c r="C764" s="1287"/>
      <c r="D764" s="1287"/>
      <c r="E764" s="1287"/>
      <c r="F764" s="1287"/>
      <c r="G764" s="183"/>
    </row>
    <row r="765" spans="1:11">
      <c r="A765" s="13"/>
      <c r="B765" s="13"/>
      <c r="G765" s="183"/>
    </row>
    <row r="766" spans="1:11">
      <c r="A766" s="1291" t="s">
        <v>452</v>
      </c>
      <c r="B766" s="1291"/>
      <c r="C766" s="1291"/>
      <c r="D766" s="1291"/>
      <c r="E766" s="1291"/>
      <c r="F766" s="1291"/>
      <c r="G766" s="1291"/>
    </row>
    <row r="767" spans="1:11">
      <c r="A767" s="172"/>
      <c r="B767" s="172"/>
      <c r="C767" s="172"/>
      <c r="D767" s="178"/>
      <c r="G767" s="183"/>
    </row>
    <row r="768" spans="1:11">
      <c r="A768" s="35"/>
      <c r="B768" s="1283" t="s">
        <v>450</v>
      </c>
      <c r="C768" s="1283"/>
      <c r="D768" s="1283"/>
      <c r="E768" s="1283"/>
      <c r="F768" s="1283"/>
      <c r="G768" s="183"/>
    </row>
    <row r="769" spans="1:7" ht="14.25">
      <c r="A769" s="176"/>
      <c r="B769" s="176"/>
      <c r="D769" s="35"/>
      <c r="E769" s="35"/>
      <c r="F769" s="183"/>
      <c r="G769" s="183"/>
    </row>
    <row r="770" spans="1:7">
      <c r="A770" s="1291" t="s">
        <v>453</v>
      </c>
      <c r="B770" s="1291"/>
      <c r="C770" s="1291"/>
      <c r="D770" s="1291"/>
      <c r="E770" s="1291"/>
      <c r="F770" s="1291"/>
      <c r="G770" s="1291"/>
    </row>
    <row r="771" spans="1:7">
      <c r="C771" s="175"/>
      <c r="D771" s="173"/>
      <c r="E771" s="35"/>
      <c r="F771" s="183"/>
      <c r="G771" s="183"/>
    </row>
    <row r="772" spans="1:7">
      <c r="A772" s="35"/>
      <c r="B772" s="1283" t="s">
        <v>450</v>
      </c>
      <c r="C772" s="1283"/>
      <c r="D772" s="1283"/>
      <c r="E772" s="1283"/>
      <c r="F772" s="1283"/>
      <c r="G772" s="183"/>
    </row>
    <row r="773" spans="1:7">
      <c r="A773" s="35"/>
      <c r="B773" s="35"/>
      <c r="C773" s="179"/>
      <c r="D773" s="183"/>
      <c r="E773" s="183"/>
      <c r="F773" s="183"/>
      <c r="G773" s="183"/>
    </row>
    <row r="774" spans="1:7">
      <c r="A774" s="1291" t="s">
        <v>454</v>
      </c>
      <c r="B774" s="1291"/>
      <c r="C774" s="1291"/>
      <c r="D774" s="1291"/>
      <c r="E774" s="1291"/>
      <c r="F774" s="1291"/>
      <c r="G774" s="1291"/>
    </row>
    <row r="775" spans="1:7">
      <c r="A775" s="35"/>
      <c r="B775" s="35"/>
    </row>
    <row r="776" spans="1:7">
      <c r="A776" s="35"/>
      <c r="B776" s="1283" t="s">
        <v>450</v>
      </c>
      <c r="C776" s="1283"/>
      <c r="D776" s="1283"/>
      <c r="E776" s="1283"/>
      <c r="F776" s="1283"/>
    </row>
    <row r="777" spans="1:7">
      <c r="A777" s="179"/>
      <c r="B777" s="179"/>
      <c r="C777" s="179"/>
      <c r="D777" s="174"/>
      <c r="F777" s="183"/>
    </row>
    <row r="778" spans="1:7">
      <c r="A778" s="1291" t="s">
        <v>455</v>
      </c>
      <c r="B778" s="1291"/>
      <c r="C778" s="1291"/>
      <c r="D778" s="1291"/>
      <c r="E778" s="1291"/>
      <c r="F778" s="1291"/>
      <c r="G778" s="1291"/>
    </row>
    <row r="779" spans="1:7">
      <c r="A779" s="35"/>
      <c r="B779" s="35"/>
    </row>
    <row r="780" spans="1:7">
      <c r="A780" s="35"/>
      <c r="B780" s="1283" t="s">
        <v>450</v>
      </c>
      <c r="C780" s="1283"/>
      <c r="D780" s="1283"/>
      <c r="E780" s="1283"/>
      <c r="F780" s="1283"/>
    </row>
    <row r="781" spans="1:7">
      <c r="A781" s="179"/>
      <c r="B781" s="179"/>
      <c r="C781" s="179"/>
      <c r="D781" s="174"/>
      <c r="F781" s="183"/>
    </row>
    <row r="782" spans="1:7">
      <c r="A782" s="1291" t="s">
        <v>456</v>
      </c>
      <c r="B782" s="1291"/>
      <c r="C782" s="1291"/>
      <c r="D782" s="1291"/>
      <c r="E782" s="1291"/>
      <c r="F782" s="1291"/>
      <c r="G782" s="1291"/>
    </row>
    <row r="783" spans="1:7">
      <c r="A783" s="35"/>
      <c r="B783" s="35"/>
    </row>
    <row r="784" spans="1:7">
      <c r="A784" s="35"/>
      <c r="B784" s="1283" t="s">
        <v>450</v>
      </c>
      <c r="C784" s="1283"/>
      <c r="D784" s="1283"/>
      <c r="E784" s="1283"/>
      <c r="F784" s="1283"/>
    </row>
    <row r="785" spans="1:7">
      <c r="D785" s="174"/>
    </row>
    <row r="786" spans="1:7">
      <c r="A786" s="1291" t="s">
        <v>188</v>
      </c>
      <c r="B786" s="1291"/>
      <c r="C786" s="1291"/>
      <c r="D786" s="1291"/>
      <c r="E786" s="1291"/>
      <c r="F786" s="1291"/>
      <c r="G786" s="1291"/>
    </row>
    <row r="787" spans="1:7">
      <c r="A787" s="35"/>
      <c r="B787" s="35"/>
    </row>
    <row r="788" spans="1:7">
      <c r="A788" s="35"/>
      <c r="B788" s="1283" t="s">
        <v>450</v>
      </c>
      <c r="C788" s="1283"/>
      <c r="D788" s="1283"/>
      <c r="E788" s="1283"/>
      <c r="F788" s="1283"/>
    </row>
    <row r="789" spans="1:7">
      <c r="A789" s="35"/>
      <c r="B789" s="35"/>
      <c r="D789" s="174"/>
    </row>
    <row r="790" spans="1:7">
      <c r="A790" s="1291" t="s">
        <v>903</v>
      </c>
      <c r="B790" s="1291"/>
      <c r="C790" s="1291"/>
      <c r="D790" s="1291"/>
      <c r="E790" s="1291"/>
      <c r="F790" s="1291"/>
      <c r="G790" s="1291"/>
    </row>
    <row r="791" spans="1:7">
      <c r="A791" s="35"/>
      <c r="B791" s="35"/>
    </row>
    <row r="792" spans="1:7">
      <c r="A792" s="35"/>
      <c r="B792" s="1283" t="s">
        <v>450</v>
      </c>
      <c r="C792" s="1283"/>
      <c r="D792" s="1283"/>
      <c r="E792" s="1283"/>
      <c r="F792" s="128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6" t="s">
        <v>2137</v>
      </c>
      <c r="B2" s="1317"/>
      <c r="C2" s="1317"/>
      <c r="D2" s="1317"/>
      <c r="E2" s="1317"/>
      <c r="F2" s="1317"/>
      <c r="G2" s="1317"/>
      <c r="H2" s="1317"/>
      <c r="I2" s="1317"/>
      <c r="J2" s="1317"/>
    </row>
    <row r="3" spans="1:10" ht="15">
      <c r="A3" s="1320" t="s">
        <v>1429</v>
      </c>
      <c r="B3" s="1321"/>
      <c r="C3" s="1321"/>
      <c r="D3" s="1321"/>
      <c r="E3" s="1321"/>
      <c r="F3" s="1321"/>
      <c r="G3" s="1321"/>
      <c r="H3" s="1321"/>
      <c r="I3" s="1321"/>
      <c r="J3" s="1321"/>
    </row>
    <row r="4" spans="1:10" ht="12.75"/>
    <row r="5" spans="1:10" ht="12.75" customHeight="1">
      <c r="A5" s="1318" t="s">
        <v>2447</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8"/>
      <c r="B8" s="448"/>
      <c r="C8" s="448"/>
      <c r="D8" s="448"/>
      <c r="E8" s="448"/>
      <c r="F8" s="448"/>
      <c r="G8" s="448"/>
      <c r="H8" s="448"/>
      <c r="I8" s="448"/>
      <c r="J8" s="448"/>
    </row>
    <row r="9" spans="1:10" ht="12.75" customHeight="1">
      <c r="A9" s="434" t="s">
        <v>2140</v>
      </c>
      <c r="B9" s="448"/>
      <c r="C9" s="448"/>
      <c r="D9" s="448"/>
      <c r="E9" s="448"/>
      <c r="F9" s="448"/>
      <c r="G9" s="448"/>
      <c r="H9" s="448"/>
      <c r="I9" s="448"/>
      <c r="J9" s="448"/>
    </row>
    <row r="10" spans="1:10" ht="12.75"/>
    <row r="11" spans="1:10" ht="12.75" customHeight="1">
      <c r="A11" s="1322" t="s">
        <v>2142</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9"/>
      <c r="B17" s="559"/>
      <c r="C17" s="559"/>
      <c r="D17" s="559"/>
      <c r="E17" s="559"/>
      <c r="F17" s="559"/>
      <c r="G17" s="559"/>
      <c r="H17" s="559"/>
      <c r="I17" s="559"/>
      <c r="J17" s="559"/>
    </row>
    <row r="18" spans="1:10" ht="12.75">
      <c r="A18" s="511" t="s">
        <v>2141</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1" t="s">
        <v>1333</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1334</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2138</v>
      </c>
      <c r="B72" s="1319"/>
      <c r="C72" s="1319"/>
      <c r="D72" s="1319"/>
      <c r="E72" s="1319"/>
      <c r="F72" s="1319"/>
      <c r="G72" s="1319"/>
      <c r="H72" s="1319"/>
      <c r="I72" s="1319"/>
    </row>
    <row r="73" spans="1:9" ht="12.75">
      <c r="A73" s="1270" t="s">
        <v>2445</v>
      </c>
      <c r="B73" s="1270"/>
      <c r="C73" s="1270"/>
      <c r="D73" s="1270"/>
      <c r="E73" s="1270"/>
    </row>
    <row r="74" spans="1:9" ht="12.75">
      <c r="A74" s="1270" t="s">
        <v>2446</v>
      </c>
      <c r="B74" s="1270"/>
      <c r="C74" s="1270"/>
      <c r="D74" s="1270"/>
      <c r="E74" s="1270"/>
    </row>
    <row r="75" spans="1:9" ht="12.75">
      <c r="A75" s="1270" t="s">
        <v>2139</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69" zoomScaleNormal="100" zoomScaleSheetLayoutView="100" workbookViewId="0">
      <selection activeCell="D20" sqref="D20:F21"/>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3" t="s">
        <v>2613</v>
      </c>
      <c r="B2" s="1323"/>
      <c r="C2" s="1323"/>
      <c r="D2" s="1323"/>
      <c r="E2" s="1323"/>
      <c r="F2" s="1323"/>
      <c r="G2" s="1323"/>
      <c r="H2" s="1323"/>
      <c r="I2" s="1323"/>
    </row>
    <row r="3" spans="1:13">
      <c r="A3" s="1324" t="s">
        <v>2005</v>
      </c>
      <c r="B3" s="1324"/>
      <c r="C3" s="1324"/>
      <c r="D3" s="1324"/>
      <c r="E3" s="1324"/>
      <c r="F3" s="1324"/>
      <c r="G3" s="1324"/>
      <c r="H3" s="1324"/>
      <c r="I3" s="1324"/>
    </row>
    <row r="4" spans="1:13">
      <c r="A4" s="1324"/>
      <c r="B4" s="1324"/>
      <c r="C4" s="1321"/>
      <c r="D4" s="1321"/>
      <c r="E4" s="1321"/>
      <c r="F4" s="1321"/>
      <c r="G4" s="1321"/>
    </row>
    <row r="5" spans="1:13">
      <c r="A5" s="1324"/>
      <c r="B5" s="1324"/>
      <c r="C5" s="1321"/>
      <c r="D5" s="1321"/>
      <c r="E5" s="1321"/>
      <c r="F5" s="1321"/>
      <c r="G5" s="1321"/>
    </row>
    <row r="6" spans="1:13">
      <c r="A6" s="1323" t="s">
        <v>1203</v>
      </c>
      <c r="B6" s="1323"/>
      <c r="C6" s="1335"/>
      <c r="D6" s="1335"/>
      <c r="E6" s="1335"/>
      <c r="F6" s="1335"/>
      <c r="G6" s="1335"/>
      <c r="I6" s="525" t="s">
        <v>2148</v>
      </c>
    </row>
    <row r="7" spans="1:13">
      <c r="A7" s="1323" t="s">
        <v>1204</v>
      </c>
      <c r="B7" s="1323"/>
      <c r="C7" s="1335"/>
      <c r="D7" s="1335"/>
      <c r="E7" s="1335"/>
      <c r="F7" s="1335"/>
      <c r="G7" s="1335"/>
      <c r="I7" s="525" t="s">
        <v>2149</v>
      </c>
    </row>
    <row r="8" spans="1:13">
      <c r="A8" s="516"/>
      <c r="B8" s="516"/>
      <c r="C8" s="517"/>
      <c r="D8" s="517"/>
      <c r="E8" s="517"/>
      <c r="F8" s="517"/>
    </row>
    <row r="9" spans="1:13">
      <c r="A9" s="1284" t="s">
        <v>1206</v>
      </c>
      <c r="B9" s="1284"/>
      <c r="C9" s="1284"/>
      <c r="D9" s="1284"/>
      <c r="E9" s="1284"/>
      <c r="F9" s="1284"/>
      <c r="G9" s="1284"/>
      <c r="H9" s="1071"/>
      <c r="I9" s="1072"/>
    </row>
    <row r="10" spans="1:13">
      <c r="A10" s="517"/>
      <c r="B10" s="517"/>
      <c r="E10" s="436"/>
    </row>
    <row r="11" spans="1:13" ht="13.7" customHeight="1">
      <c r="C11" s="517"/>
      <c r="D11" s="1336" t="s">
        <v>1205</v>
      </c>
      <c r="E11" s="1336"/>
      <c r="F11" s="1336"/>
    </row>
    <row r="12" spans="1:13">
      <c r="C12" s="517"/>
      <c r="D12" s="1336"/>
      <c r="E12" s="1336"/>
      <c r="F12" s="1336"/>
    </row>
    <row r="13" spans="1:13">
      <c r="A13" s="518"/>
      <c r="B13" s="518"/>
      <c r="C13" s="518"/>
      <c r="D13" s="1307" t="s">
        <v>1188</v>
      </c>
      <c r="E13" s="1307"/>
      <c r="F13" s="1307"/>
      <c r="M13" s="96"/>
    </row>
    <row r="14" spans="1:13">
      <c r="A14" s="518"/>
      <c r="B14" s="518"/>
      <c r="C14" s="518"/>
      <c r="D14" s="511"/>
      <c r="L14" s="336"/>
    </row>
    <row r="15" spans="1:13" ht="14.25">
      <c r="A15" s="519"/>
      <c r="B15" s="520" t="s">
        <v>2755</v>
      </c>
      <c r="C15" s="518"/>
      <c r="D15" s="1278" t="s">
        <v>2306</v>
      </c>
      <c r="E15" s="1278"/>
      <c r="F15" s="1278"/>
      <c r="I15" s="436" t="s">
        <v>2150</v>
      </c>
    </row>
    <row r="16" spans="1:13">
      <c r="A16" s="518"/>
      <c r="B16" s="518"/>
      <c r="C16" s="518"/>
      <c r="D16" s="1278"/>
      <c r="E16" s="1278"/>
      <c r="F16" s="1278"/>
    </row>
    <row r="17" spans="1:9">
      <c r="A17" s="518"/>
      <c r="B17" s="518"/>
      <c r="C17" s="518"/>
      <c r="D17" s="1278"/>
      <c r="E17" s="1278"/>
      <c r="F17" s="1278"/>
    </row>
    <row r="18" spans="1:9">
      <c r="A18" s="518"/>
      <c r="B18" s="518"/>
      <c r="C18" s="518"/>
      <c r="D18" s="480"/>
      <c r="E18" s="336" t="s">
        <v>2304</v>
      </c>
      <c r="F18" s="480"/>
    </row>
    <row r="19" spans="1:9">
      <c r="A19" s="518"/>
      <c r="B19" s="518"/>
      <c r="C19" s="518"/>
    </row>
    <row r="20" spans="1:9" ht="14.25">
      <c r="A20" s="519"/>
      <c r="B20" s="520" t="s">
        <v>2755</v>
      </c>
      <c r="D20" s="1278" t="s">
        <v>2307</v>
      </c>
      <c r="E20" s="1278"/>
      <c r="F20" s="1278"/>
      <c r="I20" s="436" t="s">
        <v>2151</v>
      </c>
    </row>
    <row r="21" spans="1:9" ht="14.25">
      <c r="A21" s="519"/>
      <c r="D21" s="1278"/>
      <c r="E21" s="1278"/>
      <c r="F21" s="1278"/>
    </row>
    <row r="22" spans="1:9" ht="14.25">
      <c r="A22" s="519"/>
      <c r="D22" s="424"/>
      <c r="E22" s="96" t="s">
        <v>2303</v>
      </c>
      <c r="F22" s="424"/>
    </row>
    <row r="23" spans="1:9" ht="14.25">
      <c r="A23" s="519"/>
      <c r="B23" s="519"/>
      <c r="D23" s="481"/>
    </row>
    <row r="24" spans="1:9" ht="14.25">
      <c r="A24" s="519"/>
      <c r="B24" s="520" t="s">
        <v>2756</v>
      </c>
      <c r="D24" s="1278" t="s">
        <v>1191</v>
      </c>
      <c r="E24" s="1278"/>
      <c r="F24" s="1278"/>
      <c r="I24" s="436" t="s">
        <v>2151</v>
      </c>
    </row>
    <row r="25" spans="1:9" ht="14.25">
      <c r="A25" s="519"/>
      <c r="B25" s="519"/>
      <c r="D25" s="1278"/>
      <c r="E25" s="1278"/>
      <c r="F25" s="1278"/>
    </row>
    <row r="26" spans="1:9"/>
    <row r="27" spans="1:9" ht="14.25">
      <c r="A27" s="519"/>
      <c r="B27" s="520" t="s">
        <v>2756</v>
      </c>
      <c r="D27" s="1278" t="s">
        <v>2448</v>
      </c>
      <c r="E27" s="1278"/>
      <c r="F27" s="1278"/>
      <c r="I27" s="436" t="s">
        <v>2154</v>
      </c>
    </row>
    <row r="28" spans="1:9">
      <c r="D28" s="1278"/>
      <c r="E28" s="1278"/>
      <c r="F28" s="1278"/>
    </row>
    <row r="29" spans="1:9">
      <c r="D29" s="1278"/>
      <c r="E29" s="1278"/>
      <c r="F29" s="1278"/>
    </row>
    <row r="30" spans="1:9">
      <c r="D30" s="1278"/>
      <c r="E30" s="1278"/>
      <c r="F30" s="1278"/>
    </row>
    <row r="31" spans="1:9">
      <c r="D31" s="1278"/>
      <c r="E31" s="1278"/>
      <c r="F31" s="1278"/>
    </row>
    <row r="32" spans="1:9">
      <c r="D32" s="482"/>
    </row>
    <row r="33" spans="1:9">
      <c r="B33" s="520" t="s">
        <v>2756</v>
      </c>
      <c r="D33" s="1278" t="s">
        <v>2449</v>
      </c>
      <c r="E33" s="1278"/>
      <c r="F33" s="1278"/>
      <c r="I33" s="436" t="s">
        <v>2150</v>
      </c>
    </row>
    <row r="34" spans="1:9">
      <c r="D34" s="1278"/>
      <c r="E34" s="1278"/>
      <c r="F34" s="1278"/>
    </row>
    <row r="35" spans="1:9" ht="14.25">
      <c r="A35" s="519"/>
      <c r="B35" s="519"/>
      <c r="D35" s="482"/>
    </row>
    <row r="36" spans="1:9" ht="14.45" customHeight="1">
      <c r="A36" s="519"/>
      <c r="B36" s="520" t="s">
        <v>2756</v>
      </c>
      <c r="D36" s="1278" t="s">
        <v>1358</v>
      </c>
      <c r="E36" s="1278"/>
      <c r="F36" s="1278"/>
      <c r="I36" s="436" t="s">
        <v>2221</v>
      </c>
    </row>
    <row r="37" spans="1:9" ht="14.25">
      <c r="A37" s="519"/>
      <c r="B37" s="519"/>
      <c r="D37" s="1278"/>
      <c r="E37" s="1278"/>
      <c r="F37" s="1278"/>
    </row>
    <row r="38" spans="1:9" ht="14.25">
      <c r="A38" s="519"/>
      <c r="B38" s="519"/>
      <c r="D38" s="1278"/>
      <c r="E38" s="1278"/>
      <c r="F38" s="1278"/>
    </row>
    <row r="39" spans="1:9" ht="14.25">
      <c r="A39" s="519"/>
      <c r="B39" s="519"/>
      <c r="D39" s="1278"/>
      <c r="E39" s="1278"/>
      <c r="F39" s="1278"/>
    </row>
    <row r="40" spans="1:9" ht="14.25">
      <c r="A40" s="519"/>
      <c r="B40" s="519"/>
    </row>
    <row r="41" spans="1:9" ht="14.25">
      <c r="A41" s="519"/>
      <c r="B41" s="520" t="s">
        <v>2756</v>
      </c>
      <c r="D41" s="1278" t="s">
        <v>1195</v>
      </c>
      <c r="E41" s="1278"/>
      <c r="F41" s="1278"/>
    </row>
    <row r="42" spans="1:9" ht="14.25">
      <c r="A42" s="519"/>
      <c r="B42" s="519"/>
      <c r="D42" s="1278"/>
      <c r="E42" s="1278"/>
      <c r="F42" s="1278"/>
    </row>
    <row r="43" spans="1:9" ht="14.25">
      <c r="A43" s="519"/>
      <c r="B43" s="519"/>
      <c r="D43" s="1278"/>
      <c r="E43" s="1278"/>
      <c r="F43" s="1278"/>
    </row>
    <row r="44" spans="1:9" ht="14.25">
      <c r="A44" s="519"/>
      <c r="B44" s="519"/>
      <c r="D44" s="1278"/>
      <c r="E44" s="1278"/>
      <c r="F44" s="1278"/>
    </row>
    <row r="45" spans="1:9" ht="14.25">
      <c r="A45" s="519"/>
      <c r="B45" s="519"/>
      <c r="D45" s="1278"/>
      <c r="E45" s="1278"/>
      <c r="F45" s="1278"/>
    </row>
    <row r="46" spans="1:9" ht="14.25">
      <c r="A46" s="519"/>
      <c r="B46" s="519"/>
      <c r="D46" s="480"/>
      <c r="E46" s="480"/>
      <c r="F46" s="480"/>
    </row>
    <row r="47" spans="1:9" ht="14.25">
      <c r="A47" s="519"/>
      <c r="B47" s="520" t="s">
        <v>2756</v>
      </c>
      <c r="D47" s="1278" t="s">
        <v>1196</v>
      </c>
      <c r="E47" s="1278"/>
      <c r="F47" s="1278"/>
      <c r="I47" s="436" t="s">
        <v>2221</v>
      </c>
    </row>
    <row r="48" spans="1:9" ht="14.25">
      <c r="A48" s="519"/>
      <c r="B48" s="519"/>
      <c r="D48" s="1278"/>
      <c r="E48" s="1278"/>
      <c r="F48" s="1278"/>
    </row>
    <row r="49" spans="1:9" ht="14.25">
      <c r="A49" s="519"/>
      <c r="B49" s="519"/>
      <c r="D49" s="1278"/>
      <c r="E49" s="1278"/>
      <c r="F49" s="1278"/>
    </row>
    <row r="50" spans="1:9" ht="23.25" customHeight="1">
      <c r="A50" s="519"/>
      <c r="B50" s="519"/>
      <c r="D50" s="1278"/>
      <c r="E50" s="1278"/>
      <c r="F50" s="1278"/>
    </row>
    <row r="51" spans="1:9" ht="14.25">
      <c r="A51" s="519"/>
      <c r="B51" s="519"/>
      <c r="D51" s="481"/>
    </row>
    <row r="52" spans="1:9" ht="14.45" customHeight="1">
      <c r="A52" s="519"/>
      <c r="B52" s="520" t="s">
        <v>2756</v>
      </c>
      <c r="D52" s="1278" t="s">
        <v>1197</v>
      </c>
      <c r="E52" s="1278"/>
      <c r="F52" s="1278"/>
      <c r="I52" s="436" t="s">
        <v>2221</v>
      </c>
    </row>
    <row r="53" spans="1:9" ht="14.25">
      <c r="A53" s="519"/>
      <c r="B53" s="519"/>
      <c r="D53" s="1278"/>
      <c r="E53" s="1278"/>
      <c r="F53" s="1278"/>
    </row>
    <row r="54" spans="1:9" ht="14.25">
      <c r="A54" s="519"/>
      <c r="B54" s="519"/>
      <c r="D54" s="1278"/>
      <c r="E54" s="1278"/>
      <c r="F54" s="1278"/>
    </row>
    <row r="55" spans="1:9" ht="14.25">
      <c r="A55" s="519"/>
      <c r="B55" s="519"/>
    </row>
    <row r="56" spans="1:9" ht="14.25">
      <c r="A56" s="519"/>
      <c r="B56" s="520" t="s">
        <v>2755</v>
      </c>
      <c r="D56" s="1337" t="s">
        <v>1198</v>
      </c>
      <c r="E56" s="1337"/>
      <c r="F56" s="1337"/>
    </row>
    <row r="57" spans="1:9" ht="14.25">
      <c r="A57" s="519"/>
      <c r="B57" s="519"/>
      <c r="D57" s="1337"/>
      <c r="E57" s="1337"/>
      <c r="F57" s="1337"/>
    </row>
    <row r="58" spans="1:9" ht="14.25">
      <c r="A58" s="519"/>
      <c r="B58" s="519"/>
      <c r="D58" s="424" t="s">
        <v>2305</v>
      </c>
      <c r="E58" s="480"/>
      <c r="F58" s="480"/>
    </row>
    <row r="59" spans="1:9" ht="14.25">
      <c r="A59" s="519"/>
      <c r="B59" s="519"/>
      <c r="D59" s="480"/>
      <c r="E59" s="336" t="s">
        <v>2304</v>
      </c>
      <c r="F59" s="480"/>
    </row>
    <row r="60" spans="1:9">
      <c r="D60" s="482"/>
    </row>
    <row r="61" spans="1:9" ht="14.25">
      <c r="A61" s="519"/>
      <c r="B61" s="520" t="s">
        <v>2756</v>
      </c>
      <c r="D61" s="1278" t="s">
        <v>1199</v>
      </c>
      <c r="E61" s="1278"/>
      <c r="F61" s="1278"/>
      <c r="I61" s="436" t="s">
        <v>2152</v>
      </c>
    </row>
    <row r="62" spans="1:9">
      <c r="D62" s="1278"/>
      <c r="E62" s="1278"/>
      <c r="F62" s="1278"/>
    </row>
    <row r="63" spans="1:9">
      <c r="D63" s="1278"/>
      <c r="E63" s="1278"/>
      <c r="F63" s="1278"/>
    </row>
    <row r="64" spans="1:9"/>
    <row r="65" spans="1:9" ht="14.25">
      <c r="A65" s="519"/>
      <c r="B65" s="520" t="s">
        <v>2755</v>
      </c>
      <c r="D65" s="1278" t="s">
        <v>1200</v>
      </c>
      <c r="E65" s="1278"/>
      <c r="F65" s="1278"/>
      <c r="I65" s="436" t="s">
        <v>2153</v>
      </c>
    </row>
    <row r="66" spans="1:9">
      <c r="D66" s="1278"/>
      <c r="E66" s="1278"/>
      <c r="F66" s="1278"/>
    </row>
    <row r="67" spans="1:9"/>
    <row r="68" spans="1:9" ht="14.25">
      <c r="A68" s="519"/>
      <c r="B68" s="520" t="s">
        <v>2756</v>
      </c>
      <c r="D68" s="1278" t="s">
        <v>1201</v>
      </c>
      <c r="E68" s="1278"/>
      <c r="F68" s="1278"/>
    </row>
    <row r="69" spans="1:9">
      <c r="D69" s="1278"/>
      <c r="E69" s="1278"/>
      <c r="F69" s="1278"/>
      <c r="I69" s="436" t="s">
        <v>2154</v>
      </c>
    </row>
    <row r="70" spans="1:9">
      <c r="D70" s="1278"/>
      <c r="E70" s="1278"/>
      <c r="F70" s="1278"/>
    </row>
    <row r="71" spans="1:9"/>
    <row r="72" spans="1:9" ht="14.25">
      <c r="A72" s="519"/>
      <c r="B72" s="520" t="s">
        <v>2756</v>
      </c>
      <c r="D72" s="1278" t="s">
        <v>1202</v>
      </c>
      <c r="E72" s="1278"/>
      <c r="F72" s="1278"/>
      <c r="I72" s="436" t="s">
        <v>2154</v>
      </c>
    </row>
    <row r="73" spans="1:9">
      <c r="D73" s="1278"/>
      <c r="E73" s="1278"/>
      <c r="F73" s="1278"/>
    </row>
    <row r="74" spans="1:9" ht="14.25">
      <c r="A74" s="519"/>
      <c r="B74" s="519"/>
      <c r="D74" s="481"/>
    </row>
    <row r="75" spans="1:9">
      <c r="A75" s="1284" t="s">
        <v>1109</v>
      </c>
      <c r="B75" s="1284"/>
      <c r="C75" s="1284"/>
      <c r="D75" s="1284"/>
      <c r="E75" s="1284"/>
      <c r="F75" s="1284"/>
      <c r="G75" s="1284"/>
      <c r="H75" s="1071"/>
      <c r="I75" s="1072"/>
    </row>
    <row r="76" spans="1:9"/>
    <row r="77" spans="1:9">
      <c r="C77" s="521"/>
      <c r="D77" s="1306" t="s">
        <v>1207</v>
      </c>
      <c r="E77" s="1306"/>
      <c r="F77" s="1306"/>
    </row>
    <row r="78" spans="1:9">
      <c r="A78" s="481"/>
      <c r="B78" s="481"/>
      <c r="D78" s="1278" t="s">
        <v>1234</v>
      </c>
      <c r="E78" s="1278"/>
      <c r="F78" s="1278"/>
    </row>
    <row r="79" spans="1:9">
      <c r="A79" s="481"/>
      <c r="B79" s="481"/>
    </row>
    <row r="80" spans="1:9" ht="13.7" customHeight="1">
      <c r="A80" s="519"/>
      <c r="B80" s="520" t="s">
        <v>2755</v>
      </c>
      <c r="D80" s="1278" t="s">
        <v>1403</v>
      </c>
      <c r="E80" s="1278"/>
      <c r="F80" s="1278"/>
      <c r="I80" s="436" t="s">
        <v>2155</v>
      </c>
    </row>
    <row r="81" spans="1:9" ht="14.25">
      <c r="A81" s="519"/>
      <c r="B81" s="519"/>
      <c r="D81" s="1278"/>
      <c r="E81" s="1278"/>
      <c r="F81" s="1278"/>
    </row>
    <row r="82" spans="1:9" ht="14.25">
      <c r="A82" s="519"/>
      <c r="B82" s="519"/>
      <c r="D82" s="1278"/>
      <c r="E82" s="1278"/>
      <c r="F82" s="1278"/>
    </row>
    <row r="83" spans="1:9" ht="14.25">
      <c r="A83" s="519"/>
      <c r="B83" s="519"/>
      <c r="D83" s="1278"/>
      <c r="E83" s="1278"/>
      <c r="F83" s="1278"/>
    </row>
    <row r="84" spans="1:9" ht="14.25">
      <c r="A84" s="519"/>
      <c r="B84" s="519"/>
      <c r="D84" s="1278"/>
      <c r="E84" s="1278"/>
      <c r="F84" s="1278"/>
    </row>
    <row r="85" spans="1:9" ht="14.25">
      <c r="A85" s="519"/>
      <c r="B85" s="519"/>
      <c r="D85" s="1278"/>
      <c r="E85" s="1278"/>
      <c r="F85" s="1278"/>
    </row>
    <row r="86" spans="1:9" ht="14.25">
      <c r="A86" s="519"/>
      <c r="B86" s="519"/>
      <c r="D86" s="1278"/>
      <c r="E86" s="1278"/>
      <c r="F86" s="1278"/>
    </row>
    <row r="87" spans="1:9" ht="14.25">
      <c r="A87" s="519"/>
      <c r="B87" s="519"/>
      <c r="D87" s="1278"/>
      <c r="E87" s="1278"/>
      <c r="F87" s="1278"/>
    </row>
    <row r="88" spans="1:9" ht="14.25">
      <c r="A88" s="519"/>
      <c r="B88" s="519"/>
      <c r="D88" s="417"/>
      <c r="E88" s="417"/>
      <c r="F88" s="417"/>
    </row>
    <row r="89" spans="1:9" ht="15" customHeight="1">
      <c r="A89" s="519"/>
      <c r="B89" s="520" t="s">
        <v>2755</v>
      </c>
      <c r="D89" s="1278" t="s">
        <v>2006</v>
      </c>
      <c r="E89" s="1278"/>
      <c r="F89" s="1278"/>
      <c r="I89" s="436" t="s">
        <v>2156</v>
      </c>
    </row>
    <row r="90" spans="1:9" ht="14.25">
      <c r="A90" s="519"/>
      <c r="B90" s="519"/>
      <c r="D90" s="1278"/>
      <c r="E90" s="1278"/>
      <c r="F90" s="1278"/>
    </row>
    <row r="91" spans="1:9" ht="14.25">
      <c r="A91" s="519"/>
      <c r="B91" s="519"/>
      <c r="D91" s="480"/>
      <c r="E91" s="480"/>
      <c r="F91" s="480"/>
    </row>
    <row r="92" spans="1:9" ht="14.25">
      <c r="A92" s="519"/>
      <c r="B92" s="520" t="s">
        <v>2755</v>
      </c>
      <c r="D92" s="1278" t="s">
        <v>2009</v>
      </c>
      <c r="E92" s="1278"/>
      <c r="F92" s="1278"/>
      <c r="I92" s="436" t="s">
        <v>2157</v>
      </c>
    </row>
    <row r="93" spans="1:9" ht="14.25">
      <c r="A93" s="519"/>
      <c r="B93" s="519"/>
      <c r="D93" s="1278"/>
      <c r="E93" s="1278"/>
      <c r="F93" s="1278"/>
    </row>
    <row r="94" spans="1:9" ht="14.25">
      <c r="A94" s="519"/>
      <c r="B94" s="519"/>
      <c r="D94" s="1278"/>
      <c r="E94" s="1278"/>
      <c r="F94" s="1278"/>
    </row>
    <row r="95" spans="1:9" ht="14.25">
      <c r="A95" s="519"/>
      <c r="B95" s="519"/>
      <c r="D95" s="480"/>
      <c r="E95" s="480"/>
      <c r="F95" s="480"/>
    </row>
    <row r="96" spans="1:9" ht="14.25">
      <c r="A96" s="519"/>
      <c r="B96" s="520" t="s">
        <v>2755</v>
      </c>
      <c r="D96" s="1278" t="s">
        <v>2008</v>
      </c>
      <c r="E96" s="1278"/>
      <c r="F96" s="1278"/>
      <c r="I96" s="436" t="s">
        <v>2202</v>
      </c>
    </row>
    <row r="97" spans="1:9" s="1024" customFormat="1" ht="14.25">
      <c r="A97" s="1022"/>
      <c r="B97" s="1022"/>
      <c r="C97" s="1023"/>
      <c r="D97" s="1278"/>
      <c r="E97" s="1278"/>
      <c r="F97" s="1278"/>
      <c r="I97" s="1063"/>
    </row>
    <row r="98" spans="1:9" ht="14.25">
      <c r="A98" s="519"/>
      <c r="B98" s="519"/>
      <c r="D98" s="424"/>
      <c r="E98" s="336" t="s">
        <v>2308</v>
      </c>
      <c r="F98" s="480"/>
    </row>
    <row r="99" spans="1:9" ht="14.25">
      <c r="A99" s="519"/>
      <c r="B99" s="519"/>
      <c r="D99" s="417"/>
      <c r="E99" s="417"/>
      <c r="F99" s="417"/>
    </row>
    <row r="100" spans="1:9" ht="14.25">
      <c r="A100" s="519"/>
      <c r="B100" s="520" t="s">
        <v>2756</v>
      </c>
      <c r="D100" s="1278" t="s">
        <v>2007</v>
      </c>
      <c r="E100" s="1278"/>
      <c r="F100" s="1278"/>
      <c r="I100" s="436" t="s">
        <v>2158</v>
      </c>
    </row>
    <row r="101" spans="1:9" ht="14.25">
      <c r="A101" s="519"/>
      <c r="B101" s="519"/>
      <c r="D101" s="1278"/>
      <c r="E101" s="1278"/>
      <c r="F101" s="1278"/>
    </row>
    <row r="102" spans="1:9" ht="14.25">
      <c r="A102" s="519"/>
      <c r="B102" s="519"/>
      <c r="D102" s="480"/>
      <c r="E102" s="480"/>
      <c r="F102" s="480"/>
    </row>
    <row r="103" spans="1:9" ht="14.45" customHeight="1">
      <c r="A103" s="519"/>
      <c r="B103" s="520" t="s">
        <v>2756</v>
      </c>
      <c r="D103" s="1278" t="s">
        <v>1338</v>
      </c>
      <c r="E103" s="1278"/>
      <c r="F103" s="1278"/>
      <c r="I103" s="436" t="s">
        <v>2159</v>
      </c>
    </row>
    <row r="104" spans="1:9" ht="14.25">
      <c r="A104" s="519"/>
      <c r="B104" s="519"/>
      <c r="D104" s="1278"/>
      <c r="E104" s="1278"/>
      <c r="F104" s="1278"/>
    </row>
    <row r="105" spans="1:9" ht="14.25">
      <c r="A105" s="519"/>
      <c r="B105" s="519"/>
      <c r="D105" s="1278"/>
      <c r="E105" s="1278"/>
      <c r="F105" s="1278"/>
    </row>
    <row r="106" spans="1:9" ht="14.25">
      <c r="A106" s="519"/>
      <c r="B106" s="519"/>
      <c r="D106" s="1278"/>
      <c r="E106" s="1278"/>
      <c r="F106" s="1278"/>
    </row>
    <row r="107" spans="1:9" ht="14.25">
      <c r="A107" s="519"/>
      <c r="B107" s="519"/>
      <c r="D107" s="1278"/>
      <c r="E107" s="1278"/>
      <c r="F107" s="1278"/>
    </row>
    <row r="108" spans="1:9" ht="14.25">
      <c r="A108" s="519"/>
      <c r="B108" s="519"/>
      <c r="D108" s="1278"/>
      <c r="E108" s="1278"/>
      <c r="F108" s="1278"/>
    </row>
    <row r="109" spans="1:9" ht="14.25">
      <c r="A109" s="519"/>
      <c r="B109" s="519"/>
      <c r="D109" s="1278"/>
      <c r="E109" s="1278"/>
      <c r="F109" s="1278"/>
    </row>
    <row r="110" spans="1:9" ht="14.25">
      <c r="A110" s="519"/>
      <c r="B110" s="519"/>
      <c r="D110" s="1278"/>
      <c r="E110" s="1278"/>
      <c r="F110" s="1278"/>
    </row>
    <row r="111" spans="1:9" ht="14.25">
      <c r="A111" s="519"/>
      <c r="B111" s="519"/>
      <c r="D111" s="1278"/>
      <c r="E111" s="1278"/>
      <c r="F111" s="1278"/>
    </row>
    <row r="112" spans="1:9" ht="14.25">
      <c r="A112" s="519"/>
      <c r="B112" s="519"/>
      <c r="D112" s="1278"/>
      <c r="E112" s="1278"/>
      <c r="F112" s="1278"/>
    </row>
    <row r="113" spans="1:9" ht="14.25">
      <c r="A113" s="519"/>
      <c r="B113" s="519"/>
      <c r="D113" s="1278"/>
      <c r="E113" s="1278"/>
      <c r="F113" s="1278"/>
    </row>
    <row r="114" spans="1:9" ht="14.25">
      <c r="A114" s="519"/>
      <c r="B114" s="519"/>
      <c r="D114" s="1278"/>
      <c r="E114" s="1278"/>
      <c r="F114" s="1278"/>
    </row>
    <row r="115" spans="1:9" ht="14.25">
      <c r="A115" s="519"/>
      <c r="B115" s="519"/>
      <c r="D115" s="1278"/>
      <c r="E115" s="1278"/>
      <c r="F115" s="1278"/>
    </row>
    <row r="116" spans="1:9" ht="14.25">
      <c r="A116" s="519"/>
      <c r="B116" s="519"/>
      <c r="D116" s="1278"/>
      <c r="E116" s="1278"/>
      <c r="F116" s="1278"/>
    </row>
    <row r="117" spans="1:9" ht="14.25">
      <c r="A117" s="519"/>
      <c r="B117" s="519"/>
      <c r="D117" s="1278"/>
      <c r="E117" s="1278"/>
      <c r="F117" s="1278"/>
    </row>
    <row r="118" spans="1:9" ht="14.25">
      <c r="A118" s="519"/>
      <c r="B118" s="519"/>
      <c r="D118" s="559"/>
      <c r="E118" s="559"/>
      <c r="F118" s="559"/>
    </row>
    <row r="119" spans="1:9" ht="14.25" customHeight="1">
      <c r="A119" s="519"/>
      <c r="B119" s="520" t="s">
        <v>2756</v>
      </c>
      <c r="D119" s="1305" t="s">
        <v>1209</v>
      </c>
      <c r="E119" s="1305"/>
      <c r="F119" s="1305"/>
    </row>
    <row r="120" spans="1:9" ht="14.25">
      <c r="A120" s="519"/>
      <c r="B120" s="519"/>
      <c r="D120" s="1305"/>
      <c r="E120" s="1305"/>
      <c r="F120" s="1305"/>
    </row>
    <row r="121" spans="1:9" ht="14.25">
      <c r="A121" s="519"/>
      <c r="B121" s="519"/>
      <c r="D121" s="1305"/>
      <c r="E121" s="1305"/>
      <c r="F121" s="1305"/>
    </row>
    <row r="122" spans="1:9" ht="14.25">
      <c r="A122" s="519"/>
      <c r="B122" s="519"/>
      <c r="D122" s="1305"/>
      <c r="E122" s="1305"/>
      <c r="F122" s="1305"/>
    </row>
    <row r="123" spans="1:9" ht="14.25">
      <c r="A123" s="519"/>
      <c r="B123" s="519"/>
      <c r="D123" s="1305"/>
      <c r="E123" s="1305"/>
      <c r="F123" s="1305"/>
    </row>
    <row r="124" spans="1:9" ht="14.25">
      <c r="A124" s="519"/>
      <c r="B124" s="519"/>
      <c r="D124" s="1305"/>
      <c r="E124" s="1305"/>
      <c r="F124" s="1305"/>
    </row>
    <row r="125" spans="1:9" ht="14.25">
      <c r="A125" s="519"/>
      <c r="B125" s="519"/>
      <c r="D125" s="1305"/>
      <c r="E125" s="1305"/>
      <c r="F125" s="1305"/>
    </row>
    <row r="126" spans="1:9" ht="14.25">
      <c r="A126" s="519"/>
      <c r="B126" s="519"/>
      <c r="D126" s="1305"/>
      <c r="E126" s="1305"/>
      <c r="F126" s="1305"/>
    </row>
    <row r="127" spans="1:9">
      <c r="C127" s="434"/>
      <c r="D127" s="560"/>
      <c r="E127" s="560"/>
      <c r="F127" s="560"/>
    </row>
    <row r="128" spans="1:9" ht="14.25">
      <c r="A128" s="519"/>
      <c r="B128" s="520" t="s">
        <v>2756</v>
      </c>
      <c r="C128" s="434"/>
      <c r="D128" s="1305" t="s">
        <v>2450</v>
      </c>
      <c r="E128" s="1305"/>
      <c r="F128" s="1305"/>
      <c r="I128" s="436" t="s">
        <v>2160</v>
      </c>
    </row>
    <row r="129" spans="1:9" ht="14.25">
      <c r="A129" s="519"/>
      <c r="B129" s="519"/>
      <c r="C129" s="434"/>
      <c r="D129" s="1305"/>
      <c r="E129" s="1305"/>
      <c r="F129" s="1305"/>
    </row>
    <row r="130" spans="1:9"/>
    <row r="131" spans="1:9" ht="14.25">
      <c r="A131" s="519"/>
      <c r="B131" s="520" t="s">
        <v>2756</v>
      </c>
      <c r="D131" s="1278" t="s">
        <v>1212</v>
      </c>
      <c r="E131" s="1278"/>
      <c r="F131" s="1278"/>
      <c r="I131" s="436" t="s">
        <v>2160</v>
      </c>
    </row>
    <row r="132" spans="1:9">
      <c r="D132" s="1278"/>
      <c r="E132" s="1278"/>
      <c r="F132" s="1278"/>
    </row>
    <row r="133" spans="1:9">
      <c r="D133" s="1278"/>
      <c r="E133" s="1278"/>
      <c r="F133" s="1278"/>
    </row>
    <row r="134" spans="1:9">
      <c r="D134" s="1278"/>
      <c r="E134" s="1278"/>
      <c r="F134" s="1278"/>
    </row>
    <row r="135" spans="1:9">
      <c r="D135" s="1278"/>
      <c r="E135" s="1278"/>
      <c r="F135" s="1278"/>
    </row>
    <row r="136" spans="1:9"/>
    <row r="137" spans="1:9" ht="14.25">
      <c r="A137" s="519"/>
      <c r="B137" s="520" t="s">
        <v>2755</v>
      </c>
      <c r="D137" s="1278" t="s">
        <v>1213</v>
      </c>
      <c r="E137" s="1278"/>
      <c r="F137" s="1278"/>
      <c r="I137" s="436" t="s">
        <v>2161</v>
      </c>
    </row>
    <row r="138" spans="1:9" s="449" customFormat="1" ht="13.7" customHeight="1">
      <c r="A138" s="523"/>
      <c r="B138" s="523"/>
      <c r="C138" s="523"/>
      <c r="D138" s="1278"/>
      <c r="E138" s="1278"/>
      <c r="F138" s="1278"/>
      <c r="I138" s="1064"/>
    </row>
    <row r="139" spans="1:9" ht="13.7" customHeight="1">
      <c r="D139" s="1278"/>
      <c r="E139" s="1278"/>
      <c r="F139" s="1278"/>
    </row>
    <row r="140" spans="1:9" ht="13.7" customHeight="1">
      <c r="D140" s="1278"/>
      <c r="E140" s="1278"/>
      <c r="F140" s="1278"/>
    </row>
    <row r="141" spans="1:9" ht="13.7" customHeight="1">
      <c r="D141" s="1278"/>
      <c r="E141" s="1278"/>
      <c r="F141" s="1278"/>
    </row>
    <row r="142" spans="1:9" ht="13.7" customHeight="1">
      <c r="A142" s="524"/>
      <c r="B142" s="524"/>
      <c r="D142" s="1278"/>
      <c r="E142" s="1278"/>
      <c r="F142" s="1278"/>
    </row>
    <row r="143" spans="1:9" ht="13.7" customHeight="1">
      <c r="D143" s="1278"/>
      <c r="E143" s="1278"/>
      <c r="F143" s="1278"/>
    </row>
    <row r="144" spans="1:9" ht="13.7" customHeight="1">
      <c r="D144" s="1278"/>
      <c r="E144" s="1278"/>
      <c r="F144" s="1278"/>
    </row>
    <row r="145" spans="2:9" ht="13.7" customHeight="1">
      <c r="D145" s="1278"/>
      <c r="E145" s="1278"/>
      <c r="F145" s="1278"/>
    </row>
    <row r="146" spans="2:9" ht="13.7" customHeight="1">
      <c r="D146" s="1278"/>
      <c r="E146" s="1278"/>
      <c r="F146" s="1278"/>
    </row>
    <row r="147" spans="2:9" ht="13.7" customHeight="1">
      <c r="D147" s="1278"/>
      <c r="E147" s="1278"/>
      <c r="F147" s="1278"/>
    </row>
    <row r="148" spans="2:9" ht="13.7" customHeight="1">
      <c r="D148" s="1278"/>
      <c r="E148" s="1278"/>
      <c r="F148" s="1278"/>
    </row>
    <row r="149" spans="2:9" ht="13.7" customHeight="1">
      <c r="D149" s="1278"/>
      <c r="E149" s="1278"/>
      <c r="F149" s="1278"/>
    </row>
    <row r="150" spans="2:9" ht="13.7" customHeight="1">
      <c r="D150" s="511"/>
      <c r="E150" s="481"/>
      <c r="F150" s="481"/>
    </row>
    <row r="151" spans="2:9" ht="13.7" customHeight="1">
      <c r="B151" s="520" t="s">
        <v>2756</v>
      </c>
      <c r="D151" s="1278" t="s">
        <v>1321</v>
      </c>
      <c r="E151" s="1278"/>
      <c r="F151" s="1278"/>
      <c r="I151" s="436" t="s">
        <v>2162</v>
      </c>
    </row>
    <row r="152" spans="2:9" ht="13.7" customHeight="1">
      <c r="D152" s="1278"/>
      <c r="E152" s="1278"/>
      <c r="F152" s="1278"/>
    </row>
    <row r="153" spans="2:9" ht="13.7" customHeight="1">
      <c r="D153" s="1278"/>
      <c r="E153" s="1278"/>
      <c r="F153" s="1278"/>
    </row>
    <row r="154" spans="2:9" ht="13.7" customHeight="1">
      <c r="D154" s="1278"/>
      <c r="E154" s="1278"/>
      <c r="F154" s="1278"/>
    </row>
    <row r="155" spans="2:9" ht="13.7" customHeight="1">
      <c r="D155" s="1278"/>
      <c r="E155" s="1278"/>
      <c r="F155" s="1278"/>
    </row>
    <row r="156" spans="2:9" ht="13.7" customHeight="1">
      <c r="D156" s="1278"/>
      <c r="E156" s="1278"/>
      <c r="F156" s="1278"/>
    </row>
    <row r="157" spans="2:9" ht="13.7" customHeight="1">
      <c r="D157" s="1278"/>
      <c r="E157" s="1278"/>
      <c r="F157" s="1278"/>
    </row>
    <row r="158" spans="2:9" ht="13.7" customHeight="1">
      <c r="D158" s="1278"/>
      <c r="E158" s="1278"/>
      <c r="F158" s="1278"/>
    </row>
    <row r="159" spans="2:9" ht="13.7" customHeight="1">
      <c r="D159" s="1278"/>
      <c r="E159" s="1278"/>
      <c r="F159" s="1278"/>
    </row>
    <row r="160" spans="2:9" ht="13.7" customHeight="1">
      <c r="D160" s="1278"/>
      <c r="E160" s="1278"/>
      <c r="F160" s="1278"/>
    </row>
    <row r="161" spans="1:9" ht="13.7" customHeight="1">
      <c r="D161" s="1278"/>
      <c r="E161" s="1278"/>
      <c r="F161" s="1278"/>
    </row>
    <row r="162" spans="1:9" ht="13.7" customHeight="1">
      <c r="D162" s="1278"/>
      <c r="E162" s="1278"/>
      <c r="F162" s="1278"/>
    </row>
    <row r="163" spans="1:9" ht="13.7" customHeight="1">
      <c r="D163" s="1278"/>
      <c r="E163" s="1278"/>
      <c r="F163" s="1278"/>
    </row>
    <row r="164" spans="1:9" ht="13.7" customHeight="1">
      <c r="D164" s="1278"/>
      <c r="E164" s="1278"/>
      <c r="F164" s="1278"/>
    </row>
    <row r="165" spans="1:9" ht="13.7" customHeight="1">
      <c r="D165" s="1278"/>
      <c r="E165" s="1278"/>
      <c r="F165" s="1278"/>
    </row>
    <row r="166" spans="1:9" ht="13.7" customHeight="1">
      <c r="D166" s="1278"/>
      <c r="E166" s="1278"/>
      <c r="F166" s="1278"/>
    </row>
    <row r="167" spans="1:9" ht="13.7" customHeight="1">
      <c r="D167" s="1278"/>
      <c r="E167" s="1278"/>
      <c r="F167" s="1278"/>
    </row>
    <row r="168" spans="1:9" ht="13.7" customHeight="1">
      <c r="D168" s="1278"/>
      <c r="E168" s="1278"/>
      <c r="F168" s="1278"/>
    </row>
    <row r="169" spans="1:9" ht="13.7" customHeight="1">
      <c r="D169" s="1338" t="s">
        <v>2474</v>
      </c>
      <c r="E169" s="1338"/>
      <c r="F169" s="1338"/>
      <c r="G169" s="542"/>
    </row>
    <row r="170" spans="1:9" ht="13.7" customHeight="1">
      <c r="D170" s="1311"/>
      <c r="E170" s="1311"/>
      <c r="F170" s="1311"/>
      <c r="G170" s="1311"/>
    </row>
    <row r="171" spans="1:9" ht="14.45" customHeight="1">
      <c r="A171" s="524"/>
      <c r="B171" s="520" t="s">
        <v>2756</v>
      </c>
      <c r="C171" s="511"/>
      <c r="D171" s="1266" t="s">
        <v>1368</v>
      </c>
      <c r="E171" s="1266"/>
      <c r="F171" s="1266"/>
      <c r="G171" s="511"/>
      <c r="I171" s="436" t="s">
        <v>2157</v>
      </c>
    </row>
    <row r="172" spans="1:9" ht="14.45" customHeight="1">
      <c r="A172" s="524"/>
      <c r="B172" s="524"/>
      <c r="C172" s="511"/>
      <c r="D172" s="1266"/>
      <c r="E172" s="1266"/>
      <c r="F172" s="1266"/>
      <c r="G172" s="511"/>
    </row>
    <row r="173" spans="1:9" ht="13.7" customHeight="1">
      <c r="A173" s="524"/>
      <c r="B173" s="524"/>
      <c r="C173" s="511"/>
      <c r="D173" s="1266"/>
      <c r="E173" s="1266"/>
      <c r="F173" s="1266"/>
      <c r="G173" s="511"/>
    </row>
    <row r="174" spans="1:9" ht="13.7" customHeight="1">
      <c r="A174" s="524"/>
      <c r="B174" s="524"/>
      <c r="C174" s="511"/>
      <c r="D174" s="511"/>
      <c r="E174" s="511"/>
      <c r="F174" s="511"/>
      <c r="G174" s="511"/>
    </row>
    <row r="175" spans="1:9" ht="13.7" customHeight="1">
      <c r="A175" s="524"/>
      <c r="B175" s="520" t="s">
        <v>2756</v>
      </c>
      <c r="C175" s="511"/>
      <c r="D175" s="1266" t="s">
        <v>1215</v>
      </c>
      <c r="E175" s="1266"/>
      <c r="F175" s="1266"/>
      <c r="G175" s="511"/>
      <c r="I175" s="436" t="s">
        <v>2163</v>
      </c>
    </row>
    <row r="176" spans="1:9" ht="13.7" customHeight="1">
      <c r="A176" s="524"/>
      <c r="B176" s="524"/>
      <c r="C176" s="511"/>
      <c r="D176" s="1266"/>
      <c r="E176" s="1266"/>
      <c r="F176" s="1266"/>
      <c r="G176" s="511"/>
    </row>
    <row r="177" spans="1:9" ht="13.7" customHeight="1">
      <c r="A177" s="524"/>
      <c r="B177" s="524"/>
      <c r="C177" s="511"/>
      <c r="D177" s="1266"/>
      <c r="E177" s="1266"/>
      <c r="F177" s="1266"/>
      <c r="G177" s="511"/>
    </row>
    <row r="178" spans="1:9" ht="13.7" customHeight="1">
      <c r="A178" s="524"/>
      <c r="B178" s="524"/>
      <c r="C178" s="511"/>
      <c r="D178" s="1266"/>
      <c r="E178" s="1266"/>
      <c r="F178" s="1266"/>
      <c r="G178" s="511"/>
    </row>
    <row r="179" spans="1:9" ht="13.7" customHeight="1">
      <c r="D179" s="481"/>
      <c r="E179" s="481"/>
      <c r="F179" s="481"/>
    </row>
    <row r="180" spans="1:9" ht="13.7" customHeight="1">
      <c r="B180" s="520" t="s">
        <v>2756</v>
      </c>
      <c r="D180" s="1300" t="s">
        <v>2451</v>
      </c>
      <c r="E180" s="1300"/>
      <c r="F180" s="1300"/>
      <c r="I180" s="436" t="s">
        <v>2164</v>
      </c>
    </row>
    <row r="181" spans="1:9" ht="13.7" customHeight="1">
      <c r="D181" s="1300"/>
      <c r="E181" s="1300"/>
      <c r="F181" s="1300"/>
    </row>
    <row r="182" spans="1:9" ht="13.7" customHeight="1">
      <c r="D182" s="1300"/>
      <c r="E182" s="1300"/>
      <c r="F182" s="1300"/>
    </row>
    <row r="183" spans="1:9" ht="13.7" customHeight="1">
      <c r="A183" s="525"/>
      <c r="B183" s="525"/>
      <c r="E183" s="481"/>
      <c r="F183" s="481"/>
    </row>
    <row r="184" spans="1:9">
      <c r="A184" s="1284" t="s">
        <v>2452</v>
      </c>
      <c r="B184" s="1284"/>
      <c r="C184" s="1284"/>
      <c r="D184" s="1284"/>
      <c r="E184" s="1284"/>
      <c r="F184" s="1284"/>
      <c r="G184" s="1284"/>
      <c r="H184" s="1071"/>
      <c r="I184" s="1072"/>
    </row>
    <row r="185" spans="1:9" ht="12" customHeight="1">
      <c r="D185" s="481"/>
      <c r="E185" s="481"/>
      <c r="F185" s="481"/>
    </row>
    <row r="186" spans="1:9">
      <c r="B186" s="1293" t="s">
        <v>450</v>
      </c>
      <c r="C186" s="1293"/>
      <c r="D186" s="1293"/>
      <c r="E186" s="1293"/>
      <c r="F186" s="1293"/>
    </row>
    <row r="187" spans="1:9">
      <c r="B187" s="424" t="s">
        <v>2143</v>
      </c>
      <c r="C187" s="424"/>
      <c r="D187" s="424"/>
      <c r="E187" s="424"/>
      <c r="F187" s="424"/>
    </row>
    <row r="188" spans="1:9" ht="12" customHeight="1">
      <c r="A188" s="517"/>
      <c r="B188" s="517"/>
      <c r="C188" s="517"/>
    </row>
    <row r="189" spans="1:9">
      <c r="A189" s="1284" t="s">
        <v>1111</v>
      </c>
      <c r="B189" s="1284"/>
      <c r="C189" s="1284"/>
      <c r="D189" s="1284"/>
      <c r="E189" s="1284"/>
      <c r="F189" s="1284"/>
      <c r="G189" s="1284"/>
      <c r="H189" s="1071"/>
      <c r="I189" s="1072"/>
    </row>
    <row r="190" spans="1:9" ht="12" customHeight="1">
      <c r="A190" s="436"/>
      <c r="B190" s="436"/>
      <c r="E190" s="436"/>
    </row>
    <row r="191" spans="1:9" ht="13.7" customHeight="1">
      <c r="A191" s="436"/>
      <c r="B191" s="436"/>
      <c r="D191" s="1306" t="s">
        <v>2010</v>
      </c>
      <c r="E191" s="1306"/>
      <c r="F191" s="1306"/>
    </row>
    <row r="192" spans="1:9">
      <c r="A192" s="436"/>
      <c r="B192" s="436"/>
      <c r="D192" s="1306"/>
      <c r="E192" s="1306"/>
      <c r="F192" s="1306"/>
    </row>
    <row r="193" spans="1:9">
      <c r="A193" s="436"/>
      <c r="B193" s="436"/>
      <c r="D193" s="1293" t="s">
        <v>1339</v>
      </c>
      <c r="E193" s="1293"/>
      <c r="F193" s="1293"/>
    </row>
    <row r="194" spans="1:9">
      <c r="A194" s="436"/>
      <c r="B194" s="436"/>
      <c r="D194" s="424"/>
      <c r="E194" s="424"/>
      <c r="F194" s="424"/>
    </row>
    <row r="195" spans="1:9">
      <c r="A195" s="436"/>
      <c r="B195" s="520" t="s">
        <v>2756</v>
      </c>
      <c r="D195" s="1283" t="s">
        <v>2011</v>
      </c>
      <c r="E195" s="1283"/>
      <c r="F195" s="1283"/>
      <c r="I195" s="436" t="s">
        <v>2213</v>
      </c>
    </row>
    <row r="196" spans="1:9">
      <c r="A196" s="436"/>
      <c r="B196" s="436"/>
      <c r="D196" s="1287" t="s">
        <v>2286</v>
      </c>
      <c r="E196" s="1287"/>
      <c r="F196" s="1287"/>
    </row>
    <row r="197" spans="1:9">
      <c r="A197" s="436"/>
      <c r="B197" s="436"/>
      <c r="D197" s="96" t="s">
        <v>2012</v>
      </c>
      <c r="E197" s="1334" t="s">
        <v>2309</v>
      </c>
      <c r="F197" s="1334"/>
    </row>
    <row r="198" spans="1:9">
      <c r="A198" s="436"/>
      <c r="B198" s="436"/>
      <c r="D198" s="3"/>
      <c r="E198" s="3"/>
      <c r="F198" s="3"/>
    </row>
    <row r="199" spans="1:9">
      <c r="A199" s="436"/>
      <c r="B199" s="520" t="s">
        <v>2756</v>
      </c>
      <c r="D199" s="1287" t="s">
        <v>2013</v>
      </c>
      <c r="E199" s="1287"/>
      <c r="F199" s="1287"/>
      <c r="I199" s="436" t="s">
        <v>2214</v>
      </c>
    </row>
    <row r="200" spans="1:9">
      <c r="A200" s="436"/>
      <c r="B200" s="436"/>
      <c r="D200" s="1283" t="s">
        <v>2286</v>
      </c>
      <c r="E200" s="1283"/>
      <c r="F200" s="1283"/>
    </row>
    <row r="201" spans="1:9">
      <c r="A201" s="436"/>
      <c r="B201" s="436"/>
      <c r="D201" s="57" t="s">
        <v>2014</v>
      </c>
      <c r="E201" s="1334" t="s">
        <v>2310</v>
      </c>
      <c r="F201" s="1334"/>
    </row>
    <row r="202" spans="1:9">
      <c r="A202" s="436"/>
      <c r="B202" s="436"/>
      <c r="D202" s="3"/>
      <c r="E202" s="3"/>
      <c r="F202" s="3"/>
    </row>
    <row r="203" spans="1:9">
      <c r="A203" s="436"/>
      <c r="B203" s="520" t="s">
        <v>2756</v>
      </c>
      <c r="D203" s="1287" t="s">
        <v>2015</v>
      </c>
      <c r="E203" s="1287"/>
      <c r="F203" s="1287"/>
      <c r="I203" s="436" t="s">
        <v>2215</v>
      </c>
    </row>
    <row r="204" spans="1:9">
      <c r="A204" s="436"/>
      <c r="B204" s="436"/>
      <c r="D204" s="1283" t="s">
        <v>2286</v>
      </c>
      <c r="E204" s="1283"/>
      <c r="F204" s="1283"/>
    </row>
    <row r="205" spans="1:9">
      <c r="A205" s="436"/>
      <c r="B205" s="436"/>
      <c r="D205" s="57" t="s">
        <v>2012</v>
      </c>
      <c r="E205" s="1334" t="s">
        <v>2311</v>
      </c>
      <c r="F205" s="1334"/>
    </row>
    <row r="206" spans="1:9">
      <c r="A206" s="436"/>
      <c r="B206" s="436"/>
      <c r="D206" s="424"/>
      <c r="E206" s="424"/>
      <c r="F206" s="424"/>
    </row>
    <row r="207" spans="1:9" ht="14.25" customHeight="1">
      <c r="A207" s="519"/>
      <c r="B207" s="520" t="s">
        <v>2756</v>
      </c>
      <c r="D207" s="418" t="s">
        <v>2279</v>
      </c>
      <c r="E207" s="417"/>
      <c r="F207" s="417"/>
      <c r="I207" s="436" t="s">
        <v>2216</v>
      </c>
    </row>
    <row r="208" spans="1:9" ht="14.25">
      <c r="A208" s="519"/>
      <c r="B208" s="519"/>
      <c r="D208" s="1283" t="s">
        <v>2286</v>
      </c>
      <c r="E208" s="1283"/>
      <c r="F208" s="1283"/>
    </row>
    <row r="209" spans="1:9">
      <c r="D209" s="417"/>
      <c r="E209" s="1334" t="s">
        <v>2312</v>
      </c>
      <c r="F209" s="1334"/>
    </row>
    <row r="210" spans="1:9">
      <c r="D210" s="482"/>
    </row>
    <row r="211" spans="1:9">
      <c r="B211" s="520" t="s">
        <v>2756</v>
      </c>
      <c r="D211" s="1287" t="s">
        <v>2016</v>
      </c>
      <c r="E211" s="1287"/>
      <c r="F211" s="1287"/>
      <c r="I211" s="436" t="s">
        <v>2217</v>
      </c>
    </row>
    <row r="212" spans="1:9">
      <c r="D212" s="1283" t="s">
        <v>2286</v>
      </c>
      <c r="E212" s="1283"/>
      <c r="F212" s="1283"/>
    </row>
    <row r="213" spans="1:9">
      <c r="D213" s="57" t="s">
        <v>2012</v>
      </c>
      <c r="E213" s="1334" t="s">
        <v>2313</v>
      </c>
      <c r="F213" s="1334"/>
    </row>
    <row r="214" spans="1:9">
      <c r="D214" s="486"/>
      <c r="E214" s="486"/>
      <c r="F214" s="486"/>
    </row>
    <row r="215" spans="1:9" ht="14.25">
      <c r="A215" s="519"/>
      <c r="B215" s="520" t="s">
        <v>2756</v>
      </c>
      <c r="D215" s="1278" t="s">
        <v>1360</v>
      </c>
      <c r="E215" s="1278"/>
      <c r="F215" s="1278"/>
    </row>
    <row r="216" spans="1:9" ht="14.45" customHeight="1">
      <c r="A216" s="519"/>
      <c r="B216" s="434"/>
      <c r="D216" s="1278"/>
      <c r="E216" s="1278"/>
      <c r="F216" s="1278"/>
    </row>
    <row r="217" spans="1:9" ht="14.25">
      <c r="A217" s="519"/>
      <c r="D217" s="1278"/>
      <c r="E217" s="1278"/>
      <c r="F217" s="1278"/>
    </row>
    <row r="218" spans="1:9" ht="14.25">
      <c r="A218" s="519"/>
      <c r="D218" s="1278"/>
      <c r="E218" s="1278"/>
      <c r="F218" s="1278"/>
    </row>
    <row r="219" spans="1:9">
      <c r="D219" s="486"/>
      <c r="E219" s="486"/>
      <c r="F219" s="486"/>
    </row>
    <row r="220" spans="1:9">
      <c r="A220" s="1284" t="s">
        <v>1112</v>
      </c>
      <c r="B220" s="1284"/>
      <c r="C220" s="1284"/>
      <c r="D220" s="1284"/>
      <c r="E220" s="1284"/>
      <c r="F220" s="1284"/>
      <c r="G220" s="1284"/>
      <c r="H220" s="1071"/>
      <c r="I220" s="1072"/>
    </row>
    <row r="221" spans="1:9" ht="12" customHeight="1">
      <c r="D221" s="481"/>
      <c r="E221" s="481"/>
      <c r="F221" s="481"/>
    </row>
    <row r="222" spans="1:9">
      <c r="C222" s="521"/>
      <c r="D222" s="1276" t="s">
        <v>210</v>
      </c>
      <c r="E222" s="1276"/>
      <c r="F222" s="1276"/>
    </row>
    <row r="223" spans="1:9">
      <c r="A223" s="517"/>
      <c r="B223" s="517"/>
      <c r="C223" s="517"/>
      <c r="D223" s="1307" t="s">
        <v>1241</v>
      </c>
      <c r="E223" s="1307"/>
      <c r="F223" s="1307"/>
    </row>
    <row r="224" spans="1:9" ht="12" customHeight="1">
      <c r="A224" s="525"/>
      <c r="B224" s="525"/>
      <c r="C224" s="525"/>
    </row>
    <row r="225" spans="1:9" ht="13.7" customHeight="1">
      <c r="A225" s="525"/>
      <c r="C225" s="525"/>
      <c r="D225" s="1276" t="s">
        <v>556</v>
      </c>
      <c r="E225" s="1276"/>
      <c r="F225" s="1276"/>
      <c r="I225" s="436" t="s">
        <v>2165</v>
      </c>
    </row>
    <row r="226" spans="1:9" ht="14.25">
      <c r="A226" s="519"/>
      <c r="B226" s="520" t="s">
        <v>2755</v>
      </c>
      <c r="D226" s="1278" t="s">
        <v>2017</v>
      </c>
      <c r="E226" s="1278"/>
      <c r="F226" s="1278"/>
    </row>
    <row r="227" spans="1:9" ht="14.25" customHeight="1">
      <c r="A227" s="519"/>
      <c r="B227" s="519"/>
      <c r="D227" s="1278"/>
      <c r="E227" s="1278"/>
      <c r="F227" s="1278"/>
    </row>
    <row r="228" spans="1:9" ht="14.25" customHeight="1">
      <c r="A228" s="519"/>
      <c r="B228" s="519"/>
      <c r="D228" s="1278"/>
      <c r="E228" s="1278"/>
      <c r="F228" s="1278"/>
    </row>
    <row r="229" spans="1:9" ht="14.25">
      <c r="A229" s="519"/>
      <c r="B229" s="519"/>
      <c r="D229" s="1278"/>
      <c r="E229" s="1278"/>
      <c r="F229" s="1278"/>
    </row>
    <row r="230" spans="1:9" ht="14.25">
      <c r="A230" s="519"/>
      <c r="B230" s="519"/>
      <c r="D230" s="480"/>
      <c r="E230" s="480"/>
      <c r="F230" s="480"/>
    </row>
    <row r="231" spans="1:9" ht="14.25">
      <c r="A231" s="519"/>
      <c r="B231" s="520" t="s">
        <v>2755</v>
      </c>
      <c r="D231" s="1278" t="s">
        <v>2018</v>
      </c>
      <c r="E231" s="1278"/>
      <c r="F231" s="1278"/>
      <c r="I231" s="436" t="s">
        <v>2166</v>
      </c>
    </row>
    <row r="232" spans="1:9" ht="14.25">
      <c r="A232" s="519"/>
      <c r="B232" s="519"/>
      <c r="D232" s="1278"/>
      <c r="E232" s="1278"/>
      <c r="F232" s="1278"/>
    </row>
    <row r="233" spans="1:9" ht="14.25">
      <c r="A233" s="519"/>
      <c r="B233" s="519"/>
      <c r="D233" s="1278"/>
      <c r="E233" s="1278"/>
      <c r="F233" s="1278"/>
    </row>
    <row r="234" spans="1:9" ht="14.25">
      <c r="A234" s="519"/>
      <c r="B234" s="519"/>
      <c r="D234" s="1278"/>
      <c r="E234" s="1278"/>
      <c r="F234" s="1278"/>
    </row>
    <row r="235" spans="1:9" ht="14.25" customHeight="1">
      <c r="A235" s="519"/>
      <c r="B235" s="519"/>
      <c r="D235" s="1278"/>
      <c r="E235" s="1278"/>
      <c r="F235" s="1278"/>
    </row>
    <row r="236" spans="1:9" ht="14.25" customHeight="1">
      <c r="A236" s="519"/>
      <c r="B236" s="519"/>
      <c r="D236" s="480"/>
      <c r="E236" s="480"/>
      <c r="F236" s="480"/>
    </row>
    <row r="237" spans="1:9" ht="14.25">
      <c r="A237" s="519"/>
      <c r="B237" s="519"/>
      <c r="D237" s="1278" t="s">
        <v>1237</v>
      </c>
      <c r="E237" s="1278"/>
      <c r="F237" s="1278"/>
      <c r="I237" s="436" t="s">
        <v>2165</v>
      </c>
    </row>
    <row r="238" spans="1:9" ht="14.25">
      <c r="A238" s="519"/>
      <c r="B238" s="519"/>
      <c r="D238" s="1278"/>
      <c r="E238" s="1278"/>
      <c r="F238" s="1278"/>
    </row>
    <row r="239" spans="1:9" ht="14.25">
      <c r="A239" s="519"/>
      <c r="B239" s="519"/>
      <c r="D239" s="1278"/>
      <c r="E239" s="1278"/>
      <c r="F239" s="1278"/>
    </row>
    <row r="240" spans="1:9" ht="14.25">
      <c r="A240" s="519"/>
      <c r="B240" s="519"/>
      <c r="D240" s="1278"/>
      <c r="E240" s="1278"/>
      <c r="F240" s="1278"/>
    </row>
    <row r="241" spans="1:9" ht="14.25">
      <c r="A241" s="519"/>
      <c r="B241" s="519"/>
      <c r="D241" s="1278"/>
      <c r="E241" s="1278"/>
      <c r="F241" s="1278"/>
    </row>
    <row r="242" spans="1:9" ht="14.25">
      <c r="A242" s="519"/>
      <c r="B242" s="519"/>
      <c r="D242" s="481"/>
      <c r="E242" s="481"/>
      <c r="F242" s="481"/>
    </row>
    <row r="243" spans="1:9" ht="14.25">
      <c r="A243" s="519"/>
      <c r="B243" s="520" t="s">
        <v>2756</v>
      </c>
      <c r="D243" s="1278" t="s">
        <v>2453</v>
      </c>
      <c r="E243" s="1278"/>
      <c r="F243" s="1278"/>
      <c r="I243" s="436" t="s">
        <v>2204</v>
      </c>
    </row>
    <row r="244" spans="1:9" ht="14.25">
      <c r="A244" s="519"/>
      <c r="B244" s="519"/>
      <c r="D244" s="1278"/>
      <c r="E244" s="1278"/>
      <c r="F244" s="1278"/>
    </row>
    <row r="245" spans="1:9" ht="14.25">
      <c r="A245" s="519"/>
      <c r="B245" s="519"/>
      <c r="D245" s="1278"/>
      <c r="E245" s="1278"/>
      <c r="F245" s="1278"/>
    </row>
    <row r="246" spans="1:9" ht="14.25">
      <c r="A246" s="519"/>
      <c r="B246" s="519"/>
      <c r="E246" s="1080" t="s">
        <v>2280</v>
      </c>
    </row>
    <row r="247" spans="1:9" ht="14.25">
      <c r="A247" s="519"/>
      <c r="B247" s="519"/>
      <c r="D247" s="481"/>
      <c r="E247" s="481"/>
      <c r="F247" s="481"/>
    </row>
    <row r="248" spans="1:9" ht="14.45" customHeight="1">
      <c r="A248" s="519"/>
      <c r="B248" s="520" t="s">
        <v>2756</v>
      </c>
      <c r="D248" s="1278" t="s">
        <v>2454</v>
      </c>
      <c r="E248" s="1278"/>
      <c r="F248" s="1278"/>
      <c r="I248" s="436" t="s">
        <v>2222</v>
      </c>
    </row>
    <row r="249" spans="1:9" ht="14.25">
      <c r="A249" s="519"/>
      <c r="B249" s="519"/>
      <c r="D249" s="1278"/>
      <c r="E249" s="1278"/>
      <c r="F249" s="1278"/>
    </row>
    <row r="250" spans="1:9" ht="14.25">
      <c r="A250" s="519"/>
      <c r="B250" s="519"/>
      <c r="D250" s="1278"/>
      <c r="E250" s="1278"/>
      <c r="F250" s="1278"/>
    </row>
    <row r="251" spans="1:9" ht="14.25">
      <c r="A251" s="519"/>
      <c r="B251" s="519"/>
      <c r="D251" s="1278"/>
      <c r="E251" s="1278"/>
      <c r="F251" s="1278"/>
    </row>
    <row r="252" spans="1:9" ht="14.25">
      <c r="A252" s="519"/>
      <c r="B252" s="519"/>
      <c r="D252" s="1278"/>
      <c r="E252" s="1278"/>
      <c r="F252" s="1278"/>
    </row>
    <row r="253" spans="1:9" ht="14.25">
      <c r="A253" s="519"/>
      <c r="B253" s="519"/>
      <c r="D253" s="480"/>
      <c r="E253" s="480"/>
      <c r="F253" s="480"/>
    </row>
    <row r="254" spans="1:9" ht="14.25">
      <c r="A254" s="519"/>
      <c r="B254" s="520" t="s">
        <v>2755</v>
      </c>
      <c r="D254" s="424" t="s">
        <v>2455</v>
      </c>
      <c r="E254" s="480"/>
      <c r="F254" s="480"/>
      <c r="I254" s="436" t="s">
        <v>2203</v>
      </c>
    </row>
    <row r="255" spans="1:9" ht="14.25">
      <c r="A255" s="519"/>
      <c r="B255" s="519"/>
      <c r="E255" s="1080" t="s">
        <v>2281</v>
      </c>
    </row>
    <row r="256" spans="1:9">
      <c r="D256" s="481"/>
      <c r="E256" s="481"/>
      <c r="F256" s="481"/>
    </row>
    <row r="257" spans="1:9" ht="14.25">
      <c r="A257" s="519"/>
      <c r="B257" s="520" t="s">
        <v>2755</v>
      </c>
      <c r="D257" s="1278" t="s">
        <v>1239</v>
      </c>
      <c r="E257" s="1278"/>
      <c r="F257" s="1278"/>
    </row>
    <row r="258" spans="1:9" ht="14.25">
      <c r="A258" s="519"/>
      <c r="B258" s="519"/>
      <c r="D258" s="1278"/>
      <c r="E258" s="1278"/>
      <c r="F258" s="1278"/>
    </row>
    <row r="259" spans="1:9">
      <c r="D259" s="526"/>
    </row>
    <row r="260" spans="1:9">
      <c r="A260" s="1284" t="s">
        <v>1113</v>
      </c>
      <c r="B260" s="1284"/>
      <c r="C260" s="1284"/>
      <c r="D260" s="1284"/>
      <c r="E260" s="1284"/>
      <c r="F260" s="1284"/>
      <c r="G260" s="1284"/>
      <c r="H260" s="1071"/>
      <c r="I260" s="1072"/>
    </row>
    <row r="261" spans="1:9">
      <c r="D261" s="526"/>
    </row>
    <row r="262" spans="1:9">
      <c r="C262" s="521"/>
      <c r="D262" s="1276" t="s">
        <v>1242</v>
      </c>
      <c r="E262" s="1276"/>
      <c r="F262" s="1276"/>
    </row>
    <row r="263" spans="1:9">
      <c r="A263" s="517"/>
      <c r="B263" s="517"/>
      <c r="C263" s="517"/>
      <c r="D263" s="481"/>
      <c r="E263" s="481"/>
      <c r="F263" s="481"/>
    </row>
    <row r="264" spans="1:9">
      <c r="A264" s="518"/>
      <c r="B264" s="518"/>
      <c r="C264" s="518"/>
      <c r="D264" s="1276" t="s">
        <v>271</v>
      </c>
      <c r="E264" s="1276"/>
      <c r="F264" s="1276"/>
      <c r="I264" s="436" t="s">
        <v>2205</v>
      </c>
    </row>
    <row r="265" spans="1:9" ht="14.45" customHeight="1">
      <c r="A265" s="519"/>
      <c r="B265" s="520" t="s">
        <v>2756</v>
      </c>
      <c r="D265" s="1278" t="s">
        <v>1340</v>
      </c>
      <c r="E265" s="1278"/>
      <c r="F265" s="1278"/>
    </row>
    <row r="266" spans="1:9">
      <c r="D266" s="1278"/>
      <c r="E266" s="1278"/>
      <c r="F266" s="1278"/>
    </row>
    <row r="267" spans="1:9">
      <c r="E267" s="1080" t="s">
        <v>2282</v>
      </c>
    </row>
    <row r="268" spans="1:9">
      <c r="D268" s="481"/>
      <c r="E268" s="481"/>
      <c r="F268" s="481"/>
    </row>
    <row r="269" spans="1:9" ht="14.45" customHeight="1">
      <c r="A269" s="519"/>
      <c r="B269" s="520" t="s">
        <v>2756</v>
      </c>
      <c r="D269" s="1278" t="s">
        <v>2456</v>
      </c>
      <c r="E269" s="1278"/>
      <c r="F269" s="1278"/>
      <c r="I269" s="436" t="s">
        <v>2223</v>
      </c>
    </row>
    <row r="270" spans="1:9">
      <c r="D270" s="1278"/>
      <c r="E270" s="1278"/>
      <c r="F270" s="1278"/>
    </row>
    <row r="271" spans="1:9">
      <c r="D271" s="1278"/>
      <c r="E271" s="1278"/>
      <c r="F271" s="1278"/>
    </row>
    <row r="272" spans="1:9">
      <c r="D272" s="1278"/>
      <c r="E272" s="1278"/>
      <c r="F272" s="1278"/>
    </row>
    <row r="273" spans="1:9">
      <c r="D273" s="1278"/>
      <c r="E273" s="1278"/>
      <c r="F273" s="1278"/>
    </row>
    <row r="274" spans="1:9">
      <c r="D274" s="1278"/>
      <c r="E274" s="1278"/>
      <c r="F274" s="1278"/>
    </row>
    <row r="275" spans="1:9">
      <c r="D275" s="481"/>
      <c r="E275" s="481"/>
      <c r="F275" s="481"/>
    </row>
    <row r="276" spans="1:9" ht="14.25">
      <c r="A276" s="519"/>
      <c r="B276" s="520" t="s">
        <v>2756</v>
      </c>
      <c r="D276" s="1278" t="s">
        <v>1245</v>
      </c>
      <c r="E276" s="1278"/>
      <c r="F276" s="1278"/>
    </row>
    <row r="277" spans="1:9">
      <c r="D277" s="1278"/>
      <c r="E277" s="1278"/>
      <c r="F277" s="1278"/>
    </row>
    <row r="278" spans="1:9">
      <c r="D278" s="1278"/>
      <c r="E278" s="1278"/>
      <c r="F278" s="1278"/>
    </row>
    <row r="279" spans="1:9">
      <c r="D279" s="527"/>
      <c r="E279" s="481"/>
      <c r="F279" s="481"/>
    </row>
    <row r="280" spans="1:9">
      <c r="A280" s="1284" t="s">
        <v>1114</v>
      </c>
      <c r="B280" s="1284"/>
      <c r="C280" s="1284"/>
      <c r="D280" s="1284"/>
      <c r="E280" s="1284"/>
      <c r="F280" s="1284"/>
      <c r="G280" s="1284"/>
      <c r="H280" s="1071"/>
      <c r="I280" s="1072"/>
    </row>
    <row r="281" spans="1:9">
      <c r="D281" s="527"/>
      <c r="E281" s="481"/>
      <c r="F281" s="481"/>
    </row>
    <row r="282" spans="1:9">
      <c r="C282" s="517"/>
      <c r="D282" s="1306" t="s">
        <v>1247</v>
      </c>
      <c r="E282" s="1306"/>
      <c r="F282" s="1306"/>
    </row>
    <row r="283" spans="1:9">
      <c r="C283" s="517"/>
      <c r="D283" s="1306"/>
      <c r="E283" s="1306"/>
      <c r="F283" s="1306"/>
    </row>
    <row r="284" spans="1:9">
      <c r="A284" s="518"/>
      <c r="B284" s="518"/>
      <c r="C284" s="518"/>
      <c r="D284" s="436"/>
    </row>
    <row r="285" spans="1:9">
      <c r="C285" s="518"/>
      <c r="D285" s="1276" t="s">
        <v>211</v>
      </c>
      <c r="E285" s="1276"/>
      <c r="F285" s="1276"/>
    </row>
    <row r="286" spans="1:9" ht="15.75" customHeight="1">
      <c r="A286" s="519"/>
      <c r="B286" s="519"/>
      <c r="D286" s="1331" t="s">
        <v>1248</v>
      </c>
      <c r="E286" s="1331"/>
      <c r="F286" s="1331"/>
    </row>
    <row r="287" spans="1:9">
      <c r="E287" s="481"/>
      <c r="F287" s="481"/>
    </row>
    <row r="288" spans="1:9" ht="14.25">
      <c r="A288" s="519"/>
      <c r="B288" s="520" t="s">
        <v>2756</v>
      </c>
      <c r="D288" s="1278" t="s">
        <v>1249</v>
      </c>
      <c r="E288" s="1278"/>
      <c r="F288" s="1278"/>
      <c r="I288" s="436" t="s">
        <v>2167</v>
      </c>
    </row>
    <row r="289" spans="1:9" ht="14.25">
      <c r="A289" s="519"/>
      <c r="B289" s="519"/>
      <c r="D289" s="1278"/>
      <c r="E289" s="1278"/>
      <c r="F289" s="1278"/>
    </row>
    <row r="290" spans="1:9">
      <c r="D290" s="481"/>
      <c r="E290" s="481"/>
      <c r="F290" s="481"/>
    </row>
    <row r="291" spans="1:9" ht="14.25">
      <c r="A291" s="519"/>
      <c r="B291" s="520" t="s">
        <v>2756</v>
      </c>
      <c r="D291" s="1278" t="s">
        <v>1250</v>
      </c>
      <c r="E291" s="1278"/>
      <c r="F291" s="1278"/>
      <c r="I291" s="436" t="s">
        <v>2167</v>
      </c>
    </row>
    <row r="292" spans="1:9" ht="14.25">
      <c r="A292" s="519"/>
      <c r="B292" s="519"/>
      <c r="D292" s="1278"/>
      <c r="E292" s="1278"/>
      <c r="F292" s="1278"/>
    </row>
    <row r="293" spans="1:9" ht="14.25">
      <c r="A293" s="519"/>
      <c r="B293" s="519"/>
      <c r="D293" s="1278"/>
      <c r="E293" s="1278"/>
      <c r="F293" s="1278"/>
    </row>
    <row r="294" spans="1:9">
      <c r="D294" s="481"/>
      <c r="E294" s="481"/>
      <c r="F294" s="481"/>
    </row>
    <row r="295" spans="1:9" ht="14.25">
      <c r="A295" s="519"/>
      <c r="B295" s="520" t="s">
        <v>2756</v>
      </c>
      <c r="D295" s="1278" t="s">
        <v>1251</v>
      </c>
      <c r="E295" s="1278"/>
      <c r="F295" s="1278"/>
      <c r="I295" s="436" t="s">
        <v>2167</v>
      </c>
    </row>
    <row r="296" spans="1:9" ht="14.25">
      <c r="A296" s="519"/>
      <c r="B296" s="519"/>
      <c r="D296" s="1278"/>
      <c r="E296" s="1278"/>
      <c r="F296" s="1278"/>
    </row>
    <row r="297" spans="1:9">
      <c r="A297" s="525"/>
      <c r="B297" s="525"/>
      <c r="E297" s="481"/>
      <c r="F297" s="481"/>
    </row>
    <row r="298" spans="1:9">
      <c r="A298" s="1284" t="s">
        <v>1115</v>
      </c>
      <c r="B298" s="1284"/>
      <c r="C298" s="1284"/>
      <c r="D298" s="1284"/>
      <c r="E298" s="1284"/>
      <c r="F298" s="1284"/>
      <c r="G298" s="1284"/>
      <c r="H298" s="1071"/>
      <c r="I298" s="1072"/>
    </row>
    <row r="299" spans="1:9">
      <c r="A299" s="525"/>
      <c r="B299" s="525"/>
      <c r="D299" s="481"/>
      <c r="E299" s="481"/>
      <c r="F299" s="481"/>
    </row>
    <row r="300" spans="1:9">
      <c r="C300" s="525"/>
      <c r="D300" s="1276" t="s">
        <v>692</v>
      </c>
      <c r="E300" s="1276"/>
      <c r="F300" s="1276"/>
    </row>
    <row r="301" spans="1:9">
      <c r="C301" s="525"/>
      <c r="D301" s="1307" t="s">
        <v>1252</v>
      </c>
      <c r="E301" s="1307"/>
      <c r="F301" s="1307"/>
    </row>
    <row r="302" spans="1:9">
      <c r="C302" s="525"/>
      <c r="D302" s="528"/>
    </row>
    <row r="303" spans="1:9">
      <c r="B303" s="520" t="s">
        <v>2756</v>
      </c>
      <c r="D303" s="1307" t="s">
        <v>1253</v>
      </c>
      <c r="E303" s="1307"/>
      <c r="F303" s="1307"/>
      <c r="I303" s="436" t="s">
        <v>2168</v>
      </c>
    </row>
    <row r="304" spans="1:9" ht="14.25">
      <c r="A304" s="519"/>
      <c r="B304" s="519"/>
      <c r="D304" s="529"/>
      <c r="E304" s="530"/>
      <c r="F304" s="530"/>
    </row>
    <row r="305" spans="1:9" ht="13.7" customHeight="1">
      <c r="B305" s="520" t="s">
        <v>2756</v>
      </c>
      <c r="D305" s="1328" t="s">
        <v>1364</v>
      </c>
      <c r="E305" s="1328"/>
      <c r="F305" s="1328"/>
      <c r="I305" s="436" t="s">
        <v>2168</v>
      </c>
    </row>
    <row r="306" spans="1:9" ht="14.25">
      <c r="A306" s="519"/>
      <c r="B306" s="519"/>
      <c r="D306" s="1328"/>
      <c r="E306" s="1328"/>
      <c r="F306" s="1328"/>
    </row>
    <row r="307" spans="1:9" ht="14.25">
      <c r="A307" s="519"/>
      <c r="B307" s="519"/>
      <c r="D307" s="1328"/>
      <c r="E307" s="1328"/>
      <c r="F307" s="1328"/>
    </row>
    <row r="308" spans="1:9" ht="14.25">
      <c r="A308" s="519"/>
      <c r="B308" s="519"/>
      <c r="D308" s="1328"/>
      <c r="E308" s="1328"/>
      <c r="F308" s="1328"/>
    </row>
    <row r="309" spans="1:9" ht="14.25">
      <c r="A309" s="519"/>
      <c r="B309" s="519"/>
      <c r="D309" s="1328"/>
      <c r="E309" s="1328"/>
      <c r="F309" s="1328"/>
    </row>
    <row r="310" spans="1:9" ht="14.25">
      <c r="A310" s="519"/>
      <c r="B310" s="519"/>
      <c r="D310" s="529"/>
      <c r="E310" s="530"/>
      <c r="F310" s="530"/>
    </row>
    <row r="311" spans="1:9" ht="13.7" customHeight="1">
      <c r="B311" s="520" t="s">
        <v>2756</v>
      </c>
      <c r="D311" s="1328" t="s">
        <v>1255</v>
      </c>
      <c r="E311" s="1328"/>
      <c r="F311" s="1328"/>
      <c r="I311" s="436" t="s">
        <v>2168</v>
      </c>
    </row>
    <row r="312" spans="1:9">
      <c r="D312" s="1328"/>
      <c r="E312" s="1328"/>
      <c r="F312" s="1328"/>
    </row>
    <row r="313" spans="1:9" ht="14.25">
      <c r="A313" s="519"/>
      <c r="B313" s="519"/>
      <c r="D313" s="529"/>
      <c r="E313" s="530"/>
      <c r="F313" s="530"/>
    </row>
    <row r="314" spans="1:9">
      <c r="B314" s="520" t="s">
        <v>2756</v>
      </c>
      <c r="D314" s="1307" t="s">
        <v>1256</v>
      </c>
      <c r="E314" s="1307"/>
      <c r="F314" s="1307"/>
      <c r="I314" s="436" t="s">
        <v>2154</v>
      </c>
    </row>
    <row r="315" spans="1:9">
      <c r="E315" s="481"/>
      <c r="F315" s="481"/>
    </row>
    <row r="316" spans="1:9" ht="14.25">
      <c r="A316" s="519"/>
      <c r="B316" s="520" t="s">
        <v>2756</v>
      </c>
      <c r="D316" s="1278" t="s">
        <v>2475</v>
      </c>
      <c r="E316" s="1278"/>
      <c r="F316" s="1278"/>
      <c r="I316" s="436" t="s">
        <v>2169</v>
      </c>
    </row>
    <row r="317" spans="1:9" ht="14.25">
      <c r="A317" s="519"/>
      <c r="B317" s="519"/>
      <c r="D317" s="1278"/>
      <c r="E317" s="1278"/>
      <c r="F317" s="1278"/>
    </row>
    <row r="318" spans="1:9" ht="14.25">
      <c r="A318" s="519"/>
      <c r="B318" s="519"/>
      <c r="D318" s="1278"/>
      <c r="E318" s="1278"/>
      <c r="F318" s="1278"/>
    </row>
    <row r="319" spans="1:9" ht="14.25">
      <c r="A319" s="519"/>
      <c r="B319" s="519"/>
      <c r="D319" s="1278"/>
      <c r="E319" s="1278"/>
      <c r="F319" s="1278"/>
    </row>
    <row r="320" spans="1:9" ht="14.25">
      <c r="A320" s="519"/>
      <c r="B320" s="519"/>
      <c r="D320" s="1278"/>
      <c r="E320" s="1278"/>
      <c r="F320" s="1278"/>
    </row>
    <row r="321" spans="1:9" ht="14.25">
      <c r="A321" s="519"/>
      <c r="B321" s="519"/>
      <c r="D321" s="1278"/>
      <c r="E321" s="1278"/>
      <c r="F321" s="1278"/>
    </row>
    <row r="322" spans="1:9" ht="14.25">
      <c r="A322" s="519"/>
      <c r="B322" s="519"/>
      <c r="D322" s="1278"/>
      <c r="E322" s="1278"/>
      <c r="F322" s="1278"/>
    </row>
    <row r="323" spans="1:9" ht="14.25">
      <c r="A323" s="519"/>
      <c r="B323" s="519"/>
      <c r="D323" s="1278"/>
      <c r="E323" s="1278"/>
      <c r="F323" s="1278"/>
    </row>
    <row r="324" spans="1:9" ht="14.25">
      <c r="A324" s="519"/>
      <c r="B324" s="519"/>
      <c r="D324" s="1278"/>
      <c r="E324" s="1278"/>
      <c r="F324" s="1278"/>
    </row>
    <row r="325" spans="1:9" ht="14.25">
      <c r="A325" s="519"/>
      <c r="B325" s="519"/>
      <c r="D325" s="1278"/>
      <c r="E325" s="1278"/>
      <c r="F325" s="1278"/>
    </row>
    <row r="326" spans="1:9" ht="14.25">
      <c r="A326" s="519"/>
      <c r="B326" s="519"/>
      <c r="D326" s="1278"/>
      <c r="E326" s="1278"/>
      <c r="F326" s="1278"/>
    </row>
    <row r="327" spans="1:9" ht="14.25">
      <c r="A327" s="519"/>
      <c r="B327" s="519"/>
      <c r="D327" s="1278"/>
      <c r="E327" s="1278"/>
      <c r="F327" s="1278"/>
    </row>
    <row r="328" spans="1:9" ht="14.25">
      <c r="A328" s="519"/>
      <c r="B328" s="519"/>
      <c r="D328" s="1278"/>
      <c r="E328" s="1278"/>
      <c r="F328" s="1278"/>
    </row>
    <row r="329" spans="1:9" ht="14.25">
      <c r="A329" s="519"/>
      <c r="B329" s="519"/>
      <c r="D329" s="1278"/>
      <c r="E329" s="1278"/>
      <c r="F329" s="1278"/>
    </row>
    <row r="330" spans="1:9" ht="14.25">
      <c r="A330" s="519"/>
      <c r="B330" s="519"/>
      <c r="D330" s="1278"/>
      <c r="E330" s="1278"/>
      <c r="F330" s="1278"/>
    </row>
    <row r="331" spans="1:9">
      <c r="D331" s="481"/>
      <c r="E331" s="481"/>
      <c r="F331" s="481"/>
    </row>
    <row r="332" spans="1:9" ht="14.25">
      <c r="A332" s="519"/>
      <c r="B332" s="520" t="s">
        <v>2756</v>
      </c>
      <c r="D332" s="1278" t="s">
        <v>1258</v>
      </c>
      <c r="E332" s="1278"/>
      <c r="F332" s="1278"/>
      <c r="I332" s="436" t="s">
        <v>2169</v>
      </c>
    </row>
    <row r="333" spans="1:9">
      <c r="D333" s="1278"/>
      <c r="E333" s="1278"/>
      <c r="F333" s="1278"/>
    </row>
    <row r="334" spans="1:9">
      <c r="D334" s="1278"/>
      <c r="E334" s="1278"/>
      <c r="F334" s="1278"/>
    </row>
    <row r="335" spans="1:9">
      <c r="D335" s="1278"/>
      <c r="E335" s="1278"/>
      <c r="F335" s="1278"/>
    </row>
    <row r="336" spans="1:9">
      <c r="D336" s="1278"/>
      <c r="E336" s="1278"/>
      <c r="F336" s="1278"/>
    </row>
    <row r="337" spans="1:9">
      <c r="D337" s="1278"/>
      <c r="E337" s="1278"/>
      <c r="F337" s="1278"/>
    </row>
    <row r="338" spans="1:9">
      <c r="D338" s="1278"/>
      <c r="E338" s="1278"/>
      <c r="F338" s="1278"/>
    </row>
    <row r="339" spans="1:9">
      <c r="D339" s="1278"/>
      <c r="E339" s="1278"/>
      <c r="F339" s="1278"/>
    </row>
    <row r="340" spans="1:9">
      <c r="D340" s="1278"/>
      <c r="E340" s="1278"/>
      <c r="F340" s="1278"/>
    </row>
    <row r="341" spans="1:9">
      <c r="D341" s="481"/>
      <c r="E341" s="481"/>
      <c r="F341" s="481"/>
    </row>
    <row r="342" spans="1:9" ht="14.25" customHeight="1">
      <c r="A342" s="519"/>
      <c r="B342" s="520" t="s">
        <v>2756</v>
      </c>
      <c r="D342" s="1278" t="s">
        <v>2287</v>
      </c>
      <c r="E342" s="1278"/>
      <c r="F342" s="1278"/>
      <c r="I342" s="436" t="s">
        <v>2206</v>
      </c>
    </row>
    <row r="343" spans="1:9">
      <c r="D343" s="1278"/>
      <c r="E343" s="1278"/>
      <c r="F343" s="1278"/>
    </row>
    <row r="344" spans="1:9">
      <c r="D344" s="1278"/>
      <c r="E344" s="1278"/>
      <c r="F344" s="1278"/>
    </row>
    <row r="345" spans="1:9">
      <c r="D345" s="1278"/>
      <c r="E345" s="1278"/>
      <c r="F345" s="1278"/>
    </row>
    <row r="346" spans="1:9">
      <c r="D346" s="418" t="s">
        <v>2286</v>
      </c>
      <c r="E346" s="417"/>
      <c r="F346" s="417"/>
    </row>
    <row r="347" spans="1:9">
      <c r="D347" s="417"/>
      <c r="E347" s="96" t="s">
        <v>2283</v>
      </c>
      <c r="G347" s="96"/>
    </row>
    <row r="348" spans="1:9">
      <c r="D348" s="480"/>
      <c r="E348" s="480"/>
      <c r="F348" s="480"/>
    </row>
    <row r="349" spans="1:9" ht="13.5" thickBot="1">
      <c r="A349" s="1059"/>
      <c r="B349" s="1059"/>
      <c r="C349" s="1059"/>
      <c r="D349" s="1339" t="s">
        <v>1020</v>
      </c>
      <c r="E349" s="1339"/>
      <c r="F349" s="1339"/>
      <c r="G349" s="1069"/>
      <c r="H349" s="1069"/>
      <c r="I349" s="1070"/>
    </row>
    <row r="350" spans="1:9" ht="13.5" thickTop="1">
      <c r="D350" s="1329" t="s">
        <v>1260</v>
      </c>
      <c r="E350" s="1329"/>
      <c r="F350" s="1329"/>
    </row>
    <row r="351" spans="1:9">
      <c r="D351" s="481"/>
      <c r="E351" s="481"/>
      <c r="F351" s="481"/>
    </row>
    <row r="352" spans="1:9">
      <c r="A352" s="511"/>
      <c r="B352" s="511"/>
      <c r="C352" s="511"/>
      <c r="D352" s="482"/>
      <c r="E352" s="482"/>
      <c r="F352" s="481"/>
      <c r="I352" s="436" t="s">
        <v>2170</v>
      </c>
    </row>
    <row r="353" spans="1:9" ht="14.25">
      <c r="A353" s="519"/>
      <c r="B353" s="520" t="s">
        <v>2756</v>
      </c>
      <c r="C353" s="522"/>
      <c r="D353" s="1307" t="s">
        <v>2285</v>
      </c>
      <c r="E353" s="1307"/>
      <c r="F353" s="1307"/>
      <c r="I353" s="1325" t="s">
        <v>2220</v>
      </c>
    </row>
    <row r="354" spans="1:9" ht="12.75" customHeight="1">
      <c r="D354" s="1081"/>
      <c r="E354" s="96" t="s">
        <v>2284</v>
      </c>
      <c r="F354" s="1081"/>
      <c r="I354" s="1326"/>
    </row>
    <row r="355" spans="1:9">
      <c r="D355" s="1278" t="s">
        <v>1388</v>
      </c>
      <c r="E355" s="1278"/>
      <c r="F355" s="1278"/>
      <c r="I355" s="1326"/>
    </row>
    <row r="356" spans="1:9">
      <c r="D356" s="1278"/>
      <c r="E356" s="1278"/>
      <c r="F356" s="1278"/>
      <c r="I356" s="1326"/>
    </row>
    <row r="357" spans="1:9">
      <c r="D357" s="1278"/>
      <c r="E357" s="1278"/>
      <c r="F357" s="1278"/>
      <c r="I357" s="1327"/>
    </row>
    <row r="358" spans="1:9" ht="14.25">
      <c r="A358" s="519"/>
      <c r="B358" s="520" t="s">
        <v>2756</v>
      </c>
      <c r="C358" s="511"/>
      <c r="D358" s="1311" t="s">
        <v>2457</v>
      </c>
      <c r="E358" s="1311"/>
      <c r="F358" s="1311"/>
      <c r="I358" s="434"/>
    </row>
    <row r="359" spans="1:9">
      <c r="A359" s="511"/>
      <c r="B359" s="511"/>
      <c r="C359" s="511"/>
      <c r="D359" s="482"/>
      <c r="E359" s="482"/>
      <c r="F359" s="481"/>
    </row>
    <row r="360" spans="1:9">
      <c r="A360" s="511"/>
      <c r="B360" s="520" t="s">
        <v>2756</v>
      </c>
      <c r="C360" s="511"/>
      <c r="D360" s="1266" t="s">
        <v>2458</v>
      </c>
      <c r="E360" s="1266"/>
      <c r="F360" s="1266"/>
    </row>
    <row r="361" spans="1:9">
      <c r="A361" s="511"/>
      <c r="B361" s="511"/>
      <c r="C361" s="511"/>
      <c r="D361" s="1266"/>
      <c r="E361" s="1266"/>
      <c r="F361" s="1266"/>
    </row>
    <row r="362" spans="1:9">
      <c r="A362" s="511"/>
      <c r="B362" s="511"/>
      <c r="C362" s="511"/>
      <c r="D362" s="1266"/>
      <c r="E362" s="1266"/>
      <c r="F362" s="1266"/>
    </row>
    <row r="363" spans="1:9">
      <c r="A363" s="511"/>
      <c r="B363" s="511"/>
      <c r="C363" s="511"/>
      <c r="D363" s="1266"/>
      <c r="E363" s="1266"/>
      <c r="F363" s="1266"/>
    </row>
    <row r="364" spans="1:9">
      <c r="A364" s="511"/>
      <c r="B364" s="511"/>
      <c r="C364" s="511"/>
      <c r="D364" s="1266"/>
      <c r="E364" s="1266"/>
      <c r="F364" s="1266"/>
    </row>
    <row r="365" spans="1:9">
      <c r="A365" s="511"/>
      <c r="B365" s="511"/>
      <c r="C365" s="511"/>
      <c r="D365" s="1266"/>
      <c r="E365" s="1266"/>
      <c r="F365" s="1266"/>
    </row>
    <row r="366" spans="1:9">
      <c r="A366" s="511"/>
      <c r="B366" s="511"/>
      <c r="C366" s="511"/>
      <c r="D366" s="1266"/>
      <c r="E366" s="1266"/>
      <c r="F366" s="1266"/>
    </row>
    <row r="367" spans="1:9">
      <c r="A367" s="511"/>
      <c r="B367" s="511"/>
      <c r="C367" s="511"/>
      <c r="D367" s="1266"/>
      <c r="E367" s="1266"/>
      <c r="F367" s="1266"/>
    </row>
    <row r="368" spans="1:9">
      <c r="A368" s="511"/>
      <c r="B368" s="511"/>
      <c r="C368" s="511"/>
      <c r="D368" s="1266"/>
      <c r="E368" s="1266"/>
      <c r="F368" s="1266"/>
    </row>
    <row r="369" spans="1:6">
      <c r="A369" s="511"/>
      <c r="B369" s="511"/>
      <c r="C369" s="511"/>
      <c r="D369" s="1266"/>
      <c r="E369" s="1266"/>
      <c r="F369" s="1266"/>
    </row>
    <row r="370" spans="1:6">
      <c r="A370" s="511"/>
      <c r="B370" s="511"/>
      <c r="C370" s="511"/>
      <c r="D370" s="1266"/>
      <c r="E370" s="1266"/>
      <c r="F370" s="1266"/>
    </row>
    <row r="371" spans="1:6">
      <c r="A371" s="511"/>
      <c r="B371" s="511"/>
      <c r="C371" s="511"/>
      <c r="D371" s="1266"/>
      <c r="E371" s="1266"/>
      <c r="F371" s="1266"/>
    </row>
    <row r="372" spans="1:6">
      <c r="A372" s="511"/>
      <c r="B372" s="511"/>
      <c r="C372" s="511"/>
      <c r="D372" s="486"/>
      <c r="E372" s="486"/>
      <c r="F372" s="486"/>
    </row>
    <row r="373" spans="1:6" ht="12.4" customHeight="1">
      <c r="A373" s="511"/>
      <c r="B373" s="520" t="s">
        <v>2756</v>
      </c>
      <c r="C373" s="511"/>
      <c r="D373" s="1322" t="s">
        <v>1367</v>
      </c>
      <c r="E373" s="1322"/>
      <c r="F373" s="1322"/>
    </row>
    <row r="374" spans="1:6">
      <c r="A374" s="511"/>
      <c r="B374" s="511"/>
      <c r="C374" s="511"/>
      <c r="D374" s="1322"/>
      <c r="E374" s="1322"/>
      <c r="F374" s="1322"/>
    </row>
    <row r="375" spans="1:6">
      <c r="A375" s="511"/>
      <c r="B375" s="511"/>
      <c r="C375" s="511"/>
      <c r="D375" s="1322"/>
      <c r="E375" s="1322"/>
      <c r="F375" s="1322"/>
    </row>
    <row r="376" spans="1:6">
      <c r="A376" s="511"/>
      <c r="B376" s="511"/>
      <c r="C376" s="511"/>
      <c r="D376" s="1322"/>
      <c r="E376" s="1322"/>
      <c r="F376" s="1322"/>
    </row>
    <row r="377" spans="1:6">
      <c r="A377" s="511"/>
      <c r="B377" s="511"/>
      <c r="C377" s="511"/>
      <c r="D377" s="559"/>
      <c r="E377" s="559"/>
      <c r="F377" s="559"/>
    </row>
    <row r="378" spans="1:6">
      <c r="A378" s="511"/>
      <c r="B378" s="520" t="s">
        <v>2756</v>
      </c>
      <c r="C378" s="511"/>
      <c r="D378" s="434" t="s">
        <v>2099</v>
      </c>
      <c r="E378" s="559"/>
      <c r="F378" s="559"/>
    </row>
    <row r="379" spans="1:6">
      <c r="A379" s="511"/>
      <c r="B379" s="511"/>
      <c r="C379" s="511"/>
      <c r="D379" s="434" t="s">
        <v>2100</v>
      </c>
      <c r="E379" s="559"/>
      <c r="F379" s="559"/>
    </row>
    <row r="380" spans="1:6">
      <c r="A380" s="511"/>
      <c r="B380" s="511"/>
      <c r="C380" s="511"/>
      <c r="D380" s="434" t="s">
        <v>2101</v>
      </c>
      <c r="E380" s="559"/>
      <c r="F380" s="559"/>
    </row>
    <row r="381" spans="1:6">
      <c r="A381" s="511"/>
      <c r="B381" s="511"/>
      <c r="C381" s="511"/>
      <c r="D381" s="434" t="s">
        <v>2102</v>
      </c>
      <c r="E381" s="559"/>
      <c r="F381" s="559"/>
    </row>
    <row r="382" spans="1:6">
      <c r="A382" s="511"/>
      <c r="B382" s="511"/>
      <c r="C382" s="511"/>
      <c r="D382" s="434" t="s">
        <v>2103</v>
      </c>
      <c r="E382" s="559"/>
      <c r="F382" s="559"/>
    </row>
    <row r="383" spans="1:6">
      <c r="A383" s="511"/>
      <c r="B383" s="511"/>
      <c r="C383" s="511"/>
      <c r="D383" s="434" t="s">
        <v>2104</v>
      </c>
      <c r="E383" s="559"/>
      <c r="F383" s="559"/>
    </row>
    <row r="384" spans="1:6">
      <c r="A384" s="511"/>
      <c r="B384" s="511"/>
      <c r="C384" s="511"/>
      <c r="E384" s="482"/>
      <c r="F384" s="481"/>
    </row>
    <row r="385" spans="1:6" ht="14.25">
      <c r="A385" s="519"/>
      <c r="B385" s="520" t="s">
        <v>2756</v>
      </c>
      <c r="C385" s="511"/>
      <c r="D385" s="1266" t="s">
        <v>1263</v>
      </c>
      <c r="E385" s="1266"/>
      <c r="F385" s="1266"/>
    </row>
    <row r="386" spans="1:6">
      <c r="A386" s="511"/>
      <c r="B386" s="511"/>
      <c r="C386" s="511"/>
      <c r="D386" s="1266"/>
      <c r="E386" s="1266"/>
      <c r="F386" s="1266"/>
    </row>
    <row r="387" spans="1:6">
      <c r="A387" s="511"/>
      <c r="B387" s="511"/>
      <c r="C387" s="511"/>
      <c r="D387" s="1266"/>
      <c r="E387" s="1266"/>
      <c r="F387" s="1266"/>
    </row>
    <row r="388" spans="1:6">
      <c r="A388" s="511"/>
      <c r="B388" s="511"/>
      <c r="C388" s="511"/>
      <c r="D388" s="1266"/>
      <c r="E388" s="1266"/>
      <c r="F388" s="1266"/>
    </row>
    <row r="389" spans="1:6">
      <c r="A389" s="511"/>
      <c r="B389" s="511"/>
      <c r="C389" s="511"/>
      <c r="D389" s="482"/>
      <c r="E389" s="482"/>
      <c r="F389" s="481"/>
    </row>
    <row r="390" spans="1:6">
      <c r="A390" s="511"/>
      <c r="B390" s="511"/>
      <c r="C390" s="511"/>
      <c r="D390" s="1266" t="s">
        <v>1264</v>
      </c>
      <c r="E390" s="1266"/>
      <c r="F390" s="1266"/>
    </row>
    <row r="391" spans="1:6">
      <c r="A391" s="511"/>
      <c r="B391" s="511"/>
      <c r="C391" s="511"/>
      <c r="D391" s="1266"/>
      <c r="E391" s="1266"/>
      <c r="F391" s="1266"/>
    </row>
    <row r="392" spans="1:6">
      <c r="A392" s="511"/>
      <c r="B392" s="511"/>
      <c r="C392" s="511"/>
      <c r="D392" s="1266"/>
      <c r="E392" s="1266"/>
      <c r="F392" s="1266"/>
    </row>
    <row r="393" spans="1:6">
      <c r="A393" s="511"/>
      <c r="B393" s="511"/>
      <c r="C393" s="511"/>
      <c r="D393" s="1266"/>
      <c r="E393" s="1266"/>
      <c r="F393" s="1266"/>
    </row>
    <row r="394" spans="1:6" ht="18" customHeight="1">
      <c r="A394" s="511"/>
      <c r="B394" s="511"/>
      <c r="C394" s="511"/>
      <c r="D394" s="1266"/>
      <c r="E394" s="1266"/>
      <c r="F394" s="1266"/>
    </row>
    <row r="395" spans="1:6">
      <c r="A395" s="511"/>
      <c r="B395" s="511"/>
      <c r="C395" s="511"/>
      <c r="D395" s="1266"/>
      <c r="E395" s="1266"/>
      <c r="F395" s="1266"/>
    </row>
    <row r="396" spans="1:6">
      <c r="A396" s="511"/>
      <c r="B396" s="511"/>
      <c r="C396" s="511"/>
      <c r="D396" s="1266"/>
      <c r="E396" s="1266"/>
      <c r="F396" s="1266"/>
    </row>
    <row r="397" spans="1:6">
      <c r="A397" s="511"/>
      <c r="B397" s="511"/>
      <c r="C397" s="511"/>
      <c r="D397" s="1266"/>
      <c r="E397" s="1266"/>
      <c r="F397" s="1266"/>
    </row>
    <row r="398" spans="1:6" ht="8.25" customHeight="1">
      <c r="A398" s="511"/>
      <c r="B398" s="511"/>
      <c r="C398" s="511"/>
      <c r="D398" s="1266"/>
      <c r="E398" s="1266"/>
      <c r="F398" s="1266"/>
    </row>
    <row r="399" spans="1:6" ht="13.7" customHeight="1">
      <c r="A399" s="511"/>
      <c r="B399" s="511"/>
      <c r="C399" s="511"/>
      <c r="D399" s="1266" t="s">
        <v>1265</v>
      </c>
      <c r="E399" s="1266"/>
      <c r="F399" s="1266"/>
    </row>
    <row r="400" spans="1:6">
      <c r="A400" s="511"/>
      <c r="B400" s="511"/>
      <c r="C400" s="511"/>
      <c r="D400" s="1266"/>
      <c r="E400" s="1266"/>
      <c r="F400" s="1266"/>
    </row>
    <row r="401" spans="1:6">
      <c r="A401" s="511"/>
      <c r="B401" s="511"/>
      <c r="C401" s="511"/>
      <c r="D401" s="1266"/>
      <c r="E401" s="1266"/>
      <c r="F401" s="1266"/>
    </row>
    <row r="402" spans="1:6">
      <c r="A402" s="511"/>
      <c r="B402" s="511"/>
      <c r="C402" s="511"/>
      <c r="D402" s="1266"/>
      <c r="E402" s="1266"/>
      <c r="F402" s="1266"/>
    </row>
    <row r="403" spans="1:6">
      <c r="A403" s="511"/>
      <c r="B403" s="511"/>
      <c r="C403" s="511"/>
      <c r="D403" s="1266"/>
      <c r="E403" s="1266"/>
      <c r="F403" s="1266"/>
    </row>
    <row r="404" spans="1:6">
      <c r="A404" s="511"/>
      <c r="B404" s="511"/>
      <c r="C404" s="511"/>
      <c r="D404" s="1266"/>
      <c r="E404" s="1266"/>
      <c r="F404" s="1266"/>
    </row>
    <row r="405" spans="1:6">
      <c r="A405" s="511"/>
      <c r="B405" s="511"/>
      <c r="C405" s="511"/>
      <c r="D405" s="1266"/>
      <c r="E405" s="1266"/>
      <c r="F405" s="1266"/>
    </row>
    <row r="406" spans="1:6">
      <c r="A406" s="511"/>
      <c r="B406" s="511"/>
      <c r="C406" s="511"/>
      <c r="D406" s="1266"/>
      <c r="E406" s="1266"/>
      <c r="F406" s="1266"/>
    </row>
    <row r="407" spans="1:6">
      <c r="A407" s="511"/>
      <c r="B407" s="511"/>
      <c r="C407" s="511"/>
      <c r="D407" s="1266"/>
      <c r="E407" s="1266"/>
      <c r="F407" s="1266"/>
    </row>
    <row r="408" spans="1:6">
      <c r="A408" s="511"/>
      <c r="B408" s="511"/>
      <c r="C408" s="511"/>
      <c r="D408" s="1266"/>
      <c r="E408" s="1266"/>
      <c r="F408" s="1266"/>
    </row>
    <row r="409" spans="1:6">
      <c r="A409" s="511"/>
      <c r="B409" s="511"/>
      <c r="C409" s="511"/>
      <c r="D409" s="1266"/>
      <c r="E409" s="1266"/>
      <c r="F409" s="1266"/>
    </row>
    <row r="410" spans="1:6">
      <c r="A410" s="511"/>
      <c r="B410" s="511"/>
      <c r="C410" s="511"/>
      <c r="D410" s="1266"/>
      <c r="E410" s="1266"/>
      <c r="F410" s="1266"/>
    </row>
    <row r="411" spans="1:6">
      <c r="A411" s="511"/>
      <c r="B411" s="511"/>
      <c r="C411" s="531"/>
      <c r="D411" s="1266"/>
      <c r="E411" s="1266"/>
      <c r="F411" s="1266"/>
    </row>
    <row r="412" spans="1:6">
      <c r="A412" s="511"/>
      <c r="B412" s="511"/>
      <c r="C412" s="531"/>
      <c r="D412" s="1266"/>
      <c r="E412" s="1266"/>
      <c r="F412" s="1266"/>
    </row>
    <row r="413" spans="1:6">
      <c r="A413" s="511"/>
      <c r="B413" s="511"/>
      <c r="C413" s="511"/>
      <c r="D413" s="1266"/>
      <c r="E413" s="1266"/>
      <c r="F413" s="1266"/>
    </row>
    <row r="414" spans="1:6">
      <c r="A414" s="511"/>
      <c r="B414" s="511"/>
      <c r="C414" s="531"/>
      <c r="D414" s="1266"/>
      <c r="E414" s="1266"/>
      <c r="F414" s="1266"/>
    </row>
    <row r="415" spans="1:6">
      <c r="A415" s="511"/>
      <c r="B415" s="511"/>
      <c r="C415" s="531"/>
      <c r="D415" s="1266"/>
      <c r="E415" s="1266"/>
      <c r="F415" s="1266"/>
    </row>
    <row r="416" spans="1:6">
      <c r="A416" s="511"/>
      <c r="B416" s="511"/>
      <c r="C416" s="531"/>
      <c r="D416" s="1266"/>
      <c r="E416" s="1266"/>
      <c r="F416" s="1266"/>
    </row>
    <row r="417" spans="1:6">
      <c r="A417" s="511"/>
      <c r="B417" s="511"/>
      <c r="C417" s="511"/>
      <c r="D417" s="482"/>
      <c r="E417" s="482"/>
      <c r="F417" s="481"/>
    </row>
    <row r="418" spans="1:6">
      <c r="A418" s="511"/>
      <c r="B418" s="520" t="s">
        <v>2756</v>
      </c>
      <c r="C418" s="511"/>
      <c r="D418" s="1266" t="s">
        <v>1266</v>
      </c>
      <c r="E418" s="1266"/>
      <c r="F418" s="1266"/>
    </row>
    <row r="419" spans="1:6">
      <c r="A419" s="511"/>
      <c r="B419" s="511"/>
      <c r="C419" s="511"/>
      <c r="D419" s="1266"/>
      <c r="E419" s="1266"/>
      <c r="F419" s="1266"/>
    </row>
    <row r="420" spans="1:6">
      <c r="A420" s="511"/>
      <c r="B420" s="511"/>
      <c r="C420" s="511"/>
      <c r="D420" s="486"/>
      <c r="E420" s="486"/>
      <c r="F420" s="486"/>
    </row>
    <row r="421" spans="1:6" ht="14.45" customHeight="1">
      <c r="A421" s="519"/>
      <c r="B421" s="520" t="s">
        <v>2756</v>
      </c>
      <c r="D421" s="1266" t="s">
        <v>2207</v>
      </c>
      <c r="E421" s="1266"/>
      <c r="F421" s="1266"/>
    </row>
    <row r="422" spans="1:6" ht="14.45" customHeight="1">
      <c r="A422" s="519"/>
      <c r="D422" s="1266"/>
      <c r="E422" s="1266"/>
      <c r="F422" s="1266"/>
    </row>
    <row r="423" spans="1:6" ht="14.45" customHeight="1">
      <c r="A423" s="519"/>
      <c r="D423" s="1266"/>
      <c r="E423" s="1266"/>
      <c r="F423" s="1266"/>
    </row>
    <row r="424" spans="1:6" ht="14.45" customHeight="1">
      <c r="A424" s="519"/>
      <c r="D424" s="1266"/>
      <c r="E424" s="1266"/>
      <c r="F424" s="1266"/>
    </row>
    <row r="425" spans="1:6" ht="14.45" customHeight="1">
      <c r="A425" s="519"/>
      <c r="D425" s="1266"/>
      <c r="E425" s="1266"/>
      <c r="F425" s="1266"/>
    </row>
    <row r="426" spans="1:6" ht="14.45" customHeight="1">
      <c r="A426" s="519"/>
      <c r="D426" s="417"/>
      <c r="E426" s="417"/>
      <c r="F426" s="417"/>
    </row>
    <row r="427" spans="1:6" ht="13.7" customHeight="1">
      <c r="A427" s="519"/>
      <c r="B427" s="520" t="s">
        <v>2756</v>
      </c>
      <c r="C427" s="511"/>
      <c r="D427" s="1266" t="s">
        <v>1390</v>
      </c>
      <c r="E427" s="1266"/>
      <c r="F427" s="1266"/>
    </row>
    <row r="428" spans="1:6" ht="14.25">
      <c r="A428" s="532"/>
      <c r="B428" s="532"/>
      <c r="C428" s="511"/>
      <c r="D428" s="1266"/>
      <c r="E428" s="1266"/>
      <c r="F428" s="1266"/>
    </row>
    <row r="429" spans="1:6" ht="14.25">
      <c r="A429" s="532"/>
      <c r="B429" s="532"/>
      <c r="C429" s="511"/>
      <c r="D429" s="1266"/>
      <c r="E429" s="1266"/>
      <c r="F429" s="1266"/>
    </row>
    <row r="430" spans="1:6" ht="14.25">
      <c r="A430" s="532"/>
      <c r="B430" s="532"/>
      <c r="C430" s="511"/>
      <c r="D430" s="1266"/>
      <c r="E430" s="1266"/>
      <c r="F430" s="1266"/>
    </row>
    <row r="431" spans="1:6" ht="15.75" customHeight="1">
      <c r="A431" s="532"/>
      <c r="B431" s="532"/>
      <c r="C431" s="511"/>
      <c r="D431" s="1330" t="s">
        <v>2476</v>
      </c>
      <c r="E431" s="1266"/>
      <c r="F431" s="1266"/>
    </row>
    <row r="432" spans="1:6">
      <c r="D432" s="481"/>
      <c r="E432" s="481"/>
      <c r="F432" s="481"/>
    </row>
    <row r="433" spans="1:6" ht="14.25">
      <c r="A433" s="519"/>
      <c r="B433" s="520" t="s">
        <v>2756</v>
      </c>
      <c r="C433" s="522"/>
      <c r="D433" s="1278" t="s">
        <v>2459</v>
      </c>
      <c r="E433" s="1278"/>
      <c r="F433" s="1278"/>
    </row>
    <row r="434" spans="1:6" ht="14.25">
      <c r="A434" s="519"/>
      <c r="B434" s="519"/>
      <c r="D434" s="1278"/>
      <c r="E434" s="1278"/>
      <c r="F434" s="1278"/>
    </row>
    <row r="435" spans="1:6">
      <c r="D435" s="1278"/>
      <c r="E435" s="1278"/>
      <c r="F435" s="1278"/>
    </row>
    <row r="436" spans="1:6">
      <c r="D436" s="1278"/>
      <c r="E436" s="1278"/>
      <c r="F436" s="1278"/>
    </row>
    <row r="437" spans="1:6">
      <c r="D437" s="1278"/>
      <c r="E437" s="1278"/>
      <c r="F437" s="1278"/>
    </row>
    <row r="438" spans="1:6">
      <c r="D438" s="1278"/>
      <c r="E438" s="1278"/>
      <c r="F438" s="1278"/>
    </row>
    <row r="439" spans="1:6">
      <c r="D439" s="1278"/>
      <c r="E439" s="1278"/>
      <c r="F439" s="1278"/>
    </row>
    <row r="440" spans="1:6">
      <c r="D440" s="1278"/>
      <c r="E440" s="1278"/>
      <c r="F440" s="1278"/>
    </row>
    <row r="441" spans="1:6">
      <c r="D441" s="1278"/>
      <c r="E441" s="1278"/>
      <c r="F441" s="1278"/>
    </row>
    <row r="442" spans="1:6">
      <c r="D442" s="1278"/>
      <c r="E442" s="1278"/>
      <c r="F442" s="1278"/>
    </row>
    <row r="443" spans="1:6">
      <c r="D443" s="1278"/>
      <c r="E443" s="1278"/>
      <c r="F443" s="1278"/>
    </row>
    <row r="444" spans="1:6">
      <c r="D444" s="1278"/>
      <c r="E444" s="1278"/>
      <c r="F444" s="1278"/>
    </row>
    <row r="445" spans="1:6">
      <c r="D445" s="1278"/>
      <c r="E445" s="1278"/>
      <c r="F445" s="1278"/>
    </row>
    <row r="446" spans="1:6">
      <c r="A446" s="434"/>
      <c r="B446" s="434"/>
      <c r="C446" s="434"/>
      <c r="D446" s="1278"/>
      <c r="E446" s="1278"/>
      <c r="F446" s="1278"/>
    </row>
    <row r="447" spans="1:6">
      <c r="A447" s="434"/>
      <c r="B447" s="434"/>
      <c r="C447" s="434"/>
      <c r="D447" s="1278"/>
      <c r="E447" s="1278"/>
      <c r="F447" s="1278"/>
    </row>
    <row r="448" spans="1:6">
      <c r="A448" s="434"/>
      <c r="B448" s="434"/>
      <c r="C448" s="434"/>
      <c r="D448" s="1278"/>
      <c r="E448" s="1278"/>
      <c r="F448" s="1278"/>
    </row>
    <row r="449" spans="1:6">
      <c r="A449" s="434"/>
      <c r="B449" s="434"/>
      <c r="C449" s="434"/>
      <c r="D449" s="1278"/>
      <c r="E449" s="1278"/>
      <c r="F449" s="1278"/>
    </row>
    <row r="450" spans="1:6">
      <c r="A450" s="434"/>
      <c r="B450" s="434"/>
      <c r="C450" s="434"/>
      <c r="D450" s="1278"/>
      <c r="E450" s="1278"/>
      <c r="F450" s="1278"/>
    </row>
    <row r="451" spans="1:6">
      <c r="A451" s="434"/>
      <c r="B451" s="434"/>
      <c r="C451" s="434"/>
      <c r="D451" s="1278"/>
      <c r="E451" s="1278"/>
      <c r="F451" s="1278"/>
    </row>
    <row r="452" spans="1:6">
      <c r="A452" s="434"/>
      <c r="B452" s="434"/>
      <c r="C452" s="434"/>
      <c r="D452" s="1278"/>
      <c r="E452" s="1278"/>
      <c r="F452" s="1278"/>
    </row>
    <row r="453" spans="1:6">
      <c r="A453" s="434"/>
      <c r="B453" s="434"/>
      <c r="C453" s="434"/>
      <c r="D453" s="1278"/>
      <c r="E453" s="1278"/>
      <c r="F453" s="1278"/>
    </row>
    <row r="454" spans="1:6">
      <c r="A454" s="434"/>
      <c r="B454" s="434"/>
      <c r="C454" s="434"/>
      <c r="D454" s="1278"/>
      <c r="E454" s="1278"/>
      <c r="F454" s="1278"/>
    </row>
    <row r="455" spans="1:6">
      <c r="A455" s="434"/>
      <c r="B455" s="434"/>
      <c r="C455" s="434"/>
      <c r="D455" s="1278"/>
      <c r="E455" s="1278"/>
      <c r="F455" s="1278"/>
    </row>
    <row r="456" spans="1:6">
      <c r="A456" s="434"/>
      <c r="B456" s="434"/>
      <c r="C456" s="434"/>
      <c r="D456" s="1278"/>
      <c r="E456" s="1278"/>
      <c r="F456" s="1278"/>
    </row>
    <row r="457" spans="1:6">
      <c r="A457" s="434"/>
      <c r="B457" s="434"/>
      <c r="C457" s="434"/>
      <c r="D457" s="1278"/>
      <c r="E457" s="1278"/>
      <c r="F457" s="1278"/>
    </row>
    <row r="458" spans="1:6">
      <c r="A458" s="434"/>
      <c r="B458" s="434"/>
      <c r="C458" s="434"/>
      <c r="D458" s="1278"/>
      <c r="E458" s="1278"/>
      <c r="F458" s="1278"/>
    </row>
    <row r="459" spans="1:6">
      <c r="A459" s="434"/>
      <c r="B459" s="434"/>
      <c r="C459" s="434"/>
      <c r="D459" s="1278"/>
      <c r="E459" s="1278"/>
      <c r="F459" s="1278"/>
    </row>
    <row r="460" spans="1:6">
      <c r="A460" s="434"/>
      <c r="B460" s="434"/>
      <c r="C460" s="434"/>
      <c r="D460" s="1278"/>
      <c r="E460" s="1278"/>
      <c r="F460" s="1278"/>
    </row>
    <row r="461" spans="1:6">
      <c r="A461" s="434"/>
      <c r="B461" s="434"/>
      <c r="C461" s="434"/>
      <c r="D461" s="1278"/>
      <c r="E461" s="1278"/>
      <c r="F461" s="1278"/>
    </row>
    <row r="462" spans="1:6">
      <c r="D462" s="1278"/>
      <c r="E462" s="1278"/>
      <c r="F462" s="1278"/>
    </row>
    <row r="463" spans="1:6" ht="40.700000000000003" customHeight="1">
      <c r="D463" s="1278"/>
      <c r="E463" s="1278"/>
      <c r="F463" s="1278"/>
    </row>
    <row r="464" spans="1:6">
      <c r="D464" s="481"/>
      <c r="E464" s="481"/>
      <c r="F464" s="481"/>
    </row>
    <row r="465" spans="1:6" ht="14.25">
      <c r="A465" s="519"/>
      <c r="B465" s="520" t="s">
        <v>2756</v>
      </c>
      <c r="C465" s="522"/>
      <c r="D465" s="1278" t="s">
        <v>1271</v>
      </c>
      <c r="E465" s="1278"/>
      <c r="F465" s="1278"/>
    </row>
    <row r="466" spans="1:6">
      <c r="D466" s="1278"/>
      <c r="E466" s="1278"/>
      <c r="F466" s="1278"/>
    </row>
    <row r="467" spans="1:6">
      <c r="D467" s="1278"/>
      <c r="E467" s="1278"/>
      <c r="F467" s="1278"/>
    </row>
    <row r="468" spans="1:6">
      <c r="D468" s="480"/>
      <c r="E468" s="480"/>
      <c r="F468" s="480"/>
    </row>
    <row r="469" spans="1:6" ht="14.25">
      <c r="B469" s="520" t="s">
        <v>2756</v>
      </c>
      <c r="C469" s="519"/>
      <c r="D469" s="1278" t="s">
        <v>1341</v>
      </c>
      <c r="E469" s="1278"/>
      <c r="F469" s="1278"/>
    </row>
    <row r="470" spans="1:6">
      <c r="D470" s="1278"/>
      <c r="E470" s="1278"/>
      <c r="F470" s="1278"/>
    </row>
    <row r="471" spans="1:6">
      <c r="D471" s="481"/>
      <c r="E471" s="481"/>
      <c r="F471" s="481"/>
    </row>
    <row r="472" spans="1:6" ht="14.25">
      <c r="B472" s="520" t="s">
        <v>2756</v>
      </c>
      <c r="C472" s="519"/>
      <c r="D472" s="1278" t="s">
        <v>1273</v>
      </c>
      <c r="E472" s="1278"/>
      <c r="F472" s="1278"/>
    </row>
    <row r="473" spans="1:6">
      <c r="D473" s="1278"/>
      <c r="E473" s="1278"/>
      <c r="F473" s="1278"/>
    </row>
    <row r="474" spans="1:6">
      <c r="D474" s="1278"/>
      <c r="E474" s="1278"/>
      <c r="F474" s="1278"/>
    </row>
    <row r="475" spans="1:6">
      <c r="D475" s="1278"/>
      <c r="E475" s="1278"/>
      <c r="F475" s="1278"/>
    </row>
    <row r="476" spans="1:6">
      <c r="B476" s="520" t="s">
        <v>2756</v>
      </c>
      <c r="D476" s="1278"/>
      <c r="E476" s="1278"/>
      <c r="F476" s="1278"/>
    </row>
    <row r="477" spans="1:6">
      <c r="A477" s="434"/>
      <c r="B477" s="434"/>
      <c r="C477" s="434"/>
      <c r="D477" s="1278"/>
      <c r="E477" s="1278"/>
      <c r="F477" s="1278"/>
    </row>
    <row r="478" spans="1:6">
      <c r="A478" s="434"/>
      <c r="C478" s="434"/>
      <c r="D478" s="1278"/>
      <c r="E478" s="1278"/>
      <c r="F478" s="1278"/>
    </row>
    <row r="479" spans="1:6">
      <c r="A479" s="434"/>
      <c r="B479" s="520" t="s">
        <v>2756</v>
      </c>
      <c r="C479" s="434"/>
      <c r="D479" s="1278"/>
      <c r="E479" s="1278"/>
      <c r="F479" s="1278"/>
    </row>
    <row r="480" spans="1:6">
      <c r="A480" s="434"/>
      <c r="B480" s="434"/>
      <c r="C480" s="434"/>
      <c r="D480" s="1278"/>
      <c r="E480" s="1278"/>
      <c r="F480" s="1278"/>
    </row>
    <row r="481" spans="1:9">
      <c r="A481" s="434"/>
      <c r="C481" s="434"/>
      <c r="D481" s="1278"/>
      <c r="E481" s="1278"/>
      <c r="F481" s="1278"/>
    </row>
    <row r="482" spans="1:9">
      <c r="A482" s="434"/>
      <c r="C482" s="434"/>
      <c r="D482" s="1278"/>
      <c r="E482" s="1278"/>
      <c r="F482" s="1278"/>
    </row>
    <row r="483" spans="1:9">
      <c r="A483" s="434"/>
      <c r="C483" s="434"/>
      <c r="D483" s="1278"/>
      <c r="E483" s="1278"/>
      <c r="F483" s="1278"/>
    </row>
    <row r="484" spans="1:9">
      <c r="A484" s="434"/>
      <c r="B484" s="520" t="s">
        <v>2756</v>
      </c>
      <c r="C484" s="434"/>
      <c r="D484" s="1278"/>
      <c r="E484" s="1278"/>
      <c r="F484" s="1278"/>
    </row>
    <row r="485" spans="1:9">
      <c r="A485" s="434"/>
      <c r="C485" s="434"/>
      <c r="D485" s="1278"/>
      <c r="E485" s="1278"/>
      <c r="F485" s="1278"/>
    </row>
    <row r="486" spans="1:9">
      <c r="A486" s="434"/>
      <c r="B486" s="520" t="s">
        <v>2756</v>
      </c>
      <c r="C486" s="434"/>
      <c r="D486" s="1278" t="s">
        <v>1274</v>
      </c>
      <c r="E486" s="1278"/>
      <c r="F486" s="1278"/>
    </row>
    <row r="487" spans="1:9">
      <c r="A487" s="434"/>
      <c r="B487" s="434"/>
      <c r="C487" s="434"/>
      <c r="D487" s="1278"/>
      <c r="E487" s="1278"/>
      <c r="F487" s="1278"/>
    </row>
    <row r="488" spans="1:9">
      <c r="A488" s="434"/>
      <c r="B488" s="434"/>
      <c r="C488" s="434"/>
      <c r="D488" s="1278"/>
      <c r="E488" s="1278"/>
      <c r="F488" s="1278"/>
    </row>
    <row r="489" spans="1:9">
      <c r="A489" s="434"/>
      <c r="B489" s="434"/>
      <c r="C489" s="434"/>
      <c r="D489" s="1278"/>
      <c r="E489" s="1278"/>
      <c r="F489" s="1278"/>
    </row>
    <row r="490" spans="1:9">
      <c r="D490" s="1278"/>
      <c r="E490" s="1278"/>
      <c r="F490" s="1278"/>
    </row>
    <row r="491" spans="1:9">
      <c r="D491" s="481"/>
      <c r="E491" s="481"/>
      <c r="F491" s="481"/>
    </row>
    <row r="492" spans="1:9">
      <c r="B492" s="520" t="s">
        <v>2756</v>
      </c>
      <c r="D492" s="1307" t="s">
        <v>1275</v>
      </c>
      <c r="E492" s="1307"/>
      <c r="F492" s="1307"/>
    </row>
    <row r="493" spans="1:9">
      <c r="A493" s="481"/>
      <c r="B493" s="481"/>
    </row>
    <row r="494" spans="1:9">
      <c r="A494" s="1284" t="s">
        <v>1116</v>
      </c>
      <c r="B494" s="1284"/>
      <c r="C494" s="1284"/>
      <c r="D494" s="1284"/>
      <c r="E494" s="1284"/>
      <c r="F494" s="1284"/>
      <c r="G494" s="1284"/>
      <c r="H494" s="1071"/>
      <c r="I494" s="1072"/>
    </row>
    <row r="495" spans="1:9">
      <c r="A495" s="481"/>
      <c r="B495" s="481"/>
    </row>
    <row r="496" spans="1:9">
      <c r="D496" s="1314" t="s">
        <v>913</v>
      </c>
      <c r="E496" s="1314"/>
      <c r="F496" s="1314"/>
    </row>
    <row r="497" spans="1:9" ht="14.25">
      <c r="A497" s="519"/>
      <c r="B497" s="519"/>
      <c r="D497" s="1311" t="s">
        <v>1276</v>
      </c>
      <c r="E497" s="1311"/>
      <c r="F497" s="1311"/>
    </row>
    <row r="498" spans="1:9" ht="14.25">
      <c r="A498" s="519"/>
      <c r="B498" s="519"/>
      <c r="D498" s="482"/>
    </row>
    <row r="499" spans="1:9" ht="14.25">
      <c r="A499" s="519"/>
      <c r="B499" s="520" t="s">
        <v>2756</v>
      </c>
      <c r="D499" s="1266" t="s">
        <v>1277</v>
      </c>
      <c r="E499" s="1266"/>
      <c r="F499" s="1266"/>
      <c r="I499" s="436" t="s">
        <v>2171</v>
      </c>
    </row>
    <row r="500" spans="1:9" ht="14.25">
      <c r="A500" s="519"/>
      <c r="B500" s="519"/>
      <c r="D500" s="1266"/>
      <c r="E500" s="1266"/>
      <c r="F500" s="1266"/>
    </row>
    <row r="501" spans="1:9" ht="14.25">
      <c r="A501" s="519"/>
      <c r="B501" s="519"/>
      <c r="D501" s="481"/>
    </row>
    <row r="502" spans="1:9" ht="12.75" customHeight="1">
      <c r="B502" s="520" t="s">
        <v>2756</v>
      </c>
      <c r="D502" s="1300" t="s">
        <v>1434</v>
      </c>
      <c r="E502" s="1300"/>
      <c r="F502" s="1300"/>
      <c r="I502" s="436" t="s">
        <v>2172</v>
      </c>
    </row>
    <row r="503" spans="1:9" ht="14.25">
      <c r="A503" s="519"/>
      <c r="D503" s="1300"/>
      <c r="E503" s="1300"/>
      <c r="F503" s="1300"/>
    </row>
    <row r="504" spans="1:9" ht="14.25">
      <c r="A504" s="519"/>
      <c r="B504" s="519"/>
      <c r="D504" s="1300"/>
      <c r="E504" s="1300"/>
      <c r="F504" s="1300"/>
    </row>
    <row r="505" spans="1:9" ht="14.25">
      <c r="A505" s="519"/>
      <c r="B505" s="519"/>
      <c r="D505" s="1300"/>
      <c r="E505" s="1300"/>
      <c r="F505" s="1300"/>
    </row>
    <row r="506" spans="1:9" ht="14.25">
      <c r="A506" s="519"/>
      <c r="D506" s="555"/>
      <c r="E506" s="555"/>
      <c r="F506" s="555"/>
    </row>
    <row r="507" spans="1:9" ht="14.25">
      <c r="A507" s="519"/>
      <c r="B507" s="520" t="s">
        <v>2756</v>
      </c>
      <c r="D507" s="1307" t="s">
        <v>1280</v>
      </c>
      <c r="E507" s="1307"/>
      <c r="F507" s="1307"/>
      <c r="I507" s="436" t="s">
        <v>2173</v>
      </c>
    </row>
    <row r="508" spans="1:9" ht="14.25">
      <c r="A508" s="519"/>
      <c r="B508" s="519"/>
      <c r="D508" s="481"/>
    </row>
    <row r="509" spans="1:9" ht="14.25">
      <c r="A509" s="519"/>
      <c r="B509" s="520" t="s">
        <v>2756</v>
      </c>
      <c r="D509" s="1278" t="s">
        <v>1281</v>
      </c>
      <c r="E509" s="1278"/>
      <c r="F509" s="1278"/>
      <c r="I509" s="436" t="s">
        <v>2173</v>
      </c>
    </row>
    <row r="510" spans="1:9" ht="14.25">
      <c r="A510" s="519"/>
      <c r="D510" s="1278"/>
      <c r="E510" s="1278"/>
      <c r="F510" s="1278"/>
    </row>
    <row r="511" spans="1:9">
      <c r="A511" s="525"/>
      <c r="B511" s="525"/>
      <c r="D511" s="482"/>
    </row>
    <row r="512" spans="1:9">
      <c r="A512" s="525"/>
      <c r="B512" s="520" t="s">
        <v>2756</v>
      </c>
      <c r="D512" s="1307" t="s">
        <v>1282</v>
      </c>
      <c r="E512" s="1307"/>
      <c r="F512" s="1307"/>
      <c r="I512" s="436" t="s">
        <v>2226</v>
      </c>
    </row>
    <row r="513" spans="1:9" ht="14.25">
      <c r="A513" s="519"/>
      <c r="B513" s="519"/>
      <c r="D513" s="481"/>
    </row>
    <row r="514" spans="1:9">
      <c r="A514" s="1284" t="s">
        <v>1117</v>
      </c>
      <c r="B514" s="1284"/>
      <c r="C514" s="1284"/>
      <c r="D514" s="1284"/>
      <c r="E514" s="1284"/>
      <c r="F514" s="1284"/>
      <c r="G514" s="1284"/>
      <c r="H514" s="1071"/>
      <c r="I514" s="1072"/>
    </row>
    <row r="515" spans="1:9" ht="12" customHeight="1">
      <c r="A515" s="519"/>
      <c r="B515" s="519"/>
      <c r="D515" s="481"/>
    </row>
    <row r="516" spans="1:9">
      <c r="C516" s="517"/>
      <c r="D516" s="1276" t="s">
        <v>818</v>
      </c>
      <c r="E516" s="1276"/>
      <c r="F516" s="1276"/>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2755</v>
      </c>
      <c r="C520" s="518"/>
      <c r="D520" s="1266" t="s">
        <v>2460</v>
      </c>
      <c r="E520" s="1266"/>
      <c r="F520" s="1266"/>
      <c r="I520" s="436" t="s">
        <v>2208</v>
      </c>
    </row>
    <row r="521" spans="1:9">
      <c r="A521" s="518"/>
      <c r="B521" s="518"/>
      <c r="C521" s="518"/>
      <c r="D521" s="1266"/>
      <c r="E521" s="1266"/>
      <c r="F521" s="1266"/>
    </row>
    <row r="522" spans="1:9">
      <c r="A522" s="518"/>
      <c r="B522" s="518"/>
      <c r="C522" s="518"/>
      <c r="D522" s="486"/>
      <c r="E522" s="486"/>
      <c r="F522" s="486"/>
      <c r="I522" s="434"/>
    </row>
    <row r="523" spans="1:9" ht="12.75" customHeight="1">
      <c r="A523" s="518"/>
      <c r="B523" s="520" t="s">
        <v>2755</v>
      </c>
      <c r="D523" s="418" t="s">
        <v>2288</v>
      </c>
      <c r="E523" s="417"/>
      <c r="F523" s="417"/>
      <c r="I523" s="436" t="s">
        <v>2174</v>
      </c>
    </row>
    <row r="524" spans="1:9">
      <c r="A524" s="518"/>
      <c r="B524" s="518"/>
      <c r="C524" s="518"/>
      <c r="D524" s="417"/>
      <c r="E524" s="96" t="s">
        <v>2289</v>
      </c>
    </row>
    <row r="525" spans="1:9">
      <c r="A525" s="518"/>
      <c r="B525" s="518"/>
      <c r="D525" s="1322" t="s">
        <v>2461</v>
      </c>
      <c r="E525" s="1322"/>
      <c r="F525" s="1322"/>
    </row>
    <row r="526" spans="1:9">
      <c r="A526" s="518"/>
      <c r="B526" s="518"/>
      <c r="D526" s="1322"/>
      <c r="E526" s="1322"/>
      <c r="F526" s="1322"/>
    </row>
    <row r="527" spans="1:9">
      <c r="A527" s="518"/>
      <c r="B527" s="518"/>
      <c r="C527" s="518"/>
      <c r="D527" s="1322"/>
      <c r="E527" s="1322"/>
      <c r="F527" s="1322"/>
    </row>
    <row r="528" spans="1:9">
      <c r="A528" s="518"/>
      <c r="B528" s="518"/>
      <c r="C528" s="518"/>
      <c r="D528" s="533"/>
      <c r="F528" s="481"/>
    </row>
    <row r="529" spans="1:9" ht="13.15" customHeight="1">
      <c r="A529" s="518"/>
      <c r="B529" s="520" t="s">
        <v>2756</v>
      </c>
      <c r="C529" s="518"/>
      <c r="D529" s="1278" t="s">
        <v>2462</v>
      </c>
      <c r="E529" s="1278"/>
      <c r="F529" s="1278"/>
      <c r="I529" s="436" t="s">
        <v>2174</v>
      </c>
    </row>
    <row r="530" spans="1:9">
      <c r="A530" s="518"/>
      <c r="B530" s="518"/>
      <c r="C530" s="518"/>
      <c r="D530" s="1278"/>
      <c r="E530" s="1278"/>
      <c r="F530" s="1278"/>
    </row>
    <row r="531" spans="1:9" ht="12" customHeight="1">
      <c r="A531" s="481"/>
      <c r="B531" s="481"/>
      <c r="C531" s="522"/>
      <c r="D531" s="481"/>
      <c r="F531" s="483"/>
    </row>
    <row r="532" spans="1:9">
      <c r="A532" s="1284" t="s">
        <v>1118</v>
      </c>
      <c r="B532" s="1284"/>
      <c r="C532" s="1284"/>
      <c r="D532" s="1284"/>
      <c r="E532" s="1284"/>
      <c r="F532" s="1284"/>
      <c r="G532" s="1284"/>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285" t="s">
        <v>1119</v>
      </c>
      <c r="B536" s="1285"/>
      <c r="C536" s="1285"/>
      <c r="D536" s="1285"/>
      <c r="E536" s="1285"/>
      <c r="F536" s="1285"/>
      <c r="G536" s="1285"/>
      <c r="H536" s="1071"/>
      <c r="I536" s="1072"/>
    </row>
    <row r="537" spans="1:9">
      <c r="A537" s="481"/>
      <c r="B537" s="481"/>
      <c r="C537" s="522"/>
      <c r="D537" s="481"/>
      <c r="F537" s="481"/>
    </row>
    <row r="538" spans="1:9">
      <c r="C538" s="522"/>
      <c r="D538" s="1276" t="s">
        <v>693</v>
      </c>
      <c r="E538" s="1276"/>
      <c r="F538" s="1276"/>
    </row>
    <row r="539" spans="1:9">
      <c r="C539" s="522"/>
      <c r="D539" s="1307" t="s">
        <v>1176</v>
      </c>
      <c r="E539" s="1307"/>
      <c r="F539" s="1307"/>
    </row>
    <row r="540" spans="1:9">
      <c r="C540" s="522"/>
      <c r="D540" s="481"/>
      <c r="E540" s="481"/>
      <c r="F540" s="481"/>
    </row>
    <row r="541" spans="1:9" ht="13.7" customHeight="1">
      <c r="A541" s="519"/>
      <c r="B541" s="520" t="s">
        <v>2755</v>
      </c>
      <c r="C541" s="522"/>
      <c r="D541" s="1307" t="s">
        <v>914</v>
      </c>
      <c r="E541" s="1307"/>
      <c r="F541" s="1307"/>
      <c r="I541" s="436" t="s">
        <v>2224</v>
      </c>
    </row>
    <row r="542" spans="1:9" ht="13.7" customHeight="1">
      <c r="A542" s="522"/>
      <c r="B542" s="522"/>
      <c r="C542" s="522"/>
      <c r="D542" s="481"/>
    </row>
    <row r="543" spans="1:9" ht="14.25">
      <c r="A543" s="519"/>
      <c r="B543" s="520" t="s">
        <v>2755</v>
      </c>
      <c r="C543" s="522"/>
      <c r="D543" s="1278" t="s">
        <v>1177</v>
      </c>
      <c r="E543" s="1278"/>
      <c r="F543" s="1278"/>
      <c r="I543" s="436" t="s">
        <v>2224</v>
      </c>
    </row>
    <row r="544" spans="1:9">
      <c r="A544" s="522"/>
      <c r="B544" s="522"/>
      <c r="C544" s="522"/>
      <c r="D544" s="1278"/>
      <c r="E544" s="1278"/>
      <c r="F544" s="1278"/>
    </row>
    <row r="545" spans="1:9">
      <c r="A545" s="522"/>
      <c r="B545" s="522"/>
      <c r="C545" s="522"/>
      <c r="D545" s="481"/>
      <c r="E545" s="481"/>
      <c r="F545" s="481"/>
    </row>
    <row r="546" spans="1:9" ht="14.25">
      <c r="A546" s="519"/>
      <c r="B546" s="520" t="s">
        <v>2755</v>
      </c>
      <c r="C546" s="522"/>
      <c r="D546" s="1278" t="s">
        <v>1178</v>
      </c>
      <c r="E546" s="1278"/>
      <c r="F546" s="1278"/>
      <c r="I546" s="436" t="s">
        <v>2175</v>
      </c>
    </row>
    <row r="547" spans="1:9">
      <c r="A547" s="522"/>
      <c r="B547" s="522"/>
      <c r="C547" s="522"/>
      <c r="D547" s="1278"/>
      <c r="E547" s="1278"/>
      <c r="F547" s="1278"/>
    </row>
    <row r="548" spans="1:9">
      <c r="A548" s="522"/>
      <c r="B548" s="522"/>
      <c r="C548" s="522"/>
      <c r="D548" s="481"/>
      <c r="E548" s="481"/>
      <c r="F548" s="481"/>
    </row>
    <row r="549" spans="1:9" ht="14.25">
      <c r="A549" s="519"/>
      <c r="B549" s="520" t="s">
        <v>2755</v>
      </c>
      <c r="C549" s="522"/>
      <c r="D549" s="1278" t="s">
        <v>1179</v>
      </c>
      <c r="E549" s="1278"/>
      <c r="F549" s="1278"/>
      <c r="I549" s="436" t="s">
        <v>2176</v>
      </c>
    </row>
    <row r="550" spans="1:9">
      <c r="A550" s="522"/>
      <c r="B550" s="522"/>
      <c r="C550" s="522"/>
      <c r="D550" s="1278"/>
      <c r="E550" s="1278"/>
      <c r="F550" s="1278"/>
    </row>
    <row r="551" spans="1:9">
      <c r="A551" s="522"/>
      <c r="B551" s="522"/>
      <c r="C551" s="522"/>
      <c r="D551" s="481"/>
      <c r="E551" s="481"/>
      <c r="F551" s="481"/>
    </row>
    <row r="552" spans="1:9" ht="14.25">
      <c r="A552" s="519"/>
      <c r="B552" s="520" t="s">
        <v>2755</v>
      </c>
      <c r="C552" s="522"/>
      <c r="D552" s="1278" t="s">
        <v>1180</v>
      </c>
      <c r="E552" s="1278"/>
      <c r="F552" s="1278"/>
      <c r="I552" s="436" t="s">
        <v>2225</v>
      </c>
    </row>
    <row r="553" spans="1:9">
      <c r="A553" s="522"/>
      <c r="B553" s="522"/>
      <c r="C553" s="522"/>
      <c r="D553" s="1278"/>
      <c r="E553" s="1278"/>
      <c r="F553" s="1278"/>
    </row>
    <row r="554" spans="1:9">
      <c r="A554" s="522"/>
      <c r="B554" s="522"/>
      <c r="C554" s="522"/>
      <c r="D554" s="1278"/>
      <c r="E554" s="1278"/>
      <c r="F554" s="1278"/>
    </row>
    <row r="555" spans="1:9">
      <c r="A555" s="522"/>
      <c r="B555" s="522"/>
      <c r="C555" s="522"/>
      <c r="D555" s="481"/>
      <c r="E555" s="481"/>
      <c r="F555" s="481"/>
    </row>
    <row r="556" spans="1:9" ht="14.25">
      <c r="A556" s="519"/>
      <c r="B556" s="520" t="s">
        <v>2756</v>
      </c>
      <c r="C556" s="522"/>
      <c r="D556" s="1278" t="s">
        <v>1298</v>
      </c>
      <c r="E556" s="1278"/>
      <c r="F556" s="1278"/>
      <c r="I556" s="436" t="s">
        <v>2224</v>
      </c>
    </row>
    <row r="557" spans="1:9">
      <c r="A557" s="522"/>
      <c r="B557" s="522"/>
      <c r="C557" s="522"/>
      <c r="D557" s="1278"/>
      <c r="E557" s="1278"/>
      <c r="F557" s="1278"/>
    </row>
    <row r="558" spans="1:9">
      <c r="A558" s="522"/>
      <c r="B558" s="522"/>
      <c r="C558" s="522"/>
      <c r="D558" s="481"/>
      <c r="E558" s="481"/>
      <c r="F558" s="481"/>
    </row>
    <row r="559" spans="1:9" ht="14.25">
      <c r="A559" s="519"/>
      <c r="B559" s="520" t="s">
        <v>2756</v>
      </c>
      <c r="C559" s="522"/>
      <c r="D559" s="1278" t="s">
        <v>1182</v>
      </c>
      <c r="E559" s="1278"/>
      <c r="F559" s="1278"/>
      <c r="I559" s="436" t="s">
        <v>2224</v>
      </c>
    </row>
    <row r="560" spans="1:9">
      <c r="A560" s="522"/>
      <c r="B560" s="522"/>
      <c r="C560" s="522"/>
      <c r="D560" s="1278"/>
      <c r="E560" s="1278"/>
      <c r="F560" s="1278"/>
    </row>
    <row r="561" spans="1:9">
      <c r="A561" s="522"/>
      <c r="B561" s="522"/>
      <c r="C561" s="522"/>
      <c r="D561" s="481"/>
      <c r="E561" s="481"/>
      <c r="F561" s="481"/>
    </row>
    <row r="562" spans="1:9" ht="14.25">
      <c r="A562" s="519"/>
      <c r="B562" s="520" t="s">
        <v>2755</v>
      </c>
      <c r="C562" s="522"/>
      <c r="D562" s="1307" t="s">
        <v>1183</v>
      </c>
      <c r="E562" s="1307"/>
      <c r="F562" s="1307"/>
      <c r="I562" s="436" t="s">
        <v>2227</v>
      </c>
    </row>
    <row r="563" spans="1:9">
      <c r="A563" s="525"/>
      <c r="B563" s="525"/>
      <c r="C563" s="522"/>
      <c r="D563" s="1307" t="s">
        <v>2291</v>
      </c>
      <c r="E563" s="1307"/>
      <c r="F563" s="1307"/>
    </row>
    <row r="564" spans="1:9">
      <c r="A564" s="525"/>
      <c r="B564" s="525"/>
      <c r="C564" s="522"/>
      <c r="E564" s="96" t="s">
        <v>2290</v>
      </c>
      <c r="F564" s="436"/>
    </row>
    <row r="565" spans="1:9" ht="14.25">
      <c r="A565" s="519"/>
      <c r="B565" s="519"/>
      <c r="C565" s="522"/>
      <c r="E565" s="481"/>
      <c r="F565" s="481"/>
    </row>
    <row r="566" spans="1:9" ht="14.25">
      <c r="A566" s="519"/>
      <c r="B566" s="520" t="s">
        <v>2755</v>
      </c>
      <c r="C566" s="522"/>
      <c r="D566" s="1307" t="s">
        <v>1185</v>
      </c>
      <c r="E566" s="1307"/>
      <c r="F566" s="1307"/>
      <c r="I566" s="436" t="s">
        <v>2177</v>
      </c>
    </row>
    <row r="567" spans="1:9">
      <c r="C567" s="522"/>
      <c r="D567" s="1278" t="s">
        <v>1186</v>
      </c>
      <c r="E567" s="1278"/>
      <c r="F567" s="1278"/>
    </row>
    <row r="568" spans="1:9">
      <c r="A568" s="522"/>
      <c r="B568" s="522"/>
      <c r="C568" s="522"/>
      <c r="D568" s="1278"/>
      <c r="E568" s="1278"/>
      <c r="F568" s="1278"/>
    </row>
    <row r="569" spans="1:9">
      <c r="A569" s="522"/>
      <c r="B569" s="522"/>
      <c r="C569" s="522"/>
      <c r="D569" s="1278"/>
      <c r="E569" s="1278"/>
      <c r="F569" s="1278"/>
    </row>
    <row r="570" spans="1:9">
      <c r="A570" s="522"/>
      <c r="B570" s="522"/>
      <c r="C570" s="522"/>
      <c r="D570" s="481"/>
      <c r="E570" s="481"/>
      <c r="F570" s="481"/>
    </row>
    <row r="571" spans="1:9" ht="14.25">
      <c r="A571" s="519"/>
      <c r="B571" s="520" t="s">
        <v>2755</v>
      </c>
      <c r="C571" s="522"/>
      <c r="D571" s="1278" t="s">
        <v>2463</v>
      </c>
      <c r="E571" s="1278"/>
      <c r="F571" s="1278"/>
      <c r="I571" s="436" t="s">
        <v>2178</v>
      </c>
    </row>
    <row r="572" spans="1:9" ht="14.25">
      <c r="A572" s="519"/>
      <c r="B572" s="519"/>
      <c r="C572" s="522"/>
      <c r="D572" s="1278"/>
      <c r="E572" s="1278"/>
      <c r="F572" s="1278"/>
    </row>
    <row r="573" spans="1:9" ht="14.25">
      <c r="A573" s="519"/>
      <c r="B573" s="519"/>
      <c r="C573" s="522"/>
      <c r="D573" s="1278"/>
      <c r="E573" s="1278"/>
      <c r="F573" s="1278"/>
    </row>
    <row r="574" spans="1:9" ht="14.25">
      <c r="A574" s="519"/>
      <c r="B574" s="519"/>
      <c r="C574" s="522"/>
      <c r="D574" s="1278"/>
      <c r="E574" s="1278"/>
      <c r="F574" s="1278"/>
    </row>
    <row r="575" spans="1:9" ht="14.25">
      <c r="A575" s="519"/>
      <c r="B575" s="519"/>
      <c r="C575" s="522"/>
      <c r="D575" s="481"/>
      <c r="E575" s="481"/>
      <c r="F575" s="481"/>
    </row>
    <row r="576" spans="1:9">
      <c r="A576" s="1284" t="s">
        <v>1120</v>
      </c>
      <c r="B576" s="1284"/>
      <c r="C576" s="1284"/>
      <c r="D576" s="1284"/>
      <c r="E576" s="1284"/>
      <c r="F576" s="1284"/>
      <c r="G576" s="1284"/>
      <c r="H576" s="1071"/>
      <c r="I576" s="1072"/>
    </row>
    <row r="577" spans="1:9">
      <c r="A577" s="522"/>
      <c r="B577" s="522"/>
      <c r="C577" s="522"/>
      <c r="E577" s="481"/>
      <c r="F577" s="481"/>
    </row>
    <row r="578" spans="1:9" ht="12.75" customHeight="1">
      <c r="C578" s="517"/>
      <c r="D578" s="1306" t="s">
        <v>212</v>
      </c>
      <c r="E578" s="1306"/>
      <c r="F578" s="1306"/>
    </row>
    <row r="579" spans="1:9">
      <c r="A579" s="518"/>
      <c r="B579" s="518"/>
      <c r="C579" s="518"/>
      <c r="D579" s="1300" t="s">
        <v>1136</v>
      </c>
      <c r="E579" s="1300"/>
      <c r="F579" s="1300"/>
    </row>
    <row r="580" spans="1:9">
      <c r="A580" s="434"/>
      <c r="B580" s="434"/>
      <c r="C580" s="518"/>
      <c r="D580" s="534"/>
      <c r="I580" s="436" t="s">
        <v>2179</v>
      </c>
    </row>
    <row r="581" spans="1:9">
      <c r="A581" s="518"/>
      <c r="B581" s="520" t="s">
        <v>2755</v>
      </c>
      <c r="D581" s="1300" t="s">
        <v>920</v>
      </c>
      <c r="E581" s="1300"/>
      <c r="F581" s="1300"/>
    </row>
    <row r="582" spans="1:9">
      <c r="A582" s="525"/>
      <c r="B582" s="525"/>
      <c r="D582" s="511"/>
    </row>
    <row r="583" spans="1:9">
      <c r="A583" s="525"/>
      <c r="B583" s="520" t="s">
        <v>2755</v>
      </c>
      <c r="D583" s="1300" t="s">
        <v>2464</v>
      </c>
      <c r="E583" s="1300"/>
      <c r="F583" s="1300"/>
      <c r="I583" s="436" t="s">
        <v>2181</v>
      </c>
    </row>
    <row r="584" spans="1:9">
      <c r="A584" s="525"/>
      <c r="B584" s="525"/>
      <c r="D584" s="1300"/>
      <c r="E584" s="1300"/>
      <c r="F584" s="1300"/>
      <c r="I584" s="436" t="s">
        <v>2180</v>
      </c>
    </row>
    <row r="585" spans="1:9">
      <c r="A585" s="525"/>
      <c r="B585" s="525"/>
      <c r="D585" s="1300"/>
      <c r="E585" s="1300"/>
      <c r="F585" s="1300"/>
    </row>
    <row r="586" spans="1:9">
      <c r="A586" s="525"/>
      <c r="B586" s="525"/>
      <c r="D586" s="1300"/>
      <c r="E586" s="1300"/>
      <c r="F586" s="1300"/>
    </row>
    <row r="587" spans="1:9">
      <c r="A587" s="525"/>
      <c r="B587" s="520" t="s">
        <v>2756</v>
      </c>
      <c r="D587" s="1300" t="s">
        <v>1138</v>
      </c>
      <c r="E587" s="1300"/>
      <c r="F587" s="1300"/>
    </row>
    <row r="588" spans="1:9">
      <c r="A588" s="525"/>
      <c r="B588" s="525"/>
      <c r="D588" s="1300"/>
      <c r="E588" s="1300"/>
      <c r="F588" s="1300"/>
    </row>
    <row r="589" spans="1:9">
      <c r="A589" s="525"/>
      <c r="B589" s="525"/>
      <c r="D589" s="1300"/>
      <c r="E589" s="1300"/>
      <c r="F589" s="1300"/>
    </row>
    <row r="590" spans="1:9">
      <c r="A590" s="525"/>
      <c r="B590" s="525"/>
      <c r="D590" s="1300"/>
      <c r="E590" s="1300"/>
      <c r="F590" s="1300"/>
    </row>
    <row r="591" spans="1:9">
      <c r="A591" s="525"/>
      <c r="B591" s="525"/>
      <c r="D591" s="474"/>
      <c r="E591" s="474"/>
      <c r="F591" s="474"/>
    </row>
    <row r="592" spans="1:9">
      <c r="A592" s="525"/>
      <c r="B592" s="520" t="s">
        <v>2755</v>
      </c>
      <c r="D592" s="1300" t="s">
        <v>2465</v>
      </c>
      <c r="E592" s="1300"/>
      <c r="F592" s="1300"/>
    </row>
    <row r="593" spans="1:9">
      <c r="A593" s="525"/>
      <c r="B593" s="525"/>
      <c r="D593" s="1300"/>
      <c r="E593" s="1300"/>
      <c r="F593" s="1300"/>
    </row>
    <row r="594" spans="1:9">
      <c r="A594" s="525"/>
      <c r="B594" s="525"/>
      <c r="D594" s="534"/>
    </row>
    <row r="595" spans="1:9">
      <c r="A595" s="525"/>
      <c r="B595" s="520" t="s">
        <v>2756</v>
      </c>
      <c r="D595" s="1300" t="s">
        <v>1140</v>
      </c>
      <c r="E595" s="1300"/>
      <c r="F595" s="1300"/>
      <c r="I595" s="436" t="s">
        <v>2228</v>
      </c>
    </row>
    <row r="596" spans="1:9">
      <c r="A596" s="525"/>
      <c r="B596" s="525"/>
      <c r="D596" s="1300"/>
      <c r="E596" s="1300"/>
      <c r="F596" s="1300"/>
    </row>
    <row r="597" spans="1:9" ht="14.25">
      <c r="A597" s="519"/>
      <c r="B597" s="519"/>
      <c r="D597" s="534"/>
    </row>
    <row r="598" spans="1:9">
      <c r="A598" s="1284" t="s">
        <v>1121</v>
      </c>
      <c r="B598" s="1284"/>
      <c r="C598" s="1284"/>
      <c r="D598" s="1284"/>
      <c r="E598" s="1284"/>
      <c r="F598" s="1284"/>
      <c r="G598" s="1284"/>
      <c r="H598" s="1071"/>
      <c r="I598" s="1072"/>
    </row>
    <row r="599" spans="1:9"/>
    <row r="600" spans="1:9">
      <c r="D600" s="1276" t="s">
        <v>1221</v>
      </c>
      <c r="E600" s="1276"/>
      <c r="F600" s="1276"/>
    </row>
    <row r="601" spans="1:9">
      <c r="D601" s="1277" t="s">
        <v>1222</v>
      </c>
      <c r="E601" s="1277"/>
      <c r="F601" s="1277"/>
    </row>
    <row r="602" spans="1:9">
      <c r="D602" s="479"/>
    </row>
    <row r="603" spans="1:9" ht="14.25" customHeight="1">
      <c r="A603" s="519"/>
      <c r="B603" s="520" t="s">
        <v>2755</v>
      </c>
      <c r="D603" s="1340" t="s">
        <v>2292</v>
      </c>
      <c r="E603" s="1340"/>
      <c r="F603" s="1340"/>
      <c r="I603" s="436" t="s">
        <v>2209</v>
      </c>
    </row>
    <row r="604" spans="1:9">
      <c r="D604" s="1340"/>
      <c r="E604" s="1340"/>
      <c r="F604" s="1340"/>
    </row>
    <row r="605" spans="1:9">
      <c r="D605" s="417"/>
      <c r="E605" s="1080" t="s">
        <v>2293</v>
      </c>
      <c r="F605" s="417"/>
    </row>
    <row r="606" spans="1:9"/>
    <row r="607" spans="1:9">
      <c r="A607" s="1284" t="s">
        <v>1122</v>
      </c>
      <c r="B607" s="1284"/>
      <c r="C607" s="1284"/>
      <c r="D607" s="1284"/>
      <c r="E607" s="1284"/>
      <c r="F607" s="1284"/>
      <c r="G607" s="1284"/>
      <c r="H607" s="1071"/>
      <c r="I607" s="1072"/>
    </row>
    <row r="608" spans="1:9">
      <c r="A608" s="481"/>
      <c r="B608" s="481"/>
    </row>
    <row r="609" spans="1:9">
      <c r="A609" s="517"/>
      <c r="B609" s="517"/>
      <c r="C609" s="517"/>
      <c r="D609" s="1279" t="s">
        <v>1224</v>
      </c>
      <c r="E609" s="1279"/>
      <c r="F609" s="1279"/>
    </row>
    <row r="610" spans="1:9">
      <c r="A610" s="517"/>
      <c r="B610" s="517"/>
      <c r="C610" s="517"/>
      <c r="D610" s="1279"/>
      <c r="E610" s="1279"/>
      <c r="F610" s="1279"/>
    </row>
    <row r="611" spans="1:9">
      <c r="C611" s="518"/>
      <c r="D611" s="1277" t="s">
        <v>1225</v>
      </c>
      <c r="E611" s="1277"/>
      <c r="F611" s="1277"/>
    </row>
    <row r="612" spans="1:9">
      <c r="C612" s="518"/>
      <c r="D612" s="479"/>
      <c r="E612" s="479"/>
      <c r="F612" s="479"/>
    </row>
    <row r="613" spans="1:9" ht="12.75" customHeight="1">
      <c r="A613" s="525"/>
      <c r="B613" s="520" t="s">
        <v>2755</v>
      </c>
      <c r="D613" s="1280" t="s">
        <v>1226</v>
      </c>
      <c r="E613" s="1280"/>
      <c r="F613" s="1280"/>
      <c r="I613" s="436" t="s">
        <v>2229</v>
      </c>
    </row>
    <row r="614" spans="1:9">
      <c r="D614" s="1280"/>
      <c r="E614" s="1280"/>
      <c r="F614" s="1280"/>
    </row>
    <row r="615" spans="1:9"/>
    <row r="616" spans="1:9">
      <c r="B616" s="520" t="s">
        <v>2755</v>
      </c>
      <c r="D616" s="1280" t="s">
        <v>1227</v>
      </c>
      <c r="E616" s="1280"/>
      <c r="F616" s="1280"/>
      <c r="I616" s="436" t="s">
        <v>2182</v>
      </c>
    </row>
    <row r="617" spans="1:9">
      <c r="C617" s="535"/>
      <c r="D617" s="1280"/>
      <c r="E617" s="1280"/>
      <c r="F617" s="1280"/>
    </row>
    <row r="618" spans="1:9">
      <c r="C618" s="535"/>
    </row>
    <row r="619" spans="1:9">
      <c r="B619" s="520" t="s">
        <v>2756</v>
      </c>
      <c r="C619" s="535"/>
      <c r="D619" s="1280" t="s">
        <v>1228</v>
      </c>
      <c r="E619" s="1280"/>
      <c r="F619" s="1280"/>
      <c r="I619" s="436" t="s">
        <v>2230</v>
      </c>
    </row>
    <row r="620" spans="1:9">
      <c r="C620" s="535"/>
      <c r="D620" s="1280"/>
      <c r="E620" s="1280"/>
      <c r="F620" s="1280"/>
      <c r="I620" s="1068" t="s">
        <v>2231</v>
      </c>
    </row>
    <row r="621" spans="1:9">
      <c r="C621" s="535"/>
    </row>
    <row r="622" spans="1:9">
      <c r="A622" s="1284" t="s">
        <v>1123</v>
      </c>
      <c r="B622" s="1284"/>
      <c r="C622" s="1284"/>
      <c r="D622" s="1284"/>
      <c r="E622" s="1284"/>
      <c r="F622" s="1284"/>
      <c r="G622" s="1284"/>
      <c r="H622" s="1071"/>
      <c r="I622" s="1072"/>
    </row>
    <row r="623" spans="1:9">
      <c r="A623" s="517"/>
      <c r="B623" s="517"/>
      <c r="C623" s="517"/>
    </row>
    <row r="624" spans="1:9">
      <c r="C624" s="525"/>
      <c r="D624" s="1276" t="s">
        <v>1229</v>
      </c>
      <c r="E624" s="1276"/>
      <c r="F624" s="1276"/>
    </row>
    <row r="625" spans="1:9">
      <c r="A625" s="525"/>
      <c r="B625" s="525"/>
      <c r="D625" s="436"/>
    </row>
    <row r="626" spans="1:9" ht="14.25" customHeight="1">
      <c r="A626" s="519"/>
      <c r="B626" s="520" t="s">
        <v>2755</v>
      </c>
      <c r="D626" s="1340" t="s">
        <v>2466</v>
      </c>
      <c r="E626" s="1340"/>
      <c r="F626" s="1340"/>
      <c r="I626" s="436" t="s">
        <v>2210</v>
      </c>
    </row>
    <row r="627" spans="1:9">
      <c r="D627" s="1340"/>
      <c r="E627" s="1340"/>
      <c r="F627" s="1340"/>
    </row>
    <row r="628" spans="1:9">
      <c r="D628" s="417"/>
      <c r="E628" s="1080" t="s">
        <v>2295</v>
      </c>
      <c r="F628" s="417"/>
    </row>
    <row r="629" spans="1:9">
      <c r="D629" s="1278" t="s">
        <v>2294</v>
      </c>
      <c r="E629" s="1278"/>
      <c r="F629" s="1278"/>
    </row>
    <row r="630" spans="1:9">
      <c r="D630" s="1278"/>
      <c r="E630" s="1278"/>
      <c r="F630" s="1278"/>
    </row>
    <row r="631" spans="1:9">
      <c r="D631" s="1278"/>
      <c r="E631" s="1278"/>
      <c r="F631" s="1278"/>
    </row>
    <row r="632" spans="1:9">
      <c r="D632" s="480"/>
      <c r="E632" s="480"/>
      <c r="F632" s="480"/>
    </row>
    <row r="633" spans="1:9" ht="14.25">
      <c r="A633" s="519"/>
      <c r="B633" s="520" t="s">
        <v>2756</v>
      </c>
      <c r="D633" s="1278" t="s">
        <v>1231</v>
      </c>
      <c r="E633" s="1278"/>
      <c r="F633" s="1278"/>
      <c r="I633" s="436" t="s">
        <v>2232</v>
      </c>
    </row>
    <row r="634" spans="1:9">
      <c r="A634" s="522"/>
      <c r="B634" s="522"/>
      <c r="C634" s="522"/>
      <c r="D634" s="1278"/>
      <c r="E634" s="1278"/>
      <c r="F634" s="1278"/>
    </row>
    <row r="635" spans="1:9">
      <c r="A635" s="522"/>
      <c r="B635" s="522"/>
      <c r="C635" s="522"/>
      <c r="D635" s="481"/>
      <c r="E635" s="481"/>
      <c r="F635" s="481"/>
    </row>
    <row r="636" spans="1:9" ht="14.25">
      <c r="A636" s="519"/>
      <c r="B636" s="520" t="s">
        <v>2756</v>
      </c>
      <c r="C636" s="522"/>
      <c r="D636" s="1278" t="s">
        <v>1374</v>
      </c>
      <c r="E636" s="1278"/>
      <c r="F636" s="1278"/>
      <c r="I636" s="436" t="s">
        <v>2183</v>
      </c>
    </row>
    <row r="637" spans="1:9" ht="14.25">
      <c r="A637" s="519"/>
      <c r="B637" s="519"/>
      <c r="C637" s="522"/>
      <c r="D637" s="1278"/>
      <c r="E637" s="1278"/>
      <c r="F637" s="1278"/>
    </row>
    <row r="638" spans="1:9" ht="14.25">
      <c r="A638" s="519"/>
      <c r="B638" s="519"/>
      <c r="C638" s="522"/>
      <c r="D638" s="1278"/>
      <c r="E638" s="1278"/>
      <c r="F638" s="1278"/>
    </row>
    <row r="639" spans="1:9">
      <c r="A639" s="522"/>
      <c r="B639" s="520" t="s">
        <v>2756</v>
      </c>
      <c r="C639" s="522"/>
      <c r="D639" s="1307" t="s">
        <v>1233</v>
      </c>
      <c r="E639" s="1307"/>
      <c r="F639" s="1307"/>
      <c r="I639" s="436" t="s">
        <v>2183</v>
      </c>
    </row>
    <row r="640" spans="1:9">
      <c r="A640" s="522"/>
      <c r="B640" s="522"/>
      <c r="C640" s="522"/>
      <c r="D640" s="481"/>
      <c r="E640" s="481"/>
      <c r="F640" s="481"/>
    </row>
    <row r="641" spans="1:9">
      <c r="A641" s="1284" t="s">
        <v>1124</v>
      </c>
      <c r="B641" s="1284"/>
      <c r="C641" s="1284"/>
      <c r="D641" s="1284"/>
      <c r="E641" s="1284"/>
      <c r="F641" s="1284"/>
      <c r="G641" s="1284"/>
      <c r="H641" s="1071"/>
      <c r="I641" s="1072"/>
    </row>
    <row r="642" spans="1:9">
      <c r="A642" s="481"/>
      <c r="B642" s="481"/>
      <c r="C642" s="522"/>
      <c r="D642" s="481"/>
      <c r="E642" s="481"/>
      <c r="F642" s="481"/>
    </row>
    <row r="643" spans="1:9">
      <c r="C643" s="517"/>
      <c r="D643" s="1276" t="s">
        <v>1283</v>
      </c>
      <c r="E643" s="1276"/>
      <c r="F643" s="1276"/>
    </row>
    <row r="644" spans="1:9">
      <c r="A644" s="518"/>
      <c r="B644" s="518"/>
      <c r="C644" s="518"/>
      <c r="D644" s="1307" t="s">
        <v>1284</v>
      </c>
      <c r="E644" s="1307"/>
      <c r="F644" s="1307"/>
    </row>
    <row r="645" spans="1:9">
      <c r="A645" s="518"/>
      <c r="B645" s="518"/>
      <c r="C645" s="518"/>
      <c r="D645" s="481"/>
      <c r="E645" s="481"/>
      <c r="F645" s="481"/>
    </row>
    <row r="646" spans="1:9" ht="12.75" customHeight="1">
      <c r="B646" s="520" t="s">
        <v>2755</v>
      </c>
      <c r="C646" s="522"/>
      <c r="D646" s="1278" t="s">
        <v>1448</v>
      </c>
      <c r="E646" s="1278"/>
      <c r="F646" s="1278"/>
      <c r="I646" s="436" t="s">
        <v>2235</v>
      </c>
    </row>
    <row r="647" spans="1:9">
      <c r="D647" s="1278"/>
      <c r="E647" s="1278"/>
      <c r="F647" s="1278"/>
    </row>
    <row r="648" spans="1:9">
      <c r="D648" s="1278"/>
      <c r="E648" s="1278"/>
      <c r="F648" s="1278"/>
    </row>
    <row r="649" spans="1:9">
      <c r="D649" s="1278"/>
      <c r="E649" s="1278"/>
      <c r="F649" s="1278"/>
    </row>
    <row r="650" spans="1:9" ht="14.45" customHeight="1">
      <c r="A650" s="519"/>
      <c r="B650" s="519"/>
      <c r="C650" s="522"/>
      <c r="D650" s="417"/>
      <c r="E650" s="417"/>
      <c r="F650" s="417"/>
    </row>
    <row r="651" spans="1:9" ht="12.75" customHeight="1">
      <c r="A651" s="518"/>
      <c r="B651" s="520" t="s">
        <v>2755</v>
      </c>
      <c r="C651" s="522"/>
      <c r="D651" s="1278" t="s">
        <v>1450</v>
      </c>
      <c r="E651" s="1278"/>
      <c r="F651" s="1278"/>
      <c r="I651" s="436" t="s">
        <v>2235</v>
      </c>
    </row>
    <row r="652" spans="1:9" ht="14.25">
      <c r="A652" s="518"/>
      <c r="B652" s="519"/>
      <c r="C652" s="522"/>
      <c r="D652" s="1278"/>
      <c r="E652" s="1278"/>
      <c r="F652" s="1278"/>
    </row>
    <row r="653" spans="1:9" ht="14.25">
      <c r="A653" s="518"/>
      <c r="B653" s="519"/>
      <c r="C653" s="522"/>
      <c r="D653" s="1278"/>
      <c r="E653" s="1278"/>
      <c r="F653" s="1278"/>
    </row>
    <row r="654" spans="1:9" ht="14.25">
      <c r="A654" s="518"/>
      <c r="B654" s="519"/>
      <c r="C654" s="522"/>
      <c r="D654" s="1278"/>
      <c r="E654" s="1278"/>
      <c r="F654" s="1278"/>
    </row>
    <row r="655" spans="1:9" ht="14.25">
      <c r="A655" s="518"/>
      <c r="B655" s="519"/>
      <c r="C655" s="522"/>
      <c r="D655" s="1278"/>
      <c r="E655" s="1278"/>
      <c r="F655" s="1278"/>
    </row>
    <row r="656" spans="1:9" ht="14.25" customHeight="1">
      <c r="A656" s="518"/>
      <c r="B656" s="519"/>
      <c r="C656" s="522"/>
      <c r="F656" s="418"/>
    </row>
    <row r="657" spans="1:11" ht="12.75" customHeight="1">
      <c r="A657" s="518"/>
      <c r="B657" s="520" t="s">
        <v>2756</v>
      </c>
      <c r="C657" s="522"/>
      <c r="D657" s="1278" t="s">
        <v>1449</v>
      </c>
      <c r="E657" s="1278"/>
      <c r="F657" s="1278"/>
      <c r="I657" s="436" t="s">
        <v>2235</v>
      </c>
    </row>
    <row r="658" spans="1:11" ht="14.25">
      <c r="A658" s="518"/>
      <c r="B658" s="519"/>
      <c r="C658" s="522"/>
      <c r="D658" s="1278"/>
      <c r="E658" s="1278"/>
      <c r="F658" s="1278"/>
    </row>
    <row r="659" spans="1:11" ht="14.25">
      <c r="A659" s="519"/>
      <c r="B659" s="519"/>
      <c r="C659" s="522"/>
      <c r="D659" s="1278"/>
      <c r="E659" s="1278"/>
      <c r="F659" s="1278"/>
    </row>
    <row r="660" spans="1:11" ht="14.25">
      <c r="A660" s="519"/>
      <c r="B660" s="519"/>
      <c r="C660" s="522"/>
      <c r="D660" s="1278"/>
      <c r="E660" s="1278"/>
      <c r="F660" s="1278"/>
    </row>
    <row r="661" spans="1:11" ht="14.25">
      <c r="A661" s="519"/>
      <c r="B661" s="519"/>
      <c r="C661" s="522"/>
      <c r="D661" s="480"/>
      <c r="E661" s="480"/>
      <c r="F661" s="480"/>
    </row>
    <row r="662" spans="1:11" ht="12.75" customHeight="1">
      <c r="A662" s="518"/>
      <c r="B662" s="520" t="s">
        <v>2756</v>
      </c>
      <c r="C662" s="522"/>
      <c r="D662" s="1278" t="s">
        <v>2467</v>
      </c>
      <c r="E662" s="1278"/>
      <c r="F662" s="1278"/>
      <c r="I662" s="436" t="s">
        <v>2235</v>
      </c>
    </row>
    <row r="663" spans="1:11" ht="12.75" customHeight="1">
      <c r="A663" s="518"/>
      <c r="B663" s="519"/>
      <c r="C663" s="522"/>
      <c r="D663" s="1278"/>
      <c r="E663" s="1278"/>
      <c r="F663" s="1278"/>
    </row>
    <row r="664" spans="1:11" ht="12.75" customHeight="1">
      <c r="A664" s="518"/>
      <c r="B664" s="519"/>
      <c r="C664" s="522"/>
      <c r="D664" s="1278"/>
      <c r="E664" s="1278"/>
      <c r="F664" s="1278"/>
    </row>
    <row r="665" spans="1:11" ht="12.75" customHeight="1">
      <c r="A665" s="518"/>
      <c r="B665" s="519"/>
      <c r="C665" s="522"/>
      <c r="D665" s="1278"/>
      <c r="E665" s="1278"/>
      <c r="F665" s="1278"/>
    </row>
    <row r="666" spans="1:11" ht="12.75" customHeight="1">
      <c r="A666" s="518"/>
      <c r="B666" s="519"/>
      <c r="C666" s="522"/>
      <c r="D666" s="1278"/>
      <c r="E666" s="1278"/>
      <c r="F666" s="1278"/>
    </row>
    <row r="667" spans="1:11" ht="12.75" customHeight="1">
      <c r="A667" s="518"/>
      <c r="B667" s="519"/>
      <c r="C667" s="522"/>
      <c r="D667" s="1278"/>
      <c r="E667" s="1278"/>
      <c r="F667" s="1278"/>
    </row>
    <row r="668" spans="1:11" ht="12.75" customHeight="1">
      <c r="A668" s="518"/>
      <c r="B668" s="519"/>
      <c r="C668" s="522"/>
      <c r="D668" s="1278"/>
      <c r="E668" s="1278"/>
      <c r="F668" s="1278"/>
    </row>
    <row r="669" spans="1:11" ht="12.75" customHeight="1">
      <c r="A669" s="518"/>
      <c r="B669" s="519"/>
      <c r="C669" s="522"/>
      <c r="D669" s="1278"/>
      <c r="E669" s="1278"/>
      <c r="F669" s="1278"/>
    </row>
    <row r="670" spans="1:11" ht="12.75" customHeight="1">
      <c r="A670" s="518"/>
      <c r="B670" s="519"/>
      <c r="C670" s="522"/>
      <c r="D670" s="1278"/>
      <c r="E670" s="1278"/>
      <c r="F670" s="1278"/>
    </row>
    <row r="671" spans="1:11">
      <c r="A671" s="522"/>
      <c r="B671" s="522"/>
      <c r="C671" s="522"/>
      <c r="D671" s="481"/>
      <c r="E671" s="481"/>
      <c r="F671" s="481"/>
    </row>
    <row r="672" spans="1:11">
      <c r="A672" s="1284" t="s">
        <v>1125</v>
      </c>
      <c r="B672" s="1284"/>
      <c r="C672" s="1284"/>
      <c r="D672" s="1284"/>
      <c r="E672" s="1284"/>
      <c r="F672" s="1284"/>
      <c r="G672" s="1284"/>
      <c r="H672" s="1073"/>
      <c r="I672" s="1074"/>
      <c r="J672" s="536"/>
      <c r="K672" s="536"/>
    </row>
    <row r="673" spans="1:11">
      <c r="A673" s="483"/>
      <c r="B673" s="483"/>
      <c r="C673" s="483"/>
      <c r="D673" s="483"/>
      <c r="E673" s="483"/>
      <c r="F673" s="483"/>
      <c r="G673" s="483"/>
      <c r="H673" s="536"/>
      <c r="I673" s="1065"/>
      <c r="J673" s="536"/>
      <c r="K673" s="536"/>
    </row>
    <row r="674" spans="1:11">
      <c r="C674" s="517"/>
      <c r="D674" s="1276" t="s">
        <v>100</v>
      </c>
      <c r="E674" s="1276"/>
      <c r="F674" s="1276"/>
      <c r="H674" s="536"/>
      <c r="I674" s="1065"/>
      <c r="J674" s="536"/>
      <c r="K674" s="536"/>
    </row>
    <row r="675" spans="1:11">
      <c r="A675" s="517"/>
      <c r="B675" s="517"/>
      <c r="C675" s="517"/>
      <c r="D675" s="1276" t="s">
        <v>124</v>
      </c>
      <c r="E675" s="1276"/>
      <c r="F675" s="1276"/>
      <c r="H675" s="536"/>
      <c r="I675" s="1065"/>
      <c r="J675" s="536"/>
      <c r="K675" s="536"/>
    </row>
    <row r="676" spans="1:11">
      <c r="A676" s="518"/>
      <c r="B676" s="518"/>
      <c r="C676" s="518"/>
      <c r="D676" s="1307" t="s">
        <v>1161</v>
      </c>
      <c r="E676" s="1307"/>
      <c r="F676" s="1307"/>
      <c r="H676" s="536"/>
      <c r="I676" s="1065"/>
      <c r="J676" s="536"/>
      <c r="K676" s="536"/>
    </row>
    <row r="677" spans="1:11">
      <c r="A677" s="518"/>
      <c r="B677" s="518"/>
      <c r="C677" s="518"/>
      <c r="H677" s="536"/>
      <c r="I677" s="1065"/>
      <c r="J677" s="536"/>
      <c r="K677" s="536"/>
    </row>
    <row r="678" spans="1:11" ht="14.25">
      <c r="A678" s="519"/>
      <c r="B678" s="520" t="s">
        <v>2755</v>
      </c>
      <c r="C678" s="518"/>
      <c r="D678" s="1307" t="s">
        <v>916</v>
      </c>
      <c r="E678" s="1307"/>
      <c r="F678" s="1307"/>
      <c r="H678" s="536"/>
      <c r="I678" s="1065" t="s">
        <v>2211</v>
      </c>
      <c r="J678" s="536"/>
      <c r="K678" s="536"/>
    </row>
    <row r="679" spans="1:11">
      <c r="A679" s="518"/>
      <c r="B679" s="518"/>
      <c r="C679" s="518"/>
      <c r="D679" s="1307" t="s">
        <v>927</v>
      </c>
      <c r="E679" s="1307"/>
      <c r="F679" s="1307"/>
      <c r="H679" s="536"/>
      <c r="I679" s="1065"/>
      <c r="J679" s="536"/>
      <c r="K679" s="536"/>
    </row>
    <row r="680" spans="1:11" ht="12.75" customHeight="1">
      <c r="A680" s="518"/>
      <c r="B680" s="518"/>
      <c r="C680" s="518"/>
      <c r="E680" s="1080" t="s">
        <v>2297</v>
      </c>
      <c r="F680" s="452"/>
      <c r="H680" s="536"/>
      <c r="I680" s="1065"/>
      <c r="J680" s="536"/>
      <c r="K680" s="536"/>
    </row>
    <row r="681" spans="1:11">
      <c r="A681" s="518"/>
      <c r="B681" s="518"/>
      <c r="C681" s="518"/>
      <c r="E681" s="536" t="s">
        <v>2296</v>
      </c>
      <c r="F681" s="452"/>
      <c r="I681" s="1065"/>
      <c r="J681" s="536"/>
      <c r="K681" s="536"/>
    </row>
    <row r="682" spans="1:11">
      <c r="A682" s="518"/>
      <c r="B682" s="518"/>
      <c r="C682" s="518"/>
      <c r="D682" s="537"/>
      <c r="E682" s="481"/>
      <c r="H682" s="536"/>
      <c r="I682" s="1065"/>
      <c r="J682" s="536"/>
      <c r="K682" s="536"/>
    </row>
    <row r="683" spans="1:11" ht="14.25">
      <c r="A683" s="519"/>
      <c r="B683" s="520" t="s">
        <v>2756</v>
      </c>
      <c r="C683" s="518"/>
      <c r="D683" s="1278" t="s">
        <v>2468</v>
      </c>
      <c r="E683" s="1278"/>
      <c r="F683" s="1278"/>
      <c r="H683" s="536"/>
      <c r="I683" s="1065" t="s">
        <v>2233</v>
      </c>
      <c r="J683" s="536"/>
      <c r="K683" s="536"/>
    </row>
    <row r="684" spans="1:11">
      <c r="A684" s="525"/>
      <c r="B684" s="525"/>
      <c r="C684" s="518"/>
      <c r="D684" s="1278"/>
      <c r="E684" s="1278"/>
      <c r="F684" s="1278"/>
      <c r="H684" s="536"/>
      <c r="I684" s="1065"/>
      <c r="J684" s="536"/>
      <c r="K684" s="536"/>
    </row>
    <row r="685" spans="1:11">
      <c r="A685" s="518"/>
      <c r="B685" s="518"/>
      <c r="C685" s="518"/>
      <c r="D685" s="1278"/>
      <c r="E685" s="1278"/>
      <c r="F685" s="1278"/>
      <c r="H685" s="536"/>
      <c r="I685" s="1065"/>
      <c r="J685" s="536"/>
      <c r="K685" s="536"/>
    </row>
    <row r="686" spans="1:11">
      <c r="A686" s="518"/>
      <c r="B686" s="518"/>
      <c r="C686" s="518"/>
      <c r="H686" s="536"/>
      <c r="I686" s="1065" t="s">
        <v>2212</v>
      </c>
      <c r="J686" s="536"/>
      <c r="K686" s="536"/>
    </row>
    <row r="687" spans="1:11" ht="14.25">
      <c r="A687" s="519"/>
      <c r="B687" s="520" t="s">
        <v>2755</v>
      </c>
      <c r="C687" s="518"/>
      <c r="D687" s="1307" t="s">
        <v>955</v>
      </c>
      <c r="E687" s="1307"/>
      <c r="F687" s="1307"/>
      <c r="H687" s="536"/>
      <c r="I687" s="1065"/>
      <c r="J687" s="536"/>
      <c r="K687" s="536"/>
    </row>
    <row r="688" spans="1:11" ht="14.25">
      <c r="A688" s="519"/>
      <c r="B688" s="519"/>
      <c r="C688" s="518"/>
      <c r="D688" s="1307" t="s">
        <v>927</v>
      </c>
      <c r="E688" s="1307"/>
      <c r="F688" s="1307"/>
      <c r="H688" s="536"/>
      <c r="I688" s="1065"/>
      <c r="J688" s="536"/>
      <c r="K688" s="536"/>
    </row>
    <row r="689" spans="1:11">
      <c r="A689" s="518"/>
      <c r="B689" s="518"/>
      <c r="C689" s="518"/>
      <c r="E689" s="1080" t="s">
        <v>2298</v>
      </c>
      <c r="F689" s="436"/>
      <c r="H689" s="536"/>
      <c r="I689" s="1065"/>
      <c r="J689" s="536"/>
      <c r="K689" s="536"/>
    </row>
    <row r="690" spans="1:11">
      <c r="A690" s="518"/>
      <c r="B690" s="518"/>
      <c r="C690" s="518"/>
      <c r="D690" s="436"/>
      <c r="H690" s="536"/>
      <c r="I690" s="1065"/>
      <c r="J690" s="536"/>
      <c r="K690" s="536"/>
    </row>
    <row r="691" spans="1:11" ht="14.25">
      <c r="A691" s="519"/>
      <c r="B691" s="520" t="s">
        <v>2756</v>
      </c>
      <c r="C691" s="518"/>
      <c r="D691" s="1278" t="s">
        <v>1174</v>
      </c>
      <c r="E691" s="1278"/>
      <c r="F691" s="1278"/>
      <c r="H691" s="536"/>
      <c r="I691" s="1065" t="s">
        <v>2184</v>
      </c>
      <c r="J691" s="536"/>
      <c r="K691" s="536"/>
    </row>
    <row r="692" spans="1:11">
      <c r="A692" s="518"/>
      <c r="B692" s="518"/>
      <c r="C692" s="518"/>
      <c r="D692" s="1278"/>
      <c r="E692" s="1278"/>
      <c r="F692" s="1278"/>
      <c r="H692" s="536"/>
      <c r="I692" s="1065"/>
      <c r="J692" s="536"/>
      <c r="K692" s="536"/>
    </row>
    <row r="693" spans="1:11">
      <c r="A693" s="518"/>
      <c r="B693" s="518"/>
      <c r="C693" s="518"/>
      <c r="D693" s="1278"/>
      <c r="E693" s="1278"/>
      <c r="F693" s="1278"/>
      <c r="H693" s="536"/>
      <c r="I693" s="1065"/>
      <c r="J693" s="536"/>
      <c r="K693" s="536"/>
    </row>
    <row r="694" spans="1:11">
      <c r="A694" s="518"/>
      <c r="B694" s="518"/>
      <c r="C694" s="518"/>
      <c r="D694" s="1278"/>
      <c r="E694" s="1278"/>
      <c r="F694" s="1278"/>
      <c r="H694" s="536"/>
      <c r="I694" s="1065"/>
      <c r="J694" s="536"/>
      <c r="K694" s="536"/>
    </row>
    <row r="695" spans="1:11">
      <c r="A695" s="518"/>
      <c r="B695" s="518"/>
      <c r="C695" s="518"/>
      <c r="D695" s="1278"/>
      <c r="E695" s="1278"/>
      <c r="F695" s="1278"/>
      <c r="H695" s="536"/>
      <c r="I695" s="1065"/>
      <c r="J695" s="536"/>
      <c r="K695" s="536"/>
    </row>
    <row r="696" spans="1:11">
      <c r="A696" s="518"/>
      <c r="B696" s="518"/>
      <c r="C696" s="518"/>
      <c r="D696" s="1278"/>
      <c r="E696" s="1278"/>
      <c r="F696" s="1278"/>
      <c r="H696" s="536"/>
      <c r="I696" s="1065"/>
      <c r="J696" s="536"/>
      <c r="K696" s="536"/>
    </row>
    <row r="697" spans="1:11">
      <c r="A697" s="518"/>
      <c r="B697" s="518"/>
      <c r="C697" s="518"/>
      <c r="D697" s="480"/>
      <c r="E697" s="480"/>
      <c r="F697" s="480"/>
      <c r="H697" s="536"/>
      <c r="I697" s="1065"/>
      <c r="J697" s="536"/>
      <c r="K697" s="536"/>
    </row>
    <row r="698" spans="1:11">
      <c r="A698" s="518"/>
      <c r="B698" s="520" t="s">
        <v>2756</v>
      </c>
      <c r="C698" s="518"/>
      <c r="D698" s="1278" t="s">
        <v>1345</v>
      </c>
      <c r="E698" s="1278"/>
      <c r="F698" s="1278"/>
      <c r="H698" s="536"/>
      <c r="I698" s="1065" t="s">
        <v>2184</v>
      </c>
      <c r="J698" s="536"/>
      <c r="K698" s="536"/>
    </row>
    <row r="699" spans="1:11">
      <c r="A699" s="518"/>
      <c r="B699" s="518"/>
      <c r="C699" s="518"/>
      <c r="D699" s="1278"/>
      <c r="E699" s="1278"/>
      <c r="F699" s="1278"/>
      <c r="H699" s="536"/>
      <c r="I699" s="1065"/>
      <c r="J699" s="536"/>
      <c r="K699" s="536"/>
    </row>
    <row r="700" spans="1:11">
      <c r="A700" s="518"/>
      <c r="B700" s="518"/>
      <c r="C700" s="518"/>
      <c r="D700" s="480"/>
      <c r="E700" s="480"/>
      <c r="F700" s="480"/>
      <c r="H700" s="536"/>
      <c r="I700" s="1065"/>
      <c r="J700" s="536"/>
      <c r="K700" s="536"/>
    </row>
    <row r="701" spans="1:11" ht="14.25">
      <c r="A701" s="519"/>
      <c r="B701" s="520" t="s">
        <v>2756</v>
      </c>
      <c r="C701" s="518"/>
      <c r="D701" s="1278" t="s">
        <v>1165</v>
      </c>
      <c r="E701" s="1278"/>
      <c r="F701" s="1278"/>
      <c r="H701" s="536"/>
      <c r="I701" s="1065" t="s">
        <v>2184</v>
      </c>
      <c r="J701" s="536"/>
      <c r="K701" s="536"/>
    </row>
    <row r="702" spans="1:11">
      <c r="A702" s="518"/>
      <c r="B702" s="518"/>
      <c r="C702" s="518"/>
      <c r="D702" s="1278"/>
      <c r="E702" s="1278"/>
      <c r="F702" s="1278"/>
      <c r="H702" s="536"/>
      <c r="I702" s="1065"/>
      <c r="J702" s="536"/>
      <c r="K702" s="536"/>
    </row>
    <row r="703" spans="1:11">
      <c r="A703" s="518"/>
      <c r="B703" s="518"/>
      <c r="C703" s="518"/>
      <c r="D703" s="1278"/>
      <c r="E703" s="1278"/>
      <c r="F703" s="1278"/>
      <c r="H703" s="536"/>
      <c r="I703" s="1065"/>
      <c r="J703" s="536"/>
      <c r="K703" s="536"/>
    </row>
    <row r="704" spans="1:11" ht="15" customHeight="1">
      <c r="A704" s="518"/>
      <c r="B704" s="518"/>
      <c r="C704" s="518"/>
      <c r="D704" s="1278"/>
      <c r="E704" s="1278"/>
      <c r="F704" s="1278"/>
      <c r="H704" s="536"/>
      <c r="I704" s="1065"/>
      <c r="J704" s="536"/>
      <c r="K704" s="536"/>
    </row>
    <row r="705" spans="1:11" ht="15" customHeight="1">
      <c r="A705" s="518"/>
      <c r="B705" s="518"/>
      <c r="C705" s="518"/>
      <c r="D705" s="1278"/>
      <c r="E705" s="1278"/>
      <c r="F705" s="1278"/>
      <c r="H705" s="536"/>
      <c r="I705" s="1065"/>
      <c r="J705" s="536"/>
      <c r="K705" s="536"/>
    </row>
    <row r="706" spans="1:11">
      <c r="A706" s="518"/>
      <c r="B706" s="518"/>
      <c r="C706" s="518"/>
      <c r="D706" s="1278"/>
      <c r="E706" s="1278"/>
      <c r="F706" s="1278"/>
      <c r="H706" s="536"/>
      <c r="I706" s="1065"/>
      <c r="J706" s="536"/>
      <c r="K706" s="536"/>
    </row>
    <row r="707" spans="1:11">
      <c r="A707" s="518"/>
      <c r="B707" s="518"/>
      <c r="C707" s="518"/>
      <c r="D707" s="1278"/>
      <c r="E707" s="1278"/>
      <c r="F707" s="1278"/>
      <c r="H707" s="536"/>
      <c r="I707" s="1065"/>
      <c r="J707" s="536"/>
      <c r="K707" s="536"/>
    </row>
    <row r="708" spans="1:11">
      <c r="A708" s="518"/>
      <c r="B708" s="518"/>
      <c r="C708" s="518"/>
      <c r="D708" s="1278"/>
      <c r="E708" s="1278"/>
      <c r="F708" s="1278"/>
      <c r="H708" s="536"/>
      <c r="I708" s="1065"/>
      <c r="J708" s="536"/>
      <c r="K708" s="536"/>
    </row>
    <row r="709" spans="1:11" ht="15" customHeight="1">
      <c r="A709" s="518"/>
      <c r="B709" s="518"/>
      <c r="C709" s="518"/>
      <c r="D709" s="1278"/>
      <c r="E709" s="1278"/>
      <c r="F709" s="1278"/>
      <c r="H709" s="536"/>
      <c r="I709" s="1065"/>
      <c r="J709" s="536"/>
      <c r="K709" s="536"/>
    </row>
    <row r="710" spans="1:11">
      <c r="A710" s="518"/>
      <c r="B710" s="518"/>
      <c r="C710" s="518"/>
      <c r="D710" s="1278"/>
      <c r="E710" s="1278"/>
      <c r="F710" s="1278"/>
      <c r="H710" s="536"/>
      <c r="I710" s="1065"/>
      <c r="J710" s="536"/>
      <c r="K710" s="536"/>
    </row>
    <row r="711" spans="1:11">
      <c r="A711" s="518"/>
      <c r="B711" s="518"/>
      <c r="C711" s="518"/>
      <c r="D711" s="1278"/>
      <c r="E711" s="1278"/>
      <c r="F711" s="1278"/>
      <c r="H711" s="536"/>
      <c r="I711" s="1065"/>
      <c r="J711" s="536"/>
      <c r="K711" s="536"/>
    </row>
    <row r="712" spans="1:11">
      <c r="A712" s="518"/>
      <c r="B712" s="518"/>
      <c r="C712" s="518"/>
      <c r="D712" s="1278"/>
      <c r="E712" s="1278"/>
      <c r="F712" s="1278"/>
      <c r="H712" s="536"/>
      <c r="I712" s="1065"/>
      <c r="J712" s="536"/>
      <c r="K712" s="536"/>
    </row>
    <row r="713" spans="1:11">
      <c r="A713" s="518"/>
      <c r="B713" s="518"/>
      <c r="C713" s="518"/>
      <c r="D713" s="1278"/>
      <c r="E713" s="1278"/>
      <c r="F713" s="1278"/>
      <c r="H713" s="536"/>
      <c r="I713" s="1065"/>
      <c r="J713" s="536"/>
      <c r="K713" s="536"/>
    </row>
    <row r="714" spans="1:11">
      <c r="A714" s="518"/>
      <c r="B714" s="520" t="s">
        <v>2756</v>
      </c>
      <c r="C714" s="518"/>
      <c r="D714" s="1278" t="s">
        <v>1172</v>
      </c>
      <c r="E714" s="1278"/>
      <c r="F714" s="1278"/>
      <c r="H714" s="536"/>
      <c r="I714" s="1065" t="s">
        <v>2234</v>
      </c>
      <c r="J714" s="536"/>
      <c r="K714" s="536"/>
    </row>
    <row r="715" spans="1:11">
      <c r="A715" s="518"/>
      <c r="B715" s="518"/>
      <c r="C715" s="518"/>
      <c r="D715" s="1278"/>
      <c r="E715" s="1278"/>
      <c r="F715" s="1278"/>
      <c r="H715" s="536"/>
      <c r="I715" s="1065"/>
      <c r="J715" s="536"/>
      <c r="K715" s="536"/>
    </row>
    <row r="716" spans="1:11">
      <c r="A716" s="518"/>
      <c r="B716" s="518"/>
      <c r="C716" s="518"/>
      <c r="D716" s="480"/>
      <c r="E716" s="480"/>
      <c r="F716" s="480"/>
      <c r="H716" s="536"/>
      <c r="I716" s="1065"/>
      <c r="J716" s="536"/>
      <c r="K716" s="536"/>
    </row>
    <row r="717" spans="1:11">
      <c r="A717" s="518"/>
      <c r="B717" s="520" t="s">
        <v>2756</v>
      </c>
      <c r="C717" s="518"/>
      <c r="D717" s="1278" t="s">
        <v>1166</v>
      </c>
      <c r="E717" s="1278"/>
      <c r="F717" s="1278"/>
      <c r="H717" s="536"/>
      <c r="I717" s="1065" t="s">
        <v>2234</v>
      </c>
      <c r="J717" s="536"/>
      <c r="K717" s="536"/>
    </row>
    <row r="718" spans="1:11">
      <c r="A718" s="518"/>
      <c r="B718" s="518"/>
      <c r="C718" s="518"/>
      <c r="D718" s="1278"/>
      <c r="E718" s="1278"/>
      <c r="F718" s="1278"/>
      <c r="H718" s="536"/>
      <c r="I718" s="1065"/>
      <c r="J718" s="536"/>
      <c r="K718" s="536"/>
    </row>
    <row r="719" spans="1:11">
      <c r="A719" s="518"/>
      <c r="B719" s="518"/>
      <c r="C719" s="518"/>
      <c r="D719" s="1278"/>
      <c r="E719" s="1278"/>
      <c r="F719" s="1278"/>
      <c r="H719" s="536"/>
      <c r="I719" s="1065"/>
      <c r="J719" s="536"/>
      <c r="K719" s="536"/>
    </row>
    <row r="720" spans="1:11">
      <c r="A720" s="518"/>
      <c r="B720" s="518"/>
      <c r="C720" s="518"/>
      <c r="H720" s="536"/>
      <c r="I720" s="1065"/>
      <c r="J720" s="536"/>
      <c r="K720" s="536"/>
    </row>
    <row r="721" spans="1:11">
      <c r="A721" s="518"/>
      <c r="B721" s="520" t="s">
        <v>2756</v>
      </c>
      <c r="C721" s="518"/>
      <c r="D721" s="1278" t="s">
        <v>1167</v>
      </c>
      <c r="E721" s="1278"/>
      <c r="F721" s="1278"/>
      <c r="H721" s="536"/>
      <c r="I721" s="1065" t="s">
        <v>2234</v>
      </c>
      <c r="J721" s="536"/>
      <c r="K721" s="536"/>
    </row>
    <row r="722" spans="1:11">
      <c r="A722" s="518"/>
      <c r="B722" s="518"/>
      <c r="C722" s="518"/>
      <c r="D722" s="1278"/>
      <c r="E722" s="1278"/>
      <c r="F722" s="1278"/>
      <c r="H722" s="536"/>
      <c r="I722" s="1065"/>
      <c r="J722" s="536"/>
      <c r="K722" s="536"/>
    </row>
    <row r="723" spans="1:11">
      <c r="A723" s="518"/>
      <c r="B723" s="518"/>
      <c r="C723" s="518"/>
      <c r="D723" s="1278"/>
      <c r="E723" s="1278"/>
      <c r="F723" s="1278"/>
      <c r="H723" s="536"/>
      <c r="I723" s="1065"/>
      <c r="J723" s="536"/>
      <c r="K723" s="536"/>
    </row>
    <row r="724" spans="1:11">
      <c r="A724" s="518"/>
      <c r="B724" s="518"/>
      <c r="C724" s="518"/>
      <c r="H724" s="536"/>
      <c r="I724" s="1065"/>
      <c r="J724" s="536"/>
      <c r="K724" s="536"/>
    </row>
    <row r="725" spans="1:11" ht="14.25">
      <c r="A725" s="519"/>
      <c r="B725" s="520" t="s">
        <v>2756</v>
      </c>
      <c r="C725" s="518"/>
      <c r="D725" s="1278" t="s">
        <v>1168</v>
      </c>
      <c r="E725" s="1278"/>
      <c r="F725" s="1278"/>
      <c r="H725" s="536"/>
      <c r="I725" s="1065" t="s">
        <v>2185</v>
      </c>
      <c r="J725" s="536"/>
      <c r="K725" s="536"/>
    </row>
    <row r="726" spans="1:11">
      <c r="A726" s="518"/>
      <c r="B726" s="518"/>
      <c r="C726" s="518"/>
      <c r="D726" s="1278"/>
      <c r="E726" s="1278"/>
      <c r="F726" s="1278"/>
      <c r="H726" s="536"/>
      <c r="I726" s="1065"/>
      <c r="J726" s="536"/>
      <c r="K726" s="536"/>
    </row>
    <row r="727" spans="1:11">
      <c r="A727" s="518"/>
      <c r="B727" s="518"/>
      <c r="C727" s="518"/>
      <c r="D727" s="1278"/>
      <c r="E727" s="1278"/>
      <c r="F727" s="1278"/>
      <c r="H727" s="536"/>
      <c r="I727" s="1065"/>
      <c r="J727" s="536"/>
      <c r="K727" s="536"/>
    </row>
    <row r="728" spans="1:11">
      <c r="A728" s="518"/>
      <c r="B728" s="518"/>
      <c r="C728" s="518"/>
      <c r="D728" s="1278"/>
      <c r="E728" s="1278"/>
      <c r="F728" s="1278"/>
      <c r="H728" s="536"/>
      <c r="I728" s="1065"/>
      <c r="J728" s="536"/>
      <c r="K728" s="536"/>
    </row>
    <row r="729" spans="1:11">
      <c r="A729" s="518"/>
      <c r="B729" s="518"/>
      <c r="C729" s="518"/>
      <c r="D729" s="527"/>
      <c r="H729" s="536"/>
      <c r="I729" s="1065"/>
      <c r="J729" s="536"/>
      <c r="K729" s="536"/>
    </row>
    <row r="730" spans="1:11" ht="14.25">
      <c r="A730" s="519"/>
      <c r="B730" s="520" t="s">
        <v>2756</v>
      </c>
      <c r="C730" s="518"/>
      <c r="D730" s="1278" t="s">
        <v>2623</v>
      </c>
      <c r="E730" s="1278"/>
      <c r="F730" s="1278"/>
      <c r="H730" s="536"/>
      <c r="I730" s="1065" t="s">
        <v>2201</v>
      </c>
      <c r="J730" s="536"/>
      <c r="K730" s="536"/>
    </row>
    <row r="731" spans="1:11">
      <c r="A731" s="518"/>
      <c r="B731" s="518"/>
      <c r="C731" s="518"/>
      <c r="D731" s="1278"/>
      <c r="E731" s="1278"/>
      <c r="F731" s="1278"/>
      <c r="H731" s="536"/>
      <c r="I731" s="1065"/>
      <c r="J731" s="536"/>
      <c r="K731" s="536"/>
    </row>
    <row r="732" spans="1:11">
      <c r="A732" s="518"/>
      <c r="B732" s="518"/>
      <c r="C732" s="518"/>
      <c r="D732" s="1278"/>
      <c r="E732" s="1278"/>
      <c r="F732" s="1278"/>
      <c r="H732" s="536"/>
      <c r="I732" s="1065"/>
      <c r="J732" s="536"/>
      <c r="K732" s="536"/>
    </row>
    <row r="733" spans="1:11">
      <c r="A733" s="518"/>
      <c r="B733" s="518"/>
      <c r="C733" s="518"/>
      <c r="D733" s="1278"/>
      <c r="E733" s="1278"/>
      <c r="F733" s="1278"/>
      <c r="H733" s="536"/>
      <c r="I733" s="1065"/>
      <c r="J733" s="536"/>
      <c r="K733" s="536"/>
    </row>
    <row r="734" spans="1:11">
      <c r="A734" s="518"/>
      <c r="B734" s="518"/>
      <c r="C734" s="518"/>
      <c r="D734" s="1278"/>
      <c r="E734" s="1278"/>
      <c r="F734" s="1278"/>
      <c r="H734" s="536"/>
      <c r="I734" s="1065"/>
      <c r="J734" s="536"/>
      <c r="K734" s="536"/>
    </row>
    <row r="735" spans="1:11">
      <c r="A735" s="518"/>
      <c r="B735" s="518"/>
      <c r="C735" s="518"/>
      <c r="D735" s="1278"/>
      <c r="E735" s="1278"/>
      <c r="F735" s="1278"/>
      <c r="H735" s="536"/>
      <c r="I735" s="1065"/>
      <c r="J735" s="536"/>
      <c r="K735" s="536"/>
    </row>
    <row r="736" spans="1:11">
      <c r="A736" s="518"/>
      <c r="B736" s="518"/>
      <c r="C736" s="518"/>
      <c r="D736" s="1278"/>
      <c r="E736" s="1278"/>
      <c r="F736" s="1278"/>
      <c r="H736" s="536"/>
      <c r="I736" s="1065"/>
      <c r="J736" s="536"/>
      <c r="K736" s="536"/>
    </row>
    <row r="737" spans="1:11">
      <c r="A737" s="518"/>
      <c r="B737" s="518"/>
      <c r="C737" s="518"/>
      <c r="D737" s="1290" t="s">
        <v>2477</v>
      </c>
      <c r="E737" s="1290"/>
      <c r="F737" s="1290"/>
      <c r="H737" s="536"/>
      <c r="I737" s="1065"/>
      <c r="J737" s="536"/>
      <c r="K737" s="536"/>
    </row>
    <row r="738" spans="1:11">
      <c r="A738" s="518"/>
      <c r="B738" s="518"/>
      <c r="C738" s="518"/>
      <c r="D738" s="370"/>
      <c r="H738" s="536"/>
      <c r="I738" s="1065"/>
      <c r="J738" s="536"/>
      <c r="K738" s="536"/>
    </row>
    <row r="739" spans="1:11">
      <c r="A739" s="1285" t="s">
        <v>1126</v>
      </c>
      <c r="B739" s="1285"/>
      <c r="C739" s="1285"/>
      <c r="D739" s="1285"/>
      <c r="E739" s="1285"/>
      <c r="F739" s="1285"/>
      <c r="G739" s="1285"/>
      <c r="H739" s="1073"/>
      <c r="I739" s="1074"/>
      <c r="J739" s="536"/>
      <c r="K739" s="536"/>
    </row>
    <row r="740" spans="1:11">
      <c r="A740" s="518"/>
      <c r="B740" s="518"/>
      <c r="C740" s="518"/>
      <c r="D740" s="527"/>
      <c r="G740" s="536"/>
      <c r="H740" s="536"/>
      <c r="I740" s="1065"/>
      <c r="J740" s="536"/>
      <c r="K740" s="536"/>
    </row>
    <row r="741" spans="1:11" ht="13.7" customHeight="1">
      <c r="C741" s="518"/>
      <c r="D741" s="1306" t="s">
        <v>1142</v>
      </c>
      <c r="E741" s="1306"/>
      <c r="F741" s="1306"/>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ht="14.25">
      <c r="A744" s="519"/>
      <c r="B744" s="520" t="s">
        <v>2755</v>
      </c>
      <c r="D744" s="1278" t="s">
        <v>1144</v>
      </c>
      <c r="E744" s="1278"/>
      <c r="F744" s="1278"/>
      <c r="G744" s="536"/>
      <c r="H744" s="536"/>
      <c r="I744" s="1065" t="s">
        <v>2186</v>
      </c>
      <c r="J744" s="536"/>
      <c r="K744" s="536"/>
    </row>
    <row r="745" spans="1:11" ht="10.5" customHeight="1">
      <c r="D745" s="1278"/>
      <c r="E745" s="1278"/>
      <c r="F745" s="1278"/>
      <c r="G745" s="536"/>
      <c r="H745" s="536"/>
      <c r="I745" s="1065"/>
      <c r="J745" s="536"/>
      <c r="K745" s="536"/>
    </row>
    <row r="746" spans="1:11">
      <c r="D746" s="1278"/>
      <c r="E746" s="1278"/>
      <c r="F746" s="1278"/>
      <c r="G746" s="536"/>
      <c r="H746" s="536"/>
      <c r="I746" s="1065"/>
      <c r="J746" s="536"/>
      <c r="K746" s="536"/>
    </row>
    <row r="747" spans="1:11">
      <c r="D747" s="1278"/>
      <c r="E747" s="1278"/>
      <c r="F747" s="1278"/>
      <c r="G747" s="536"/>
      <c r="H747" s="536"/>
      <c r="I747" s="1065"/>
      <c r="J747" s="536"/>
      <c r="K747" s="536"/>
    </row>
    <row r="748" spans="1:11">
      <c r="D748" s="1278"/>
      <c r="E748" s="1278"/>
      <c r="F748" s="1278"/>
      <c r="G748" s="536"/>
      <c r="H748" s="536"/>
      <c r="I748" s="1065"/>
      <c r="J748" s="536"/>
      <c r="K748" s="536"/>
    </row>
    <row r="749" spans="1:11" ht="15.6" customHeight="1">
      <c r="D749" s="1278"/>
      <c r="E749" s="1278"/>
      <c r="F749" s="1278"/>
      <c r="G749" s="536"/>
      <c r="H749" s="536"/>
      <c r="I749" s="1065"/>
      <c r="J749" s="536"/>
      <c r="K749" s="536"/>
    </row>
    <row r="750" spans="1:11">
      <c r="D750" s="534"/>
      <c r="E750" s="481"/>
      <c r="F750" s="481"/>
      <c r="G750" s="536"/>
      <c r="H750" s="536"/>
      <c r="I750" s="1065"/>
      <c r="J750" s="536"/>
      <c r="K750" s="536"/>
    </row>
    <row r="751" spans="1:11" s="540" customFormat="1" ht="14.25">
      <c r="A751" s="538"/>
      <c r="B751" s="520" t="s">
        <v>2756</v>
      </c>
      <c r="C751" s="539"/>
      <c r="D751" s="1278" t="s">
        <v>1391</v>
      </c>
      <c r="E751" s="1278"/>
      <c r="F751" s="1278"/>
      <c r="I751" s="1066" t="s">
        <v>2186</v>
      </c>
    </row>
    <row r="752" spans="1:11" s="540" customFormat="1">
      <c r="A752" s="539"/>
      <c r="B752" s="539"/>
      <c r="C752" s="539"/>
      <c r="D752" s="1278"/>
      <c r="E752" s="1278"/>
      <c r="F752" s="1278"/>
      <c r="I752" s="1066"/>
    </row>
    <row r="753" spans="1:11" s="540" customFormat="1">
      <c r="A753" s="539"/>
      <c r="B753" s="539"/>
      <c r="C753" s="539"/>
      <c r="D753" s="1278"/>
      <c r="E753" s="1278"/>
      <c r="F753" s="1278"/>
      <c r="I753" s="1066"/>
    </row>
    <row r="754" spans="1:11" s="540" customFormat="1">
      <c r="A754" s="539"/>
      <c r="B754" s="539"/>
      <c r="C754" s="539"/>
      <c r="D754" s="1278"/>
      <c r="E754" s="1278"/>
      <c r="F754" s="1278"/>
      <c r="I754" s="1066"/>
    </row>
    <row r="755" spans="1:11" s="540" customFormat="1">
      <c r="A755" s="539"/>
      <c r="B755" s="539"/>
      <c r="C755" s="539"/>
      <c r="D755" s="534"/>
      <c r="I755" s="1066"/>
    </row>
    <row r="756" spans="1:11" s="540" customFormat="1" ht="14.25">
      <c r="A756" s="519"/>
      <c r="B756" s="520" t="s">
        <v>2756</v>
      </c>
      <c r="C756" s="539"/>
      <c r="D756" s="1280" t="s">
        <v>1392</v>
      </c>
      <c r="E756" s="1280"/>
      <c r="F756" s="1280"/>
      <c r="I756" s="1066" t="s">
        <v>2187</v>
      </c>
    </row>
    <row r="757" spans="1:11" s="540" customFormat="1">
      <c r="A757" s="539"/>
      <c r="B757" s="539"/>
      <c r="C757" s="539"/>
      <c r="D757" s="1280"/>
      <c r="E757" s="1280"/>
      <c r="F757" s="1280"/>
      <c r="I757" s="1066"/>
    </row>
    <row r="758" spans="1:11" s="540" customFormat="1">
      <c r="A758" s="539"/>
      <c r="B758" s="539"/>
      <c r="C758" s="539"/>
      <c r="D758" s="1280"/>
      <c r="E758" s="1280"/>
      <c r="F758" s="1280"/>
      <c r="I758" s="1066"/>
    </row>
    <row r="759" spans="1:11">
      <c r="D759" s="534"/>
      <c r="E759" s="481"/>
      <c r="F759" s="481"/>
      <c r="G759" s="536"/>
      <c r="H759" s="536"/>
      <c r="I759" s="1065"/>
      <c r="J759" s="536"/>
      <c r="K759" s="536"/>
    </row>
    <row r="760" spans="1:11" ht="14.25">
      <c r="A760" s="519"/>
      <c r="B760" s="520" t="s">
        <v>2756</v>
      </c>
      <c r="D760" s="1278" t="s">
        <v>1342</v>
      </c>
      <c r="E760" s="1278"/>
      <c r="F760" s="1278"/>
      <c r="G760" s="536"/>
      <c r="H760" s="536"/>
      <c r="I760" s="1065" t="s">
        <v>2186</v>
      </c>
      <c r="J760" s="536"/>
      <c r="K760" s="536"/>
    </row>
    <row r="761" spans="1:11">
      <c r="D761" s="1278"/>
      <c r="E761" s="1278"/>
      <c r="F761" s="1278"/>
      <c r="G761" s="536"/>
      <c r="H761" s="536"/>
      <c r="I761" s="1065"/>
      <c r="J761" s="536"/>
      <c r="K761" s="536"/>
    </row>
    <row r="762" spans="1:11">
      <c r="D762" s="480"/>
      <c r="E762" s="480"/>
      <c r="F762" s="480"/>
      <c r="G762" s="536"/>
      <c r="H762" s="536"/>
      <c r="I762" s="1065"/>
      <c r="J762" s="536"/>
      <c r="K762" s="536"/>
    </row>
    <row r="763" spans="1:11">
      <c r="B763" s="520" t="s">
        <v>2756</v>
      </c>
      <c r="D763" s="1278" t="s">
        <v>1359</v>
      </c>
      <c r="E763" s="1278"/>
      <c r="F763" s="1278"/>
      <c r="G763" s="536"/>
      <c r="H763" s="536"/>
      <c r="I763" s="1065" t="s">
        <v>2186</v>
      </c>
      <c r="J763" s="536"/>
      <c r="K763" s="536"/>
    </row>
    <row r="764" spans="1:11">
      <c r="D764" s="1278"/>
      <c r="E764" s="1278"/>
      <c r="F764" s="1278"/>
      <c r="G764" s="536"/>
      <c r="H764" s="536"/>
      <c r="I764" s="1065"/>
      <c r="J764" s="536"/>
      <c r="K764" s="536"/>
    </row>
    <row r="765" spans="1:11">
      <c r="D765" s="1278"/>
      <c r="E765" s="1278"/>
      <c r="F765" s="1278"/>
      <c r="G765" s="536"/>
      <c r="H765" s="536"/>
      <c r="I765" s="1065"/>
      <c r="J765" s="536"/>
      <c r="K765" s="536"/>
    </row>
    <row r="766" spans="1:11">
      <c r="D766" s="480"/>
      <c r="E766" s="480"/>
      <c r="F766" s="480"/>
      <c r="G766" s="536"/>
      <c r="H766" s="536"/>
      <c r="I766" s="1065"/>
      <c r="J766" s="536"/>
      <c r="K766" s="536"/>
    </row>
    <row r="767" spans="1:11">
      <c r="A767" s="1332" t="s">
        <v>2066</v>
      </c>
      <c r="B767" s="1332"/>
      <c r="C767" s="1332"/>
      <c r="D767" s="1332"/>
      <c r="E767" s="1332"/>
      <c r="F767" s="1332"/>
      <c r="G767" s="1332"/>
      <c r="H767" s="1071"/>
      <c r="I767" s="1072"/>
    </row>
    <row r="768" spans="1:11">
      <c r="A768" s="57"/>
      <c r="B768" s="57"/>
      <c r="C768" s="386"/>
      <c r="D768" s="3"/>
      <c r="E768" s="3"/>
      <c r="F768" s="3"/>
      <c r="G768" s="3"/>
    </row>
    <row r="769" spans="1:9">
      <c r="A769" s="57"/>
      <c r="B769" s="57"/>
      <c r="C769" s="386"/>
      <c r="D769" s="1333" t="s">
        <v>2120</v>
      </c>
      <c r="E769" s="1333"/>
      <c r="F769" s="1333"/>
      <c r="G769" s="3"/>
    </row>
    <row r="770" spans="1:9">
      <c r="A770" s="57"/>
      <c r="B770" s="57"/>
      <c r="C770" s="386"/>
      <c r="D770" s="1311" t="s">
        <v>2019</v>
      </c>
      <c r="E770" s="1311"/>
      <c r="F770" s="1311"/>
      <c r="G770" s="3"/>
    </row>
    <row r="771" spans="1:9">
      <c r="A771" s="57"/>
      <c r="B771" s="57"/>
      <c r="C771" s="386"/>
      <c r="D771" s="482"/>
      <c r="E771" s="482"/>
      <c r="F771" s="482"/>
      <c r="G771" s="3"/>
    </row>
    <row r="772" spans="1:9">
      <c r="A772" s="57"/>
      <c r="B772" s="520" t="s">
        <v>2755</v>
      </c>
      <c r="C772" s="386"/>
      <c r="D772" s="1296" t="s">
        <v>2020</v>
      </c>
      <c r="E772" s="1296"/>
      <c r="F772" s="1296"/>
      <c r="G772" s="3"/>
      <c r="I772" s="1065" t="s">
        <v>2236</v>
      </c>
    </row>
    <row r="773" spans="1:9">
      <c r="A773" s="57"/>
      <c r="B773" s="57"/>
      <c r="C773" s="386"/>
      <c r="D773" s="1296"/>
      <c r="E773" s="1296"/>
      <c r="F773" s="1296"/>
      <c r="G773" s="3"/>
    </row>
    <row r="774" spans="1:9">
      <c r="A774" s="175"/>
      <c r="B774" s="175"/>
      <c r="C774" s="175"/>
      <c r="D774" s="1296"/>
      <c r="E774" s="1296"/>
      <c r="F774" s="1296"/>
      <c r="G774" s="118"/>
    </row>
    <row r="775" spans="1:9">
      <c r="A775" s="386"/>
      <c r="B775" s="386"/>
      <c r="C775" s="386"/>
      <c r="D775" s="174"/>
      <c r="E775" s="3"/>
      <c r="F775" s="3"/>
      <c r="G775" s="3"/>
    </row>
    <row r="776" spans="1:9">
      <c r="A776" s="172"/>
      <c r="B776" s="520" t="s">
        <v>2756</v>
      </c>
      <c r="C776" s="172"/>
      <c r="D776" s="1296" t="s">
        <v>2021</v>
      </c>
      <c r="E776" s="1296"/>
      <c r="F776" s="1296"/>
      <c r="G776" s="3"/>
      <c r="I776" s="1065" t="s">
        <v>2236</v>
      </c>
    </row>
    <row r="777" spans="1:9">
      <c r="A777" s="172"/>
      <c r="B777" s="172"/>
      <c r="C777" s="172"/>
      <c r="D777" s="1296"/>
      <c r="E777" s="1296"/>
      <c r="F777" s="1296"/>
      <c r="G777" s="3"/>
    </row>
    <row r="778" spans="1:9">
      <c r="A778" s="172"/>
      <c r="B778" s="172"/>
      <c r="C778" s="172"/>
      <c r="D778" s="1296"/>
      <c r="E778" s="1296"/>
      <c r="F778" s="1296"/>
      <c r="G778" s="3"/>
    </row>
    <row r="779" spans="1:9">
      <c r="A779" s="175"/>
      <c r="B779" s="175"/>
      <c r="C779" s="175"/>
      <c r="D779" s="3"/>
      <c r="E779" s="1025"/>
      <c r="F779" s="1025"/>
      <c r="G779" s="1025"/>
    </row>
    <row r="780" spans="1:9" ht="14.25">
      <c r="A780" s="176"/>
      <c r="B780" s="520" t="s">
        <v>2756</v>
      </c>
      <c r="C780" s="1026"/>
      <c r="D780" s="1296" t="s">
        <v>2022</v>
      </c>
      <c r="E780" s="1296"/>
      <c r="F780" s="1296"/>
      <c r="G780" s="1025"/>
      <c r="I780" s="1065" t="s">
        <v>2236</v>
      </c>
    </row>
    <row r="781" spans="1:9" ht="14.25">
      <c r="A781" s="176"/>
      <c r="B781" s="176"/>
      <c r="C781" s="1026"/>
      <c r="D781" s="1296"/>
      <c r="E781" s="1296"/>
      <c r="F781" s="1296"/>
      <c r="G781" s="1025"/>
    </row>
    <row r="782" spans="1:9" ht="14.25">
      <c r="A782" s="176"/>
      <c r="B782" s="176"/>
      <c r="C782" s="1026"/>
      <c r="D782" s="1296"/>
      <c r="E782" s="1296"/>
      <c r="F782" s="1296"/>
      <c r="G782" s="1025"/>
    </row>
    <row r="783" spans="1:9" ht="14.25">
      <c r="A783" s="176"/>
      <c r="B783" s="176"/>
      <c r="C783" s="1026"/>
      <c r="D783" s="118"/>
      <c r="E783" s="3"/>
      <c r="F783" s="3"/>
      <c r="G783" s="1025"/>
    </row>
    <row r="784" spans="1:9" ht="14.25">
      <c r="A784" s="176"/>
      <c r="B784" s="520" t="s">
        <v>2756</v>
      </c>
      <c r="C784" s="1026"/>
      <c r="D784" s="1296" t="s">
        <v>2023</v>
      </c>
      <c r="E784" s="1296"/>
      <c r="F784" s="1296"/>
      <c r="G784" s="1025"/>
      <c r="I784" s="1065" t="s">
        <v>2236</v>
      </c>
    </row>
    <row r="785" spans="1:9" ht="14.25">
      <c r="A785" s="176"/>
      <c r="B785" s="176"/>
      <c r="C785" s="1026"/>
      <c r="D785" s="1296"/>
      <c r="E785" s="1296"/>
      <c r="F785" s="1296"/>
      <c r="G785" s="1025"/>
    </row>
    <row r="786" spans="1:9" ht="14.25">
      <c r="A786" s="176"/>
      <c r="B786" s="176"/>
      <c r="C786" s="1026"/>
      <c r="D786" s="1296"/>
      <c r="E786" s="1296"/>
      <c r="F786" s="1296"/>
      <c r="G786" s="1025"/>
    </row>
    <row r="787" spans="1:9" ht="14.25">
      <c r="A787" s="176"/>
      <c r="B787" s="176"/>
      <c r="C787" s="1026"/>
      <c r="D787" s="1296"/>
      <c r="E787" s="1296"/>
      <c r="F787" s="1296"/>
      <c r="G787" s="1025"/>
    </row>
    <row r="788" spans="1:9" ht="14.25">
      <c r="A788" s="176"/>
      <c r="B788" s="176"/>
      <c r="C788" s="1026"/>
      <c r="D788" s="1296"/>
      <c r="E788" s="1296"/>
      <c r="F788" s="1296"/>
      <c r="G788" s="1025"/>
    </row>
    <row r="789" spans="1:9" ht="14.25">
      <c r="A789" s="176"/>
      <c r="B789" s="176"/>
      <c r="C789" s="1026"/>
      <c r="D789" s="1296"/>
      <c r="E789" s="1296"/>
      <c r="F789" s="1296"/>
      <c r="G789" s="1025"/>
    </row>
    <row r="790" spans="1:9" ht="14.25">
      <c r="A790" s="176"/>
      <c r="B790" s="176"/>
      <c r="C790" s="1026"/>
      <c r="D790" s="1296" t="s">
        <v>2067</v>
      </c>
      <c r="E790" s="1296"/>
      <c r="F790" s="1296"/>
      <c r="G790" s="1025"/>
    </row>
    <row r="791" spans="1:9" ht="14.25">
      <c r="A791" s="176"/>
      <c r="B791" s="176"/>
      <c r="C791" s="1026"/>
      <c r="D791" s="1296"/>
      <c r="E791" s="1296"/>
      <c r="F791" s="1296"/>
      <c r="G791" s="1025"/>
    </row>
    <row r="792" spans="1:9" ht="14.25">
      <c r="A792" s="176"/>
      <c r="B792" s="176"/>
      <c r="C792" s="1026"/>
      <c r="D792" s="1296"/>
      <c r="E792" s="1296"/>
      <c r="F792" s="1296"/>
      <c r="G792" s="1025"/>
    </row>
    <row r="793" spans="1:9" ht="14.25">
      <c r="A793" s="176"/>
      <c r="B793" s="386"/>
      <c r="C793" s="1026"/>
      <c r="D793" s="1027"/>
      <c r="E793" s="1027"/>
      <c r="F793" s="1027"/>
      <c r="G793" s="1025"/>
    </row>
    <row r="794" spans="1:9" ht="14.25">
      <c r="A794" s="176"/>
      <c r="B794" s="520" t="s">
        <v>2756</v>
      </c>
      <c r="C794" s="1026"/>
      <c r="D794" s="1296" t="s">
        <v>2024</v>
      </c>
      <c r="E794" s="1296"/>
      <c r="F794" s="1296"/>
      <c r="G794" s="1025"/>
      <c r="I794" s="1065" t="s">
        <v>2236</v>
      </c>
    </row>
    <row r="795" spans="1:9" ht="14.25">
      <c r="A795" s="176"/>
      <c r="B795" s="176"/>
      <c r="C795" s="1026"/>
      <c r="D795" s="1296"/>
      <c r="E795" s="1296"/>
      <c r="F795" s="1296"/>
      <c r="G795" s="1025"/>
    </row>
    <row r="796" spans="1:9" ht="14.25">
      <c r="A796" s="176"/>
      <c r="B796" s="176"/>
      <c r="C796" s="1026"/>
      <c r="D796" s="1296"/>
      <c r="E796" s="1296"/>
      <c r="F796" s="1296"/>
      <c r="G796" s="1025"/>
    </row>
    <row r="797" spans="1:9" ht="14.25">
      <c r="A797" s="176"/>
      <c r="B797" s="176"/>
      <c r="C797" s="1026"/>
      <c r="D797" s="1296"/>
      <c r="E797" s="1296"/>
      <c r="F797" s="1296"/>
      <c r="G797" s="1025"/>
    </row>
    <row r="798" spans="1:9" ht="14.25">
      <c r="A798" s="176"/>
      <c r="B798" s="176"/>
      <c r="C798" s="1026"/>
      <c r="D798" s="1296"/>
      <c r="E798" s="1296"/>
      <c r="F798" s="1296"/>
      <c r="G798" s="1025"/>
    </row>
    <row r="799" spans="1:9" ht="14.25">
      <c r="A799" s="176"/>
      <c r="B799" s="176"/>
      <c r="C799" s="1026"/>
      <c r="D799" s="1296"/>
      <c r="E799" s="1296"/>
      <c r="F799" s="1296"/>
      <c r="G799" s="1025"/>
    </row>
    <row r="800" spans="1:9" ht="14.25">
      <c r="A800" s="176"/>
      <c r="B800" s="176"/>
      <c r="C800" s="1026"/>
      <c r="D800" s="1019"/>
      <c r="E800" s="1019"/>
      <c r="F800" s="1019"/>
      <c r="G800" s="1025"/>
    </row>
    <row r="801" spans="1:9" ht="14.25">
      <c r="A801" s="176"/>
      <c r="B801" s="520" t="s">
        <v>2756</v>
      </c>
      <c r="C801" s="1026"/>
      <c r="D801" s="1296" t="s">
        <v>2025</v>
      </c>
      <c r="E801" s="1296"/>
      <c r="F801" s="1296"/>
      <c r="G801" s="1025"/>
      <c r="I801" s="1065" t="s">
        <v>2236</v>
      </c>
    </row>
    <row r="802" spans="1:9" ht="14.25">
      <c r="A802" s="176"/>
      <c r="B802" s="176"/>
      <c r="C802" s="1026"/>
      <c r="D802" s="1296"/>
      <c r="E802" s="1296"/>
      <c r="F802" s="1296"/>
      <c r="G802" s="1025"/>
    </row>
    <row r="803" spans="1:9" ht="14.25">
      <c r="A803" s="176"/>
      <c r="B803" s="176"/>
      <c r="C803" s="1026"/>
      <c r="D803" s="1296"/>
      <c r="E803" s="1296"/>
      <c r="F803" s="1296"/>
      <c r="G803" s="1025"/>
    </row>
    <row r="804" spans="1:9" ht="14.25">
      <c r="A804" s="176"/>
      <c r="B804" s="176"/>
      <c r="C804" s="1026"/>
      <c r="D804" s="1296"/>
      <c r="E804" s="1296"/>
      <c r="F804" s="1296"/>
      <c r="G804" s="1025"/>
    </row>
    <row r="805" spans="1:9" ht="14.25">
      <c r="A805" s="176"/>
      <c r="B805" s="176"/>
      <c r="C805" s="1026"/>
      <c r="D805" s="1296"/>
      <c r="E805" s="1296"/>
      <c r="F805" s="1296"/>
      <c r="G805" s="1025"/>
    </row>
    <row r="806" spans="1:9" ht="14.25">
      <c r="A806" s="176"/>
      <c r="B806" s="176"/>
      <c r="C806" s="1026"/>
      <c r="D806" s="1296"/>
      <c r="E806" s="1296"/>
      <c r="F806" s="1296"/>
      <c r="G806" s="1025"/>
    </row>
    <row r="807" spans="1:9" ht="14.25">
      <c r="A807" s="176"/>
      <c r="B807" s="176"/>
      <c r="C807" s="1026"/>
      <c r="D807" s="1019"/>
      <c r="E807" s="1019"/>
      <c r="F807" s="1019"/>
      <c r="G807" s="1025"/>
    </row>
    <row r="808" spans="1:9" ht="14.25">
      <c r="A808" s="176"/>
      <c r="B808" s="520" t="s">
        <v>2756</v>
      </c>
      <c r="C808" s="1026"/>
      <c r="D808" s="1304" t="s">
        <v>2026</v>
      </c>
      <c r="E808" s="1304"/>
      <c r="F808" s="1304"/>
      <c r="G808" s="1025"/>
      <c r="I808" s="1065" t="s">
        <v>2236</v>
      </c>
    </row>
    <row r="809" spans="1:9" ht="14.25">
      <c r="A809" s="176"/>
      <c r="B809" s="176"/>
      <c r="C809" s="1026"/>
      <c r="D809" s="1304"/>
      <c r="E809" s="1304"/>
      <c r="F809" s="1304"/>
      <c r="G809" s="1025"/>
    </row>
    <row r="810" spans="1:9">
      <c r="A810" s="13"/>
      <c r="B810" s="13"/>
      <c r="C810" s="1026"/>
      <c r="D810" s="1304"/>
      <c r="E810" s="1304"/>
      <c r="F810" s="1304"/>
      <c r="G810" s="1025"/>
    </row>
    <row r="811" spans="1:9" ht="14.25">
      <c r="A811" s="176"/>
      <c r="B811" s="13"/>
      <c r="C811" s="1026"/>
      <c r="D811" s="1304"/>
      <c r="E811" s="1304"/>
      <c r="F811" s="1304"/>
      <c r="G811" s="1025"/>
    </row>
    <row r="812" spans="1:9" ht="12.75" customHeight="1">
      <c r="A812" s="176"/>
      <c r="B812" s="13"/>
      <c r="C812" s="1026"/>
      <c r="D812" s="1304"/>
      <c r="E812" s="1304"/>
      <c r="F812" s="1304"/>
      <c r="G812" s="1025"/>
    </row>
    <row r="813" spans="1:9" ht="12.75" customHeight="1">
      <c r="A813" s="176"/>
      <c r="B813" s="13"/>
      <c r="C813" s="1026"/>
      <c r="D813" s="1304"/>
      <c r="E813" s="1304"/>
      <c r="F813" s="1304"/>
      <c r="G813" s="1025"/>
    </row>
    <row r="814" spans="1:9" ht="12.75" customHeight="1">
      <c r="A814" s="13"/>
      <c r="B814" s="13"/>
      <c r="C814" s="1026"/>
      <c r="D814" s="1025"/>
      <c r="E814" s="3"/>
      <c r="F814" s="3"/>
      <c r="G814" s="1025"/>
    </row>
    <row r="815" spans="1:9" ht="12.75" customHeight="1">
      <c r="A815" s="1291" t="s">
        <v>2027</v>
      </c>
      <c r="B815" s="1291"/>
      <c r="C815" s="1291"/>
      <c r="D815" s="1291"/>
      <c r="E815" s="1291"/>
      <c r="F815" s="1291"/>
      <c r="G815" s="1291"/>
      <c r="H815" s="1071"/>
      <c r="I815" s="1072"/>
    </row>
    <row r="816" spans="1:9" ht="12.75" customHeight="1">
      <c r="A816" s="172"/>
      <c r="B816" s="172"/>
      <c r="C816" s="1026"/>
      <c r="D816" s="1025"/>
      <c r="E816" s="1025"/>
      <c r="F816" s="1025"/>
      <c r="G816" s="1025"/>
    </row>
    <row r="817" spans="1:9" ht="12.75" customHeight="1">
      <c r="A817" s="176"/>
      <c r="B817" s="176"/>
      <c r="C817" s="386"/>
      <c r="D817" s="1295" t="s">
        <v>2068</v>
      </c>
      <c r="E817" s="1295"/>
      <c r="F817" s="1295"/>
      <c r="G817" s="3"/>
    </row>
    <row r="818" spans="1:9" ht="14.25" customHeight="1">
      <c r="A818" s="176"/>
      <c r="B818" s="176"/>
      <c r="C818" s="386"/>
      <c r="D818" s="1263" t="s">
        <v>2028</v>
      </c>
      <c r="E818" s="1263"/>
      <c r="F818" s="1263"/>
      <c r="G818" s="3"/>
    </row>
    <row r="819" spans="1:9" ht="12.75" customHeight="1">
      <c r="A819" s="176"/>
      <c r="B819" s="176"/>
      <c r="C819" s="386"/>
      <c r="D819" s="475"/>
      <c r="E819" s="475"/>
      <c r="F819" s="475"/>
      <c r="G819" s="3"/>
    </row>
    <row r="820" spans="1:9" ht="12.75" customHeight="1">
      <c r="A820" s="386"/>
      <c r="B820" s="520" t="s">
        <v>2755</v>
      </c>
      <c r="C820" s="1026"/>
      <c r="D820" s="1263" t="s">
        <v>2029</v>
      </c>
      <c r="E820" s="1263"/>
      <c r="F820" s="1263"/>
      <c r="G820" s="3"/>
      <c r="I820" s="436" t="s">
        <v>2204</v>
      </c>
    </row>
    <row r="821" spans="1:9" ht="14.25" customHeight="1">
      <c r="A821" s="13"/>
      <c r="B821" s="13"/>
      <c r="C821" s="1026"/>
      <c r="E821" s="1080" t="s">
        <v>2280</v>
      </c>
      <c r="F821" s="1082"/>
      <c r="G821" s="3"/>
    </row>
    <row r="822" spans="1:9" ht="12.75" customHeight="1">
      <c r="A822" s="13"/>
      <c r="B822" s="13"/>
      <c r="C822" s="1026"/>
      <c r="D822" s="1028"/>
      <c r="E822" s="3"/>
      <c r="F822" s="3"/>
      <c r="G822" s="3"/>
    </row>
    <row r="823" spans="1:9" ht="14.25" hidden="1" customHeight="1">
      <c r="A823" s="13"/>
      <c r="B823" s="520" t="s">
        <v>309</v>
      </c>
      <c r="C823" s="1026"/>
      <c r="D823" s="1342" t="s">
        <v>2478</v>
      </c>
      <c r="E823" s="1342"/>
      <c r="F823" s="1342"/>
      <c r="G823" s="3"/>
    </row>
    <row r="824" spans="1:9" ht="12.75" hidden="1" customHeight="1">
      <c r="A824" s="13"/>
      <c r="B824" s="13"/>
      <c r="C824" s="1026"/>
      <c r="D824" s="1342"/>
      <c r="E824" s="1342"/>
      <c r="F824" s="1342"/>
      <c r="G824" s="3"/>
    </row>
    <row r="825" spans="1:9" ht="12.75" hidden="1" customHeight="1">
      <c r="A825" s="13"/>
      <c r="B825" s="13"/>
      <c r="C825" s="1026"/>
      <c r="D825" s="1342"/>
      <c r="E825" s="1342"/>
      <c r="F825" s="1342"/>
      <c r="G825" s="3"/>
    </row>
    <row r="826" spans="1:9" ht="12.75" hidden="1" customHeight="1">
      <c r="A826" s="13"/>
      <c r="B826" s="13"/>
      <c r="C826" s="1026"/>
      <c r="D826" s="1342"/>
      <c r="E826" s="1342"/>
      <c r="F826" s="1342"/>
      <c r="G826" s="3"/>
    </row>
    <row r="827" spans="1:9" ht="12.75" hidden="1" customHeight="1">
      <c r="A827" s="13"/>
      <c r="B827" s="13"/>
      <c r="C827" s="1026"/>
      <c r="D827" s="1342"/>
      <c r="E827" s="1342"/>
      <c r="F827" s="1342"/>
      <c r="G827" s="3"/>
    </row>
    <row r="828" spans="1:9" ht="12.75" hidden="1" customHeight="1">
      <c r="A828" s="13"/>
      <c r="B828" s="13"/>
      <c r="C828" s="1026"/>
      <c r="D828" s="1342"/>
      <c r="E828" s="1342"/>
      <c r="F828" s="1342"/>
      <c r="G828" s="3"/>
    </row>
    <row r="829" spans="1:9" ht="12.75" hidden="1" customHeight="1">
      <c r="A829" s="13"/>
      <c r="B829" s="13"/>
      <c r="C829" s="1026"/>
      <c r="D829" s="1342"/>
      <c r="E829" s="1342"/>
      <c r="F829" s="1342"/>
      <c r="G829" s="3"/>
    </row>
    <row r="830" spans="1:9" ht="12.75" hidden="1" customHeight="1">
      <c r="A830" s="13"/>
      <c r="B830" s="13"/>
      <c r="C830" s="1026"/>
      <c r="D830" s="1342"/>
      <c r="E830" s="1342"/>
      <c r="F830" s="1342"/>
      <c r="G830" s="3"/>
    </row>
    <row r="831" spans="1:9" ht="12.75" hidden="1" customHeight="1">
      <c r="A831" s="13"/>
      <c r="B831" s="13"/>
      <c r="C831" s="1026"/>
      <c r="D831" s="1342"/>
      <c r="E831" s="1342"/>
      <c r="F831" s="1342"/>
      <c r="G831" s="3"/>
    </row>
    <row r="832" spans="1:9" ht="12.75" hidden="1" customHeight="1">
      <c r="A832" s="13"/>
      <c r="B832" s="13"/>
      <c r="C832" s="1026"/>
      <c r="D832" s="1342"/>
      <c r="E832" s="1342"/>
      <c r="F832" s="1342"/>
      <c r="G832" s="3"/>
    </row>
    <row r="833" spans="1:9" ht="12.75" hidden="1" customHeight="1">
      <c r="A833" s="13"/>
      <c r="B833" s="13"/>
      <c r="C833" s="1026"/>
      <c r="D833" s="1028"/>
      <c r="E833" s="3"/>
      <c r="F833" s="3"/>
      <c r="G833" s="3"/>
    </row>
    <row r="834" spans="1:9" ht="12.75" customHeight="1">
      <c r="A834" s="176"/>
      <c r="B834" s="520" t="s">
        <v>2755</v>
      </c>
      <c r="C834" s="1026"/>
      <c r="D834" s="1263" t="s">
        <v>2030</v>
      </c>
      <c r="E834" s="1263"/>
      <c r="F834" s="1263"/>
      <c r="G834" s="3"/>
      <c r="I834" s="436" t="s">
        <v>2222</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2756</v>
      </c>
      <c r="C838" s="1026"/>
      <c r="D838" s="1295" t="s">
        <v>2031</v>
      </c>
      <c r="E838" s="1295"/>
      <c r="F838" s="1295"/>
      <c r="G838" s="3"/>
    </row>
    <row r="839" spans="1:9" ht="12.75" customHeight="1">
      <c r="A839" s="386"/>
      <c r="B839" s="1029"/>
      <c r="C839" s="1026"/>
      <c r="D839" s="1295"/>
      <c r="E839" s="1295"/>
      <c r="F839" s="1295"/>
      <c r="G839" s="3"/>
    </row>
    <row r="840" spans="1:9" ht="12.75" customHeight="1">
      <c r="A840" s="176"/>
      <c r="B840" s="386"/>
      <c r="C840" s="1026"/>
      <c r="D840" s="1263" t="s">
        <v>2469</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2756</v>
      </c>
      <c r="C847" s="1026"/>
      <c r="D847" s="1263" t="s">
        <v>2032</v>
      </c>
      <c r="E847" s="1263"/>
      <c r="F847" s="1263"/>
      <c r="G847" s="3"/>
      <c r="I847" s="436" t="s">
        <v>2205</v>
      </c>
    </row>
    <row r="848" spans="1:9" ht="12.75" customHeight="1">
      <c r="A848" s="176"/>
      <c r="B848" s="176"/>
      <c r="C848" s="1026"/>
      <c r="D848" s="1263" t="s">
        <v>2033</v>
      </c>
      <c r="E848" s="1263"/>
      <c r="F848" s="1263"/>
      <c r="G848" s="3"/>
    </row>
    <row r="849" spans="1:9" ht="12.75" customHeight="1">
      <c r="A849" s="176"/>
      <c r="B849" s="176"/>
      <c r="C849" s="1026"/>
      <c r="E849" s="1080" t="s">
        <v>2282</v>
      </c>
      <c r="F849" s="1082"/>
      <c r="G849" s="3"/>
    </row>
    <row r="850" spans="1:9" ht="12.75" customHeight="1">
      <c r="A850" s="176"/>
      <c r="B850" s="176"/>
      <c r="C850" s="1026"/>
      <c r="D850" s="118"/>
      <c r="E850" s="3"/>
      <c r="F850" s="3"/>
      <c r="G850" s="3"/>
    </row>
    <row r="851" spans="1:9" ht="12.75" customHeight="1">
      <c r="A851" s="176"/>
      <c r="B851" s="520" t="s">
        <v>2756</v>
      </c>
      <c r="C851" s="1026"/>
      <c r="D851" s="1263" t="s">
        <v>2034</v>
      </c>
      <c r="E851" s="1263"/>
      <c r="F851" s="1263"/>
      <c r="G851" s="3"/>
      <c r="I851" s="436" t="s">
        <v>2223</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2035</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2" t="s">
        <v>2069</v>
      </c>
      <c r="E858" s="1282"/>
      <c r="F858" s="1282"/>
      <c r="G858" s="1025"/>
    </row>
    <row r="859" spans="1:9" ht="12.75" customHeight="1">
      <c r="A859" s="386"/>
      <c r="B859" s="386"/>
      <c r="C859" s="175"/>
      <c r="D859" s="1341" t="s">
        <v>2036</v>
      </c>
      <c r="E859" s="1341"/>
      <c r="F859" s="1341"/>
      <c r="G859" s="1025"/>
    </row>
    <row r="860" spans="1:9" ht="12.75" customHeight="1">
      <c r="A860" s="386"/>
      <c r="B860" s="386"/>
      <c r="C860" s="175"/>
      <c r="D860" s="1032"/>
      <c r="E860" s="1032"/>
      <c r="F860" s="1032"/>
      <c r="G860" s="1025"/>
    </row>
    <row r="861" spans="1:9" ht="12.75" customHeight="1">
      <c r="A861" s="176"/>
      <c r="B861" s="520" t="s">
        <v>2755</v>
      </c>
      <c r="C861" s="386"/>
      <c r="D861" s="1283" t="s">
        <v>2037</v>
      </c>
      <c r="E861" s="1283"/>
      <c r="F861" s="1283"/>
      <c r="G861" s="1025"/>
      <c r="I861" s="436" t="s">
        <v>2205</v>
      </c>
    </row>
    <row r="862" spans="1:9" ht="12.75" customHeight="1">
      <c r="A862" s="386"/>
      <c r="B862" s="386"/>
      <c r="C862" s="386"/>
      <c r="D862" s="2" t="s">
        <v>2012</v>
      </c>
      <c r="E862" s="1080" t="s">
        <v>2282</v>
      </c>
      <c r="F862" s="1083"/>
      <c r="G862" s="1025"/>
    </row>
    <row r="863" spans="1:9" ht="12.75" customHeight="1">
      <c r="A863" s="386"/>
      <c r="B863" s="386"/>
      <c r="C863" s="386"/>
      <c r="D863" s="118"/>
      <c r="E863" s="1025"/>
      <c r="F863" s="1025"/>
      <c r="G863" s="1025"/>
    </row>
    <row r="864" spans="1:9" ht="12.75" customHeight="1">
      <c r="A864" s="176"/>
      <c r="B864" s="520" t="s">
        <v>2755</v>
      </c>
      <c r="C864" s="386"/>
      <c r="D864" s="1263" t="s">
        <v>2038</v>
      </c>
      <c r="E864" s="1312"/>
      <c r="F864" s="1312"/>
      <c r="G864" s="3"/>
      <c r="I864" s="436" t="s">
        <v>2223</v>
      </c>
    </row>
    <row r="865" spans="1:9" ht="12.75" customHeight="1">
      <c r="A865" s="386"/>
      <c r="B865" s="386"/>
      <c r="C865" s="386"/>
      <c r="D865" s="1312"/>
      <c r="E865" s="1312"/>
      <c r="F865" s="1312"/>
      <c r="G865" s="3"/>
    </row>
    <row r="866" spans="1:9" ht="12.75" customHeight="1">
      <c r="A866" s="386"/>
      <c r="B866" s="386"/>
      <c r="C866" s="386"/>
      <c r="D866" s="118"/>
      <c r="E866" s="3"/>
      <c r="F866" s="3"/>
      <c r="G866" s="3"/>
    </row>
    <row r="867" spans="1:9" ht="12.75" customHeight="1">
      <c r="A867" s="386"/>
      <c r="B867" s="520" t="s">
        <v>2756</v>
      </c>
      <c r="C867" s="386"/>
      <c r="D867" s="1343" t="s">
        <v>2039</v>
      </c>
      <c r="E867" s="1343"/>
      <c r="F867" s="1343"/>
      <c r="G867" s="1025"/>
    </row>
    <row r="868" spans="1:9" ht="12.75" customHeight="1">
      <c r="A868" s="386"/>
      <c r="B868" s="1033"/>
      <c r="C868" s="386"/>
      <c r="D868" s="1343"/>
      <c r="E868" s="1343"/>
      <c r="F868" s="1343"/>
      <c r="G868" s="1025"/>
    </row>
    <row r="869" spans="1:9" ht="12.75" customHeight="1">
      <c r="A869" s="176"/>
      <c r="B869"/>
      <c r="C869" s="386"/>
      <c r="D869" s="1263" t="s">
        <v>2469</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2756</v>
      </c>
      <c r="C876" s="386"/>
      <c r="D876" s="1287" t="s">
        <v>2032</v>
      </c>
      <c r="E876" s="1287"/>
      <c r="F876" s="1287"/>
      <c r="G876" s="1025"/>
      <c r="I876" s="436" t="s">
        <v>2205</v>
      </c>
    </row>
    <row r="877" spans="1:9" ht="12.75" customHeight="1">
      <c r="A877" s="176"/>
      <c r="B877" s="176"/>
      <c r="C877" s="386"/>
      <c r="D877" s="1287" t="s">
        <v>2033</v>
      </c>
      <c r="E877" s="1287"/>
      <c r="F877" s="1287"/>
      <c r="G877" s="1025"/>
    </row>
    <row r="878" spans="1:9" ht="12.75" customHeight="1">
      <c r="A878" s="176"/>
      <c r="B878" s="176"/>
      <c r="C878" s="386"/>
      <c r="D878" s="2" t="s">
        <v>1431</v>
      </c>
      <c r="E878" s="1080" t="s">
        <v>2282</v>
      </c>
      <c r="F878" s="1084"/>
      <c r="G878" s="1025"/>
    </row>
    <row r="879" spans="1:9" ht="12.75" customHeight="1">
      <c r="A879" s="176"/>
      <c r="B879" s="176"/>
      <c r="C879" s="386"/>
      <c r="D879" s="118"/>
      <c r="E879" s="1025"/>
      <c r="F879" s="1025"/>
      <c r="G879" s="1025"/>
    </row>
    <row r="880" spans="1:9" ht="12.75" customHeight="1">
      <c r="A880" s="176"/>
      <c r="B880" s="520" t="s">
        <v>2756</v>
      </c>
      <c r="C880" s="386"/>
      <c r="D880" s="1263" t="s">
        <v>2034</v>
      </c>
      <c r="E880" s="1263"/>
      <c r="F880" s="1263"/>
      <c r="G880" s="1025"/>
      <c r="I880" s="436" t="s">
        <v>2223</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291" t="s">
        <v>2070</v>
      </c>
      <c r="B885" s="1291"/>
      <c r="C885" s="1291"/>
      <c r="D885" s="1291"/>
      <c r="E885" s="1291"/>
      <c r="F885" s="1291"/>
      <c r="G885" s="1291"/>
      <c r="H885" s="1071"/>
      <c r="I885" s="1072"/>
    </row>
    <row r="886" spans="1:9" ht="12.75" customHeight="1">
      <c r="A886" s="57"/>
      <c r="B886" s="57"/>
      <c r="C886" s="57"/>
      <c r="D886" s="57"/>
      <c r="E886" s="57"/>
      <c r="F886" s="57"/>
      <c r="G886" s="57"/>
    </row>
    <row r="887" spans="1:9" ht="12.75" customHeight="1">
      <c r="A887" s="57"/>
      <c r="B887" s="57"/>
      <c r="C887" s="57"/>
      <c r="D887" s="1297" t="s">
        <v>2076</v>
      </c>
      <c r="E887" s="1297"/>
      <c r="F887" s="1297"/>
      <c r="G887" s="57"/>
    </row>
    <row r="888" spans="1:9" ht="12.75" customHeight="1">
      <c r="A888" s="57"/>
      <c r="B888" s="57"/>
      <c r="C888" s="57"/>
      <c r="D888" s="1018"/>
      <c r="E888" s="1018"/>
      <c r="F888" s="1018"/>
      <c r="G888" s="57"/>
    </row>
    <row r="889" spans="1:9" ht="12.75" customHeight="1">
      <c r="A889" s="57"/>
      <c r="B889" s="520" t="s">
        <v>2755</v>
      </c>
      <c r="C889" s="57"/>
      <c r="D889" s="1021" t="s">
        <v>2077</v>
      </c>
      <c r="E889" s="1018"/>
      <c r="F889" s="1018"/>
      <c r="G889" s="57"/>
      <c r="I889" s="436" t="s">
        <v>2237</v>
      </c>
    </row>
    <row r="890" spans="1:9" ht="12.75" customHeight="1">
      <c r="A890" s="57"/>
      <c r="B890" s="57"/>
      <c r="C890" s="57"/>
      <c r="D890" s="1018"/>
      <c r="E890" s="1018"/>
      <c r="F890" s="1018"/>
      <c r="G890" s="57"/>
    </row>
    <row r="891" spans="1:9" ht="12.75" customHeight="1">
      <c r="A891" s="386"/>
      <c r="B891" s="386"/>
      <c r="C891" s="1026"/>
      <c r="D891" s="1297" t="s">
        <v>2071</v>
      </c>
      <c r="E891" s="1297"/>
      <c r="F891" s="1297"/>
      <c r="G891" s="1025"/>
    </row>
    <row r="892" spans="1:9" ht="12.75" customHeight="1">
      <c r="A892" s="172"/>
      <c r="B892" s="172"/>
      <c r="C892" s="172"/>
      <c r="D892" s="1283" t="s">
        <v>2040</v>
      </c>
      <c r="E892" s="1283"/>
      <c r="F892" s="1283"/>
      <c r="G892" s="1025"/>
    </row>
    <row r="893" spans="1:9" ht="12.75" customHeight="1">
      <c r="A893" s="1026"/>
      <c r="B893" s="1026"/>
      <c r="C893" s="1026"/>
      <c r="D893" s="2"/>
      <c r="E893" s="1025"/>
      <c r="F893" s="1025"/>
      <c r="G893" s="1025"/>
    </row>
    <row r="894" spans="1:9" ht="12.75" customHeight="1">
      <c r="A894" s="176"/>
      <c r="B894" s="520" t="s">
        <v>2755</v>
      </c>
      <c r="C894" s="386"/>
      <c r="D894" s="1263" t="s">
        <v>2044</v>
      </c>
      <c r="E894" s="1263"/>
      <c r="F894" s="1263"/>
      <c r="G894" s="3"/>
      <c r="I894" s="436" t="s">
        <v>2189</v>
      </c>
    </row>
    <row r="895" spans="1:9" ht="12.75" customHeight="1">
      <c r="A895" s="386"/>
      <c r="B895" s="386"/>
      <c r="C895" s="386"/>
      <c r="D895" s="1263"/>
      <c r="E895" s="1263"/>
      <c r="F895" s="1263"/>
      <c r="G895" s="3"/>
    </row>
    <row r="896" spans="1:9" ht="12.75" customHeight="1">
      <c r="A896" s="172"/>
      <c r="B896" s="172"/>
      <c r="C896" s="172"/>
      <c r="D896" s="1263" t="s">
        <v>2043</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2755</v>
      </c>
      <c r="C899" s="175"/>
      <c r="D899" s="1267" t="s">
        <v>2041</v>
      </c>
      <c r="E899" s="1267"/>
      <c r="F899" s="1267"/>
      <c r="G899" s="1025"/>
      <c r="I899" s="436" t="s">
        <v>2188</v>
      </c>
    </row>
    <row r="900" spans="1:9" ht="12.75" customHeight="1">
      <c r="A900" s="176"/>
      <c r="B900" s="176"/>
      <c r="C900" s="175"/>
      <c r="D900" s="1267"/>
      <c r="E900" s="1267"/>
      <c r="F900" s="1267"/>
      <c r="G900" s="1025"/>
    </row>
    <row r="901" spans="1:9" ht="12.75" customHeight="1">
      <c r="A901" s="176"/>
      <c r="B901" s="176"/>
      <c r="C901" s="175"/>
      <c r="D901" s="1267"/>
      <c r="E901" s="1267"/>
      <c r="F901" s="1267"/>
      <c r="G901" s="1025"/>
    </row>
    <row r="902" spans="1:9" ht="12.75" customHeight="1">
      <c r="A902" s="176"/>
      <c r="B902" s="176"/>
      <c r="C902" s="175"/>
      <c r="D902" s="1267"/>
      <c r="E902" s="1267"/>
      <c r="F902" s="1267"/>
      <c r="G902" s="1025"/>
    </row>
    <row r="903" spans="1:9" ht="12.75" customHeight="1">
      <c r="A903" s="176"/>
      <c r="B903" s="176"/>
      <c r="C903" s="175"/>
      <c r="D903" s="1267"/>
      <c r="E903" s="1267"/>
      <c r="F903" s="1267"/>
      <c r="G903" s="1025"/>
    </row>
    <row r="904" spans="1:9" ht="12.75" customHeight="1">
      <c r="A904" s="175"/>
      <c r="B904" s="175"/>
      <c r="C904" s="175"/>
      <c r="D904" s="1267"/>
      <c r="E904" s="1267"/>
      <c r="F904" s="1267"/>
      <c r="G904" s="1025"/>
    </row>
    <row r="905" spans="1:9" ht="12.75" customHeight="1">
      <c r="A905" s="175"/>
      <c r="B905" s="175"/>
      <c r="C905" s="175"/>
      <c r="D905" s="1267"/>
      <c r="E905" s="1267"/>
      <c r="F905" s="1267"/>
      <c r="G905" s="1025"/>
    </row>
    <row r="906" spans="1:9" ht="12.75" customHeight="1">
      <c r="A906" s="175"/>
      <c r="B906" s="175"/>
      <c r="C906" s="175"/>
      <c r="D906" s="1267"/>
      <c r="E906" s="1267"/>
      <c r="F906" s="1267"/>
      <c r="G906" s="1025"/>
    </row>
    <row r="907" spans="1:9" ht="12.75" customHeight="1">
      <c r="A907" s="175"/>
      <c r="B907" s="175"/>
      <c r="C907" s="175"/>
      <c r="D907" s="364"/>
      <c r="E907" s="364"/>
      <c r="F907" s="364"/>
      <c r="G907" s="1025"/>
    </row>
    <row r="908" spans="1:9" ht="12.75" customHeight="1">
      <c r="A908" s="1026"/>
      <c r="B908" s="520" t="s">
        <v>2756</v>
      </c>
      <c r="C908" s="1026"/>
      <c r="D908" s="1263" t="s">
        <v>2045</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2756</v>
      </c>
      <c r="C911" s="1026"/>
      <c r="D911" s="1304" t="s">
        <v>2046</v>
      </c>
      <c r="E911" s="1304"/>
      <c r="F911" s="1304"/>
      <c r="G911" s="1025"/>
    </row>
    <row r="912" spans="1:9" ht="12.75" customHeight="1">
      <c r="A912" s="1026"/>
      <c r="B912" s="1026"/>
      <c r="C912" s="1026"/>
      <c r="D912" s="1304"/>
      <c r="E912" s="1304"/>
      <c r="F912" s="1304"/>
      <c r="G912" s="1025"/>
    </row>
    <row r="913" spans="1:9" ht="12.75" customHeight="1">
      <c r="A913" s="1026"/>
      <c r="B913" s="1026"/>
      <c r="C913" s="1026"/>
      <c r="D913" s="1304"/>
      <c r="E913" s="1304"/>
      <c r="F913" s="1304"/>
      <c r="G913" s="1025"/>
    </row>
    <row r="914" spans="1:9" ht="12.75" customHeight="1">
      <c r="A914" s="1026"/>
      <c r="B914" s="1026"/>
      <c r="C914" s="1026"/>
      <c r="D914" s="1304"/>
      <c r="E914" s="1304"/>
      <c r="F914" s="1304"/>
      <c r="G914" s="1025"/>
    </row>
    <row r="915" spans="1:9" ht="12.75" customHeight="1">
      <c r="A915" s="1026"/>
      <c r="B915" s="1026"/>
      <c r="C915" s="1026"/>
      <c r="D915" s="118"/>
      <c r="E915" s="1025"/>
      <c r="F915" s="1025"/>
      <c r="G915" s="1025"/>
    </row>
    <row r="916" spans="1:9" ht="12.75" customHeight="1">
      <c r="A916" s="1026"/>
      <c r="B916" s="520" t="s">
        <v>2756</v>
      </c>
      <c r="C916" s="1026"/>
      <c r="D916" s="1283" t="s">
        <v>2470</v>
      </c>
      <c r="E916" s="1283"/>
      <c r="F916" s="1283"/>
      <c r="G916" s="1025"/>
    </row>
    <row r="917" spans="1:9" ht="12.75" customHeight="1">
      <c r="A917" s="1026"/>
      <c r="B917" s="1026"/>
      <c r="C917" s="1026"/>
      <c r="D917" s="118"/>
      <c r="E917" s="1025"/>
      <c r="F917" s="1025"/>
      <c r="G917" s="1025"/>
    </row>
    <row r="918" spans="1:9" ht="12.75" customHeight="1">
      <c r="A918" s="1026"/>
      <c r="B918" s="520" t="s">
        <v>2756</v>
      </c>
      <c r="C918" s="1026"/>
      <c r="D918" s="1283" t="s">
        <v>2471</v>
      </c>
      <c r="E918" s="1283"/>
      <c r="F918" s="1283"/>
      <c r="G918" s="1025"/>
    </row>
    <row r="919" spans="1:9" ht="12.75" customHeight="1">
      <c r="A919" s="175"/>
      <c r="B919" s="175"/>
      <c r="C919" s="175"/>
      <c r="D919" s="2"/>
      <c r="E919" s="3"/>
      <c r="F919" s="1025"/>
      <c r="G919" s="1025"/>
    </row>
    <row r="920" spans="1:9" ht="12.75" customHeight="1">
      <c r="A920" s="1034"/>
      <c r="B920" s="520" t="s">
        <v>2756</v>
      </c>
      <c r="C920" s="1035"/>
      <c r="D920" s="1267" t="s">
        <v>2042</v>
      </c>
      <c r="E920" s="1267"/>
      <c r="F920" s="1267"/>
      <c r="G920" s="1036"/>
      <c r="I920" s="436" t="s">
        <v>2238</v>
      </c>
    </row>
    <row r="921" spans="1:9" ht="12.75" customHeight="1">
      <c r="A921" s="1034"/>
      <c r="B921" s="1034"/>
      <c r="C921" s="1035"/>
      <c r="D921" s="1267"/>
      <c r="E921" s="1267"/>
      <c r="F921" s="1267"/>
      <c r="G921" s="1036"/>
    </row>
    <row r="922" spans="1:9" ht="12.75" customHeight="1">
      <c r="A922" s="1034"/>
      <c r="B922" s="1034"/>
      <c r="C922" s="1035"/>
      <c r="D922" s="1267"/>
      <c r="E922" s="1267"/>
      <c r="F922" s="1267"/>
      <c r="G922" s="1036"/>
    </row>
    <row r="923" spans="1:9" ht="12.75" customHeight="1">
      <c r="A923" s="1034"/>
      <c r="B923" s="1034"/>
      <c r="C923" s="1035"/>
      <c r="D923" s="1267"/>
      <c r="E923" s="1267"/>
      <c r="F923" s="1267"/>
      <c r="G923" s="1036"/>
    </row>
    <row r="924" spans="1:9" ht="12.75" customHeight="1">
      <c r="A924" s="1034"/>
      <c r="B924" s="1034"/>
      <c r="C924" s="1035"/>
      <c r="D924" s="1267"/>
      <c r="E924" s="1267"/>
      <c r="F924" s="1267"/>
      <c r="G924" s="1036"/>
    </row>
    <row r="925" spans="1:9" ht="12.75" customHeight="1">
      <c r="A925" s="1034"/>
      <c r="B925" s="1034"/>
      <c r="C925" s="1035"/>
      <c r="D925" s="1267"/>
      <c r="E925" s="1267"/>
      <c r="F925" s="1267"/>
      <c r="G925" s="1036"/>
    </row>
    <row r="926" spans="1:9" ht="12.75" customHeight="1">
      <c r="A926" s="1034"/>
      <c r="B926" s="1034"/>
      <c r="C926" s="1035"/>
      <c r="D926" s="1267"/>
      <c r="E926" s="1267"/>
      <c r="F926" s="1267"/>
      <c r="G926" s="1036"/>
    </row>
    <row r="927" spans="1:9" ht="12.75" customHeight="1">
      <c r="A927" s="1034"/>
      <c r="B927" s="1034"/>
      <c r="C927" s="1035"/>
      <c r="D927" s="1267"/>
      <c r="E927" s="1267"/>
      <c r="F927" s="1267"/>
      <c r="G927" s="1036"/>
    </row>
    <row r="928" spans="1:9" ht="12.75" customHeight="1">
      <c r="A928" s="1034"/>
      <c r="B928" s="1034"/>
      <c r="C928" s="1035"/>
      <c r="D928" s="1267"/>
      <c r="E928" s="1267"/>
      <c r="F928" s="1267"/>
      <c r="G928" s="1036"/>
    </row>
    <row r="929" spans="1:9" ht="12.75" customHeight="1">
      <c r="A929" s="175"/>
      <c r="B929" s="175"/>
      <c r="C929" s="175"/>
      <c r="D929" s="2"/>
      <c r="E929" s="3"/>
      <c r="F929" s="1025"/>
      <c r="G929" s="1025"/>
    </row>
    <row r="930" spans="1:9" ht="12.75" customHeight="1">
      <c r="A930" s="176"/>
      <c r="B930" s="520" t="s">
        <v>2755</v>
      </c>
      <c r="C930" s="175"/>
      <c r="D930" s="1344" t="s">
        <v>2240</v>
      </c>
      <c r="E930" s="1344"/>
      <c r="F930" s="1344"/>
      <c r="G930" s="1025"/>
      <c r="I930" s="436" t="s">
        <v>2238</v>
      </c>
    </row>
    <row r="931" spans="1:9" ht="12.75" customHeight="1">
      <c r="A931" s="176"/>
      <c r="B931" s="176"/>
      <c r="C931" s="175"/>
      <c r="D931" s="1344"/>
      <c r="E931" s="1344"/>
      <c r="F931" s="1344"/>
      <c r="G931" s="1025"/>
    </row>
    <row r="932" spans="1:9" ht="12.75" customHeight="1">
      <c r="A932" s="176"/>
      <c r="B932" s="176"/>
      <c r="C932" s="175"/>
      <c r="D932" s="1344"/>
      <c r="E932" s="1344"/>
      <c r="F932" s="1344"/>
      <c r="G932" s="1025"/>
    </row>
    <row r="933" spans="1:9" ht="12.75" customHeight="1">
      <c r="A933" s="176"/>
      <c r="B933" s="176"/>
      <c r="C933" s="175"/>
      <c r="D933" s="1344"/>
      <c r="E933" s="1344"/>
      <c r="F933" s="1344"/>
      <c r="G933" s="1025"/>
    </row>
    <row r="934" spans="1:9" ht="12.75" customHeight="1">
      <c r="A934" s="176"/>
      <c r="B934" s="176"/>
      <c r="C934" s="175"/>
      <c r="D934" s="1344"/>
      <c r="E934" s="1344"/>
      <c r="F934" s="1344"/>
      <c r="G934" s="1025"/>
    </row>
    <row r="935" spans="1:9" ht="12.75" customHeight="1">
      <c r="A935" s="176"/>
      <c r="B935" s="176"/>
      <c r="C935" s="175"/>
      <c r="D935" s="1344"/>
      <c r="E935" s="1344"/>
      <c r="F935" s="1344"/>
      <c r="G935" s="1025"/>
    </row>
    <row r="936" spans="1:9" ht="12.75" customHeight="1">
      <c r="A936" s="176"/>
      <c r="B936" s="176"/>
      <c r="C936" s="175"/>
      <c r="D936" s="1344"/>
      <c r="E936" s="1344"/>
      <c r="F936" s="1344"/>
      <c r="G936" s="1025"/>
    </row>
    <row r="937" spans="1:9" ht="12.75" customHeight="1">
      <c r="A937" s="176"/>
      <c r="B937" s="176"/>
      <c r="C937" s="175"/>
      <c r="D937" s="1067"/>
      <c r="E937" s="1067"/>
      <c r="F937" s="1067"/>
      <c r="G937" s="1025"/>
    </row>
    <row r="938" spans="1:9" ht="12.75" customHeight="1">
      <c r="A938" s="176"/>
      <c r="B938" s="520" t="s">
        <v>2755</v>
      </c>
      <c r="C938" s="175"/>
      <c r="D938" s="1266" t="s">
        <v>2564</v>
      </c>
      <c r="E938" s="1266"/>
      <c r="F938" s="1266"/>
      <c r="G938" s="1025"/>
    </row>
    <row r="939" spans="1:9" ht="12.75" customHeight="1">
      <c r="A939" s="176"/>
      <c r="B939" s="176"/>
      <c r="C939" s="175"/>
      <c r="D939" s="1266"/>
      <c r="E939" s="1266"/>
      <c r="F939" s="1266"/>
      <c r="G939" s="1025"/>
    </row>
    <row r="940" spans="1:9" ht="12.75" customHeight="1">
      <c r="A940" s="176"/>
      <c r="B940" s="176"/>
      <c r="C940" s="175"/>
      <c r="D940" s="1266"/>
      <c r="E940" s="1266"/>
      <c r="F940" s="1266"/>
      <c r="G940" s="1025"/>
    </row>
    <row r="941" spans="1:9" ht="12.75" customHeight="1">
      <c r="A941" s="176"/>
      <c r="B941" s="176"/>
      <c r="C941" s="175"/>
      <c r="D941" s="1266"/>
      <c r="E941" s="1266"/>
      <c r="F941" s="1266"/>
      <c r="G941" s="1025"/>
    </row>
    <row r="942" spans="1:9" ht="12.75" customHeight="1">
      <c r="A942" s="176"/>
      <c r="B942" s="176"/>
      <c r="C942" s="175"/>
      <c r="D942" s="1266"/>
      <c r="E942" s="1266"/>
      <c r="F942" s="1266"/>
      <c r="G942" s="1025"/>
    </row>
    <row r="943" spans="1:9" ht="12.75" customHeight="1">
      <c r="A943" s="176"/>
      <c r="B943" s="176"/>
      <c r="C943" s="175"/>
      <c r="D943" s="1266"/>
      <c r="E943" s="1266"/>
      <c r="F943" s="1266"/>
      <c r="G943" s="1025"/>
    </row>
    <row r="944" spans="1:9" ht="12.75" customHeight="1">
      <c r="A944" s="176"/>
      <c r="B944" s="176"/>
      <c r="C944" s="175"/>
      <c r="D944" s="1067"/>
      <c r="E944" s="1067"/>
      <c r="F944" s="1067"/>
      <c r="G944" s="1025"/>
    </row>
    <row r="945" spans="1:9" ht="12.75" customHeight="1">
      <c r="A945" s="1026"/>
      <c r="B945" s="520" t="s">
        <v>2756</v>
      </c>
      <c r="C945" s="1026"/>
      <c r="D945" s="1304" t="s">
        <v>2047</v>
      </c>
      <c r="E945" s="1304"/>
      <c r="F945" s="1304"/>
      <c r="G945" s="1025"/>
    </row>
    <row r="946" spans="1:9" ht="12.75" customHeight="1">
      <c r="A946" s="1026"/>
      <c r="B946" s="1026"/>
      <c r="C946" s="1026"/>
      <c r="D946" s="1304"/>
      <c r="E946" s="1304"/>
      <c r="F946" s="1304"/>
      <c r="G946" s="1025"/>
    </row>
    <row r="947" spans="1:9" ht="12.75" customHeight="1">
      <c r="A947" s="1026"/>
      <c r="B947" s="1026"/>
      <c r="C947" s="1026"/>
      <c r="D947" s="1304"/>
      <c r="E947" s="1304"/>
      <c r="F947" s="1304"/>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2756</v>
      </c>
      <c r="C950" s="175"/>
      <c r="D950" s="1267" t="s">
        <v>2239</v>
      </c>
      <c r="E950" s="1267"/>
      <c r="F950" s="1267"/>
      <c r="G950" s="1025"/>
      <c r="I950" s="436" t="s">
        <v>2238</v>
      </c>
    </row>
    <row r="951" spans="1:9" ht="12.75" customHeight="1">
      <c r="A951" s="176"/>
      <c r="B951" s="176"/>
      <c r="C951" s="175"/>
      <c r="D951" s="1267"/>
      <c r="E951" s="1267"/>
      <c r="F951" s="1267"/>
      <c r="G951" s="1025"/>
    </row>
    <row r="952" spans="1:9" ht="12.75" customHeight="1">
      <c r="A952" s="176"/>
      <c r="B952" s="176"/>
      <c r="C952" s="175"/>
      <c r="D952" s="1267"/>
      <c r="E952" s="1267"/>
      <c r="F952" s="1267"/>
      <c r="G952" s="1025"/>
    </row>
    <row r="953" spans="1:9" ht="12.75" customHeight="1">
      <c r="A953" s="176"/>
      <c r="B953" s="176"/>
      <c r="C953" s="175"/>
      <c r="D953" s="1267"/>
      <c r="E953" s="1267"/>
      <c r="F953" s="1267"/>
      <c r="G953" s="1025"/>
    </row>
    <row r="954" spans="1:9" ht="12.75" customHeight="1">
      <c r="A954" s="1026"/>
      <c r="B954" s="1026"/>
      <c r="C954" s="1026"/>
      <c r="D954" s="1017"/>
      <c r="E954" s="1017"/>
      <c r="F954" s="1017"/>
      <c r="G954" s="1017"/>
    </row>
    <row r="955" spans="1:9" ht="12.75" customHeight="1">
      <c r="A955" s="386"/>
      <c r="B955" s="386"/>
      <c r="C955" s="386"/>
      <c r="D955" s="1282" t="s">
        <v>2048</v>
      </c>
      <c r="E955" s="1282"/>
      <c r="F955" s="1282"/>
      <c r="G955" s="3"/>
    </row>
    <row r="956" spans="1:9" ht="12.75" customHeight="1">
      <c r="A956" s="176"/>
      <c r="B956" s="520" t="s">
        <v>2756</v>
      </c>
      <c r="C956" s="386"/>
      <c r="D956" s="1283" t="s">
        <v>2072</v>
      </c>
      <c r="E956" s="1283"/>
      <c r="F956" s="1283"/>
      <c r="G956" s="3"/>
      <c r="I956" s="436" t="s">
        <v>2238</v>
      </c>
    </row>
    <row r="957" spans="1:9" ht="12.75" customHeight="1">
      <c r="A957" s="386"/>
      <c r="B957" s="386"/>
      <c r="C957" s="386"/>
      <c r="D957" s="3"/>
      <c r="E957" s="3"/>
      <c r="F957" s="3"/>
      <c r="G957" s="3"/>
    </row>
    <row r="958" spans="1:9" ht="12.75" customHeight="1">
      <c r="A958" s="386"/>
      <c r="B958" s="386"/>
      <c r="C958" s="386"/>
      <c r="D958" s="1282" t="s">
        <v>2049</v>
      </c>
      <c r="E958" s="1282"/>
      <c r="F958" s="1282"/>
      <c r="G958"/>
    </row>
    <row r="959" spans="1:9" ht="12.75" customHeight="1">
      <c r="A959" s="176"/>
      <c r="B959" s="520" t="s">
        <v>2756</v>
      </c>
      <c r="C959" s="386"/>
      <c r="D959" s="1263" t="s">
        <v>2472</v>
      </c>
      <c r="E959" s="1263"/>
      <c r="F959" s="1263"/>
      <c r="G959"/>
      <c r="I959" s="436" t="s">
        <v>2238</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291" t="s">
        <v>2050</v>
      </c>
      <c r="B975" s="1291"/>
      <c r="C975" s="1291"/>
      <c r="D975" s="1291"/>
      <c r="E975" s="1291"/>
      <c r="F975" s="1291"/>
      <c r="G975" s="1291"/>
      <c r="H975" s="1071"/>
      <c r="I975" s="1072"/>
    </row>
    <row r="976" spans="1:9" ht="12.75" customHeight="1">
      <c r="A976" s="118"/>
      <c r="B976" s="118"/>
      <c r="C976" s="386"/>
      <c r="D976" s="3"/>
      <c r="E976" s="3"/>
      <c r="F976" s="3"/>
      <c r="G976" s="3"/>
    </row>
    <row r="977" spans="1:9" ht="12.75" customHeight="1">
      <c r="A977" s="386"/>
      <c r="B977" s="386"/>
      <c r="C977" s="1026"/>
      <c r="D977" s="1282" t="s">
        <v>2073</v>
      </c>
      <c r="E977" s="1282"/>
      <c r="F977" s="1282"/>
      <c r="G977" s="3"/>
    </row>
    <row r="978" spans="1:9" ht="12.75" customHeight="1">
      <c r="A978" s="172"/>
      <c r="B978" s="172"/>
      <c r="C978" s="172"/>
      <c r="D978" s="1283" t="s">
        <v>2051</v>
      </c>
      <c r="E978" s="1283"/>
      <c r="F978" s="1283"/>
      <c r="G978" s="3"/>
    </row>
    <row r="979" spans="1:9" ht="12.75" customHeight="1">
      <c r="A979" s="172"/>
      <c r="B979" s="172"/>
      <c r="C979" s="172"/>
      <c r="D979" s="3"/>
      <c r="E979" s="3"/>
      <c r="F979" s="1025"/>
      <c r="G979"/>
    </row>
    <row r="980" spans="1:9" ht="12.75" customHeight="1">
      <c r="A980" s="386"/>
      <c r="B980" s="520" t="s">
        <v>2755</v>
      </c>
      <c r="C980" s="386"/>
      <c r="D980" s="1346" t="s">
        <v>2300</v>
      </c>
      <c r="E980" s="1346"/>
      <c r="F980" s="1346"/>
      <c r="G980"/>
      <c r="I980" s="436" t="s">
        <v>2218</v>
      </c>
    </row>
    <row r="981" spans="1:9" ht="12.75" customHeight="1">
      <c r="A981" s="386"/>
      <c r="B981" s="386"/>
      <c r="C981" s="386"/>
      <c r="D981" s="1346"/>
      <c r="E981" s="1346"/>
      <c r="F981" s="1346"/>
      <c r="G981"/>
    </row>
    <row r="982" spans="1:9" ht="12.75" customHeight="1">
      <c r="A982" s="386"/>
      <c r="B982" s="386"/>
      <c r="C982" s="386"/>
      <c r="D982" s="1082"/>
      <c r="E982" s="1080" t="s">
        <v>2301</v>
      </c>
      <c r="F982" s="1082"/>
      <c r="G982"/>
    </row>
    <row r="983" spans="1:9" ht="12.75" customHeight="1">
      <c r="A983" s="386"/>
      <c r="B983" s="386"/>
      <c r="C983" s="386"/>
      <c r="D983" s="1269" t="s">
        <v>2299</v>
      </c>
      <c r="E983" s="1269"/>
      <c r="F983" s="1269"/>
      <c r="G983"/>
    </row>
    <row r="984" spans="1:9" ht="12.75" customHeight="1">
      <c r="A984" s="386"/>
      <c r="B984" s="386"/>
      <c r="C984" s="386"/>
      <c r="D984" s="1269"/>
      <c r="E984" s="1269"/>
      <c r="F984" s="1269"/>
      <c r="G984"/>
    </row>
    <row r="985" spans="1:9" ht="12.75" customHeight="1">
      <c r="A985" s="175"/>
      <c r="B985" s="175"/>
      <c r="C985" s="175"/>
      <c r="D985" s="1269"/>
      <c r="E985" s="1269"/>
      <c r="F985" s="1269"/>
      <c r="G985"/>
    </row>
    <row r="986" spans="1:9" ht="12.75" customHeight="1">
      <c r="A986" s="175"/>
      <c r="B986" s="175"/>
      <c r="C986" s="175"/>
      <c r="D986" s="1269"/>
      <c r="E986" s="1269"/>
      <c r="F986" s="1269"/>
      <c r="G986"/>
    </row>
    <row r="987" spans="1:9" ht="12.75" customHeight="1">
      <c r="A987" s="175"/>
      <c r="B987" s="175"/>
      <c r="C987" s="175"/>
      <c r="D987" s="364"/>
      <c r="E987" s="364"/>
      <c r="F987" s="364"/>
      <c r="G987"/>
    </row>
    <row r="988" spans="1:9" ht="12.75" customHeight="1">
      <c r="A988" s="175"/>
      <c r="B988" s="520" t="s">
        <v>2756</v>
      </c>
      <c r="C988" s="175"/>
      <c r="D988" s="1263" t="s">
        <v>2052</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2756</v>
      </c>
      <c r="C993" s="175"/>
      <c r="D993" s="1263" t="s">
        <v>2053</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2756</v>
      </c>
      <c r="C996" s="386"/>
      <c r="D996" s="1283" t="s">
        <v>2054</v>
      </c>
      <c r="E996" s="1283"/>
      <c r="F996" s="1283"/>
      <c r="G996"/>
    </row>
    <row r="997" spans="1:7" ht="12.75" customHeight="1">
      <c r="A997" s="386"/>
      <c r="B997" s="386"/>
      <c r="C997" s="386"/>
      <c r="D997" s="3"/>
      <c r="E997" s="3"/>
      <c r="F997" s="3"/>
      <c r="G997"/>
    </row>
    <row r="998" spans="1:7" ht="12.75" customHeight="1">
      <c r="A998" s="176"/>
      <c r="B998" s="520" t="s">
        <v>2756</v>
      </c>
      <c r="C998" s="386"/>
      <c r="D998" s="1283" t="s">
        <v>2055</v>
      </c>
      <c r="E998" s="1283"/>
      <c r="F998" s="1283"/>
      <c r="G998"/>
    </row>
    <row r="999" spans="1:7" ht="12.75" customHeight="1">
      <c r="A999" s="386"/>
      <c r="B999" s="386"/>
      <c r="C999" s="386"/>
      <c r="D999" s="118"/>
      <c r="E999" s="3"/>
      <c r="F999" s="3"/>
      <c r="G999"/>
    </row>
    <row r="1000" spans="1:7" ht="12.75" customHeight="1">
      <c r="A1000" s="176"/>
      <c r="B1000" s="520" t="s">
        <v>2755</v>
      </c>
      <c r="C1000" s="386"/>
      <c r="D1000" s="1283" t="s">
        <v>2056</v>
      </c>
      <c r="E1000" s="1283"/>
      <c r="F1000" s="1283"/>
      <c r="G1000"/>
    </row>
    <row r="1001" spans="1:7" ht="12.75" customHeight="1">
      <c r="A1001" s="386"/>
      <c r="B1001" s="386"/>
      <c r="C1001" s="386"/>
      <c r="D1001" s="118"/>
      <c r="E1001" s="3"/>
      <c r="F1001" s="3"/>
      <c r="G1001"/>
    </row>
    <row r="1002" spans="1:7" ht="12.75" customHeight="1">
      <c r="A1002" s="176"/>
      <c r="B1002" s="520" t="s">
        <v>2755</v>
      </c>
      <c r="C1002" s="386"/>
      <c r="D1002" s="1263" t="s">
        <v>2057</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2756</v>
      </c>
      <c r="C1005" s="1037"/>
      <c r="D1005" s="1296" t="s">
        <v>2058</v>
      </c>
      <c r="E1005" s="1296"/>
      <c r="F1005" s="1296"/>
      <c r="G1005" s="1038"/>
    </row>
    <row r="1006" spans="1:7" ht="12.75" customHeight="1">
      <c r="A1006" s="1037"/>
      <c r="B1006" s="1037"/>
      <c r="C1006" s="1037"/>
      <c r="D1006" s="1296"/>
      <c r="E1006" s="1296"/>
      <c r="F1006" s="1296"/>
      <c r="G1006" s="1038"/>
    </row>
    <row r="1007" spans="1:7" ht="12.75" customHeight="1">
      <c r="A1007" s="1037"/>
      <c r="B1007" s="1037"/>
      <c r="C1007" s="1037"/>
      <c r="D1007" s="1021"/>
      <c r="E1007" s="1038"/>
      <c r="F1007" s="1038"/>
      <c r="G1007" s="1038"/>
    </row>
    <row r="1008" spans="1:7" ht="12.75" customHeight="1">
      <c r="A1008" s="272"/>
      <c r="B1008" s="520" t="s">
        <v>2756</v>
      </c>
      <c r="C1008" s="1037"/>
      <c r="D1008" s="1345" t="s">
        <v>2059</v>
      </c>
      <c r="E1008" s="1345"/>
      <c r="F1008" s="1345"/>
      <c r="G1008" s="1038"/>
    </row>
    <row r="1009" spans="1:9" ht="12.75" customHeight="1">
      <c r="A1009" s="1037"/>
      <c r="B1009" s="1037"/>
      <c r="C1009" s="1037"/>
      <c r="D1009" s="1021"/>
      <c r="E1009" s="1038"/>
      <c r="F1009" s="1038"/>
      <c r="G1009" s="1038"/>
    </row>
    <row r="1010" spans="1:9" ht="12.75" customHeight="1">
      <c r="A1010" s="176"/>
      <c r="B1010" s="520" t="s">
        <v>2756</v>
      </c>
      <c r="C1010" s="386"/>
      <c r="D1010" s="1283" t="s">
        <v>2060</v>
      </c>
      <c r="E1010" s="1283"/>
      <c r="F1010" s="1283"/>
      <c r="G1010" s="3"/>
    </row>
    <row r="1011" spans="1:9" ht="12.75" customHeight="1">
      <c r="A1011" s="176"/>
      <c r="B1011" s="176"/>
      <c r="C1011" s="386"/>
      <c r="D1011" s="118"/>
      <c r="E1011" s="3"/>
      <c r="F1011" s="3"/>
      <c r="G1011" s="3"/>
    </row>
    <row r="1012" spans="1:9" ht="12.75" customHeight="1">
      <c r="A1012" s="176"/>
      <c r="B1012" s="520" t="s">
        <v>2756</v>
      </c>
      <c r="C1012" s="386"/>
      <c r="D1012" s="1263" t="s">
        <v>2061</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291" t="s">
        <v>2062</v>
      </c>
      <c r="B1015" s="1291"/>
      <c r="C1015" s="1291"/>
      <c r="D1015" s="1291"/>
      <c r="E1015" s="1291"/>
      <c r="F1015" s="1291"/>
      <c r="G1015" s="1291"/>
      <c r="H1015" s="1071"/>
      <c r="I1015" s="1072"/>
    </row>
    <row r="1016" spans="1:9" ht="12.75" customHeight="1">
      <c r="A1016" s="386"/>
      <c r="B1016" s="386"/>
      <c r="C1016" s="386"/>
      <c r="D1016" s="3"/>
      <c r="E1016" s="3"/>
      <c r="F1016" s="3"/>
      <c r="G1016" s="3"/>
    </row>
    <row r="1017" spans="1:9" ht="12.75" customHeight="1">
      <c r="A1017" s="386"/>
      <c r="B1017" s="386"/>
      <c r="C1017" s="386"/>
      <c r="D1017" s="1297" t="s">
        <v>2063</v>
      </c>
      <c r="E1017" s="1297"/>
      <c r="F1017" s="1297"/>
      <c r="G1017" s="3"/>
    </row>
    <row r="1018" spans="1:9" ht="12.75" customHeight="1">
      <c r="A1018" s="386"/>
      <c r="B1018" s="386"/>
      <c r="C1018" s="386"/>
      <c r="D1018" s="1345" t="s">
        <v>2064</v>
      </c>
      <c r="E1018" s="1345"/>
      <c r="F1018" s="1345"/>
      <c r="G1018" s="3"/>
    </row>
    <row r="1019" spans="1:9" ht="12.75" customHeight="1">
      <c r="A1019" s="172"/>
      <c r="B1019" s="172"/>
      <c r="C1019" s="172"/>
      <c r="D1019" s="3"/>
      <c r="E1019" s="3"/>
      <c r="F1019" s="3"/>
      <c r="G1019" s="3"/>
    </row>
    <row r="1020" spans="1:9" ht="12.75" customHeight="1">
      <c r="A1020" s="176"/>
      <c r="B1020" s="176"/>
      <c r="C1020" s="175"/>
      <c r="D1020" s="1297" t="s">
        <v>2078</v>
      </c>
      <c r="E1020" s="1297"/>
      <c r="F1020" s="1297"/>
      <c r="G1020" s="3"/>
      <c r="I1020" s="436" t="s">
        <v>2190</v>
      </c>
    </row>
    <row r="1021" spans="1:9" ht="12.75" customHeight="1">
      <c r="A1021" s="386"/>
      <c r="B1021" s="520" t="s">
        <v>2755</v>
      </c>
      <c r="C1021" s="386"/>
      <c r="D1021" s="1345" t="s">
        <v>1432</v>
      </c>
      <c r="E1021" s="1345"/>
      <c r="F1021" s="1345"/>
      <c r="G1021" s="3"/>
    </row>
    <row r="1022" spans="1:9" ht="12.75" customHeight="1">
      <c r="A1022" s="386"/>
      <c r="B1022" s="176"/>
      <c r="C1022" s="386"/>
      <c r="D1022" s="1345" t="s">
        <v>2065</v>
      </c>
      <c r="E1022" s="1345"/>
      <c r="F1022" s="1345"/>
      <c r="G1022" s="3"/>
    </row>
    <row r="1023" spans="1:9" ht="12.75" customHeight="1">
      <c r="A1023" s="386"/>
      <c r="B1023" s="386"/>
      <c r="C1023" s="386"/>
      <c r="D1023" s="1345"/>
      <c r="E1023" s="1345"/>
      <c r="F1023" s="1345"/>
      <c r="G1023" s="3"/>
    </row>
    <row r="1024" spans="1:9" ht="12.75" customHeight="1">
      <c r="A1024" s="1291" t="s">
        <v>2074</v>
      </c>
      <c r="B1024" s="1291"/>
      <c r="C1024" s="1291"/>
      <c r="D1024" s="1291"/>
      <c r="E1024" s="1291"/>
      <c r="F1024" s="1291"/>
      <c r="G1024" s="1291"/>
      <c r="H1024" s="1071"/>
      <c r="I1024" s="1072"/>
    </row>
    <row r="1025" spans="1:9" ht="12.75" customHeight="1">
      <c r="A1025" s="118"/>
      <c r="B1025" s="118"/>
      <c r="C1025" s="386"/>
      <c r="D1025" s="3"/>
      <c r="E1025" s="3"/>
      <c r="F1025" s="3"/>
      <c r="G1025" s="3"/>
    </row>
    <row r="1026" spans="1:9" ht="12.75" hidden="1" customHeight="1">
      <c r="A1026" s="118"/>
      <c r="B1026" s="434"/>
      <c r="D1026" s="1292" t="s">
        <v>1433</v>
      </c>
      <c r="E1026" s="1292"/>
      <c r="F1026" s="1292"/>
      <c r="G1026" s="3"/>
    </row>
    <row r="1027" spans="1:9" ht="12.75" hidden="1" customHeight="1">
      <c r="A1027" s="118"/>
      <c r="B1027" s="520" t="s">
        <v>309</v>
      </c>
      <c r="D1027" s="1277" t="s">
        <v>1432</v>
      </c>
      <c r="E1027" s="1277"/>
      <c r="F1027" s="1277"/>
      <c r="G1027" s="3"/>
    </row>
    <row r="1028" spans="1:9" ht="12.75" hidden="1" customHeight="1">
      <c r="A1028" s="118"/>
      <c r="B1028" s="434"/>
      <c r="D1028" s="1277" t="s">
        <v>2075</v>
      </c>
      <c r="E1028" s="1277"/>
      <c r="F1028" s="1277"/>
      <c r="G1028" s="3"/>
    </row>
    <row r="1029" spans="1:9" ht="12.75" hidden="1" customHeight="1">
      <c r="A1029" s="118"/>
      <c r="B1029" s="434"/>
      <c r="D1029" s="479"/>
      <c r="E1029" s="479"/>
      <c r="F1029" s="479"/>
      <c r="G1029" s="3"/>
    </row>
    <row r="1030" spans="1:9" ht="12.75" customHeight="1">
      <c r="A1030" s="118"/>
      <c r="B1030" s="118"/>
      <c r="C1030" s="386"/>
      <c r="D1030" s="1351" t="s">
        <v>1133</v>
      </c>
      <c r="E1030" s="1351"/>
      <c r="F1030" s="1351"/>
      <c r="G1030" s="3"/>
      <c r="I1030" s="436" t="s">
        <v>2219</v>
      </c>
    </row>
    <row r="1031" spans="1:9" ht="12.75" customHeight="1">
      <c r="A1031" s="346"/>
      <c r="B1031" s="346"/>
      <c r="C1031" s="346"/>
      <c r="D1031" s="1287" t="s">
        <v>1150</v>
      </c>
      <c r="E1031" s="1287"/>
      <c r="F1031" s="1287"/>
      <c r="G1031" s="98"/>
    </row>
    <row r="1032" spans="1:9" ht="12.75" customHeight="1">
      <c r="A1032" s="176"/>
      <c r="B1032" s="520" t="s">
        <v>2756</v>
      </c>
      <c r="C1032" s="386"/>
      <c r="D1032" s="1287" t="s">
        <v>1027</v>
      </c>
      <c r="E1032" s="1287"/>
      <c r="F1032" s="1287"/>
      <c r="G1032" s="3"/>
    </row>
    <row r="1033" spans="1:9" ht="12.75" customHeight="1">
      <c r="A1033" s="386"/>
      <c r="B1033" s="386"/>
      <c r="C1033" s="386"/>
      <c r="D1033" s="1080" t="s">
        <v>2302</v>
      </c>
      <c r="E1033" s="96"/>
      <c r="F1033" s="96"/>
      <c r="G1033" s="3"/>
    </row>
    <row r="1034" spans="1:9">
      <c r="A1034" s="434"/>
      <c r="B1034" s="434"/>
      <c r="C1034" s="434"/>
    </row>
    <row r="1035" spans="1:9">
      <c r="A1035" s="1291" t="s">
        <v>2095</v>
      </c>
      <c r="B1035" s="1291"/>
      <c r="C1035" s="1291"/>
      <c r="D1035" s="1291"/>
      <c r="E1035" s="1291"/>
      <c r="F1035" s="1291"/>
      <c r="G1035" s="1291"/>
      <c r="H1035" s="1071"/>
      <c r="I1035" s="1072"/>
    </row>
    <row r="1036" spans="1:9">
      <c r="A1036" s="434"/>
      <c r="B1036" s="434"/>
      <c r="C1036" s="434"/>
    </row>
    <row r="1037" spans="1:9">
      <c r="A1037" s="434"/>
      <c r="B1037" s="434"/>
      <c r="C1037" s="434"/>
      <c r="D1037" s="436" t="s">
        <v>2081</v>
      </c>
    </row>
    <row r="1038" spans="1:9">
      <c r="A1038" s="434"/>
      <c r="B1038" s="434"/>
      <c r="C1038" s="434"/>
      <c r="D1038" s="434" t="s">
        <v>2080</v>
      </c>
    </row>
    <row r="1039" spans="1:9">
      <c r="A1039" s="434"/>
      <c r="B1039" s="434"/>
      <c r="C1039" s="434"/>
      <c r="D1039" s="436"/>
    </row>
    <row r="1040" spans="1:9">
      <c r="A1040" s="434"/>
      <c r="B1040" s="520" t="s">
        <v>2756</v>
      </c>
      <c r="C1040" s="434"/>
      <c r="D1040" s="1348" t="s">
        <v>2079</v>
      </c>
      <c r="E1040" s="1348"/>
      <c r="F1040" s="1348"/>
      <c r="I1040" s="436" t="s">
        <v>2191</v>
      </c>
    </row>
    <row r="1041" spans="1:9">
      <c r="A1041" s="434"/>
      <c r="B1041" s="434"/>
      <c r="C1041" s="434"/>
      <c r="D1041" s="1348"/>
      <c r="E1041" s="1348"/>
      <c r="F1041" s="1348"/>
    </row>
    <row r="1042" spans="1:9">
      <c r="A1042" s="434"/>
      <c r="B1042" s="434"/>
      <c r="C1042" s="434"/>
      <c r="D1042" s="1348"/>
      <c r="E1042" s="1348"/>
      <c r="F1042" s="1348"/>
    </row>
    <row r="1043" spans="1:9">
      <c r="A1043" s="434"/>
      <c r="B1043" s="434"/>
      <c r="C1043" s="434"/>
      <c r="D1043" s="1348"/>
      <c r="E1043" s="1348"/>
      <c r="F1043" s="1348"/>
    </row>
    <row r="1044" spans="1:9">
      <c r="A1044" s="434"/>
      <c r="B1044" s="434"/>
      <c r="C1044" s="434"/>
    </row>
    <row r="1045" spans="1:9">
      <c r="A1045" s="434"/>
      <c r="B1045" s="434"/>
      <c r="C1045" s="434"/>
      <c r="D1045" s="436" t="s">
        <v>1488</v>
      </c>
    </row>
    <row r="1046" spans="1:9">
      <c r="A1046" s="434"/>
      <c r="B1046" s="434"/>
      <c r="C1046" s="434"/>
      <c r="D1046" s="434" t="s">
        <v>2082</v>
      </c>
    </row>
    <row r="1047" spans="1:9">
      <c r="A1047" s="434"/>
      <c r="B1047" s="434"/>
      <c r="C1047" s="434"/>
    </row>
    <row r="1048" spans="1:9">
      <c r="A1048" s="434"/>
      <c r="B1048" s="520" t="s">
        <v>2756</v>
      </c>
      <c r="C1048" s="434"/>
      <c r="D1048" s="434" t="s">
        <v>2077</v>
      </c>
      <c r="I1048" s="436" t="s">
        <v>2192</v>
      </c>
    </row>
    <row r="1049" spans="1:9">
      <c r="A1049" s="434"/>
      <c r="B1049" s="434"/>
      <c r="C1049" s="434"/>
    </row>
    <row r="1050" spans="1:9">
      <c r="A1050" s="434"/>
      <c r="B1050" s="520" t="s">
        <v>2756</v>
      </c>
      <c r="C1050" s="434"/>
      <c r="D1050" s="1348" t="s">
        <v>2083</v>
      </c>
      <c r="E1050" s="1348"/>
      <c r="F1050" s="1348"/>
      <c r="I1050" s="436" t="s">
        <v>2193</v>
      </c>
    </row>
    <row r="1051" spans="1:9">
      <c r="A1051" s="434"/>
      <c r="B1051" s="434"/>
      <c r="C1051" s="434"/>
      <c r="D1051" s="1348"/>
      <c r="E1051" s="1348"/>
      <c r="F1051" s="1348"/>
    </row>
    <row r="1052" spans="1:9">
      <c r="A1052" s="434"/>
      <c r="B1052" s="434"/>
      <c r="C1052" s="434"/>
      <c r="D1052" s="1348"/>
      <c r="E1052" s="1348"/>
      <c r="F1052" s="1348"/>
    </row>
    <row r="1053" spans="1:9">
      <c r="A1053" s="434"/>
      <c r="B1053" s="434"/>
      <c r="C1053" s="434"/>
      <c r="D1053" s="1348"/>
      <c r="E1053" s="1348"/>
      <c r="F1053" s="1348"/>
    </row>
    <row r="1054" spans="1:9">
      <c r="A1054" s="434"/>
      <c r="B1054" s="434"/>
      <c r="C1054" s="434"/>
      <c r="D1054" s="1348"/>
      <c r="E1054" s="1348"/>
      <c r="F1054" s="1348"/>
    </row>
    <row r="1055" spans="1:9">
      <c r="A1055" s="434"/>
      <c r="B1055" s="434"/>
      <c r="C1055" s="434"/>
    </row>
    <row r="1056" spans="1:9">
      <c r="A1056" s="1291" t="s">
        <v>2084</v>
      </c>
      <c r="B1056" s="1291"/>
      <c r="C1056" s="1291"/>
      <c r="D1056" s="1291"/>
      <c r="E1056" s="1291"/>
      <c r="F1056" s="1291"/>
      <c r="G1056" s="1291"/>
      <c r="H1056" s="1071"/>
      <c r="I1056" s="1072"/>
    </row>
    <row r="1057" spans="1:9">
      <c r="A1057" s="434"/>
      <c r="B1057" s="434"/>
      <c r="C1057" s="434"/>
    </row>
    <row r="1058" spans="1:9">
      <c r="A1058" s="434"/>
      <c r="B1058" s="434"/>
      <c r="C1058" s="434"/>
    </row>
    <row r="1059" spans="1:9">
      <c r="A1059" s="434"/>
      <c r="B1059" s="520" t="s">
        <v>2755</v>
      </c>
      <c r="C1059" s="434"/>
      <c r="D1059" s="562" t="s">
        <v>2087</v>
      </c>
      <c r="I1059" s="436" t="s">
        <v>2194</v>
      </c>
    </row>
    <row r="1060" spans="1:9">
      <c r="A1060" s="434"/>
      <c r="B1060" s="434"/>
      <c r="C1060" s="434"/>
      <c r="D1060" s="562" t="s">
        <v>2089</v>
      </c>
    </row>
    <row r="1061" spans="1:9">
      <c r="A1061" s="434"/>
      <c r="B1061" s="434"/>
      <c r="C1061" s="434"/>
      <c r="D1061" s="562"/>
    </row>
    <row r="1062" spans="1:9">
      <c r="A1062" s="434"/>
      <c r="B1062" s="520" t="s">
        <v>2756</v>
      </c>
      <c r="C1062" s="434"/>
      <c r="D1062" s="562" t="s">
        <v>2090</v>
      </c>
      <c r="I1062" s="436" t="s">
        <v>2195</v>
      </c>
    </row>
    <row r="1063" spans="1:9">
      <c r="A1063" s="434"/>
      <c r="B1063" s="434"/>
      <c r="C1063" s="434"/>
      <c r="D1063" s="562" t="s">
        <v>2088</v>
      </c>
    </row>
    <row r="1064" spans="1:9">
      <c r="A1064" s="434"/>
      <c r="B1064" s="434"/>
      <c r="C1064" s="434"/>
      <c r="D1064" s="562"/>
    </row>
    <row r="1065" spans="1:9">
      <c r="A1065" s="434"/>
      <c r="B1065" s="520" t="s">
        <v>2756</v>
      </c>
      <c r="C1065" s="434"/>
      <c r="D1065" s="119" t="s">
        <v>2093</v>
      </c>
      <c r="I1065" s="436" t="s">
        <v>2196</v>
      </c>
    </row>
    <row r="1066" spans="1:9">
      <c r="A1066" s="434"/>
      <c r="B1066" s="434"/>
      <c r="C1066" s="434"/>
      <c r="D1066" s="1263" t="s">
        <v>2094</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2092</v>
      </c>
    </row>
    <row r="1071" spans="1:9">
      <c r="A1071" s="434"/>
      <c r="B1071" s="434"/>
      <c r="C1071" s="434"/>
      <c r="D1071" s="119"/>
    </row>
    <row r="1072" spans="1:9">
      <c r="A1072" s="434"/>
      <c r="B1072" s="434"/>
      <c r="C1072" s="434"/>
      <c r="D1072" s="562" t="s">
        <v>2085</v>
      </c>
      <c r="I1072" s="436" t="s">
        <v>2197</v>
      </c>
    </row>
    <row r="1073" spans="1:9">
      <c r="A1073" s="434"/>
      <c r="B1073" s="520" t="s">
        <v>2756</v>
      </c>
      <c r="C1073" s="434"/>
      <c r="D1073" s="1347" t="s">
        <v>2086</v>
      </c>
      <c r="E1073" s="1347"/>
      <c r="F1073" s="1347"/>
    </row>
    <row r="1074" spans="1:9">
      <c r="A1074" s="434"/>
      <c r="B1074" s="434"/>
      <c r="C1074" s="434"/>
      <c r="D1074" s="1347"/>
      <c r="E1074" s="1347"/>
      <c r="F1074" s="1347"/>
    </row>
    <row r="1075" spans="1:9">
      <c r="A1075" s="434"/>
      <c r="B1075" s="434"/>
      <c r="C1075" s="434"/>
      <c r="D1075" s="1347"/>
      <c r="E1075" s="1347"/>
      <c r="F1075" s="1347"/>
    </row>
    <row r="1076" spans="1:9">
      <c r="A1076" s="434"/>
      <c r="B1076" s="434"/>
      <c r="C1076" s="434"/>
      <c r="D1076" s="1347"/>
      <c r="E1076" s="1347"/>
      <c r="F1076" s="1347"/>
    </row>
    <row r="1077" spans="1:9">
      <c r="A1077" s="434"/>
      <c r="B1077" s="434"/>
      <c r="C1077" s="434"/>
      <c r="D1077" s="1347"/>
      <c r="E1077" s="1347"/>
      <c r="F1077" s="1347"/>
    </row>
    <row r="1078" spans="1:9">
      <c r="A1078" s="434"/>
      <c r="B1078" s="434"/>
      <c r="C1078" s="434"/>
      <c r="D1078" s="562" t="s">
        <v>2091</v>
      </c>
    </row>
    <row r="1079" spans="1:9">
      <c r="A1079" s="434"/>
      <c r="B1079" s="434"/>
      <c r="C1079" s="434"/>
    </row>
    <row r="1080" spans="1:9">
      <c r="A1080" s="1291" t="s">
        <v>2096</v>
      </c>
      <c r="B1080" s="1291"/>
      <c r="C1080" s="1291"/>
      <c r="D1080" s="1291"/>
      <c r="E1080" s="1291"/>
      <c r="F1080" s="1291"/>
      <c r="G1080" s="1291"/>
      <c r="H1080" s="1071"/>
      <c r="I1080" s="1072"/>
    </row>
    <row r="1081" spans="1:9">
      <c r="A1081" s="434"/>
      <c r="B1081" s="434"/>
      <c r="C1081" s="434"/>
    </row>
    <row r="1082" spans="1:9">
      <c r="A1082" s="434"/>
      <c r="B1082" s="434"/>
      <c r="C1082" s="434"/>
    </row>
    <row r="1083" spans="1:9" ht="12.75" customHeight="1">
      <c r="A1083" s="434"/>
      <c r="B1083" s="520" t="s">
        <v>2756</v>
      </c>
      <c r="C1083" s="434"/>
      <c r="D1083" s="1349" t="s">
        <v>2314</v>
      </c>
      <c r="E1083" s="1349"/>
      <c r="F1083" s="1349"/>
      <c r="I1083" s="436" t="s">
        <v>2198</v>
      </c>
    </row>
    <row r="1084" spans="1:9">
      <c r="A1084" s="434"/>
      <c r="B1084" s="434"/>
      <c r="C1084" s="434"/>
      <c r="D1084" s="1349"/>
      <c r="E1084" s="1349"/>
      <c r="F1084" s="1349"/>
    </row>
    <row r="1085" spans="1:9">
      <c r="A1085" s="434"/>
      <c r="B1085" s="434"/>
      <c r="C1085" s="434"/>
      <c r="D1085" s="1350" t="s">
        <v>2621</v>
      </c>
      <c r="E1085" s="1263"/>
      <c r="F1085" s="1263"/>
    </row>
    <row r="1086" spans="1:9">
      <c r="A1086" s="434"/>
      <c r="B1086" s="434"/>
      <c r="C1086" s="434"/>
      <c r="D1086" s="562"/>
    </row>
    <row r="1087" spans="1:9">
      <c r="A1087" s="434"/>
      <c r="B1087" s="520" t="s">
        <v>2756</v>
      </c>
      <c r="C1087" s="434"/>
      <c r="D1087" s="1347" t="s">
        <v>2097</v>
      </c>
      <c r="E1087" s="1347"/>
      <c r="F1087" s="1347"/>
      <c r="I1087" s="436" t="s">
        <v>2199</v>
      </c>
    </row>
    <row r="1088" spans="1:9">
      <c r="A1088" s="434"/>
      <c r="B1088" s="434"/>
      <c r="C1088" s="434"/>
      <c r="D1088" s="1347"/>
      <c r="E1088" s="1347"/>
      <c r="F1088" s="1347"/>
    </row>
    <row r="1089" spans="1:9">
      <c r="A1089" s="434"/>
      <c r="B1089" s="434"/>
      <c r="C1089" s="434"/>
      <c r="D1089" s="562"/>
    </row>
    <row r="1090" spans="1:9">
      <c r="A1090" s="434"/>
      <c r="B1090" s="520" t="s">
        <v>2756</v>
      </c>
      <c r="C1090" s="434"/>
      <c r="D1090" s="1347" t="s">
        <v>2243</v>
      </c>
      <c r="E1090" s="1347"/>
      <c r="F1090" s="1347"/>
      <c r="I1090" s="436" t="s">
        <v>2241</v>
      </c>
    </row>
    <row r="1091" spans="1:9">
      <c r="A1091" s="434"/>
      <c r="B1091" s="434"/>
      <c r="C1091" s="434"/>
      <c r="D1091" s="1347"/>
      <c r="E1091" s="1347"/>
      <c r="F1091" s="1347"/>
    </row>
    <row r="1092" spans="1:9">
      <c r="A1092" s="434"/>
      <c r="B1092" s="434"/>
      <c r="C1092" s="434"/>
      <c r="D1092" s="1347"/>
      <c r="E1092" s="1347"/>
      <c r="F1092" s="1347"/>
    </row>
    <row r="1093" spans="1:9">
      <c r="A1093" s="434"/>
      <c r="B1093" s="434"/>
      <c r="C1093" s="434"/>
      <c r="D1093" s="1347"/>
      <c r="E1093" s="1347"/>
      <c r="F1093" s="1347"/>
    </row>
    <row r="1094" spans="1:9">
      <c r="A1094" s="434"/>
      <c r="B1094" s="434"/>
      <c r="C1094" s="434"/>
      <c r="D1094" s="1347"/>
      <c r="E1094" s="1347"/>
      <c r="F1094" s="1347"/>
    </row>
    <row r="1095" spans="1:9">
      <c r="A1095" s="434"/>
      <c r="B1095" s="434"/>
      <c r="C1095" s="434"/>
      <c r="D1095" s="1347"/>
      <c r="E1095" s="1347"/>
      <c r="F1095" s="1347"/>
    </row>
    <row r="1096" spans="1:9">
      <c r="A1096" s="434"/>
      <c r="B1096" s="434"/>
      <c r="C1096" s="434"/>
      <c r="D1096" s="562" t="s">
        <v>2242</v>
      </c>
      <c r="I1096" s="434"/>
    </row>
    <row r="1097" spans="1:9">
      <c r="A1097" s="434"/>
      <c r="B1097" s="520" t="s">
        <v>2756</v>
      </c>
      <c r="C1097" s="434"/>
      <c r="D1097" s="1347" t="s">
        <v>2098</v>
      </c>
      <c r="E1097" s="1347"/>
      <c r="F1097" s="1347"/>
      <c r="I1097" s="436" t="s">
        <v>2200</v>
      </c>
    </row>
    <row r="1098" spans="1:9">
      <c r="A1098" s="434"/>
      <c r="B1098" s="434"/>
      <c r="C1098" s="434"/>
      <c r="D1098" s="1347"/>
      <c r="E1098" s="1347"/>
      <c r="F1098" s="1347"/>
    </row>
    <row r="1099" spans="1:9">
      <c r="A1099" s="434"/>
      <c r="B1099" s="434"/>
      <c r="C1099" s="434"/>
      <c r="D1099" s="1347"/>
      <c r="E1099" s="1347"/>
      <c r="F1099" s="1347"/>
    </row>
    <row r="1100" spans="1:9">
      <c r="A1100" s="434"/>
      <c r="B1100" s="434"/>
      <c r="C1100" s="434"/>
      <c r="D1100" s="562"/>
    </row>
    <row r="1101" spans="1:9">
      <c r="A1101" s="434"/>
      <c r="B1101" s="520" t="s">
        <v>2756</v>
      </c>
      <c r="C1101" s="434"/>
      <c r="D1101" s="1269" t="s">
        <v>2244</v>
      </c>
      <c r="E1101" s="1269"/>
      <c r="F1101" s="1269"/>
      <c r="I1101" s="436" t="s">
        <v>2201</v>
      </c>
    </row>
    <row r="1102" spans="1:9">
      <c r="A1102" s="434"/>
      <c r="B1102" s="434"/>
      <c r="C1102" s="434"/>
      <c r="D1102" s="1269"/>
      <c r="E1102" s="1269"/>
      <c r="F1102" s="1269"/>
    </row>
    <row r="1103" spans="1:9">
      <c r="A1103" s="434"/>
      <c r="B1103" s="434"/>
      <c r="C1103" s="434"/>
      <c r="D1103" s="1269"/>
      <c r="E1103" s="1269"/>
      <c r="F1103" s="1269"/>
    </row>
    <row r="1104" spans="1:9">
      <c r="A1104" s="434"/>
      <c r="B1104" s="434"/>
      <c r="C1104" s="434"/>
      <c r="D1104" s="1017"/>
      <c r="E1104" s="1017"/>
      <c r="F1104" s="1017"/>
    </row>
    <row r="1105" spans="1:9" ht="15.75" customHeight="1">
      <c r="A1105" s="434"/>
      <c r="B1105" s="520" t="s">
        <v>2756</v>
      </c>
      <c r="C1105" s="434"/>
      <c r="D1105" s="1263" t="s">
        <v>2246</v>
      </c>
      <c r="E1105" s="1263"/>
      <c r="F1105" s="1263"/>
      <c r="I1105" s="436" t="s">
        <v>2245</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6"/>
      <c r="H1523" s="1276"/>
      <c r="I1523" s="127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773" zoomScaleNormal="100" zoomScaleSheetLayoutView="80" workbookViewId="0">
      <selection activeCell="AH189" sqref="AH189"/>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6" t="s">
        <v>101</v>
      </c>
      <c r="B8" s="1736"/>
      <c r="C8" s="1736"/>
      <c r="D8" s="1736"/>
      <c r="E8" s="1736"/>
      <c r="F8" s="1736"/>
      <c r="G8" s="1736"/>
      <c r="H8" s="1736"/>
      <c r="I8" s="1736"/>
      <c r="J8" s="1736"/>
      <c r="K8" s="1736"/>
      <c r="L8" s="1736"/>
      <c r="M8" s="1736"/>
      <c r="N8" s="1736"/>
      <c r="O8" s="1736"/>
      <c r="P8" s="1736"/>
      <c r="Q8" s="1736"/>
      <c r="R8" s="1736"/>
      <c r="S8" s="1736"/>
      <c r="T8" s="1736"/>
      <c r="U8" s="1736"/>
      <c r="V8" s="1736"/>
      <c r="W8" s="1736"/>
      <c r="X8" s="1736"/>
      <c r="Y8" s="1736"/>
      <c r="Z8" s="1736"/>
      <c r="AA8" s="1736"/>
      <c r="AB8" s="1736"/>
      <c r="AC8" s="1736"/>
      <c r="AD8" s="1736"/>
      <c r="AE8" s="1736"/>
      <c r="AF8" s="1736"/>
      <c r="AG8" s="1736"/>
      <c r="AH8" s="1736"/>
      <c r="AI8" s="1736"/>
      <c r="AJ8" s="1736"/>
      <c r="AK8" s="1736"/>
      <c r="AL8" s="1736"/>
      <c r="AM8" s="935"/>
      <c r="AN8" s="935"/>
      <c r="AO8" s="935"/>
      <c r="AP8" s="935"/>
      <c r="AQ8" s="935"/>
      <c r="AR8" s="935"/>
      <c r="AS8" s="935"/>
      <c r="AT8" s="935"/>
      <c r="AU8" s="935"/>
      <c r="AV8" s="935"/>
      <c r="AW8" s="935"/>
      <c r="AX8" s="935"/>
      <c r="AY8" s="935"/>
    </row>
    <row r="9" spans="1:51" ht="12.95" customHeight="1">
      <c r="A9" s="1303" t="s">
        <v>2479</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
      <c r="AN9" s="13"/>
      <c r="AO9" s="13"/>
      <c r="AP9" s="13"/>
      <c r="AQ9" s="13"/>
      <c r="AR9" s="13"/>
      <c r="AS9" s="13"/>
      <c r="AT9" s="13"/>
      <c r="AU9" s="13"/>
      <c r="AV9" s="13"/>
      <c r="AW9" s="13"/>
      <c r="AX9" s="13"/>
      <c r="AY9" s="13"/>
    </row>
    <row r="10" spans="1:51" ht="12.95" customHeight="1">
      <c r="A10" s="1303" t="s">
        <v>2612</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
      <c r="AN10" s="13"/>
      <c r="AO10" s="13"/>
      <c r="AP10" s="13"/>
      <c r="AQ10" s="13"/>
      <c r="AR10" s="13"/>
      <c r="AS10" s="13"/>
      <c r="AT10" s="13"/>
      <c r="AU10" s="13"/>
      <c r="AV10" s="13"/>
      <c r="AW10" s="13"/>
      <c r="AX10" s="13"/>
      <c r="AY10" s="13"/>
    </row>
    <row r="11" spans="1:51" ht="12.95" customHeight="1">
      <c r="A11" s="1303" t="s">
        <v>1841</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
      <c r="AN11" s="13"/>
      <c r="AO11" s="13"/>
      <c r="AP11" s="13"/>
      <c r="AQ11" s="13"/>
      <c r="AR11" s="13"/>
      <c r="AS11" s="13"/>
      <c r="AT11" s="13"/>
      <c r="AU11" s="13"/>
      <c r="AV11" s="13"/>
      <c r="AW11" s="13"/>
      <c r="AX11" s="13"/>
      <c r="AY11" s="13"/>
    </row>
    <row r="12" spans="1:51" ht="12.95" customHeight="1">
      <c r="A12" s="1559" t="s">
        <v>2626</v>
      </c>
      <c r="B12" s="1560"/>
      <c r="C12" s="1560"/>
      <c r="D12" s="1560"/>
      <c r="E12" s="1560"/>
      <c r="F12" s="1560"/>
      <c r="G12" s="1560"/>
      <c r="H12" s="1560"/>
      <c r="I12" s="1560"/>
      <c r="J12" s="1560"/>
      <c r="K12" s="1560"/>
      <c r="L12" s="1560"/>
      <c r="M12" s="1560"/>
      <c r="N12" s="1560"/>
      <c r="O12" s="1560"/>
      <c r="P12" s="1560"/>
      <c r="Q12" s="1560"/>
      <c r="R12" s="1560"/>
      <c r="S12" s="1560"/>
      <c r="T12" s="1560"/>
      <c r="U12" s="1560"/>
      <c r="V12" s="1560"/>
      <c r="W12" s="1560"/>
      <c r="X12" s="1560"/>
      <c r="Y12" s="1560"/>
      <c r="Z12" s="1560"/>
      <c r="AA12" s="1560"/>
      <c r="AB12" s="1560"/>
      <c r="AC12" s="1560"/>
      <c r="AD12" s="1560"/>
      <c r="AE12" s="1560"/>
      <c r="AF12" s="1560"/>
      <c r="AG12" s="1560"/>
      <c r="AH12" s="1560"/>
      <c r="AI12" s="1560"/>
      <c r="AJ12" s="1560"/>
      <c r="AK12" s="1560"/>
      <c r="AL12" s="1560"/>
      <c r="AM12" s="6"/>
      <c r="AN12" s="6"/>
      <c r="AO12" s="6"/>
      <c r="AP12" s="6"/>
      <c r="AQ12" s="6"/>
      <c r="AR12" s="6"/>
      <c r="AS12" s="6"/>
      <c r="AT12" s="6"/>
      <c r="AU12" s="6"/>
      <c r="AV12" s="6"/>
      <c r="AW12" s="6"/>
      <c r="AX12" s="6"/>
      <c r="AY12" s="6"/>
    </row>
    <row r="13" spans="1:51" ht="12.95" customHeight="1">
      <c r="A13" s="1273" t="s">
        <v>2480</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936"/>
      <c r="AN13" s="936"/>
      <c r="AO13" s="936"/>
      <c r="AP13" s="936"/>
      <c r="AQ13" s="936"/>
      <c r="AR13" s="936"/>
      <c r="AS13" s="936"/>
      <c r="AT13" s="936"/>
      <c r="AU13" s="936"/>
      <c r="AV13" s="936"/>
      <c r="AW13" s="936"/>
      <c r="AX13" s="936"/>
      <c r="AY13" s="936"/>
    </row>
    <row r="14" spans="1:51" ht="12.95" customHeight="1" thickBo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543" t="s">
        <v>2652</v>
      </c>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row>
    <row r="17" spans="1:52" ht="12.95" customHeight="1"/>
    <row r="18" spans="1:52" ht="12.95" customHeight="1">
      <c r="A18" s="57" t="s">
        <v>102</v>
      </c>
      <c r="C18" s="4"/>
      <c r="D18" s="4"/>
      <c r="E18" s="4"/>
      <c r="F18" s="4"/>
      <c r="G18" s="4"/>
      <c r="H18" s="1475" t="s">
        <v>2653</v>
      </c>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row>
    <row r="19" spans="1:52" ht="12.95" customHeight="1"/>
    <row r="20" spans="1:52" ht="12.95" customHeight="1">
      <c r="A20" s="1554" t="s">
        <v>902</v>
      </c>
      <c r="B20" s="1554"/>
      <c r="C20" s="1554"/>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554"/>
      <c r="AM20" s="937"/>
      <c r="AN20" s="937"/>
      <c r="AO20" s="937"/>
      <c r="AP20" s="937"/>
      <c r="AQ20" s="937"/>
      <c r="AR20" s="937"/>
      <c r="AS20" s="937"/>
      <c r="AT20" s="937"/>
      <c r="AU20" s="937"/>
      <c r="AV20" s="937"/>
      <c r="AW20" s="937"/>
      <c r="AX20" s="937"/>
      <c r="AY20" s="937"/>
    </row>
    <row r="21" spans="1:52" ht="12.95" customHeight="1">
      <c r="A21" s="1562" t="s">
        <v>1067</v>
      </c>
      <c r="B21" s="1562"/>
      <c r="C21" s="1562"/>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c r="AL21" s="1562"/>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1">
        <f>'Basis &amp; Credits'!AB56</f>
        <v>3300366</v>
      </c>
      <c r="N26" s="1561"/>
      <c r="O26" s="1561"/>
      <c r="P26" s="1561"/>
      <c r="Q26" s="1561"/>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3">
        <f>'Basis &amp; Credits'!AB77</f>
        <v>19040573</v>
      </c>
      <c r="N27" s="1503"/>
      <c r="O27" s="1503"/>
      <c r="P27" s="1503"/>
      <c r="Q27" s="1503"/>
      <c r="R27" s="3" t="s">
        <v>1427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1439</v>
      </c>
      <c r="C33" s="554"/>
      <c r="D33" s="554"/>
      <c r="E33" s="554"/>
      <c r="F33" s="554"/>
      <c r="G33" s="554"/>
      <c r="H33" s="554"/>
      <c r="I33" s="554"/>
      <c r="J33" s="554"/>
      <c r="K33" s="554"/>
      <c r="L33" s="554"/>
      <c r="M33" s="554"/>
      <c r="N33" s="554"/>
      <c r="O33" s="1376" t="s">
        <v>679</v>
      </c>
      <c r="P33" s="1376"/>
      <c r="Q33" s="554" t="s">
        <v>1440</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1442</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1441</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1443</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1444</v>
      </c>
      <c r="AZ37" s="20"/>
    </row>
    <row r="38" spans="1:52" ht="12.95" customHeight="1">
      <c r="A38" s="3" t="s">
        <v>1445</v>
      </c>
      <c r="AZ38" s="20"/>
    </row>
    <row r="39" spans="1:52" ht="12.95" customHeight="1">
      <c r="AZ39" s="20"/>
    </row>
    <row r="40" spans="1:52" ht="12.95"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1468</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1469</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1470</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1471</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1472</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1473</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1474</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1396</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1397</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1398</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1399</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1400</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1401</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1"/>
      <c r="H122" s="1551"/>
      <c r="I122" s="3" t="s">
        <v>183</v>
      </c>
      <c r="L122" s="1551"/>
      <c r="M122" s="1551"/>
      <c r="N122" s="1551"/>
      <c r="O122" s="1567" t="s">
        <v>1428</v>
      </c>
      <c r="P122" s="1567"/>
      <c r="Q122" s="1567"/>
      <c r="R122" s="156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528"/>
      <c r="D124" s="1528"/>
      <c r="E124" s="1528"/>
      <c r="F124" s="1528"/>
      <c r="G124" s="1528"/>
      <c r="H124" s="1528"/>
      <c r="I124" s="1528"/>
      <c r="J124" s="1528"/>
      <c r="K124" s="152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51"/>
      <c r="Z126" s="1551"/>
      <c r="AA126" s="1551"/>
      <c r="AB126" s="1551"/>
      <c r="AC126" s="1551"/>
      <c r="AD126" s="1551"/>
      <c r="AE126" s="1551"/>
      <c r="AF126" s="1551"/>
      <c r="AG126" s="1551"/>
      <c r="AH126" s="1551"/>
      <c r="AI126" s="1551"/>
      <c r="AJ126" s="1551"/>
      <c r="AK126" s="1551"/>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51"/>
      <c r="Z129" s="1551"/>
      <c r="AA129" s="1551"/>
      <c r="AB129" s="1551"/>
      <c r="AC129" s="1551"/>
      <c r="AD129" s="1551"/>
      <c r="AE129" s="1551"/>
      <c r="AF129" s="1551"/>
      <c r="AG129" s="1551"/>
      <c r="AH129" s="1551"/>
      <c r="AI129" s="1551"/>
      <c r="AJ129" s="1551"/>
      <c r="AK129" s="1551"/>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1"/>
      <c r="Z132" s="1551"/>
      <c r="AA132" s="1551"/>
      <c r="AB132" s="1551"/>
      <c r="AC132" s="1551"/>
      <c r="AD132" s="1551"/>
      <c r="AE132" s="1551"/>
      <c r="AF132" s="1551"/>
      <c r="AG132" s="1551"/>
      <c r="AH132" s="1551"/>
      <c r="AI132" s="1551"/>
      <c r="AJ132" s="1551"/>
      <c r="AK132" s="1551"/>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75" t="s">
        <v>2646</v>
      </c>
      <c r="P153" s="1475"/>
      <c r="Q153" s="1475"/>
      <c r="R153" s="1475"/>
      <c r="S153" s="1475"/>
      <c r="T153" s="1475"/>
      <c r="U153" s="1475"/>
      <c r="V153" s="1475"/>
      <c r="W153" s="1475"/>
      <c r="X153" s="1475"/>
      <c r="Y153" s="1475"/>
      <c r="Z153" s="1475"/>
      <c r="AA153" s="1475"/>
      <c r="AB153" s="1475"/>
      <c r="AC153" s="1475"/>
      <c r="AD153" s="1475"/>
      <c r="AE153" s="1475"/>
      <c r="AF153" s="1475"/>
      <c r="AG153" s="1475"/>
      <c r="AH153" s="1475"/>
    </row>
    <row r="154" spans="1:72" ht="12.95" customHeight="1">
      <c r="D154" s="325" t="s">
        <v>443</v>
      </c>
      <c r="O154" s="1463" t="s">
        <v>2647</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445</v>
      </c>
      <c r="F155" s="8"/>
      <c r="G155" s="8"/>
      <c r="H155" s="8"/>
      <c r="I155" s="8"/>
      <c r="J155" s="8"/>
      <c r="K155" s="8"/>
      <c r="L155" s="8"/>
      <c r="M155" s="8"/>
      <c r="N155" s="8"/>
      <c r="O155" s="1564" t="s">
        <v>444</v>
      </c>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72" ht="12.95" customHeight="1">
      <c r="D156" t="s">
        <v>315</v>
      </c>
      <c r="O156" s="1392" t="s">
        <v>2648</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309</v>
      </c>
    </row>
    <row r="157" spans="1:72" ht="12.95" customHeight="1">
      <c r="D157" t="s">
        <v>316</v>
      </c>
      <c r="O157" s="1475" t="s">
        <v>2649</v>
      </c>
      <c r="P157" s="1475"/>
      <c r="Q157" s="1475"/>
      <c r="R157" s="1475"/>
      <c r="S157" s="1475"/>
      <c r="T157" s="1475"/>
      <c r="U157" s="1475"/>
      <c r="V157" s="1475"/>
      <c r="W157" s="1475"/>
      <c r="X157" s="1475"/>
      <c r="Y157" s="8"/>
      <c r="Z157" s="8"/>
      <c r="AA157" s="8"/>
      <c r="AB157" s="8"/>
      <c r="AC157" s="8"/>
      <c r="AD157" s="8"/>
      <c r="AE157" s="8"/>
      <c r="AF157" s="8"/>
      <c r="BN157" s="23" t="s">
        <v>646</v>
      </c>
      <c r="BT157" t="s">
        <v>486</v>
      </c>
    </row>
    <row r="158" spans="1:72" ht="12.95" customHeight="1">
      <c r="D158" t="s">
        <v>317</v>
      </c>
      <c r="O158" s="1565">
        <v>95688</v>
      </c>
      <c r="P158" s="1565"/>
      <c r="Q158" s="1565"/>
      <c r="R158" s="1565"/>
      <c r="S158" s="9"/>
      <c r="T158" s="9"/>
      <c r="U158" s="9"/>
      <c r="V158" s="9"/>
      <c r="W158" s="9"/>
      <c r="X158" s="9"/>
      <c r="Y158" s="9"/>
      <c r="Z158" s="9"/>
      <c r="AA158" s="9"/>
      <c r="AB158" s="9"/>
      <c r="AC158" s="9"/>
      <c r="AD158" s="9"/>
      <c r="AE158" s="9"/>
      <c r="AF158" s="9"/>
      <c r="BN158" s="23" t="s">
        <v>647</v>
      </c>
      <c r="BT158" t="s">
        <v>487</v>
      </c>
    </row>
    <row r="159" spans="1:72" ht="12.95" customHeight="1">
      <c r="D159" t="s">
        <v>318</v>
      </c>
      <c r="O159" s="1529" t="s">
        <v>2650</v>
      </c>
      <c r="P159" s="1529"/>
      <c r="Q159" s="1529"/>
      <c r="R159" s="1529"/>
      <c r="S159" s="1529"/>
      <c r="T159" s="1529"/>
      <c r="V159" s="97" t="s">
        <v>273</v>
      </c>
      <c r="W159" s="1566"/>
      <c r="X159" s="1566"/>
      <c r="Y159" s="10"/>
      <c r="Z159" s="10"/>
      <c r="AA159" s="10"/>
      <c r="AB159" s="10"/>
      <c r="AC159" s="10"/>
      <c r="AD159" s="10"/>
      <c r="AE159" s="10"/>
      <c r="AF159" s="10"/>
      <c r="BN159" s="23" t="s">
        <v>341</v>
      </c>
      <c r="BT159" t="s">
        <v>488</v>
      </c>
    </row>
    <row r="160" spans="1:72" ht="12.95" customHeight="1">
      <c r="D160" t="s">
        <v>319</v>
      </c>
      <c r="O160" s="1529"/>
      <c r="P160" s="1529"/>
      <c r="Q160" s="1529"/>
      <c r="R160" s="1529"/>
      <c r="S160" s="1529"/>
      <c r="T160" s="1529"/>
      <c r="U160" s="10"/>
      <c r="V160" s="10"/>
      <c r="W160" s="10"/>
      <c r="X160" s="10"/>
      <c r="Y160" s="10"/>
      <c r="Z160" s="10"/>
      <c r="AA160" s="10"/>
      <c r="AB160" s="10"/>
      <c r="AC160" s="10"/>
      <c r="AD160" s="10"/>
      <c r="AE160" s="10"/>
      <c r="AF160" s="10"/>
      <c r="BN160" s="23" t="s">
        <v>670</v>
      </c>
      <c r="BT160" t="s">
        <v>489</v>
      </c>
    </row>
    <row r="161" spans="1:72" ht="12.95" customHeight="1">
      <c r="D161" t="s">
        <v>320</v>
      </c>
      <c r="O161" s="1530" t="s">
        <v>2651</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531" t="s">
        <v>1389</v>
      </c>
      <c r="E164" s="1531"/>
      <c r="F164" s="1531"/>
      <c r="G164" s="1531"/>
      <c r="H164" s="1531"/>
      <c r="I164" s="1531"/>
      <c r="J164" s="1531"/>
      <c r="K164" s="1531"/>
      <c r="L164" s="1531"/>
      <c r="M164" s="1531"/>
      <c r="N164" s="1531"/>
      <c r="O164" s="1531"/>
      <c r="P164" s="1531"/>
      <c r="Q164" s="1531"/>
      <c r="R164" s="1531"/>
      <c r="S164" s="1531"/>
      <c r="T164" s="1531"/>
      <c r="U164" s="1531"/>
      <c r="V164" s="1531"/>
      <c r="W164" s="1531"/>
      <c r="X164" s="1531"/>
      <c r="Y164" s="1531"/>
      <c r="Z164" s="1531"/>
      <c r="AA164" s="1531"/>
      <c r="AB164" s="1531"/>
      <c r="AC164" s="1531"/>
      <c r="AD164" s="1531"/>
      <c r="AE164" s="1531"/>
      <c r="AF164" s="1531"/>
      <c r="AG164" s="1531"/>
      <c r="AH164" s="1531"/>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1" t="s">
        <v>549</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683</v>
      </c>
      <c r="BT169" t="s">
        <v>498</v>
      </c>
    </row>
    <row r="170" spans="1:72" ht="12.9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63" t="s">
        <v>373</v>
      </c>
      <c r="K173" s="1563"/>
      <c r="L173" s="1563"/>
      <c r="M173" s="1563"/>
      <c r="N173" s="1563"/>
      <c r="O173" s="1563"/>
      <c r="P173" s="1563"/>
      <c r="Q173" s="1563"/>
      <c r="R173" s="1563"/>
      <c r="S173" s="1563"/>
      <c r="U173" s="25"/>
      <c r="X173" s="25"/>
      <c r="BN173" s="23" t="s">
        <v>216</v>
      </c>
      <c r="BT173" t="s">
        <v>502</v>
      </c>
    </row>
    <row r="174" spans="1:72" ht="12.95" customHeight="1">
      <c r="C174" s="24"/>
      <c r="D174" s="3" t="s">
        <v>1346</v>
      </c>
      <c r="J174" s="1392" t="s">
        <v>2528</v>
      </c>
      <c r="K174" s="1392"/>
      <c r="L174" s="1392"/>
      <c r="M174" s="1392"/>
      <c r="N174" s="1392"/>
      <c r="O174" s="1392"/>
      <c r="P174" s="1392"/>
      <c r="Q174" s="1392"/>
      <c r="R174" s="1392"/>
      <c r="S174" s="1392"/>
      <c r="T174" s="1392"/>
      <c r="U174" s="1392"/>
      <c r="V174" s="1392"/>
      <c r="W174" s="1392"/>
      <c r="X174" s="1392"/>
      <c r="Y174" s="1392"/>
      <c r="Z174" s="1392"/>
      <c r="AA174" s="1392"/>
      <c r="AB174" s="1392"/>
      <c r="BN174" s="23" t="s">
        <v>218</v>
      </c>
      <c r="BT174" t="s">
        <v>503</v>
      </c>
    </row>
    <row r="175" spans="1:72" ht="12.95" customHeight="1">
      <c r="C175" s="8"/>
      <c r="D175" s="3" t="s">
        <v>324</v>
      </c>
      <c r="O175" s="27"/>
      <c r="U175" s="1376" t="s">
        <v>679</v>
      </c>
      <c r="V175" s="1376"/>
      <c r="BN175" s="23" t="s">
        <v>219</v>
      </c>
      <c r="BT175" t="s">
        <v>504</v>
      </c>
    </row>
    <row r="176" spans="1:72" ht="12.95" customHeight="1">
      <c r="C176" s="8"/>
      <c r="D176" s="26"/>
      <c r="E176" t="s">
        <v>306</v>
      </c>
      <c r="O176" s="27"/>
      <c r="P176" t="s">
        <v>2501</v>
      </c>
      <c r="T176" s="27" t="s">
        <v>307</v>
      </c>
      <c r="U176" s="1555"/>
      <c r="V176" s="1555"/>
      <c r="W176" s="1" t="s">
        <v>308</v>
      </c>
      <c r="X176" s="1568"/>
      <c r="Y176" s="1568"/>
      <c r="BN176" s="23" t="s">
        <v>221</v>
      </c>
      <c r="BT176" t="s">
        <v>505</v>
      </c>
    </row>
    <row r="177" spans="1:72" ht="12.95" customHeight="1">
      <c r="C177" s="24"/>
      <c r="D177" t="s">
        <v>251</v>
      </c>
      <c r="R177" s="1376" t="s">
        <v>679</v>
      </c>
      <c r="S177" s="1376"/>
      <c r="BN177" s="23" t="s">
        <v>222</v>
      </c>
      <c r="BT177" t="s">
        <v>506</v>
      </c>
    </row>
    <row r="178" spans="1:72" ht="12.95" customHeight="1">
      <c r="C178" s="24"/>
      <c r="D178" s="3" t="s">
        <v>1347</v>
      </c>
      <c r="AA178" t="s">
        <v>2501</v>
      </c>
      <c r="AE178" s="27" t="s">
        <v>307</v>
      </c>
      <c r="AF178" s="1742"/>
      <c r="AG178" s="1742"/>
      <c r="AH178" s="1" t="s">
        <v>308</v>
      </c>
      <c r="AI178" s="1533"/>
      <c r="AJ178" s="1533"/>
      <c r="AK178" s="1533"/>
      <c r="BN178" s="23" t="s">
        <v>223</v>
      </c>
      <c r="BT178" t="s">
        <v>53</v>
      </c>
    </row>
    <row r="179" spans="1:72" ht="12.95" customHeight="1">
      <c r="C179" s="24"/>
      <c r="BN179" s="23" t="s">
        <v>224</v>
      </c>
      <c r="BT179" t="s">
        <v>54</v>
      </c>
    </row>
    <row r="180" spans="1:72" ht="12.95" customHeight="1">
      <c r="C180" s="24"/>
      <c r="D180" t="s">
        <v>2502</v>
      </c>
      <c r="X180" s="1376"/>
      <c r="Y180" s="1376"/>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7" t="str">
        <f>H18</f>
        <v>Allison Apartments</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597</v>
      </c>
      <c r="BN184" s="23" t="s">
        <v>232</v>
      </c>
      <c r="BT184" t="s">
        <v>62</v>
      </c>
    </row>
    <row r="185" spans="1:72" ht="12.95" customHeight="1">
      <c r="C185" s="21"/>
      <c r="D185" t="s">
        <v>589</v>
      </c>
      <c r="I185" s="1372"/>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598</v>
      </c>
      <c r="BN185" s="23" t="s">
        <v>233</v>
      </c>
      <c r="BT185" t="s">
        <v>63</v>
      </c>
    </row>
    <row r="186" spans="1:72" ht="12.95" customHeight="1">
      <c r="C186" s="21"/>
      <c r="E186" t="s">
        <v>169</v>
      </c>
      <c r="BN186" s="23" t="s">
        <v>234</v>
      </c>
      <c r="BT186" t="s">
        <v>64</v>
      </c>
    </row>
    <row r="187" spans="1:72" ht="12.95" customHeight="1">
      <c r="C187" s="21"/>
      <c r="E187" s="1558" t="s">
        <v>2654</v>
      </c>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2.95"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2.95" customHeight="1">
      <c r="C189" s="21"/>
      <c r="D189" t="s">
        <v>590</v>
      </c>
      <c r="I189" s="1475" t="s">
        <v>2649</v>
      </c>
      <c r="J189" s="1392"/>
      <c r="K189" s="1392"/>
      <c r="L189" s="1392"/>
      <c r="M189" s="1392"/>
      <c r="N189" s="1392"/>
      <c r="O189" s="1392"/>
      <c r="P189" s="1392"/>
      <c r="Q189" t="s">
        <v>592</v>
      </c>
      <c r="T189" s="1392" t="s">
        <v>199</v>
      </c>
      <c r="U189" s="1392"/>
      <c r="V189" s="1392"/>
      <c r="W189" s="1392"/>
      <c r="X189" s="1392"/>
      <c r="Y189" s="1392"/>
      <c r="Z189" s="1392"/>
      <c r="AA189" s="1392"/>
      <c r="AB189" s="1392"/>
      <c r="AC189" s="1392"/>
      <c r="AD189" s="1392"/>
      <c r="AE189" s="1392"/>
      <c r="BC189" t="s">
        <v>309</v>
      </c>
      <c r="BH189" s="3" t="s">
        <v>601</v>
      </c>
      <c r="BN189" s="23" t="s">
        <v>238</v>
      </c>
      <c r="BT189" t="s">
        <v>67</v>
      </c>
    </row>
    <row r="190" spans="1:72" ht="12.95" customHeight="1">
      <c r="C190" s="21"/>
      <c r="D190" t="s">
        <v>593</v>
      </c>
      <c r="I190" s="1372">
        <v>95867</v>
      </c>
      <c r="J190" s="1372"/>
      <c r="K190" s="1372"/>
      <c r="L190" s="1372"/>
      <c r="M190" s="1372"/>
      <c r="N190" s="1372"/>
      <c r="O190" t="s">
        <v>595</v>
      </c>
      <c r="T190" s="1556">
        <v>2531.0500000000002</v>
      </c>
      <c r="U190" s="1556"/>
      <c r="V190" s="1556"/>
      <c r="W190" s="1556"/>
      <c r="X190" s="1556"/>
      <c r="Y190" s="1556"/>
      <c r="Z190" s="1556"/>
      <c r="AA190" s="1556"/>
      <c r="AB190" s="1556"/>
      <c r="AC190" s="1556"/>
      <c r="AD190" s="1556"/>
      <c r="AE190" s="1556"/>
      <c r="BC190" t="s">
        <v>1103</v>
      </c>
      <c r="BH190" t="s">
        <v>1103</v>
      </c>
      <c r="BN190" s="23" t="s">
        <v>645</v>
      </c>
      <c r="BT190" t="s">
        <v>68</v>
      </c>
    </row>
    <row r="191" spans="1:72" ht="12.95" customHeight="1">
      <c r="C191" s="21"/>
      <c r="D191" t="s">
        <v>472</v>
      </c>
      <c r="N191" s="1558" t="s">
        <v>2655</v>
      </c>
      <c r="O191" s="1444"/>
      <c r="P191" s="1444"/>
      <c r="Q191" s="1444"/>
      <c r="R191" s="1444"/>
      <c r="S191" s="1444"/>
      <c r="T191" s="1444"/>
      <c r="U191" s="1444"/>
      <c r="V191" s="1444"/>
      <c r="W191" s="1444"/>
      <c r="X191" s="1444"/>
      <c r="Y191" s="1444"/>
      <c r="Z191" s="1444"/>
      <c r="AA191" s="1444"/>
      <c r="AB191" s="1444"/>
      <c r="AC191" s="1444"/>
      <c r="AD191" s="1444"/>
      <c r="AE191" s="1444"/>
      <c r="BC191" t="s">
        <v>1102</v>
      </c>
      <c r="BH191" t="s">
        <v>1102</v>
      </c>
      <c r="BN191" s="23" t="s">
        <v>699</v>
      </c>
      <c r="BT191" t="s">
        <v>740</v>
      </c>
    </row>
    <row r="192" spans="1:72" ht="12.95"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1105</v>
      </c>
      <c r="BH192" s="3" t="s">
        <v>1810</v>
      </c>
      <c r="BN192" s="23" t="s">
        <v>700</v>
      </c>
      <c r="BT192" t="s">
        <v>741</v>
      </c>
    </row>
    <row r="193" spans="1:74" ht="12.95" customHeight="1">
      <c r="C193" s="21"/>
      <c r="D193" t="s">
        <v>2503</v>
      </c>
      <c r="M193" s="40"/>
      <c r="N193" s="930"/>
      <c r="O193" s="930"/>
      <c r="P193" s="930"/>
      <c r="Q193" s="930"/>
      <c r="R193" s="930"/>
      <c r="S193" s="930"/>
      <c r="T193" s="1571" t="s">
        <v>2656</v>
      </c>
      <c r="U193" s="1571"/>
      <c r="V193" s="1571"/>
      <c r="W193" s="1571"/>
      <c r="X193" s="1571"/>
      <c r="Y193" s="1571"/>
      <c r="Z193" s="1571"/>
      <c r="AA193" s="1571"/>
      <c r="AB193" s="1571"/>
      <c r="AC193" s="1571"/>
      <c r="AD193" s="1571"/>
      <c r="AE193" s="1571"/>
      <c r="AF193" s="1571"/>
      <c r="AG193" s="1571"/>
      <c r="AH193" s="1571"/>
      <c r="AI193" s="1571"/>
      <c r="BC193" t="s">
        <v>1104</v>
      </c>
      <c r="BH193" s="3" t="s">
        <v>1811</v>
      </c>
      <c r="BN193" s="23" t="s">
        <v>701</v>
      </c>
      <c r="BT193" t="s">
        <v>742</v>
      </c>
    </row>
    <row r="194" spans="1:74" ht="12.95" customHeight="1">
      <c r="C194" s="21"/>
      <c r="D194" t="s">
        <v>333</v>
      </c>
      <c r="T194" s="1376" t="s">
        <v>555</v>
      </c>
      <c r="U194" s="1376"/>
      <c r="W194" t="s">
        <v>695</v>
      </c>
      <c r="AH194" s="1376">
        <v>4</v>
      </c>
      <c r="AI194" s="1376"/>
      <c r="BC194" t="s">
        <v>1539</v>
      </c>
      <c r="BN194" s="23" t="s">
        <v>702</v>
      </c>
      <c r="BT194" t="s">
        <v>743</v>
      </c>
    </row>
    <row r="195" spans="1:74" ht="12.95" customHeight="1">
      <c r="C195" s="21"/>
      <c r="D195" t="s">
        <v>388</v>
      </c>
      <c r="T195" s="1361" t="s">
        <v>679</v>
      </c>
      <c r="U195" s="1361"/>
      <c r="W195" t="s">
        <v>696</v>
      </c>
      <c r="AH195" s="1376">
        <v>11</v>
      </c>
      <c r="AI195" s="1376"/>
      <c r="BC195" t="s">
        <v>2122</v>
      </c>
      <c r="BN195" s="23" t="s">
        <v>244</v>
      </c>
      <c r="BT195" t="s">
        <v>744</v>
      </c>
    </row>
    <row r="196" spans="1:74" ht="12.95" customHeight="1">
      <c r="C196" s="21"/>
      <c r="D196" s="3" t="s">
        <v>170</v>
      </c>
      <c r="T196" s="1361" t="s">
        <v>679</v>
      </c>
      <c r="U196" s="1361"/>
      <c r="W196" t="s">
        <v>697</v>
      </c>
      <c r="AH196" s="1376">
        <v>3</v>
      </c>
      <c r="AI196" s="1376"/>
      <c r="BN196" s="23" t="s">
        <v>245</v>
      </c>
      <c r="BT196" t="s">
        <v>69</v>
      </c>
    </row>
    <row r="197" spans="1:74" ht="12.95" customHeight="1">
      <c r="C197" s="21"/>
      <c r="D197" s="3" t="s">
        <v>1835</v>
      </c>
      <c r="T197" s="1361"/>
      <c r="U197" s="1361"/>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2504</v>
      </c>
      <c r="Y198" s="1376" t="s">
        <v>679</v>
      </c>
      <c r="Z198" s="1376"/>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7" t="s">
        <v>387</v>
      </c>
      <c r="E203" s="1517"/>
      <c r="F203" s="1517"/>
      <c r="G203" s="1517"/>
      <c r="H203" s="1517"/>
      <c r="I203" s="1517"/>
      <c r="J203" s="1517"/>
      <c r="K203" s="1517"/>
      <c r="L203" s="1517"/>
      <c r="M203" s="1517"/>
      <c r="P203" s="1552">
        <f>M26</f>
        <v>3300366</v>
      </c>
      <c r="Q203" s="1553"/>
      <c r="R203" s="1553"/>
      <c r="S203" s="1553"/>
      <c r="T203" s="1553"/>
      <c r="U203" s="1553"/>
      <c r="Z203" s="1573" t="s">
        <v>2657</v>
      </c>
      <c r="AA203" s="1573"/>
      <c r="AB203" s="1573"/>
      <c r="AC203" s="1573"/>
      <c r="AD203" s="1573"/>
      <c r="AE203" s="1573"/>
      <c r="AF203" s="1573"/>
      <c r="BC203" t="s">
        <v>1130</v>
      </c>
      <c r="BN203" s="23" t="s">
        <v>713</v>
      </c>
      <c r="BO203" s="14"/>
      <c r="BP203" s="32"/>
      <c r="BQ203" s="32"/>
      <c r="BR203" s="32"/>
      <c r="BS203" s="32"/>
      <c r="BT203" s="32" t="s">
        <v>198</v>
      </c>
    </row>
    <row r="204" spans="1:74" ht="12.95" customHeight="1">
      <c r="C204" s="21"/>
      <c r="D204" s="1572" t="s">
        <v>1405</v>
      </c>
      <c r="E204" s="1517"/>
      <c r="F204" s="1517"/>
      <c r="G204" s="1517"/>
      <c r="H204" s="1517"/>
      <c r="I204" s="1517"/>
      <c r="J204" s="1517"/>
      <c r="K204" s="1517"/>
      <c r="L204" s="1517"/>
      <c r="M204" s="1517"/>
      <c r="P204" s="1553">
        <f>M27</f>
        <v>19040573</v>
      </c>
      <c r="Q204" s="1553"/>
      <c r="R204" s="1553"/>
      <c r="S204" s="1553"/>
      <c r="T204" s="1553"/>
      <c r="U204" s="1553"/>
      <c r="V204" s="28"/>
      <c r="W204" s="3" t="s">
        <v>1983</v>
      </c>
      <c r="Z204" s="1573"/>
      <c r="AA204" s="1573"/>
      <c r="AB204" s="1573"/>
      <c r="AC204" s="1573"/>
      <c r="AD204" s="1573"/>
      <c r="AE204" s="1573"/>
      <c r="AF204" s="1573"/>
      <c r="AG204" t="s">
        <v>1406</v>
      </c>
      <c r="AP204" s="1376" t="s">
        <v>679</v>
      </c>
      <c r="AQ204" s="1376"/>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74"/>
      <c r="AA205" s="1574"/>
      <c r="AB205" s="1574"/>
      <c r="AC205" s="1574"/>
      <c r="AD205" s="1574"/>
      <c r="AE205" s="1574"/>
      <c r="AF205" s="1574"/>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42" t="s">
        <v>2658</v>
      </c>
      <c r="E207" s="1542"/>
      <c r="F207" s="1542"/>
      <c r="G207" s="1542"/>
      <c r="H207" s="1542"/>
      <c r="I207" s="1542"/>
      <c r="J207" s="1542"/>
      <c r="K207" s="1542"/>
      <c r="L207" s="1542"/>
      <c r="M207" s="1542"/>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42" t="s">
        <v>2122</v>
      </c>
      <c r="E210" s="1542"/>
      <c r="F210" s="1542"/>
      <c r="G210" s="1542"/>
      <c r="H210" s="1542"/>
      <c r="I210" s="1542"/>
      <c r="J210" s="1542"/>
      <c r="K210" s="1542"/>
      <c r="L210" s="1542"/>
      <c r="M210" s="1542"/>
      <c r="BN210" s="23" t="s">
        <v>48</v>
      </c>
      <c r="BT210" s="32" t="s">
        <v>204</v>
      </c>
    </row>
    <row r="211" spans="1:72" ht="12.95" customHeight="1">
      <c r="C211" s="21"/>
      <c r="D211" t="s">
        <v>1395</v>
      </c>
      <c r="Y211" s="1376"/>
      <c r="Z211" s="1376"/>
      <c r="AB211" s="1569">
        <f>IFERROR(Y211/AG439,"")</f>
        <v>0</v>
      </c>
      <c r="AC211" s="1570"/>
      <c r="BN211" s="23" t="s">
        <v>130</v>
      </c>
      <c r="BT211" s="32" t="s">
        <v>131</v>
      </c>
    </row>
    <row r="212" spans="1:72" ht="12.95" customHeight="1">
      <c r="D212" s="1198" t="s">
        <v>1809</v>
      </c>
      <c r="BC212" t="s">
        <v>309</v>
      </c>
      <c r="BN212" s="23" t="s">
        <v>49</v>
      </c>
      <c r="BT212" s="32" t="s">
        <v>205</v>
      </c>
    </row>
    <row r="213" spans="1:72" ht="12.95" customHeight="1">
      <c r="D213" s="1457" t="s">
        <v>601</v>
      </c>
      <c r="E213" s="1457"/>
      <c r="F213" s="1457"/>
      <c r="G213" s="1457"/>
      <c r="H213" s="1457"/>
      <c r="I213" s="1457"/>
      <c r="J213" s="1457"/>
      <c r="K213" s="1457"/>
      <c r="L213" s="1457"/>
      <c r="M213" s="1457"/>
      <c r="N213" s="1457"/>
      <c r="O213" s="1457"/>
      <c r="P213" s="1457"/>
      <c r="Q213" s="1457"/>
      <c r="R213" s="1457"/>
      <c r="S213" s="1457"/>
      <c r="T213" s="1457"/>
      <c r="U213" s="1457"/>
      <c r="V213" s="1457"/>
      <c r="W213" s="1457"/>
      <c r="X213" s="1457"/>
      <c r="Y213" s="1457"/>
      <c r="Z213" s="1457"/>
      <c r="BC213" t="s">
        <v>536</v>
      </c>
      <c r="BN213" s="23" t="s">
        <v>50</v>
      </c>
      <c r="BT213" s="32" t="s">
        <v>206</v>
      </c>
    </row>
    <row r="214" spans="1:72" ht="12.95" customHeight="1">
      <c r="D214" s="3" t="s">
        <v>1836</v>
      </c>
      <c r="Z214" s="40"/>
      <c r="AB214" s="1456"/>
      <c r="AC214" s="1456"/>
      <c r="AD214" s="1456"/>
      <c r="AE214" s="1456"/>
      <c r="AF214" s="1456"/>
      <c r="AG214" s="1456"/>
      <c r="AH214" s="1456"/>
      <c r="AI214" s="1456"/>
      <c r="AJ214" s="1456"/>
      <c r="AK214" s="1456"/>
      <c r="AL214" s="1456"/>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1834</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42" t="s">
        <v>1132</v>
      </c>
      <c r="E219" s="1542"/>
      <c r="F219" s="1542"/>
      <c r="G219" s="1542"/>
      <c r="H219" s="1542"/>
      <c r="I219" s="1542"/>
      <c r="J219" s="1542"/>
      <c r="K219" s="1542"/>
      <c r="L219" s="1542"/>
      <c r="M219" s="1542"/>
      <c r="N219" s="1542"/>
      <c r="O219" s="1542"/>
      <c r="P219" s="1542"/>
      <c r="Q219" s="1542"/>
      <c r="R219" s="1542"/>
      <c r="S219" s="1542"/>
      <c r="T219" s="1542"/>
      <c r="U219" s="1542"/>
      <c r="V219" s="1542"/>
      <c r="W219" s="1542"/>
      <c r="X219" s="1542"/>
      <c r="Y219" s="1542"/>
      <c r="Z219" s="1542"/>
      <c r="AZ219" s="3"/>
      <c r="BA219" s="3"/>
      <c r="BC219" t="s">
        <v>379</v>
      </c>
    </row>
    <row r="220" spans="1:72" ht="12.95" customHeight="1">
      <c r="A220" s="2"/>
      <c r="B220" s="14"/>
      <c r="C220" s="2"/>
      <c r="BA220" s="3"/>
      <c r="BC220" t="s">
        <v>302</v>
      </c>
    </row>
    <row r="221" spans="1:72" ht="12.95" customHeight="1">
      <c r="A221" s="1441" t="s">
        <v>550</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601</v>
      </c>
      <c r="AJ225" s="1376"/>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601</v>
      </c>
      <c r="AJ226" s="1376"/>
      <c r="AL226" s="3"/>
      <c r="AM226" s="3"/>
      <c r="AN226" s="3"/>
      <c r="AO226" s="3"/>
      <c r="AP226" s="3"/>
      <c r="AQ226" s="3"/>
      <c r="AR226" s="3"/>
      <c r="AS226" s="3"/>
      <c r="AT226" s="3"/>
      <c r="AU226" s="3"/>
      <c r="AV226" s="3"/>
      <c r="AW226" s="3"/>
      <c r="AX226" s="3"/>
      <c r="AY226" s="3"/>
      <c r="AZ226" s="4"/>
      <c r="BB226" s="218" t="s">
        <v>548</v>
      </c>
      <c r="BG226" s="259">
        <f>IF(AND(AND($M$248="for profit",$M$256="for profit",$M$264="nonprofit")),2,0)</f>
        <v>2</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555</v>
      </c>
      <c r="AJ227" s="1376"/>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601</v>
      </c>
      <c r="AJ228" s="1376"/>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57" t="str">
        <f>H16</f>
        <v>To-be-formed Limited Partnership</v>
      </c>
      <c r="N231" s="1557"/>
      <c r="O231" s="1557"/>
      <c r="P231" s="1557"/>
      <c r="Q231" s="1557"/>
      <c r="R231" s="1557"/>
      <c r="S231" s="1557"/>
      <c r="T231" s="1557"/>
      <c r="U231" s="1557"/>
      <c r="V231" s="1557"/>
      <c r="W231" s="1557"/>
      <c r="X231" s="1557"/>
      <c r="Y231" s="1557"/>
      <c r="Z231" s="1557"/>
      <c r="AA231" s="1557"/>
      <c r="AB231" s="1557"/>
      <c r="AC231" s="1557"/>
      <c r="AD231" s="1557"/>
      <c r="AE231" s="1557"/>
      <c r="AF231" s="1557"/>
      <c r="AG231" s="1557"/>
      <c r="AH231" s="1557"/>
      <c r="AI231" s="1557"/>
      <c r="AJ231" s="1557"/>
      <c r="AK231" s="1557"/>
      <c r="BA231" s="3"/>
      <c r="BB231" s="218"/>
      <c r="BG231" s="218"/>
      <c r="BQ231" s="34"/>
    </row>
    <row r="232" spans="1:69" ht="12.95" customHeight="1">
      <c r="D232" s="4" t="s">
        <v>86</v>
      </c>
      <c r="E232" s="4"/>
      <c r="F232" s="4"/>
      <c r="G232" s="4"/>
      <c r="H232" s="4"/>
      <c r="I232" s="4"/>
      <c r="J232" s="4"/>
      <c r="K232" s="4"/>
      <c r="M232" s="1475" t="s">
        <v>2659</v>
      </c>
      <c r="N232" s="1475"/>
      <c r="O232" s="1475"/>
      <c r="P232" s="1475"/>
      <c r="Q232" s="1475"/>
      <c r="R232" s="1475"/>
      <c r="S232" s="1475"/>
      <c r="T232" s="1475"/>
      <c r="U232" s="1475"/>
      <c r="V232" s="1475"/>
      <c r="W232" s="1475"/>
      <c r="X232" s="1475"/>
      <c r="Y232" s="1475"/>
      <c r="Z232" s="1475"/>
      <c r="AA232" s="1475"/>
      <c r="AB232" s="1475"/>
      <c r="AC232" s="1475"/>
      <c r="AD232" s="1475"/>
      <c r="AE232" s="1475"/>
      <c r="AZ232" s="4"/>
      <c r="BA232" s="3"/>
      <c r="BB232" s="219" t="s">
        <v>548</v>
      </c>
      <c r="BG232" s="259">
        <f>IF(AND(AND($M$248="nonprofit",$M$256="nonprofit",$M$264="for profit")),2,0)</f>
        <v>0</v>
      </c>
      <c r="BQ232" s="34"/>
    </row>
    <row r="233" spans="1:69" ht="12.95" customHeight="1">
      <c r="D233" s="4" t="s">
        <v>590</v>
      </c>
      <c r="E233" s="4"/>
      <c r="M233" s="1475" t="s">
        <v>68</v>
      </c>
      <c r="N233" s="1475"/>
      <c r="O233" s="1475"/>
      <c r="P233" s="1475"/>
      <c r="Q233" s="1475"/>
      <c r="R233" s="1475"/>
      <c r="S233" s="1475"/>
      <c r="T233" s="1475"/>
      <c r="V233" s="33" t="s">
        <v>87</v>
      </c>
      <c r="W233" s="1463" t="s">
        <v>2660</v>
      </c>
      <c r="X233" s="1464"/>
      <c r="Y233" s="4" t="s">
        <v>593</v>
      </c>
      <c r="AC233" s="1475">
        <v>95811</v>
      </c>
      <c r="AD233" s="1475"/>
      <c r="AE233" s="1475"/>
      <c r="BB233" s="219" t="s">
        <v>548</v>
      </c>
      <c r="BG233" s="259">
        <f>IF(AND(AND($M$248="nonprofit",$M$256="for profit",$M$264="nonprofit")),2,0)</f>
        <v>0</v>
      </c>
    </row>
    <row r="234" spans="1:69" ht="12.95" customHeight="1">
      <c r="D234" s="4" t="s">
        <v>88</v>
      </c>
      <c r="E234" s="4"/>
      <c r="F234" s="4"/>
      <c r="G234" s="4"/>
      <c r="H234" s="4"/>
      <c r="I234" s="4"/>
      <c r="J234" s="4"/>
      <c r="K234" s="19"/>
      <c r="M234" s="1475" t="s">
        <v>2661</v>
      </c>
      <c r="N234" s="1475"/>
      <c r="O234" s="1475"/>
      <c r="P234" s="1475"/>
      <c r="Q234" s="1475"/>
      <c r="R234" s="1475"/>
      <c r="S234" s="1475"/>
      <c r="T234" s="1475"/>
      <c r="U234" s="1475"/>
      <c r="V234" s="1475"/>
      <c r="W234" s="1475"/>
      <c r="X234" s="1475"/>
      <c r="Y234" s="1475"/>
      <c r="Z234" s="1475"/>
      <c r="AA234" s="1475"/>
      <c r="AB234" s="1475"/>
      <c r="AC234" s="1475"/>
      <c r="AD234" s="1475"/>
      <c r="AE234" s="1475"/>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18">
        <v>9164464040</v>
      </c>
      <c r="N235" s="1518"/>
      <c r="O235" s="1518"/>
      <c r="P235" s="1518"/>
      <c r="Q235" s="1518"/>
      <c r="R235" s="1518"/>
      <c r="S235" s="4" t="s">
        <v>208</v>
      </c>
      <c r="T235" s="4"/>
      <c r="U235" s="1464"/>
      <c r="V235" s="1464"/>
      <c r="W235" s="1464"/>
      <c r="X235" s="4" t="s">
        <v>90</v>
      </c>
      <c r="Z235" s="1437"/>
      <c r="AA235" s="1437"/>
      <c r="AB235" s="1437"/>
      <c r="AC235" s="1437"/>
      <c r="AD235" s="1437"/>
      <c r="AE235" s="1437"/>
      <c r="BB235" s="219"/>
      <c r="BG235" s="218"/>
    </row>
    <row r="236" spans="1:69" ht="12.95" customHeight="1">
      <c r="D236" s="4" t="s">
        <v>91</v>
      </c>
      <c r="E236" s="4"/>
      <c r="F236" s="4"/>
      <c r="M236" s="1530" t="s">
        <v>2662</v>
      </c>
      <c r="N236" s="1530"/>
      <c r="O236" s="1530"/>
      <c r="P236" s="1530"/>
      <c r="Q236" s="1530"/>
      <c r="R236" s="1530"/>
      <c r="S236" s="1530"/>
      <c r="T236" s="1530"/>
      <c r="U236" s="1530"/>
      <c r="V236" s="1530"/>
      <c r="W236" s="1530"/>
      <c r="X236" s="1530"/>
      <c r="Y236" s="1530"/>
      <c r="Z236" s="1530"/>
      <c r="AA236" s="1530"/>
      <c r="AB236" s="1530"/>
      <c r="AC236" s="1530"/>
      <c r="AD236" s="1530"/>
      <c r="AE236" s="153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72" t="s">
        <v>538</v>
      </c>
      <c r="N237" s="1372"/>
      <c r="O237" s="1372"/>
      <c r="P237" s="1372"/>
      <c r="Q237" s="1372"/>
      <c r="R237" s="1372"/>
      <c r="S237" s="1372"/>
      <c r="T237" s="1372"/>
      <c r="U237" s="218" t="s">
        <v>940</v>
      </c>
      <c r="V237" s="218"/>
      <c r="W237" s="218"/>
      <c r="X237" s="218"/>
      <c r="Y237" s="218"/>
      <c r="Z237" s="218"/>
      <c r="AA237" s="1538"/>
      <c r="AB237" s="1538"/>
      <c r="AC237" s="1538"/>
      <c r="AD237" s="1538"/>
      <c r="AE237" s="1538"/>
      <c r="AF237" s="1538"/>
      <c r="AG237" s="1538"/>
      <c r="AH237" s="1538"/>
      <c r="AI237" s="1538"/>
      <c r="AJ237" s="1538"/>
      <c r="AK237" s="1538"/>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2"/>
      <c r="N238" s="1392"/>
      <c r="O238" s="1392"/>
      <c r="P238" s="1392"/>
      <c r="Q238" s="1392"/>
      <c r="R238" s="1392"/>
      <c r="S238" s="1392"/>
      <c r="T238" s="1392"/>
      <c r="U238" s="1392"/>
      <c r="V238" s="1392"/>
      <c r="W238" s="1392"/>
      <c r="X238" s="1392"/>
      <c r="Y238" s="1392"/>
      <c r="Z238" s="1392"/>
      <c r="AA238" s="1392"/>
      <c r="AB238" s="1392"/>
      <c r="AC238" s="1392"/>
      <c r="AD238" s="1392"/>
      <c r="AE238" s="139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3" t="s">
        <v>2663</v>
      </c>
      <c r="N242" s="1543"/>
      <c r="O242" s="1543"/>
      <c r="P242" s="1543"/>
      <c r="Q242" s="1543"/>
      <c r="R242" s="1543"/>
      <c r="S242" s="1543"/>
      <c r="T242" s="1543"/>
      <c r="U242" s="1543"/>
      <c r="V242" s="1543"/>
      <c r="W242" s="1543"/>
      <c r="X242" s="1543"/>
      <c r="Y242" s="1543"/>
      <c r="Z242" s="1543"/>
      <c r="AA242" s="1543"/>
      <c r="AB242" s="1543"/>
      <c r="AC242" s="1543"/>
      <c r="AD242" s="1543"/>
      <c r="AE242" s="1543"/>
      <c r="AF242" s="1548" t="s">
        <v>2664</v>
      </c>
      <c r="AG242" s="1548"/>
      <c r="AH242" s="1548"/>
      <c r="AI242" s="1548"/>
      <c r="AJ242" s="1548"/>
      <c r="AK242" s="1548"/>
      <c r="BO242" s="34"/>
      <c r="BP242" s="4"/>
      <c r="BQ242" s="4"/>
      <c r="BR242" s="4"/>
      <c r="BS242" s="4"/>
    </row>
    <row r="243" spans="1:71" ht="12.95" customHeight="1">
      <c r="A243" s="19"/>
      <c r="B243" s="4"/>
      <c r="C243" s="4"/>
      <c r="D243" s="4" t="s">
        <v>86</v>
      </c>
      <c r="E243" s="4"/>
      <c r="F243" s="4"/>
      <c r="G243" s="4"/>
      <c r="H243" s="4"/>
      <c r="I243" s="4"/>
      <c r="J243" s="4"/>
      <c r="K243" s="4"/>
      <c r="L243" s="4"/>
      <c r="M243" s="1475" t="s">
        <v>2659</v>
      </c>
      <c r="N243" s="1475"/>
      <c r="O243" s="1475"/>
      <c r="P243" s="1475"/>
      <c r="Q243" s="1475"/>
      <c r="R243" s="1475"/>
      <c r="S243" s="1475"/>
      <c r="T243" s="1475"/>
      <c r="U243" s="1475"/>
      <c r="V243" s="1475"/>
      <c r="W243" s="1475"/>
      <c r="X243" s="1475"/>
      <c r="Y243" s="1475"/>
      <c r="Z243" s="1475"/>
      <c r="AA243" s="1475"/>
      <c r="AB243" s="1475"/>
      <c r="AC243" s="1475"/>
      <c r="AD243" s="1475"/>
      <c r="AE243" s="1475"/>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475" t="s">
        <v>68</v>
      </c>
      <c r="N244" s="1475"/>
      <c r="O244" s="1475"/>
      <c r="P244" s="1475"/>
      <c r="Q244" s="1475"/>
      <c r="R244" s="1475"/>
      <c r="S244" s="1475"/>
      <c r="T244" s="1475"/>
      <c r="V244" s="33" t="s">
        <v>87</v>
      </c>
      <c r="W244" s="1463" t="s">
        <v>2660</v>
      </c>
      <c r="X244" s="1463"/>
      <c r="Y244" s="4" t="s">
        <v>593</v>
      </c>
      <c r="AC244" s="1542">
        <v>95811</v>
      </c>
      <c r="AD244" s="1542"/>
      <c r="AE244" s="1542"/>
      <c r="AF244" s="3" t="s">
        <v>1324</v>
      </c>
      <c r="BB244" t="s">
        <v>309</v>
      </c>
      <c r="BG244">
        <v>1</v>
      </c>
      <c r="BH244" t="s">
        <v>544</v>
      </c>
    </row>
    <row r="245" spans="1:71" ht="12.95" customHeight="1">
      <c r="A245" s="19"/>
      <c r="B245" s="4"/>
      <c r="C245" s="4"/>
      <c r="D245" s="4" t="s">
        <v>88</v>
      </c>
      <c r="E245" s="4"/>
      <c r="F245" s="4"/>
      <c r="G245" s="4"/>
      <c r="H245" s="4"/>
      <c r="I245" s="4"/>
      <c r="J245" s="4"/>
      <c r="K245" s="4"/>
      <c r="L245" s="19"/>
      <c r="M245" s="1475" t="s">
        <v>2665</v>
      </c>
      <c r="N245" s="1475"/>
      <c r="O245" s="1475"/>
      <c r="P245" s="1475"/>
      <c r="Q245" s="1475"/>
      <c r="R245" s="1475"/>
      <c r="S245" s="1475"/>
      <c r="T245" s="1475"/>
      <c r="U245" s="1475"/>
      <c r="V245" s="1475"/>
      <c r="W245" s="1475"/>
      <c r="X245" s="1475"/>
      <c r="Y245" s="1475"/>
      <c r="Z245" s="1475"/>
      <c r="AA245" s="1475"/>
      <c r="AB245" s="1475"/>
      <c r="AC245" s="1475"/>
      <c r="AD245" s="1475"/>
      <c r="AE245" s="1475"/>
      <c r="AH245" s="1435">
        <v>4.4999999999999998E-2</v>
      </c>
      <c r="AI245" s="1435"/>
      <c r="AJ245" s="1435"/>
      <c r="AK245" s="1435"/>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518">
        <v>9164464040</v>
      </c>
      <c r="N246" s="1518"/>
      <c r="O246" s="1518"/>
      <c r="P246" s="1518"/>
      <c r="Q246" s="1518"/>
      <c r="R246" s="1518"/>
      <c r="S246" s="4" t="s">
        <v>208</v>
      </c>
      <c r="T246" s="4"/>
      <c r="U246" s="1464"/>
      <c r="V246" s="1464"/>
      <c r="W246" s="1464"/>
      <c r="X246" s="4" t="s">
        <v>90</v>
      </c>
      <c r="Z246" s="1437"/>
      <c r="AA246" s="1437"/>
      <c r="AB246" s="1437"/>
      <c r="AC246" s="1437"/>
      <c r="AD246" s="1437"/>
      <c r="AE246" s="1437"/>
      <c r="BB246" s="4" t="s">
        <v>174</v>
      </c>
      <c r="BG246">
        <v>3</v>
      </c>
      <c r="BH246" t="s">
        <v>546</v>
      </c>
      <c r="BN246" s="34"/>
    </row>
    <row r="247" spans="1:71" ht="12.95" customHeight="1">
      <c r="A247" s="19"/>
      <c r="B247" s="4"/>
      <c r="C247" s="4"/>
      <c r="D247" s="4" t="s">
        <v>91</v>
      </c>
      <c r="E247" s="4"/>
      <c r="F247" s="4"/>
      <c r="M247" s="1530" t="s">
        <v>2666</v>
      </c>
      <c r="N247" s="1530"/>
      <c r="O247" s="1530"/>
      <c r="P247" s="1530"/>
      <c r="Q247" s="1530"/>
      <c r="R247" s="1530"/>
      <c r="S247" s="1530"/>
      <c r="T247" s="1530"/>
      <c r="U247" s="1530"/>
      <c r="V247" s="1530"/>
      <c r="W247" s="1530"/>
      <c r="X247" s="1530"/>
      <c r="Y247" s="1530"/>
      <c r="Z247" s="1530"/>
      <c r="AA247" s="1530"/>
      <c r="AB247" s="1530"/>
      <c r="AC247" s="1530"/>
      <c r="AD247" s="1530"/>
      <c r="AE247" s="1530"/>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72" t="s">
        <v>546</v>
      </c>
      <c r="N248" s="1372"/>
      <c r="O248" s="1372"/>
      <c r="P248" s="1372"/>
      <c r="Q248" s="1372"/>
      <c r="R248" s="1372"/>
      <c r="S248" s="1372"/>
      <c r="T248" s="1372"/>
      <c r="U248" s="218" t="s">
        <v>940</v>
      </c>
      <c r="V248" s="218"/>
      <c r="W248" s="218"/>
      <c r="X248" s="218"/>
      <c r="Y248" s="218"/>
      <c r="Z248" s="218"/>
      <c r="AA248" s="1538"/>
      <c r="AB248" s="1538"/>
      <c r="AC248" s="1538"/>
      <c r="AD248" s="1538"/>
      <c r="AE248" s="1538"/>
      <c r="AF248" s="1538"/>
      <c r="AG248" s="1538"/>
      <c r="AH248" s="1538"/>
      <c r="AI248" s="1538"/>
      <c r="AJ248" s="1538"/>
      <c r="AK248" s="1538"/>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43" t="s">
        <v>2667</v>
      </c>
      <c r="N250" s="1543"/>
      <c r="O250" s="1543"/>
      <c r="P250" s="1543"/>
      <c r="Q250" s="1543"/>
      <c r="R250" s="1543"/>
      <c r="S250" s="1543"/>
      <c r="T250" s="1543"/>
      <c r="U250" s="1543"/>
      <c r="V250" s="1543"/>
      <c r="W250" s="1543"/>
      <c r="X250" s="1543"/>
      <c r="Y250" s="1543"/>
      <c r="Z250" s="1543"/>
      <c r="AA250" s="1543"/>
      <c r="AB250" s="1543"/>
      <c r="AC250" s="1543"/>
      <c r="AD250" s="1543"/>
      <c r="AE250" s="1543"/>
      <c r="AF250" s="1548" t="s">
        <v>309</v>
      </c>
      <c r="AG250" s="1548"/>
      <c r="AH250" s="1548"/>
      <c r="AI250" s="1548"/>
      <c r="AJ250" s="1548"/>
      <c r="AK250" s="1548"/>
      <c r="BN250" s="34"/>
    </row>
    <row r="251" spans="1:71" ht="12.95" customHeight="1">
      <c r="A251" s="19"/>
      <c r="B251" s="4"/>
      <c r="C251" s="4"/>
      <c r="D251" s="4" t="s">
        <v>86</v>
      </c>
      <c r="E251" s="4"/>
      <c r="F251" s="4"/>
      <c r="G251" s="4"/>
      <c r="H251" s="4"/>
      <c r="I251" s="4"/>
      <c r="J251" s="4"/>
      <c r="K251" s="4"/>
      <c r="L251" s="4"/>
      <c r="M251" s="1475" t="s">
        <v>2668</v>
      </c>
      <c r="N251" s="1475"/>
      <c r="O251" s="1475"/>
      <c r="P251" s="1475"/>
      <c r="Q251" s="1475"/>
      <c r="R251" s="1475"/>
      <c r="S251" s="1475"/>
      <c r="T251" s="1475"/>
      <c r="U251" s="1475"/>
      <c r="V251" s="1475"/>
      <c r="W251" s="1475"/>
      <c r="X251" s="1475"/>
      <c r="Y251" s="1475"/>
      <c r="Z251" s="1475"/>
      <c r="AA251" s="1475"/>
      <c r="AB251" s="1475"/>
      <c r="AC251" s="1475"/>
      <c r="AD251" s="1475"/>
      <c r="AE251" s="1475"/>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475" t="s">
        <v>2669</v>
      </c>
      <c r="N252" s="1475"/>
      <c r="O252" s="1475"/>
      <c r="P252" s="1475"/>
      <c r="Q252" s="1475"/>
      <c r="R252" s="1475"/>
      <c r="S252" s="1475"/>
      <c r="T252" s="1475"/>
      <c r="V252" s="33" t="s">
        <v>87</v>
      </c>
      <c r="W252" s="1463" t="s">
        <v>2660</v>
      </c>
      <c r="X252" s="1464"/>
      <c r="Y252" s="4" t="s">
        <v>593</v>
      </c>
      <c r="AC252" s="1542">
        <v>94973</v>
      </c>
      <c r="AD252" s="1542"/>
      <c r="AE252" s="1542"/>
      <c r="AF252" s="3" t="s">
        <v>1324</v>
      </c>
      <c r="BN252" s="34"/>
    </row>
    <row r="253" spans="1:71" ht="12.95" customHeight="1">
      <c r="A253" s="19"/>
      <c r="B253" s="4"/>
      <c r="C253" s="4"/>
      <c r="D253" s="4" t="s">
        <v>88</v>
      </c>
      <c r="E253" s="4"/>
      <c r="F253" s="4"/>
      <c r="G253" s="4"/>
      <c r="H253" s="4"/>
      <c r="I253" s="4"/>
      <c r="J253" s="4"/>
      <c r="K253" s="4"/>
      <c r="L253" s="19"/>
      <c r="M253" s="1475" t="s">
        <v>2661</v>
      </c>
      <c r="N253" s="1475"/>
      <c r="O253" s="1475"/>
      <c r="P253" s="1475"/>
      <c r="Q253" s="1475"/>
      <c r="R253" s="1475"/>
      <c r="S253" s="1475"/>
      <c r="T253" s="1475"/>
      <c r="U253" s="1475"/>
      <c r="V253" s="1475"/>
      <c r="W253" s="1475"/>
      <c r="X253" s="1475"/>
      <c r="Y253" s="1475"/>
      <c r="Z253" s="1475"/>
      <c r="AA253" s="1475"/>
      <c r="AB253" s="1475"/>
      <c r="AC253" s="1475"/>
      <c r="AD253" s="1475"/>
      <c r="AE253" s="1475"/>
      <c r="AH253" s="1435">
        <v>4.4999999999999998E-2</v>
      </c>
      <c r="AI253" s="1435"/>
      <c r="AJ253" s="1435"/>
      <c r="AK253" s="143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8">
        <v>4152597721</v>
      </c>
      <c r="N254" s="1518"/>
      <c r="O254" s="1518"/>
      <c r="P254" s="1518"/>
      <c r="Q254" s="1518"/>
      <c r="R254" s="1518"/>
      <c r="S254" s="4" t="s">
        <v>208</v>
      </c>
      <c r="T254" s="4"/>
      <c r="U254" s="1464"/>
      <c r="V254" s="1464"/>
      <c r="W254" s="1464"/>
      <c r="X254" s="4" t="s">
        <v>90</v>
      </c>
      <c r="Z254" s="1437"/>
      <c r="AA254" s="1437"/>
      <c r="AB254" s="1437"/>
      <c r="AC254" s="1437"/>
      <c r="AD254" s="1437"/>
      <c r="AE254" s="1437"/>
    </row>
    <row r="255" spans="1:71" ht="12.95" customHeight="1">
      <c r="A255" s="19"/>
      <c r="B255" s="4"/>
      <c r="C255" s="4"/>
      <c r="D255" s="4" t="s">
        <v>91</v>
      </c>
      <c r="E255" s="4"/>
      <c r="F255" s="4"/>
      <c r="M255" s="1530" t="s">
        <v>2662</v>
      </c>
      <c r="N255" s="1530"/>
      <c r="O255" s="1530"/>
      <c r="P255" s="1530"/>
      <c r="Q255" s="1530"/>
      <c r="R255" s="1530"/>
      <c r="S255" s="1530"/>
      <c r="T255" s="1530"/>
      <c r="U255" s="1530"/>
      <c r="V255" s="1530"/>
      <c r="W255" s="1530"/>
      <c r="X255" s="1530"/>
      <c r="Y255" s="1530"/>
      <c r="Z255" s="1530"/>
      <c r="AA255" s="1530"/>
      <c r="AB255" s="1530"/>
      <c r="AC255" s="1530"/>
      <c r="AD255" s="1530"/>
      <c r="AE255" s="1530"/>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72" t="s">
        <v>546</v>
      </c>
      <c r="N256" s="1372"/>
      <c r="O256" s="1372"/>
      <c r="P256" s="1372"/>
      <c r="Q256" s="1372"/>
      <c r="R256" s="1372"/>
      <c r="S256" s="1372"/>
      <c r="T256" s="1372"/>
      <c r="U256" s="218" t="s">
        <v>940</v>
      </c>
      <c r="V256" s="218"/>
      <c r="W256" s="218"/>
      <c r="X256" s="218"/>
      <c r="Y256" s="218"/>
      <c r="Z256" s="218"/>
      <c r="AA256" s="1538"/>
      <c r="AB256" s="1538"/>
      <c r="AC256" s="1538"/>
      <c r="AD256" s="1538"/>
      <c r="AE256" s="1538"/>
      <c r="AF256" s="1538"/>
      <c r="AG256" s="1538"/>
      <c r="AH256" s="1538"/>
      <c r="AI256" s="1538"/>
      <c r="AJ256" s="1538"/>
      <c r="AK256" s="1538"/>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43" t="s">
        <v>2670</v>
      </c>
      <c r="N258" s="1543"/>
      <c r="O258" s="1543"/>
      <c r="P258" s="1543"/>
      <c r="Q258" s="1543"/>
      <c r="R258" s="1543"/>
      <c r="S258" s="1543"/>
      <c r="T258" s="1543"/>
      <c r="U258" s="1543"/>
      <c r="V258" s="1543"/>
      <c r="W258" s="1543"/>
      <c r="X258" s="1543"/>
      <c r="Y258" s="1543"/>
      <c r="Z258" s="1543"/>
      <c r="AA258" s="1543"/>
      <c r="AB258" s="1543"/>
      <c r="AC258" s="1543"/>
      <c r="AD258" s="1543"/>
      <c r="AE258" s="1543"/>
      <c r="AF258" s="1543" t="s">
        <v>2673</v>
      </c>
      <c r="AG258" s="1548"/>
      <c r="AH258" s="1548"/>
      <c r="AI258" s="1548"/>
      <c r="AJ258" s="1548"/>
      <c r="AK258" s="1548"/>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475" t="s">
        <v>2671</v>
      </c>
      <c r="N259" s="1475"/>
      <c r="O259" s="1475"/>
      <c r="P259" s="1475"/>
      <c r="Q259" s="1475"/>
      <c r="R259" s="1475"/>
      <c r="S259" s="1475"/>
      <c r="T259" s="1475"/>
      <c r="U259" s="1475"/>
      <c r="V259" s="1475"/>
      <c r="W259" s="1475"/>
      <c r="X259" s="1475"/>
      <c r="Y259" s="1475"/>
      <c r="Z259" s="1475"/>
      <c r="AA259" s="1475"/>
      <c r="AB259" s="1475"/>
      <c r="AC259" s="1475"/>
      <c r="AD259" s="1475"/>
      <c r="AE259" s="1475"/>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475" t="s">
        <v>2672</v>
      </c>
      <c r="N260" s="1475"/>
      <c r="O260" s="1475"/>
      <c r="P260" s="1475"/>
      <c r="Q260" s="1475"/>
      <c r="R260" s="1475"/>
      <c r="S260" s="1475"/>
      <c r="T260" s="1475"/>
      <c r="V260" s="33" t="s">
        <v>87</v>
      </c>
      <c r="W260" s="1463" t="s">
        <v>2660</v>
      </c>
      <c r="X260" s="1464"/>
      <c r="Y260" s="4" t="s">
        <v>593</v>
      </c>
      <c r="AC260" s="1542">
        <v>96001</v>
      </c>
      <c r="AD260" s="1542"/>
      <c r="AE260" s="1542"/>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475" t="s">
        <v>2674</v>
      </c>
      <c r="N261" s="1475"/>
      <c r="O261" s="1475"/>
      <c r="P261" s="1475"/>
      <c r="Q261" s="1475"/>
      <c r="R261" s="1475"/>
      <c r="S261" s="1475"/>
      <c r="T261" s="1475"/>
      <c r="U261" s="1475"/>
      <c r="V261" s="1475"/>
      <c r="W261" s="1475"/>
      <c r="X261" s="1475"/>
      <c r="Y261" s="1475"/>
      <c r="Z261" s="1475"/>
      <c r="AA261" s="1475"/>
      <c r="AB261" s="1475"/>
      <c r="AC261" s="1475"/>
      <c r="AD261" s="1475"/>
      <c r="AE261" s="1475"/>
      <c r="AH261" s="1435">
        <v>0.01</v>
      </c>
      <c r="AI261" s="1435"/>
      <c r="AJ261" s="1435"/>
      <c r="AK261" s="143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518" t="s">
        <v>2675</v>
      </c>
      <c r="N262" s="1518"/>
      <c r="O262" s="1518"/>
      <c r="P262" s="1518"/>
      <c r="Q262" s="1518"/>
      <c r="R262" s="1518"/>
      <c r="S262" s="4" t="s">
        <v>208</v>
      </c>
      <c r="T262" s="4"/>
      <c r="U262" s="1464"/>
      <c r="V262" s="1464"/>
      <c r="W262" s="1464"/>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530" t="s">
        <v>2676</v>
      </c>
      <c r="N263" s="1530"/>
      <c r="O263" s="1530"/>
      <c r="P263" s="1530"/>
      <c r="Q263" s="1530"/>
      <c r="R263" s="1530"/>
      <c r="S263" s="1530"/>
      <c r="T263" s="1530"/>
      <c r="U263" s="1530"/>
      <c r="V263" s="1530"/>
      <c r="W263" s="1530"/>
      <c r="X263" s="1530"/>
      <c r="Y263" s="1530"/>
      <c r="Z263" s="1530"/>
      <c r="AA263" s="1550"/>
      <c r="AB263" s="1550"/>
      <c r="AC263" s="1550"/>
      <c r="AD263" s="1550"/>
      <c r="AE263" s="1550"/>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72" t="s">
        <v>544</v>
      </c>
      <c r="N264" s="1372"/>
      <c r="O264" s="1372"/>
      <c r="P264" s="1372"/>
      <c r="Q264" s="1372"/>
      <c r="R264" s="1372"/>
      <c r="S264" s="1372"/>
      <c r="T264" s="1372"/>
      <c r="U264" s="218" t="s">
        <v>940</v>
      </c>
      <c r="V264" s="218"/>
      <c r="W264" s="218"/>
      <c r="X264" s="218"/>
      <c r="Y264" s="218"/>
      <c r="Z264" s="218"/>
      <c r="AA264" s="1575"/>
      <c r="AB264" s="1575"/>
      <c r="AC264" s="1575"/>
      <c r="AD264" s="1575"/>
      <c r="AE264" s="1575"/>
      <c r="AF264" s="1575"/>
      <c r="AG264" s="1575"/>
      <c r="AH264" s="1575"/>
      <c r="AI264" s="1575"/>
      <c r="AJ264" s="1575"/>
      <c r="AK264" s="157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9" t="str">
        <f>BO245</f>
        <v>Joint Venture</v>
      </c>
      <c r="U266" s="1549"/>
      <c r="V266" s="1549"/>
      <c r="W266" s="1549"/>
      <c r="X266" s="1549"/>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42" t="s">
        <v>174</v>
      </c>
      <c r="E269" s="1542"/>
      <c r="F269" s="1542"/>
      <c r="G269" s="1542"/>
      <c r="H269" s="1542"/>
      <c r="J269" t="s">
        <v>281</v>
      </c>
      <c r="X269" s="1546"/>
      <c r="Y269" s="1546"/>
      <c r="Z269" s="1546"/>
      <c r="AA269" s="1546"/>
      <c r="AB269" s="1546"/>
      <c r="AC269" s="154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3" t="s">
        <v>2677</v>
      </c>
      <c r="M273" s="1543"/>
      <c r="N273" s="1543"/>
      <c r="O273" s="1543"/>
      <c r="P273" s="1543"/>
      <c r="Q273" s="1543"/>
      <c r="R273" s="1543"/>
      <c r="S273" s="1543"/>
      <c r="T273" s="1543"/>
      <c r="U273" s="1543"/>
      <c r="V273" s="1543"/>
      <c r="W273" s="1543"/>
      <c r="X273" s="1543"/>
      <c r="Y273" s="1543"/>
      <c r="Z273" s="1543"/>
      <c r="AA273" s="1543"/>
      <c r="AB273" s="1543"/>
      <c r="AC273" s="1543"/>
      <c r="AD273" s="1543"/>
      <c r="AE273" s="1543"/>
      <c r="AF273" s="1543"/>
      <c r="AG273" s="1543"/>
      <c r="AH273" s="1543"/>
      <c r="AI273" s="1543"/>
      <c r="AJ273" s="154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75" t="s">
        <v>2678</v>
      </c>
      <c r="M274" s="1475"/>
      <c r="N274" s="1475"/>
      <c r="O274" s="1475"/>
      <c r="P274" s="1475"/>
      <c r="Q274" s="1475"/>
      <c r="R274" s="1475"/>
      <c r="S274" s="1475"/>
      <c r="T274" s="1475"/>
      <c r="U274" s="1475"/>
      <c r="V274" s="1475"/>
      <c r="W274" s="1475"/>
      <c r="X274" s="1475"/>
      <c r="Y274" s="1475"/>
      <c r="Z274" s="1475"/>
      <c r="AA274" s="1475"/>
      <c r="AB274" s="1475"/>
      <c r="AC274" s="1475"/>
      <c r="AD274" s="1475"/>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75" t="s">
        <v>68</v>
      </c>
      <c r="M275" s="1475"/>
      <c r="N275" s="1475"/>
      <c r="O275" s="1475"/>
      <c r="P275" s="1475"/>
      <c r="Q275" s="1475"/>
      <c r="R275" s="1475"/>
      <c r="S275" s="1475"/>
      <c r="U275" s="33" t="s">
        <v>87</v>
      </c>
      <c r="V275" s="1463" t="s">
        <v>2660</v>
      </c>
      <c r="W275" s="1464"/>
      <c r="X275" s="4" t="s">
        <v>593</v>
      </c>
      <c r="AB275" s="1542">
        <v>95811</v>
      </c>
      <c r="AC275" s="1542"/>
      <c r="AD275" s="1542"/>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75" t="s">
        <v>2679</v>
      </c>
      <c r="M276" s="1475"/>
      <c r="N276" s="1475"/>
      <c r="O276" s="1475"/>
      <c r="P276" s="1475"/>
      <c r="Q276" s="1475"/>
      <c r="R276" s="1475"/>
      <c r="S276" s="1475"/>
      <c r="T276" s="1475"/>
      <c r="U276" s="1475"/>
      <c r="V276" s="1475"/>
      <c r="W276" s="1475"/>
      <c r="X276" s="1475"/>
      <c r="Y276" s="1475"/>
      <c r="Z276" s="1475"/>
      <c r="AA276" s="1475"/>
      <c r="AB276" s="1475"/>
      <c r="AC276" s="1475"/>
      <c r="AD276" s="147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8">
        <v>9164440286</v>
      </c>
      <c r="M277" s="1518"/>
      <c r="N277" s="1518"/>
      <c r="O277" s="1518"/>
      <c r="P277" s="1518"/>
      <c r="Q277" s="1518"/>
      <c r="R277" s="4" t="s">
        <v>208</v>
      </c>
      <c r="S277" s="4"/>
      <c r="T277" s="1464">
        <v>267</v>
      </c>
      <c r="U277" s="1464"/>
      <c r="V277" s="1464"/>
      <c r="W277" s="4" t="s">
        <v>90</v>
      </c>
      <c r="Y277" s="1518">
        <v>9164443408</v>
      </c>
      <c r="Z277" s="1518"/>
      <c r="AA277" s="1518"/>
      <c r="AB277" s="1518"/>
      <c r="AC277" s="1518"/>
      <c r="AD277" s="1518"/>
      <c r="BN277" s="34"/>
    </row>
    <row r="278" spans="1:66" ht="12.95" customHeight="1">
      <c r="D278" s="4" t="s">
        <v>91</v>
      </c>
      <c r="E278" s="4"/>
      <c r="F278" s="4"/>
      <c r="L278" s="1530" t="s">
        <v>2680</v>
      </c>
      <c r="M278" s="1530"/>
      <c r="N278" s="1530"/>
      <c r="O278" s="1530"/>
      <c r="P278" s="1530"/>
      <c r="Q278" s="1530"/>
      <c r="R278" s="1530"/>
      <c r="S278" s="1530"/>
      <c r="T278" s="1530"/>
      <c r="U278" s="1530"/>
      <c r="V278" s="1530"/>
      <c r="W278" s="1530"/>
      <c r="X278" s="1530"/>
      <c r="Y278" s="1530"/>
      <c r="Z278" s="1530"/>
      <c r="AA278" s="1530"/>
      <c r="AB278" s="1530"/>
      <c r="AC278" s="1530"/>
      <c r="AD278" s="1530"/>
      <c r="AF278" s="4"/>
      <c r="AG278" s="4"/>
      <c r="AH278" s="4"/>
      <c r="AI278" s="4"/>
      <c r="AJ278" s="4"/>
      <c r="BN278" s="34"/>
    </row>
    <row r="279" spans="1:66" ht="12.95" customHeight="1">
      <c r="D279" s="3" t="s">
        <v>633</v>
      </c>
      <c r="E279" s="3"/>
      <c r="F279" s="3"/>
      <c r="G279" s="3"/>
      <c r="H279" s="3"/>
      <c r="I279" s="3"/>
      <c r="L279" s="1463" t="s">
        <v>2681</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1" t="s">
        <v>551</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537" t="s">
        <v>2682</v>
      </c>
      <c r="I286" s="1537"/>
      <c r="J286" s="1537"/>
      <c r="K286" s="1537"/>
      <c r="L286" s="1537"/>
      <c r="M286" s="1537"/>
      <c r="N286" s="1537"/>
      <c r="O286" s="1537"/>
      <c r="P286" s="1537"/>
      <c r="Q286" s="1537"/>
      <c r="R286" s="1537"/>
      <c r="T286" s="3" t="s">
        <v>577</v>
      </c>
      <c r="V286" s="3"/>
      <c r="W286" s="3"/>
      <c r="X286" s="3"/>
      <c r="Y286" s="3"/>
      <c r="AA286" s="1392" t="s">
        <v>2686</v>
      </c>
      <c r="AB286" s="1392"/>
      <c r="AC286" s="1392"/>
      <c r="AD286" s="1392"/>
      <c r="AE286" s="1392"/>
      <c r="AF286" s="1392"/>
      <c r="AG286" s="1392"/>
      <c r="AH286" s="1392"/>
      <c r="AI286" s="1392"/>
      <c r="AJ286" s="1392"/>
      <c r="AK286" s="1392"/>
      <c r="BN286" s="34"/>
    </row>
    <row r="287" spans="1:66" ht="12.95" customHeight="1">
      <c r="B287" s="3" t="s">
        <v>481</v>
      </c>
      <c r="C287" s="3"/>
      <c r="D287" s="3"/>
      <c r="E287" s="3"/>
      <c r="F287" s="3"/>
      <c r="H287" s="1541" t="s">
        <v>2659</v>
      </c>
      <c r="I287" s="1541"/>
      <c r="J287" s="1541"/>
      <c r="K287" s="1541"/>
      <c r="L287" s="1541"/>
      <c r="M287" s="1541"/>
      <c r="N287" s="1541"/>
      <c r="O287" s="1541"/>
      <c r="P287" s="1541"/>
      <c r="Q287" s="1541"/>
      <c r="R287" s="1541"/>
      <c r="T287" s="3" t="s">
        <v>481</v>
      </c>
      <c r="V287" s="3"/>
      <c r="W287" s="3"/>
      <c r="X287" s="3"/>
      <c r="Y287" s="3"/>
      <c r="AA287" s="1463" t="s">
        <v>2687</v>
      </c>
      <c r="AB287" s="1372"/>
      <c r="AC287" s="1372"/>
      <c r="AD287" s="1372"/>
      <c r="AE287" s="1372"/>
      <c r="AF287" s="1372"/>
      <c r="AG287" s="1372"/>
      <c r="AH287" s="1372"/>
      <c r="AI287" s="1372"/>
      <c r="AJ287" s="1372"/>
      <c r="AK287" s="1372"/>
      <c r="BN287" s="34"/>
    </row>
    <row r="288" spans="1:66" ht="12.95" customHeight="1">
      <c r="B288" s="3" t="s">
        <v>482</v>
      </c>
      <c r="C288" s="3"/>
      <c r="D288" s="3"/>
      <c r="E288" s="3"/>
      <c r="F288" s="3"/>
      <c r="H288" s="1541" t="s">
        <v>2683</v>
      </c>
      <c r="I288" s="1541"/>
      <c r="J288" s="1541"/>
      <c r="K288" s="1541"/>
      <c r="L288" s="1541"/>
      <c r="M288" s="1541"/>
      <c r="N288" s="1541"/>
      <c r="O288" s="1541"/>
      <c r="P288" s="1541"/>
      <c r="Q288" s="1541"/>
      <c r="R288" s="1541"/>
      <c r="T288" s="3" t="s">
        <v>76</v>
      </c>
      <c r="V288" s="3"/>
      <c r="W288" s="3"/>
      <c r="X288" s="3"/>
      <c r="Y288" s="3"/>
      <c r="AA288" s="1463" t="s">
        <v>2688</v>
      </c>
      <c r="AB288" s="1372"/>
      <c r="AC288" s="1372"/>
      <c r="AD288" s="1372"/>
      <c r="AE288" s="1372"/>
      <c r="AF288" s="1372"/>
      <c r="AG288" s="1372"/>
      <c r="AH288" s="1372"/>
      <c r="AI288" s="1372"/>
      <c r="AJ288" s="1372"/>
      <c r="AK288" s="1372"/>
      <c r="BN288" s="34"/>
    </row>
    <row r="289" spans="2:66" ht="12.95" customHeight="1">
      <c r="B289" s="3" t="s">
        <v>88</v>
      </c>
      <c r="C289" s="3"/>
      <c r="D289" s="3"/>
      <c r="E289" s="3"/>
      <c r="F289" s="3"/>
      <c r="H289" s="1541" t="s">
        <v>2684</v>
      </c>
      <c r="I289" s="1541"/>
      <c r="J289" s="1541"/>
      <c r="K289" s="1541"/>
      <c r="L289" s="1541"/>
      <c r="M289" s="1541"/>
      <c r="N289" s="1541"/>
      <c r="O289" s="1541"/>
      <c r="P289" s="1541"/>
      <c r="Q289" s="1541"/>
      <c r="R289" s="1541"/>
      <c r="T289" s="3" t="s">
        <v>88</v>
      </c>
      <c r="V289" s="3"/>
      <c r="W289" s="3"/>
      <c r="X289" s="3"/>
      <c r="Y289" s="3"/>
      <c r="AA289" s="1463" t="s">
        <v>2689</v>
      </c>
      <c r="AB289" s="1372"/>
      <c r="AC289" s="1372"/>
      <c r="AD289" s="1372"/>
      <c r="AE289" s="1372"/>
      <c r="AF289" s="1372"/>
      <c r="AG289" s="1372"/>
      <c r="AH289" s="1372"/>
      <c r="AI289" s="1372"/>
      <c r="AJ289" s="1372"/>
      <c r="AK289" s="1372"/>
      <c r="BN289" s="34"/>
    </row>
    <row r="290" spans="2:66" ht="12.95" customHeight="1">
      <c r="B290" s="3" t="s">
        <v>89</v>
      </c>
      <c r="C290" s="3"/>
      <c r="D290" s="3"/>
      <c r="E290" s="3"/>
      <c r="F290" s="3"/>
      <c r="G290" s="3"/>
      <c r="H290" s="1545">
        <v>9164464040</v>
      </c>
      <c r="I290" s="1545"/>
      <c r="J290" s="1545"/>
      <c r="K290" s="1545"/>
      <c r="L290" s="1545"/>
      <c r="M290" s="1545"/>
      <c r="N290" s="4" t="s">
        <v>208</v>
      </c>
      <c r="O290" s="4"/>
      <c r="P290" s="1542"/>
      <c r="Q290" s="1542"/>
      <c r="R290" s="1542"/>
      <c r="S290" s="3"/>
      <c r="T290" s="3" t="s">
        <v>89</v>
      </c>
      <c r="V290" s="3"/>
      <c r="W290" s="3"/>
      <c r="X290" s="3"/>
      <c r="Y290" s="3"/>
      <c r="AA290" s="1540" t="s">
        <v>2690</v>
      </c>
      <c r="AB290" s="1540"/>
      <c r="AC290" s="1540"/>
      <c r="AD290" s="1540"/>
      <c r="AE290" s="1540"/>
      <c r="AF290" s="1540"/>
      <c r="AG290" s="4" t="s">
        <v>208</v>
      </c>
      <c r="AH290" s="4"/>
      <c r="AI290" s="1542"/>
      <c r="AJ290" s="1542"/>
      <c r="AK290" s="1542"/>
      <c r="BN290" s="34"/>
    </row>
    <row r="291" spans="2:66" ht="12.95" customHeight="1">
      <c r="B291" s="3" t="s">
        <v>90</v>
      </c>
      <c r="C291" s="3"/>
      <c r="D291" s="3"/>
      <c r="E291" s="3"/>
      <c r="F291" s="3"/>
      <c r="G291" s="3"/>
      <c r="H291" s="1539">
        <v>9164464044</v>
      </c>
      <c r="I291" s="1539"/>
      <c r="J291" s="1539"/>
      <c r="K291" s="1539"/>
      <c r="L291" s="1539"/>
      <c r="M291" s="1539"/>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2.95" customHeight="1">
      <c r="B292" s="3" t="s">
        <v>77</v>
      </c>
      <c r="C292" s="3"/>
      <c r="D292" s="3"/>
      <c r="E292" s="3"/>
      <c r="F292" s="3"/>
      <c r="G292" s="3"/>
      <c r="H292" s="1541" t="s">
        <v>2685</v>
      </c>
      <c r="I292" s="1541"/>
      <c r="J292" s="1541"/>
      <c r="K292" s="1541"/>
      <c r="L292" s="1541"/>
      <c r="M292" s="1541"/>
      <c r="N292" s="1537"/>
      <c r="O292" s="1537"/>
      <c r="P292" s="1537"/>
      <c r="Q292" s="1537"/>
      <c r="R292" s="1537"/>
      <c r="S292" s="3"/>
      <c r="T292" s="3" t="s">
        <v>77</v>
      </c>
      <c r="V292" s="3"/>
      <c r="W292" s="3"/>
      <c r="X292" s="3"/>
      <c r="Y292" s="3"/>
      <c r="AA292" s="1372"/>
      <c r="AB292" s="1372"/>
      <c r="AC292" s="1372"/>
      <c r="AD292" s="1372"/>
      <c r="AE292" s="1372"/>
      <c r="AF292" s="1372"/>
      <c r="AG292" s="1392"/>
      <c r="AH292" s="1392"/>
      <c r="AI292" s="1392"/>
      <c r="AJ292" s="1392"/>
      <c r="AK292" s="139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537" t="s">
        <v>2677</v>
      </c>
      <c r="I294" s="1537"/>
      <c r="J294" s="1537"/>
      <c r="K294" s="1537"/>
      <c r="L294" s="1537"/>
      <c r="M294" s="1537"/>
      <c r="N294" s="1537"/>
      <c r="O294" s="1537"/>
      <c r="P294" s="1537"/>
      <c r="Q294" s="1537"/>
      <c r="R294" s="1537"/>
      <c r="T294" s="3" t="s">
        <v>366</v>
      </c>
      <c r="V294" s="3"/>
      <c r="W294" s="3"/>
      <c r="X294" s="3"/>
      <c r="Y294" s="3"/>
      <c r="AA294" s="1475" t="s">
        <v>2711</v>
      </c>
      <c r="AB294" s="1392"/>
      <c r="AC294" s="1392"/>
      <c r="AD294" s="1392"/>
      <c r="AE294" s="1392"/>
      <c r="AF294" s="1392"/>
      <c r="AG294" s="1392"/>
      <c r="AH294" s="1392"/>
      <c r="AI294" s="1392"/>
      <c r="AJ294" s="1392"/>
      <c r="AK294" s="1392"/>
      <c r="BN294" s="34"/>
    </row>
    <row r="295" spans="2:66" ht="12.95" customHeight="1">
      <c r="B295" s="3" t="s">
        <v>481</v>
      </c>
      <c r="C295" s="3"/>
      <c r="D295" s="3"/>
      <c r="E295" s="3"/>
      <c r="F295" s="3"/>
      <c r="H295" s="1541" t="s">
        <v>2678</v>
      </c>
      <c r="I295" s="1541"/>
      <c r="J295" s="1541"/>
      <c r="K295" s="1541"/>
      <c r="L295" s="1541"/>
      <c r="M295" s="1541"/>
      <c r="N295" s="1541"/>
      <c r="O295" s="1541"/>
      <c r="P295" s="1541"/>
      <c r="Q295" s="1541"/>
      <c r="R295" s="1541"/>
      <c r="T295" s="3" t="s">
        <v>481</v>
      </c>
      <c r="V295" s="3"/>
      <c r="W295" s="3"/>
      <c r="X295" s="3"/>
      <c r="Y295" s="3"/>
      <c r="AA295" s="1463" t="s">
        <v>2712</v>
      </c>
      <c r="AB295" s="1372"/>
      <c r="AC295" s="1372"/>
      <c r="AD295" s="1372"/>
      <c r="AE295" s="1372"/>
      <c r="AF295" s="1372"/>
      <c r="AG295" s="1372"/>
      <c r="AH295" s="1372"/>
      <c r="AI295" s="1372"/>
      <c r="AJ295" s="1372"/>
      <c r="AK295" s="1372"/>
      <c r="BN295" s="34"/>
    </row>
    <row r="296" spans="2:66" ht="12.95" customHeight="1">
      <c r="B296" s="3" t="s">
        <v>482</v>
      </c>
      <c r="C296" s="3"/>
      <c r="D296" s="3"/>
      <c r="E296" s="3"/>
      <c r="F296" s="3"/>
      <c r="H296" s="1541" t="s">
        <v>2683</v>
      </c>
      <c r="I296" s="1541"/>
      <c r="J296" s="1541"/>
      <c r="K296" s="1541"/>
      <c r="L296" s="1541"/>
      <c r="M296" s="1541"/>
      <c r="N296" s="1541"/>
      <c r="O296" s="1541"/>
      <c r="P296" s="1541"/>
      <c r="Q296" s="1541"/>
      <c r="R296" s="1541"/>
      <c r="T296" s="3" t="s">
        <v>76</v>
      </c>
      <c r="V296" s="3"/>
      <c r="W296" s="3"/>
      <c r="X296" s="3"/>
      <c r="Y296" s="3"/>
      <c r="AA296" s="1463" t="s">
        <v>2701</v>
      </c>
      <c r="AB296" s="1372"/>
      <c r="AC296" s="1372"/>
      <c r="AD296" s="1372"/>
      <c r="AE296" s="1372"/>
      <c r="AF296" s="1372"/>
      <c r="AG296" s="1372"/>
      <c r="AH296" s="1372"/>
      <c r="AI296" s="1372"/>
      <c r="AJ296" s="1372"/>
      <c r="AK296" s="1372"/>
      <c r="BN296" s="34"/>
    </row>
    <row r="297" spans="2:66" ht="12.95" customHeight="1">
      <c r="B297" s="3" t="s">
        <v>88</v>
      </c>
      <c r="C297" s="3"/>
      <c r="D297" s="3"/>
      <c r="E297" s="3"/>
      <c r="F297" s="3"/>
      <c r="H297" s="1541" t="s">
        <v>2679</v>
      </c>
      <c r="I297" s="1541"/>
      <c r="J297" s="1541"/>
      <c r="K297" s="1541"/>
      <c r="L297" s="1541"/>
      <c r="M297" s="1541"/>
      <c r="N297" s="1541"/>
      <c r="O297" s="1541"/>
      <c r="P297" s="1541"/>
      <c r="Q297" s="1541"/>
      <c r="R297" s="1541"/>
      <c r="T297" s="3" t="s">
        <v>88</v>
      </c>
      <c r="V297" s="3"/>
      <c r="W297" s="3"/>
      <c r="X297" s="3"/>
      <c r="Y297" s="3"/>
      <c r="AA297" s="1463" t="s">
        <v>2721</v>
      </c>
      <c r="AB297" s="1372"/>
      <c r="AC297" s="1372"/>
      <c r="AD297" s="1372"/>
      <c r="AE297" s="1372"/>
      <c r="AF297" s="1372"/>
      <c r="AG297" s="1372"/>
      <c r="AH297" s="1372"/>
      <c r="AI297" s="1372"/>
      <c r="AJ297" s="1372"/>
      <c r="AK297" s="1372"/>
      <c r="BN297" s="34"/>
    </row>
    <row r="298" spans="2:66" ht="12.95" customHeight="1">
      <c r="B298" s="3" t="s">
        <v>89</v>
      </c>
      <c r="C298" s="3"/>
      <c r="D298" s="3"/>
      <c r="E298" s="3"/>
      <c r="F298" s="3"/>
      <c r="G298" s="3"/>
      <c r="H298" s="1545">
        <v>9164440286</v>
      </c>
      <c r="I298" s="1545"/>
      <c r="J298" s="1545"/>
      <c r="K298" s="1545"/>
      <c r="L298" s="1545"/>
      <c r="M298" s="1545"/>
      <c r="N298" s="4" t="s">
        <v>208</v>
      </c>
      <c r="O298" s="4"/>
      <c r="P298" s="1542"/>
      <c r="Q298" s="1542"/>
      <c r="R298" s="1542"/>
      <c r="S298" s="3"/>
      <c r="T298" s="3" t="s">
        <v>89</v>
      </c>
      <c r="V298" s="3"/>
      <c r="W298" s="3"/>
      <c r="X298" s="3"/>
      <c r="Y298" s="3"/>
      <c r="AA298" s="1540" t="s">
        <v>2713</v>
      </c>
      <c r="AB298" s="1540"/>
      <c r="AC298" s="1540"/>
      <c r="AD298" s="1540"/>
      <c r="AE298" s="1540"/>
      <c r="AF298" s="1540"/>
      <c r="AG298" s="4" t="s">
        <v>208</v>
      </c>
      <c r="AH298" s="4"/>
      <c r="AI298" s="1542"/>
      <c r="AJ298" s="1542"/>
      <c r="AK298" s="1542"/>
      <c r="BN298" s="34"/>
    </row>
    <row r="299" spans="2:66" ht="12.95" customHeight="1">
      <c r="B299" s="3" t="s">
        <v>90</v>
      </c>
      <c r="C299" s="3"/>
      <c r="D299" s="3"/>
      <c r="E299" s="3"/>
      <c r="F299" s="3"/>
      <c r="G299" s="3"/>
      <c r="H299" s="1539">
        <v>9164443408</v>
      </c>
      <c r="I299" s="1539"/>
      <c r="J299" s="1539"/>
      <c r="K299" s="1539"/>
      <c r="L299" s="1539"/>
      <c r="M299" s="1539"/>
      <c r="N299" s="4"/>
      <c r="O299" s="4"/>
      <c r="P299" s="35"/>
      <c r="Q299" s="35"/>
      <c r="R299" s="35"/>
      <c r="S299" s="3"/>
      <c r="T299" s="3" t="s">
        <v>90</v>
      </c>
      <c r="V299" s="3"/>
      <c r="W299" s="3"/>
      <c r="X299" s="3"/>
      <c r="Y299" s="3"/>
      <c r="AA299" s="1518" t="s">
        <v>2714</v>
      </c>
      <c r="AB299" s="1518"/>
      <c r="AC299" s="1518"/>
      <c r="AD299" s="1518"/>
      <c r="AE299" s="1518"/>
      <c r="AF299" s="1518"/>
      <c r="AG299" s="4"/>
      <c r="AH299" s="4"/>
      <c r="AI299" s="35"/>
      <c r="AJ299" s="35"/>
      <c r="AK299" s="35"/>
      <c r="BN299" s="34"/>
    </row>
    <row r="300" spans="2:66" ht="12.95" customHeight="1">
      <c r="B300" s="3" t="s">
        <v>77</v>
      </c>
      <c r="C300" s="3"/>
      <c r="D300" s="3"/>
      <c r="E300" s="3"/>
      <c r="F300" s="3"/>
      <c r="G300" s="3"/>
      <c r="H300" s="1541" t="s">
        <v>2680</v>
      </c>
      <c r="I300" s="1541"/>
      <c r="J300" s="1541"/>
      <c r="K300" s="1541"/>
      <c r="L300" s="1541"/>
      <c r="M300" s="1541"/>
      <c r="N300" s="1537"/>
      <c r="O300" s="1537"/>
      <c r="P300" s="1537"/>
      <c r="Q300" s="1537"/>
      <c r="R300" s="1537"/>
      <c r="S300" s="3"/>
      <c r="T300" s="3" t="s">
        <v>77</v>
      </c>
      <c r="V300" s="3"/>
      <c r="W300" s="3"/>
      <c r="X300" s="3"/>
      <c r="Y300" s="3"/>
      <c r="AA300" s="1463" t="s">
        <v>2722</v>
      </c>
      <c r="AB300" s="1372"/>
      <c r="AC300" s="1372"/>
      <c r="AD300" s="1372"/>
      <c r="AE300" s="1372"/>
      <c r="AF300" s="1372"/>
      <c r="AG300" s="1392"/>
      <c r="AH300" s="1392"/>
      <c r="AI300" s="1392"/>
      <c r="AJ300" s="1392"/>
      <c r="AK300" s="1392"/>
      <c r="BN300" s="34"/>
    </row>
    <row r="301" spans="2:66" ht="12.95" customHeight="1">
      <c r="BN301" s="34"/>
    </row>
    <row r="302" spans="2:66" ht="12.95" customHeight="1">
      <c r="B302" s="3" t="s">
        <v>78</v>
      </c>
      <c r="C302" s="3"/>
      <c r="D302" s="3"/>
      <c r="E302" s="3"/>
      <c r="F302" s="3"/>
      <c r="H302" s="1537" t="s">
        <v>2691</v>
      </c>
      <c r="I302" s="1537"/>
      <c r="J302" s="1537"/>
      <c r="K302" s="1537"/>
      <c r="L302" s="1537"/>
      <c r="M302" s="1537"/>
      <c r="N302" s="1537"/>
      <c r="O302" s="1537"/>
      <c r="P302" s="1537"/>
      <c r="Q302" s="1537"/>
      <c r="R302" s="1537"/>
      <c r="T302" s="4" t="s">
        <v>908</v>
      </c>
      <c r="V302" s="3"/>
      <c r="W302" s="3"/>
      <c r="X302" s="3"/>
      <c r="Y302" s="3"/>
      <c r="AA302" s="1392"/>
      <c r="AB302" s="1392"/>
      <c r="AC302" s="1392"/>
      <c r="AD302" s="1392"/>
      <c r="AE302" s="1392"/>
      <c r="AF302" s="1392"/>
      <c r="AG302" s="1392"/>
      <c r="AH302" s="1392"/>
      <c r="AI302" s="1392"/>
      <c r="AJ302" s="1392"/>
      <c r="AK302" s="1392"/>
      <c r="BN302" s="34"/>
    </row>
    <row r="303" spans="2:66" ht="12.95" customHeight="1">
      <c r="B303" s="3" t="s">
        <v>481</v>
      </c>
      <c r="C303" s="3"/>
      <c r="D303" s="3"/>
      <c r="E303" s="3"/>
      <c r="F303" s="3"/>
      <c r="H303" s="1463" t="s">
        <v>2692</v>
      </c>
      <c r="I303" s="1372"/>
      <c r="J303" s="1372"/>
      <c r="K303" s="1372"/>
      <c r="L303" s="1372"/>
      <c r="M303" s="1372"/>
      <c r="N303" s="1372"/>
      <c r="O303" s="1372"/>
      <c r="P303" s="1372"/>
      <c r="Q303" s="1372"/>
      <c r="R303" s="1372"/>
      <c r="T303" s="3" t="s">
        <v>481</v>
      </c>
      <c r="V303" s="3"/>
      <c r="W303" s="3"/>
      <c r="X303" s="3"/>
      <c r="Y303" s="3"/>
      <c r="AA303" s="1372"/>
      <c r="AB303" s="1372"/>
      <c r="AC303" s="1372"/>
      <c r="AD303" s="1372"/>
      <c r="AE303" s="1372"/>
      <c r="AF303" s="1372"/>
      <c r="AG303" s="1372"/>
      <c r="AH303" s="1372"/>
      <c r="AI303" s="1372"/>
      <c r="AJ303" s="1372"/>
      <c r="AK303" s="1372"/>
      <c r="BN303" s="34"/>
    </row>
    <row r="304" spans="2:66" ht="12.95" customHeight="1">
      <c r="B304" s="3" t="s">
        <v>482</v>
      </c>
      <c r="C304" s="3"/>
      <c r="D304" s="3"/>
      <c r="E304" s="3"/>
      <c r="F304" s="3"/>
      <c r="H304" s="1463" t="s">
        <v>2693</v>
      </c>
      <c r="I304" s="1372"/>
      <c r="J304" s="1372"/>
      <c r="K304" s="1372"/>
      <c r="L304" s="1372"/>
      <c r="M304" s="1372"/>
      <c r="N304" s="1372"/>
      <c r="O304" s="1372"/>
      <c r="P304" s="1372"/>
      <c r="Q304" s="1372"/>
      <c r="R304" s="1372"/>
      <c r="T304" s="3" t="s">
        <v>76</v>
      </c>
      <c r="V304" s="3"/>
      <c r="W304" s="3"/>
      <c r="X304" s="3"/>
      <c r="Y304" s="3"/>
      <c r="AA304" s="1372"/>
      <c r="AB304" s="1372"/>
      <c r="AC304" s="1372"/>
      <c r="AD304" s="1372"/>
      <c r="AE304" s="1372"/>
      <c r="AF304" s="1372"/>
      <c r="AG304" s="1372"/>
      <c r="AH304" s="1372"/>
      <c r="AI304" s="1372"/>
      <c r="AJ304" s="1372"/>
      <c r="AK304" s="1372"/>
      <c r="BN304" s="34"/>
    </row>
    <row r="305" spans="2:66" ht="12.95" customHeight="1">
      <c r="B305" s="3" t="s">
        <v>88</v>
      </c>
      <c r="C305" s="3"/>
      <c r="D305" s="3"/>
      <c r="E305" s="3"/>
      <c r="F305" s="3"/>
      <c r="H305" s="1262" t="s">
        <v>2694</v>
      </c>
      <c r="I305" s="269"/>
      <c r="J305" s="269"/>
      <c r="K305" s="269"/>
      <c r="L305" s="269"/>
      <c r="M305" s="269"/>
      <c r="N305" s="269"/>
      <c r="O305" s="269"/>
      <c r="P305" s="269"/>
      <c r="Q305" s="269"/>
      <c r="R305" s="269"/>
      <c r="T305" s="3" t="s">
        <v>88</v>
      </c>
      <c r="V305" s="3"/>
      <c r="W305" s="3"/>
      <c r="X305" s="3"/>
      <c r="Y305" s="3"/>
      <c r="AA305" s="1372"/>
      <c r="AB305" s="1372"/>
      <c r="AC305" s="1372"/>
      <c r="AD305" s="1372"/>
      <c r="AE305" s="1372"/>
      <c r="AF305" s="1372"/>
      <c r="AG305" s="1372"/>
      <c r="AH305" s="1372"/>
      <c r="AI305" s="1372"/>
      <c r="AJ305" s="1372"/>
      <c r="AK305" s="1372"/>
      <c r="BN305" s="34"/>
    </row>
    <row r="306" spans="2:66" ht="12.95" customHeight="1">
      <c r="B306" s="3" t="s">
        <v>89</v>
      </c>
      <c r="C306" s="3"/>
      <c r="D306" s="3"/>
      <c r="E306" s="3"/>
      <c r="F306" s="3"/>
      <c r="G306" s="3"/>
      <c r="H306" s="1545">
        <v>2099339113</v>
      </c>
      <c r="I306" s="1545"/>
      <c r="J306" s="1545"/>
      <c r="K306" s="1545"/>
      <c r="L306" s="1545"/>
      <c r="M306" s="1545"/>
      <c r="N306" s="4" t="s">
        <v>208</v>
      </c>
      <c r="O306" s="4"/>
      <c r="P306" s="1542"/>
      <c r="Q306" s="1542"/>
      <c r="R306" s="1542"/>
      <c r="S306" s="3"/>
      <c r="T306" s="3" t="s">
        <v>89</v>
      </c>
      <c r="V306" s="3"/>
      <c r="W306" s="3"/>
      <c r="X306" s="3"/>
      <c r="Y306" s="3"/>
      <c r="AA306" s="1544"/>
      <c r="AB306" s="1544"/>
      <c r="AC306" s="1544"/>
      <c r="AD306" s="1544"/>
      <c r="AE306" s="1544"/>
      <c r="AF306" s="1544"/>
      <c r="AG306" s="4" t="s">
        <v>208</v>
      </c>
      <c r="AH306" s="4"/>
      <c r="AI306" s="1542"/>
      <c r="AJ306" s="1542"/>
      <c r="AK306" s="1542"/>
      <c r="BN306" s="34"/>
    </row>
    <row r="307" spans="2:66" ht="12.95" customHeight="1">
      <c r="B307" s="3" t="s">
        <v>90</v>
      </c>
      <c r="C307" s="3"/>
      <c r="D307" s="3"/>
      <c r="E307" s="3"/>
      <c r="F307" s="3"/>
      <c r="G307" s="3"/>
      <c r="H307" s="1539">
        <v>2099339115</v>
      </c>
      <c r="I307" s="1539"/>
      <c r="J307" s="1539"/>
      <c r="K307" s="1539"/>
      <c r="L307" s="1539"/>
      <c r="M307" s="1539"/>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5" customHeight="1">
      <c r="B308" s="3" t="s">
        <v>77</v>
      </c>
      <c r="C308" s="3"/>
      <c r="D308" s="3"/>
      <c r="E308" s="3"/>
      <c r="F308" s="3"/>
      <c r="G308" s="3"/>
      <c r="H308" s="1541" t="s">
        <v>2695</v>
      </c>
      <c r="I308" s="1541"/>
      <c r="J308" s="1541"/>
      <c r="K308" s="1541"/>
      <c r="L308" s="1541"/>
      <c r="M308" s="1541"/>
      <c r="N308" s="1537"/>
      <c r="O308" s="1537"/>
      <c r="P308" s="1537"/>
      <c r="Q308" s="1537"/>
      <c r="R308" s="1537"/>
      <c r="S308" s="3"/>
      <c r="T308" s="3" t="s">
        <v>77</v>
      </c>
      <c r="V308" s="3"/>
      <c r="W308" s="3"/>
      <c r="X308" s="3"/>
      <c r="Y308" s="3"/>
      <c r="AA308" s="1372"/>
      <c r="AB308" s="1372"/>
      <c r="AC308" s="1372"/>
      <c r="AD308" s="1372"/>
      <c r="AE308" s="1372"/>
      <c r="AF308" s="1372"/>
      <c r="AG308" s="1392"/>
      <c r="AH308" s="1392"/>
      <c r="AI308" s="1392"/>
      <c r="AJ308" s="1392"/>
      <c r="AK308" s="139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537" t="s">
        <v>2696</v>
      </c>
      <c r="I310" s="1537"/>
      <c r="J310" s="1537"/>
      <c r="K310" s="1537"/>
      <c r="L310" s="1537"/>
      <c r="M310" s="1537"/>
      <c r="N310" s="1537"/>
      <c r="O310" s="1537"/>
      <c r="P310" s="1537"/>
      <c r="Q310" s="1537"/>
      <c r="R310" s="1537"/>
      <c r="S310" s="3"/>
      <c r="T310" s="3" t="s">
        <v>367</v>
      </c>
      <c r="V310" s="3"/>
      <c r="W310" s="3"/>
      <c r="X310" s="3"/>
      <c r="Y310" s="3"/>
      <c r="AA310" s="1392"/>
      <c r="AB310" s="1392"/>
      <c r="AC310" s="1392"/>
      <c r="AD310" s="1392"/>
      <c r="AE310" s="1392"/>
      <c r="AF310" s="1392"/>
      <c r="AG310" s="1392"/>
      <c r="AH310" s="1392"/>
      <c r="AI310" s="1392"/>
      <c r="AJ310" s="1392"/>
      <c r="AK310" s="1392"/>
      <c r="BN310" s="34"/>
    </row>
    <row r="311" spans="2:66" ht="12.95" customHeight="1">
      <c r="B311" s="3" t="s">
        <v>481</v>
      </c>
      <c r="C311" s="3"/>
      <c r="D311" s="3"/>
      <c r="E311" s="3"/>
      <c r="F311" s="3"/>
      <c r="H311" s="1541" t="s">
        <v>2697</v>
      </c>
      <c r="I311" s="1541"/>
      <c r="J311" s="1541"/>
      <c r="K311" s="1541"/>
      <c r="L311" s="1541"/>
      <c r="M311" s="1541"/>
      <c r="N311" s="1541"/>
      <c r="O311" s="1541"/>
      <c r="P311" s="1541"/>
      <c r="Q311" s="1541"/>
      <c r="R311" s="1541"/>
      <c r="S311" s="3"/>
      <c r="T311" s="3" t="s">
        <v>481</v>
      </c>
      <c r="V311" s="3"/>
      <c r="W311" s="3"/>
      <c r="X311" s="3"/>
      <c r="Y311" s="3"/>
      <c r="AA311" s="1372"/>
      <c r="AB311" s="1372"/>
      <c r="AC311" s="1372"/>
      <c r="AD311" s="1372"/>
      <c r="AE311" s="1372"/>
      <c r="AF311" s="1372"/>
      <c r="AG311" s="1372"/>
      <c r="AH311" s="1372"/>
      <c r="AI311" s="1372"/>
      <c r="AJ311" s="1372"/>
      <c r="AK311" s="1372"/>
      <c r="BN311" s="34"/>
    </row>
    <row r="312" spans="2:66" ht="12.95" customHeight="1">
      <c r="B312" s="3" t="s">
        <v>482</v>
      </c>
      <c r="C312" s="3"/>
      <c r="D312" s="3"/>
      <c r="E312" s="3"/>
      <c r="F312" s="3"/>
      <c r="H312" s="1541" t="s">
        <v>2698</v>
      </c>
      <c r="I312" s="1541"/>
      <c r="J312" s="1541"/>
      <c r="K312" s="1541"/>
      <c r="L312" s="1541"/>
      <c r="M312" s="1541"/>
      <c r="N312" s="1541"/>
      <c r="O312" s="1541"/>
      <c r="P312" s="1541"/>
      <c r="Q312" s="1541"/>
      <c r="R312" s="1541"/>
      <c r="S312" s="3"/>
      <c r="T312" s="3" t="s">
        <v>76</v>
      </c>
      <c r="V312" s="3"/>
      <c r="W312" s="3"/>
      <c r="X312" s="3"/>
      <c r="Y312" s="3"/>
      <c r="AA312" s="1372"/>
      <c r="AB312" s="1372"/>
      <c r="AC312" s="1372"/>
      <c r="AD312" s="1372"/>
      <c r="AE312" s="1372"/>
      <c r="AF312" s="1372"/>
      <c r="AG312" s="1372"/>
      <c r="AH312" s="1372"/>
      <c r="AI312" s="1372"/>
      <c r="AJ312" s="1372"/>
      <c r="AK312" s="1372"/>
      <c r="BN312" s="34"/>
    </row>
    <row r="313" spans="2:66" ht="12.95" customHeight="1">
      <c r="B313" s="3" t="s">
        <v>88</v>
      </c>
      <c r="C313" s="3"/>
      <c r="D313" s="3"/>
      <c r="E313" s="3"/>
      <c r="F313" s="3"/>
      <c r="H313" s="1541" t="s">
        <v>2699</v>
      </c>
      <c r="I313" s="1541"/>
      <c r="J313" s="1541"/>
      <c r="K313" s="1541"/>
      <c r="L313" s="1541"/>
      <c r="M313" s="1541"/>
      <c r="N313" s="1541"/>
      <c r="O313" s="1541"/>
      <c r="P313" s="1541"/>
      <c r="Q313" s="1541"/>
      <c r="R313" s="1541"/>
      <c r="S313" s="3"/>
      <c r="T313" s="3" t="s">
        <v>88</v>
      </c>
      <c r="V313" s="3"/>
      <c r="W313" s="3"/>
      <c r="X313" s="3"/>
      <c r="Y313" s="3"/>
      <c r="AA313" s="1372"/>
      <c r="AB313" s="1372"/>
      <c r="AC313" s="1372"/>
      <c r="AD313" s="1372"/>
      <c r="AE313" s="1372"/>
      <c r="AF313" s="1372"/>
      <c r="AG313" s="1372"/>
      <c r="AH313" s="1372"/>
      <c r="AI313" s="1372"/>
      <c r="AJ313" s="1372"/>
      <c r="AK313" s="1372"/>
      <c r="BN313" s="34"/>
    </row>
    <row r="314" spans="2:66" ht="12.95" customHeight="1">
      <c r="B314" s="3" t="s">
        <v>89</v>
      </c>
      <c r="C314" s="3"/>
      <c r="D314" s="3"/>
      <c r="E314" s="3"/>
      <c r="F314" s="3"/>
      <c r="G314" s="3"/>
      <c r="H314" s="1545">
        <v>2094731040</v>
      </c>
      <c r="I314" s="1545"/>
      <c r="J314" s="1545"/>
      <c r="K314" s="1545"/>
      <c r="L314" s="1545"/>
      <c r="M314" s="1545"/>
      <c r="N314" s="4" t="s">
        <v>208</v>
      </c>
      <c r="O314" s="4"/>
      <c r="P314" s="1542"/>
      <c r="Q314" s="1542"/>
      <c r="R314" s="1542"/>
      <c r="S314" s="3"/>
      <c r="T314" s="3" t="s">
        <v>89</v>
      </c>
      <c r="V314" s="3"/>
      <c r="W314" s="3"/>
      <c r="X314" s="3"/>
      <c r="Y314" s="3"/>
      <c r="AA314" s="1544"/>
      <c r="AB314" s="1544"/>
      <c r="AC314" s="1544"/>
      <c r="AD314" s="1544"/>
      <c r="AE314" s="1544"/>
      <c r="AF314" s="1544"/>
      <c r="AG314" s="4" t="s">
        <v>208</v>
      </c>
      <c r="AH314" s="4"/>
      <c r="AI314" s="1542"/>
      <c r="AJ314" s="1542"/>
      <c r="AK314" s="1542"/>
      <c r="BN314" s="34"/>
    </row>
    <row r="315" spans="2:66" ht="12.95" customHeight="1">
      <c r="B315" s="3" t="s">
        <v>90</v>
      </c>
      <c r="C315" s="3"/>
      <c r="D315" s="3"/>
      <c r="E315" s="3"/>
      <c r="F315" s="3"/>
      <c r="G315" s="3"/>
      <c r="H315" s="1539">
        <v>2094739711</v>
      </c>
      <c r="I315" s="1539"/>
      <c r="J315" s="1539"/>
      <c r="K315" s="1539"/>
      <c r="L315" s="1539"/>
      <c r="M315" s="1539"/>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2.95" customHeight="1">
      <c r="B316" s="3" t="s">
        <v>77</v>
      </c>
      <c r="C316" s="3"/>
      <c r="D316" s="3"/>
      <c r="E316" s="3"/>
      <c r="F316" s="3"/>
      <c r="G316" s="3"/>
      <c r="H316" s="1372"/>
      <c r="I316" s="1372"/>
      <c r="J316" s="1372"/>
      <c r="K316" s="1372"/>
      <c r="L316" s="1372"/>
      <c r="M316" s="1372"/>
      <c r="N316" s="1392"/>
      <c r="O316" s="1392"/>
      <c r="P316" s="1392"/>
      <c r="Q316" s="1392"/>
      <c r="R316" s="1392"/>
      <c r="S316" s="3"/>
      <c r="T316" s="3" t="s">
        <v>77</v>
      </c>
      <c r="V316" s="3"/>
      <c r="W316" s="3"/>
      <c r="X316" s="3"/>
      <c r="Y316" s="3"/>
      <c r="AA316" s="1372"/>
      <c r="AB316" s="1372"/>
      <c r="AC316" s="1372"/>
      <c r="AD316" s="1372"/>
      <c r="AE316" s="1372"/>
      <c r="AF316" s="1372"/>
      <c r="AG316" s="1392"/>
      <c r="AH316" s="1392"/>
      <c r="AI316" s="1392"/>
      <c r="AJ316" s="1392"/>
      <c r="AK316" s="1392"/>
      <c r="BN316" s="34"/>
    </row>
    <row r="317" spans="2:66" ht="12.95" customHeight="1">
      <c r="BN317" s="34"/>
    </row>
    <row r="318" spans="2:66" ht="12.95" customHeight="1">
      <c r="B318" s="4" t="s">
        <v>942</v>
      </c>
      <c r="C318" s="3"/>
      <c r="D318" s="3"/>
      <c r="E318" s="3"/>
      <c r="F318" s="3"/>
      <c r="H318" s="1537" t="s">
        <v>2677</v>
      </c>
      <c r="I318" s="1537"/>
      <c r="J318" s="1537"/>
      <c r="K318" s="1537"/>
      <c r="L318" s="1537"/>
      <c r="M318" s="1537"/>
      <c r="N318" s="1537"/>
      <c r="O318" s="1537"/>
      <c r="P318" s="1537"/>
      <c r="Q318" s="1537"/>
      <c r="R318" s="1537"/>
      <c r="T318" s="3" t="s">
        <v>368</v>
      </c>
      <c r="V318" s="3"/>
      <c r="W318" s="3"/>
      <c r="X318" s="3"/>
      <c r="Y318" s="3"/>
      <c r="AA318" s="1392" t="s">
        <v>2715</v>
      </c>
      <c r="AB318" s="1392"/>
      <c r="AC318" s="1392"/>
      <c r="AD318" s="1392"/>
      <c r="AE318" s="1392"/>
      <c r="AF318" s="1392"/>
      <c r="AG318" s="1392"/>
      <c r="AH318" s="1392"/>
      <c r="AI318" s="1392"/>
      <c r="AJ318" s="1392"/>
      <c r="AK318" s="1392"/>
      <c r="BN318" s="34"/>
    </row>
    <row r="319" spans="2:66" ht="12.95" customHeight="1">
      <c r="B319" s="3" t="s">
        <v>481</v>
      </c>
      <c r="C319" s="3"/>
      <c r="D319" s="3"/>
      <c r="E319" s="3"/>
      <c r="F319" s="3"/>
      <c r="H319" s="1541" t="s">
        <v>2678</v>
      </c>
      <c r="I319" s="1541"/>
      <c r="J319" s="1541"/>
      <c r="K319" s="1541"/>
      <c r="L319" s="1541"/>
      <c r="M319" s="1541"/>
      <c r="N319" s="1541"/>
      <c r="O319" s="1541"/>
      <c r="P319" s="1541"/>
      <c r="Q319" s="1541"/>
      <c r="R319" s="1541"/>
      <c r="T319" s="3" t="s">
        <v>481</v>
      </c>
      <c r="V319" s="3"/>
      <c r="W319" s="3"/>
      <c r="X319" s="3"/>
      <c r="Y319" s="3"/>
      <c r="AA319" s="1463" t="s">
        <v>2716</v>
      </c>
      <c r="AB319" s="1372"/>
      <c r="AC319" s="1372"/>
      <c r="AD319" s="1372"/>
      <c r="AE319" s="1372"/>
      <c r="AF319" s="1372"/>
      <c r="AG319" s="1372"/>
      <c r="AH319" s="1372"/>
      <c r="AI319" s="1372"/>
      <c r="AJ319" s="1372"/>
      <c r="AK319" s="1372"/>
      <c r="BN319" s="34"/>
    </row>
    <row r="320" spans="2:66" ht="12.95" customHeight="1">
      <c r="B320" s="3" t="s">
        <v>482</v>
      </c>
      <c r="C320" s="3"/>
      <c r="D320" s="3"/>
      <c r="E320" s="3"/>
      <c r="F320" s="3"/>
      <c r="H320" s="1262" t="s">
        <v>2700</v>
      </c>
      <c r="I320" s="269"/>
      <c r="J320" s="269"/>
      <c r="K320" s="269"/>
      <c r="L320" s="269"/>
      <c r="M320" s="269"/>
      <c r="N320" s="269"/>
      <c r="O320" s="269"/>
      <c r="P320" s="269"/>
      <c r="Q320" s="269"/>
      <c r="R320" s="269"/>
      <c r="T320" s="3" t="s">
        <v>76</v>
      </c>
      <c r="V320" s="3"/>
      <c r="W320" s="3"/>
      <c r="X320" s="3"/>
      <c r="Y320" s="3"/>
      <c r="AA320" s="1463" t="s">
        <v>2717</v>
      </c>
      <c r="AB320" s="1372"/>
      <c r="AC320" s="1372"/>
      <c r="AD320" s="1372"/>
      <c r="AE320" s="1372"/>
      <c r="AF320" s="1372"/>
      <c r="AG320" s="1372"/>
      <c r="AH320" s="1372"/>
      <c r="AI320" s="1372"/>
      <c r="AJ320" s="1372"/>
      <c r="AK320" s="1372"/>
      <c r="BN320" s="34"/>
    </row>
    <row r="321" spans="2:66" ht="12.95" customHeight="1">
      <c r="B321" s="3" t="s">
        <v>88</v>
      </c>
      <c r="C321" s="3"/>
      <c r="D321" s="3"/>
      <c r="E321" s="3"/>
      <c r="F321" s="3"/>
      <c r="H321" s="1463" t="s">
        <v>2701</v>
      </c>
      <c r="I321" s="1372"/>
      <c r="J321" s="1372"/>
      <c r="K321" s="1372"/>
      <c r="L321" s="1372"/>
      <c r="M321" s="1372"/>
      <c r="N321" s="1372"/>
      <c r="O321" s="1372"/>
      <c r="P321" s="1372"/>
      <c r="Q321" s="1372"/>
      <c r="R321" s="1372"/>
      <c r="T321" s="3" t="s">
        <v>88</v>
      </c>
      <c r="V321" s="3"/>
      <c r="W321" s="3"/>
      <c r="X321" s="3"/>
      <c r="Y321" s="3"/>
      <c r="AA321" s="1463" t="s">
        <v>2718</v>
      </c>
      <c r="AB321" s="1372"/>
      <c r="AC321" s="1372"/>
      <c r="AD321" s="1372"/>
      <c r="AE321" s="1372"/>
      <c r="AF321" s="1372"/>
      <c r="AG321" s="1372"/>
      <c r="AH321" s="1372"/>
      <c r="AI321" s="1372"/>
      <c r="AJ321" s="1372"/>
      <c r="AK321" s="1372"/>
      <c r="BN321" s="34"/>
    </row>
    <row r="322" spans="2:66" ht="12.95" customHeight="1">
      <c r="B322" s="3" t="s">
        <v>89</v>
      </c>
      <c r="C322" s="3"/>
      <c r="D322" s="3"/>
      <c r="E322" s="3"/>
      <c r="F322" s="3"/>
      <c r="G322" s="3"/>
      <c r="H322" s="1544" t="s">
        <v>2702</v>
      </c>
      <c r="I322" s="1544"/>
      <c r="J322" s="1544"/>
      <c r="K322" s="1544"/>
      <c r="L322" s="1544"/>
      <c r="M322" s="1544"/>
      <c r="N322" s="4" t="s">
        <v>208</v>
      </c>
      <c r="O322" s="4"/>
      <c r="P322" s="1542">
        <v>267</v>
      </c>
      <c r="Q322" s="1542"/>
      <c r="R322" s="1542"/>
      <c r="S322" s="3"/>
      <c r="T322" s="3" t="s">
        <v>89</v>
      </c>
      <c r="V322" s="3"/>
      <c r="W322" s="3"/>
      <c r="X322" s="3"/>
      <c r="Y322" s="3"/>
      <c r="AA322" s="1544"/>
      <c r="AB322" s="1544"/>
      <c r="AC322" s="1544"/>
      <c r="AD322" s="1544"/>
      <c r="AE322" s="1544"/>
      <c r="AF322" s="1544"/>
      <c r="AG322" s="4" t="s">
        <v>208</v>
      </c>
      <c r="AH322" s="4"/>
      <c r="AI322" s="1542"/>
      <c r="AJ322" s="1542"/>
      <c r="AK322" s="1542"/>
      <c r="BN322" s="34"/>
    </row>
    <row r="323" spans="2:66" ht="12.95" customHeight="1">
      <c r="B323" s="3" t="s">
        <v>90</v>
      </c>
      <c r="C323" s="3"/>
      <c r="D323" s="3"/>
      <c r="E323" s="3"/>
      <c r="F323" s="3"/>
      <c r="G323" s="3"/>
      <c r="H323" s="1437" t="s">
        <v>2703</v>
      </c>
      <c r="I323" s="1437"/>
      <c r="J323" s="1437"/>
      <c r="K323" s="1437"/>
      <c r="L323" s="1437"/>
      <c r="M323" s="1437"/>
      <c r="N323" s="4"/>
      <c r="O323" s="4"/>
      <c r="P323" s="35"/>
      <c r="Q323" s="35"/>
      <c r="R323" s="35"/>
      <c r="S323" s="3"/>
      <c r="T323" s="3" t="s">
        <v>90</v>
      </c>
      <c r="V323" s="3"/>
      <c r="W323" s="3"/>
      <c r="X323" s="3"/>
      <c r="Y323" s="3"/>
      <c r="AA323" s="1518" t="s">
        <v>2719</v>
      </c>
      <c r="AB323" s="1518"/>
      <c r="AC323" s="1518"/>
      <c r="AD323" s="1518"/>
      <c r="AE323" s="1518"/>
      <c r="AF323" s="1518"/>
      <c r="AG323" s="4"/>
      <c r="AH323" s="4"/>
      <c r="AI323" s="35"/>
      <c r="AJ323" s="35"/>
      <c r="AK323" s="35"/>
    </row>
    <row r="324" spans="2:66" ht="12.95" customHeight="1">
      <c r="B324" s="3" t="s">
        <v>77</v>
      </c>
      <c r="C324" s="3"/>
      <c r="D324" s="3"/>
      <c r="E324" s="3"/>
      <c r="F324" s="3"/>
      <c r="G324" s="3"/>
      <c r="H324" s="1463" t="s">
        <v>2704</v>
      </c>
      <c r="I324" s="1372"/>
      <c r="J324" s="1372"/>
      <c r="K324" s="1372"/>
      <c r="L324" s="1372"/>
      <c r="M324" s="1372"/>
      <c r="N324" s="1392"/>
      <c r="O324" s="1392"/>
      <c r="P324" s="1392"/>
      <c r="Q324" s="1392"/>
      <c r="R324" s="1392"/>
      <c r="S324" s="3"/>
      <c r="T324" s="3" t="s">
        <v>77</v>
      </c>
      <c r="V324" s="3"/>
      <c r="W324" s="3"/>
      <c r="X324" s="3"/>
      <c r="Y324" s="3"/>
      <c r="AA324" s="1547" t="s">
        <v>2720</v>
      </c>
      <c r="AB324" s="1372"/>
      <c r="AC324" s="1372"/>
      <c r="AD324" s="1372"/>
      <c r="AE324" s="1372"/>
      <c r="AF324" s="1372"/>
      <c r="AG324" s="1392"/>
      <c r="AH324" s="1392"/>
      <c r="AI324" s="1392"/>
      <c r="AJ324" s="1392"/>
      <c r="AK324" s="139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2"/>
      <c r="I326" s="1392"/>
      <c r="J326" s="1392"/>
      <c r="K326" s="1392"/>
      <c r="L326" s="1392"/>
      <c r="M326" s="1392"/>
      <c r="N326" s="1392"/>
      <c r="O326" s="1392"/>
      <c r="P326" s="1392"/>
      <c r="Q326" s="1392"/>
      <c r="R326" s="1392"/>
      <c r="T326" s="3" t="s">
        <v>370</v>
      </c>
      <c r="V326" s="3"/>
      <c r="W326" s="3"/>
      <c r="X326" s="3"/>
      <c r="Y326" s="3"/>
      <c r="AA326" s="1392"/>
      <c r="AB326" s="1392"/>
      <c r="AC326" s="1392"/>
      <c r="AD326" s="1392"/>
      <c r="AE326" s="1392"/>
      <c r="AF326" s="1392"/>
      <c r="AG326" s="1392"/>
      <c r="AH326" s="1392"/>
      <c r="AI326" s="1392"/>
      <c r="AJ326" s="1392"/>
      <c r="AK326" s="1392"/>
    </row>
    <row r="327" spans="2:66" ht="12.95" customHeight="1">
      <c r="B327" s="3" t="s">
        <v>481</v>
      </c>
      <c r="C327" s="3"/>
      <c r="D327" s="3"/>
      <c r="E327" s="3"/>
      <c r="F327" s="3"/>
      <c r="H327" s="1372"/>
      <c r="I327" s="1372"/>
      <c r="J327" s="1372"/>
      <c r="K327" s="1372"/>
      <c r="L327" s="1372"/>
      <c r="M327" s="1372"/>
      <c r="N327" s="1372"/>
      <c r="O327" s="1372"/>
      <c r="P327" s="1372"/>
      <c r="Q327" s="1372"/>
      <c r="R327" s="1372"/>
      <c r="T327" s="3" t="s">
        <v>481</v>
      </c>
      <c r="V327" s="3"/>
      <c r="W327" s="3"/>
      <c r="X327" s="3"/>
      <c r="Y327" s="3"/>
      <c r="AA327" s="1372"/>
      <c r="AB327" s="1372"/>
      <c r="AC327" s="1372"/>
      <c r="AD327" s="1372"/>
      <c r="AE327" s="1372"/>
      <c r="AF327" s="1372"/>
      <c r="AG327" s="1372"/>
      <c r="AH327" s="1372"/>
      <c r="AI327" s="1372"/>
      <c r="AJ327" s="1372"/>
      <c r="AK327" s="1372"/>
    </row>
    <row r="328" spans="2:66" ht="12.95" customHeight="1">
      <c r="B328" s="3" t="s">
        <v>482</v>
      </c>
      <c r="C328" s="3"/>
      <c r="D328" s="3"/>
      <c r="E328" s="3"/>
      <c r="F328" s="3"/>
      <c r="H328" s="1372"/>
      <c r="I328" s="1372"/>
      <c r="J328" s="1372"/>
      <c r="K328" s="1372"/>
      <c r="L328" s="1372"/>
      <c r="M328" s="1372"/>
      <c r="N328" s="1372"/>
      <c r="O328" s="1372"/>
      <c r="P328" s="1372"/>
      <c r="Q328" s="1372"/>
      <c r="R328" s="1372"/>
      <c r="T328" s="3" t="s">
        <v>76</v>
      </c>
      <c r="V328" s="3"/>
      <c r="W328" s="3"/>
      <c r="X328" s="3"/>
      <c r="Y328" s="3"/>
      <c r="AA328" s="1372"/>
      <c r="AB328" s="1372"/>
      <c r="AC328" s="1372"/>
      <c r="AD328" s="1372"/>
      <c r="AE328" s="1372"/>
      <c r="AF328" s="1372"/>
      <c r="AG328" s="1372"/>
      <c r="AH328" s="1372"/>
      <c r="AI328" s="1372"/>
      <c r="AJ328" s="1372"/>
      <c r="AK328" s="1372"/>
    </row>
    <row r="329" spans="2:66" ht="12.95" customHeight="1">
      <c r="B329" s="3" t="s">
        <v>88</v>
      </c>
      <c r="C329" s="3"/>
      <c r="D329" s="3"/>
      <c r="E329" s="3"/>
      <c r="F329" s="3"/>
      <c r="H329" s="1372"/>
      <c r="I329" s="1372"/>
      <c r="J329" s="1372"/>
      <c r="K329" s="1372"/>
      <c r="L329" s="1372"/>
      <c r="M329" s="1372"/>
      <c r="N329" s="1372"/>
      <c r="O329" s="1372"/>
      <c r="P329" s="1372"/>
      <c r="Q329" s="1372"/>
      <c r="R329" s="1372"/>
      <c r="T329" s="3" t="s">
        <v>88</v>
      </c>
      <c r="V329" s="3"/>
      <c r="W329" s="3"/>
      <c r="X329" s="3"/>
      <c r="Y329" s="3"/>
      <c r="AA329" s="1372"/>
      <c r="AB329" s="1372"/>
      <c r="AC329" s="1372"/>
      <c r="AD329" s="1372"/>
      <c r="AE329" s="1372"/>
      <c r="AF329" s="1372"/>
      <c r="AG329" s="1372"/>
      <c r="AH329" s="1372"/>
      <c r="AI329" s="1372"/>
      <c r="AJ329" s="1372"/>
      <c r="AK329" s="1372"/>
    </row>
    <row r="330" spans="2:66" ht="12.95" customHeight="1">
      <c r="B330" s="3" t="s">
        <v>89</v>
      </c>
      <c r="C330" s="3"/>
      <c r="D330" s="3"/>
      <c r="E330" s="3"/>
      <c r="F330" s="3"/>
      <c r="G330" s="3"/>
      <c r="H330" s="1544"/>
      <c r="I330" s="1544"/>
      <c r="J330" s="1544"/>
      <c r="K330" s="1544"/>
      <c r="L330" s="1544"/>
      <c r="M330" s="1544"/>
      <c r="N330" s="4" t="s">
        <v>208</v>
      </c>
      <c r="O330" s="4"/>
      <c r="P330" s="1542"/>
      <c r="Q330" s="1542"/>
      <c r="R330" s="1542"/>
      <c r="S330" s="3"/>
      <c r="T330" s="3" t="s">
        <v>89</v>
      </c>
      <c r="V330" s="3"/>
      <c r="W330" s="3"/>
      <c r="X330" s="3"/>
      <c r="Y330" s="3"/>
      <c r="AA330" s="1544"/>
      <c r="AB330" s="1544"/>
      <c r="AC330" s="1544"/>
      <c r="AD330" s="1544"/>
      <c r="AE330" s="1544"/>
      <c r="AF330" s="1544"/>
      <c r="AG330" s="4" t="s">
        <v>208</v>
      </c>
      <c r="AH330" s="4"/>
      <c r="AI330" s="1542"/>
      <c r="AJ330" s="1542"/>
      <c r="AK330" s="1542"/>
    </row>
    <row r="331" spans="2:66" ht="12.95"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2.95" customHeight="1">
      <c r="B332" s="3" t="s">
        <v>77</v>
      </c>
      <c r="C332" s="3"/>
      <c r="D332" s="3"/>
      <c r="E332" s="3"/>
      <c r="F332" s="3"/>
      <c r="G332" s="3"/>
      <c r="H332" s="1372"/>
      <c r="I332" s="1372"/>
      <c r="J332" s="1372"/>
      <c r="K332" s="1372"/>
      <c r="L332" s="1372"/>
      <c r="M332" s="1372"/>
      <c r="N332" s="1392"/>
      <c r="O332" s="1392"/>
      <c r="P332" s="1392"/>
      <c r="Q332" s="1392"/>
      <c r="R332" s="1392"/>
      <c r="S332" s="3"/>
      <c r="T332" s="3" t="s">
        <v>77</v>
      </c>
      <c r="V332" s="3"/>
      <c r="W332" s="3"/>
      <c r="X332" s="3"/>
      <c r="Y332" s="3"/>
      <c r="AA332" s="1372"/>
      <c r="AB332" s="1372"/>
      <c r="AC332" s="1372"/>
      <c r="AD332" s="1372"/>
      <c r="AE332" s="1372"/>
      <c r="AF332" s="1372"/>
      <c r="AG332" s="1392"/>
      <c r="AH332" s="1392"/>
      <c r="AI332" s="1392"/>
      <c r="AJ332" s="1392"/>
      <c r="AK332" s="139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475" t="s">
        <v>2705</v>
      </c>
      <c r="I334" s="1392"/>
      <c r="J334" s="1392"/>
      <c r="K334" s="1392"/>
      <c r="L334" s="1392"/>
      <c r="M334" s="1392"/>
      <c r="N334" s="1392"/>
      <c r="O334" s="1392"/>
      <c r="P334" s="1392"/>
      <c r="Q334" s="1392"/>
      <c r="R334" s="1392"/>
      <c r="T334" s="218" t="s">
        <v>917</v>
      </c>
      <c r="V334" s="3"/>
      <c r="W334" s="3"/>
      <c r="X334" s="3"/>
      <c r="Y334" s="3"/>
      <c r="AA334" s="1261" t="s">
        <v>2711</v>
      </c>
      <c r="AB334" s="1260"/>
      <c r="AC334" s="1260"/>
      <c r="AD334" s="1260"/>
      <c r="AE334" s="1260"/>
      <c r="AF334" s="1260"/>
      <c r="AG334" s="1260"/>
      <c r="AH334" s="1260"/>
      <c r="AI334" s="1260"/>
      <c r="AJ334" s="1260"/>
      <c r="AK334" s="1260"/>
    </row>
    <row r="335" spans="2:66" ht="12.95" customHeight="1">
      <c r="B335" s="3" t="s">
        <v>481</v>
      </c>
      <c r="C335" s="3"/>
      <c r="D335" s="3"/>
      <c r="E335" s="3"/>
      <c r="F335" s="3"/>
      <c r="H335" s="1463" t="s">
        <v>2706</v>
      </c>
      <c r="I335" s="1372"/>
      <c r="J335" s="1372"/>
      <c r="K335" s="1372"/>
      <c r="L335" s="1372"/>
      <c r="M335" s="1372"/>
      <c r="N335" s="1372"/>
      <c r="O335" s="1372"/>
      <c r="P335" s="1372"/>
      <c r="Q335" s="1372"/>
      <c r="R335" s="1372"/>
      <c r="T335" s="3" t="s">
        <v>481</v>
      </c>
      <c r="V335" s="3"/>
      <c r="W335" s="3"/>
      <c r="X335" s="3"/>
      <c r="Y335" s="3"/>
      <c r="AA335" s="1463" t="s">
        <v>2712</v>
      </c>
      <c r="AB335" s="1372"/>
      <c r="AC335" s="1372"/>
      <c r="AD335" s="1372"/>
      <c r="AE335" s="1372"/>
      <c r="AF335" s="1372"/>
      <c r="AG335" s="1372"/>
      <c r="AH335" s="1372"/>
      <c r="AI335" s="1372"/>
      <c r="AJ335" s="1372"/>
      <c r="AK335" s="1372"/>
    </row>
    <row r="336" spans="2:66" ht="12.95" customHeight="1">
      <c r="B336" s="3" t="s">
        <v>76</v>
      </c>
      <c r="C336" s="3"/>
      <c r="D336" s="3"/>
      <c r="E336" s="3"/>
      <c r="F336" s="3"/>
      <c r="H336" s="1463" t="s">
        <v>2707</v>
      </c>
      <c r="I336" s="1372"/>
      <c r="J336" s="1372"/>
      <c r="K336" s="1372"/>
      <c r="L336" s="1372"/>
      <c r="M336" s="1372"/>
      <c r="N336" s="1372"/>
      <c r="O336" s="1372"/>
      <c r="P336" s="1372"/>
      <c r="Q336" s="1372"/>
      <c r="R336" s="1372"/>
      <c r="T336" s="3" t="s">
        <v>76</v>
      </c>
      <c r="V336" s="3"/>
      <c r="W336" s="3"/>
      <c r="X336" s="3"/>
      <c r="Y336" s="3"/>
      <c r="AA336" s="1463" t="s">
        <v>2701</v>
      </c>
      <c r="AB336" s="1372"/>
      <c r="AC336" s="1372"/>
      <c r="AD336" s="1372"/>
      <c r="AE336" s="1372"/>
      <c r="AF336" s="1372"/>
      <c r="AG336" s="1372"/>
      <c r="AH336" s="1372"/>
      <c r="AI336" s="1372"/>
      <c r="AJ336" s="1372"/>
      <c r="AK336" s="1372"/>
    </row>
    <row r="337" spans="1:66" ht="12.95" customHeight="1">
      <c r="B337" s="3" t="s">
        <v>88</v>
      </c>
      <c r="C337" s="3"/>
      <c r="D337" s="3"/>
      <c r="E337" s="3"/>
      <c r="F337" s="3"/>
      <c r="G337" s="3"/>
      <c r="H337" s="1463" t="s">
        <v>2708</v>
      </c>
      <c r="I337" s="1372"/>
      <c r="J337" s="1372"/>
      <c r="K337" s="1372"/>
      <c r="L337" s="1372"/>
      <c r="M337" s="1372"/>
      <c r="N337" s="1372"/>
      <c r="O337" s="1372"/>
      <c r="P337" s="1372"/>
      <c r="Q337" s="1372"/>
      <c r="R337" s="1372"/>
      <c r="T337" s="3" t="s">
        <v>88</v>
      </c>
      <c r="V337" s="3"/>
      <c r="W337" s="3"/>
      <c r="X337" s="3"/>
      <c r="Y337" s="3"/>
      <c r="AA337" s="1463" t="s">
        <v>2665</v>
      </c>
      <c r="AB337" s="1372"/>
      <c r="AC337" s="1372"/>
      <c r="AD337" s="1372"/>
      <c r="AE337" s="1372"/>
      <c r="AF337" s="1372"/>
      <c r="AG337" s="1372"/>
      <c r="AH337" s="1372"/>
      <c r="AI337" s="1372"/>
      <c r="AJ337" s="1372"/>
      <c r="AK337" s="1372"/>
    </row>
    <row r="338" spans="1:66" ht="12.95" customHeight="1">
      <c r="B338" s="3" t="s">
        <v>89</v>
      </c>
      <c r="C338" s="3"/>
      <c r="D338" s="3"/>
      <c r="E338" s="3"/>
      <c r="F338" s="3"/>
      <c r="G338" s="3"/>
      <c r="H338" s="1540" t="s">
        <v>2709</v>
      </c>
      <c r="I338" s="1540"/>
      <c r="J338" s="1540"/>
      <c r="K338" s="1540"/>
      <c r="L338" s="1540"/>
      <c r="M338" s="1540"/>
      <c r="N338" s="4" t="s">
        <v>208</v>
      </c>
      <c r="O338" s="4"/>
      <c r="P338" s="1542"/>
      <c r="Q338" s="1542"/>
      <c r="R338" s="1542"/>
      <c r="S338" s="3"/>
      <c r="T338" s="3" t="s">
        <v>89</v>
      </c>
      <c r="V338" s="3"/>
      <c r="W338" s="3"/>
      <c r="X338" s="3"/>
      <c r="Y338" s="3"/>
      <c r="AA338" s="1540" t="s">
        <v>2713</v>
      </c>
      <c r="AB338" s="1540"/>
      <c r="AC338" s="1540"/>
      <c r="AD338" s="1540"/>
      <c r="AE338" s="1540"/>
      <c r="AF338" s="1540"/>
      <c r="AG338" s="4" t="s">
        <v>208</v>
      </c>
      <c r="AH338" s="4"/>
      <c r="AI338" s="1542"/>
      <c r="AJ338" s="1542"/>
      <c r="AK338" s="1542"/>
    </row>
    <row r="339" spans="1:66" ht="12.95" customHeight="1">
      <c r="B339" s="3" t="s">
        <v>90</v>
      </c>
      <c r="C339" s="3"/>
      <c r="D339" s="3"/>
      <c r="E339" s="3"/>
      <c r="F339" s="3"/>
      <c r="G339" s="3"/>
      <c r="H339" s="1518" t="s">
        <v>2710</v>
      </c>
      <c r="I339" s="1518"/>
      <c r="J339" s="1518"/>
      <c r="K339" s="1518"/>
      <c r="L339" s="1518"/>
      <c r="M339" s="1518"/>
      <c r="N339" s="4"/>
      <c r="O339" s="4"/>
      <c r="P339" s="35"/>
      <c r="Q339" s="35"/>
      <c r="R339" s="35"/>
      <c r="S339" s="3"/>
      <c r="T339" s="3" t="s">
        <v>90</v>
      </c>
      <c r="V339" s="3"/>
      <c r="W339" s="3"/>
      <c r="X339" s="3"/>
      <c r="Y339" s="3"/>
      <c r="AA339" s="1518" t="s">
        <v>2714</v>
      </c>
      <c r="AB339" s="1518"/>
      <c r="AC339" s="1518"/>
      <c r="AD339" s="1518"/>
      <c r="AE339" s="1518"/>
      <c r="AF339" s="1518"/>
      <c r="AG339" s="4"/>
      <c r="AH339" s="4"/>
      <c r="AI339" s="35"/>
      <c r="AJ339" s="35"/>
      <c r="AK339" s="35"/>
    </row>
    <row r="340" spans="1:66" ht="12.95" customHeight="1">
      <c r="B340" s="3" t="s">
        <v>77</v>
      </c>
      <c r="C340" s="3"/>
      <c r="D340" s="3"/>
      <c r="E340" s="3"/>
      <c r="F340" s="3"/>
      <c r="G340" s="3"/>
      <c r="H340" s="1372"/>
      <c r="I340" s="1372"/>
      <c r="J340" s="1372"/>
      <c r="K340" s="1372"/>
      <c r="L340" s="1372"/>
      <c r="M340" s="1372"/>
      <c r="N340" s="1392"/>
      <c r="O340" s="1392"/>
      <c r="P340" s="1392"/>
      <c r="Q340" s="1392"/>
      <c r="R340" s="1392"/>
      <c r="S340" s="3"/>
      <c r="T340" s="3" t="s">
        <v>77</v>
      </c>
      <c r="V340" s="3"/>
      <c r="W340" s="3"/>
      <c r="X340" s="3"/>
      <c r="Y340" s="3"/>
      <c r="AA340" s="1547" t="s">
        <v>2666</v>
      </c>
      <c r="AB340" s="1372"/>
      <c r="AC340" s="1372"/>
      <c r="AD340" s="1372"/>
      <c r="AE340" s="1372"/>
      <c r="AF340" s="1372"/>
      <c r="AG340" s="1392"/>
      <c r="AH340" s="1392"/>
      <c r="AI340" s="1392"/>
      <c r="AJ340" s="1392"/>
      <c r="AK340" s="139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2"/>
      <c r="Q342" s="1392"/>
      <c r="R342" s="1392"/>
      <c r="S342" s="1392"/>
      <c r="T342" s="1392"/>
      <c r="U342" s="1392"/>
      <c r="V342" s="1392"/>
      <c r="W342" s="1392"/>
      <c r="X342" s="1392"/>
      <c r="Y342" s="1392"/>
      <c r="Z342" s="1392"/>
      <c r="AA342" s="1392"/>
      <c r="AB342" s="1392"/>
      <c r="AC342" s="1392"/>
      <c r="AD342" s="1392"/>
      <c r="AE342" s="1392"/>
      <c r="BN342" t="s">
        <v>601</v>
      </c>
    </row>
    <row r="343" spans="1:66" ht="12.95" customHeight="1">
      <c r="B343" s="4"/>
      <c r="C343" s="4"/>
      <c r="D343" s="4"/>
      <c r="E343" s="4"/>
      <c r="F343" s="4"/>
      <c r="I343" s="4" t="s">
        <v>481</v>
      </c>
      <c r="P343" s="1372"/>
      <c r="Q343" s="1372"/>
      <c r="R343" s="1372"/>
      <c r="S343" s="1372"/>
      <c r="T343" s="1372"/>
      <c r="U343" s="1372"/>
      <c r="V343" s="1372"/>
      <c r="W343" s="1372"/>
      <c r="X343" s="1372"/>
      <c r="Y343" s="1372"/>
      <c r="Z343" s="1372"/>
      <c r="AA343" s="1372"/>
      <c r="AB343" s="1372"/>
      <c r="AC343" s="1372"/>
      <c r="AD343" s="1372"/>
      <c r="AE343" s="1372"/>
      <c r="BN343" t="s">
        <v>679</v>
      </c>
    </row>
    <row r="344" spans="1:66" ht="12.95" customHeight="1">
      <c r="B344" s="4"/>
      <c r="C344" s="4"/>
      <c r="D344" s="4"/>
      <c r="E344" s="4"/>
      <c r="F344" s="4"/>
      <c r="I344" s="4" t="s">
        <v>76</v>
      </c>
      <c r="P344" s="1372"/>
      <c r="Q344" s="1372"/>
      <c r="R344" s="1372"/>
      <c r="S344" s="1372"/>
      <c r="T344" s="1372"/>
      <c r="U344" s="1372"/>
      <c r="V344" s="1372"/>
      <c r="W344" s="1372"/>
      <c r="X344" s="1372"/>
      <c r="Y344" s="1372"/>
      <c r="Z344" s="1372"/>
      <c r="AA344" s="1372"/>
      <c r="AB344" s="1372"/>
      <c r="AC344" s="1372"/>
      <c r="AD344" s="1372"/>
      <c r="AE344" s="1372"/>
      <c r="BN344" t="s">
        <v>555</v>
      </c>
    </row>
    <row r="345" spans="1:66" ht="12.95" customHeight="1">
      <c r="B345" s="4"/>
      <c r="C345" s="4"/>
      <c r="D345" s="4"/>
      <c r="E345" s="4"/>
      <c r="F345" s="4"/>
      <c r="G345" s="4"/>
      <c r="I345" s="4" t="s">
        <v>88</v>
      </c>
      <c r="P345" s="1372"/>
      <c r="Q345" s="1372"/>
      <c r="R345" s="1372"/>
      <c r="S345" s="1372"/>
      <c r="T345" s="1372"/>
      <c r="U345" s="1372"/>
      <c r="V345" s="1372"/>
      <c r="W345" s="1372"/>
      <c r="X345" s="1372"/>
      <c r="Y345" s="1372"/>
      <c r="Z345" s="1372"/>
      <c r="AA345" s="1372"/>
      <c r="AB345" s="1372"/>
      <c r="AC345" s="1372"/>
      <c r="AD345" s="1372"/>
      <c r="AE345" s="1372"/>
    </row>
    <row r="346" spans="1:66" ht="12.9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4"/>
      <c r="AD346" s="1464"/>
      <c r="AE346" s="1464"/>
      <c r="AF346" s="324"/>
      <c r="AG346" s="4"/>
      <c r="AH346" s="4"/>
      <c r="AI346" s="4"/>
      <c r="AJ346" s="4"/>
      <c r="AK346" s="4"/>
    </row>
    <row r="347" spans="1:66" ht="12.9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5" customHeight="1">
      <c r="B348" s="4"/>
      <c r="C348" s="4"/>
      <c r="D348" s="4"/>
      <c r="E348" s="4"/>
      <c r="F348" s="4"/>
      <c r="G348" s="4"/>
      <c r="I348" s="4" t="s">
        <v>77</v>
      </c>
      <c r="P348" s="1392"/>
      <c r="Q348" s="1392"/>
      <c r="R348" s="1392"/>
      <c r="S348" s="1392"/>
      <c r="T348" s="1392"/>
      <c r="U348" s="1392"/>
      <c r="V348" s="1392"/>
      <c r="W348" s="1392"/>
      <c r="X348" s="1392"/>
      <c r="Y348" s="1392"/>
      <c r="Z348" s="1392"/>
      <c r="AA348" s="1392"/>
      <c r="AB348" s="1392"/>
      <c r="AC348" s="1392"/>
      <c r="AD348" s="1392"/>
      <c r="AE348" s="1392"/>
    </row>
    <row r="349" spans="1:66" ht="12.95" customHeight="1">
      <c r="T349" s="8"/>
      <c r="U349" s="8"/>
      <c r="V349" s="8"/>
      <c r="W349" s="8"/>
      <c r="X349" s="8"/>
      <c r="Y349" s="8"/>
      <c r="Z349" s="8"/>
    </row>
    <row r="350" spans="1:66" ht="12.95" customHeight="1">
      <c r="A350" s="1441" t="s">
        <v>552</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2524</v>
      </c>
      <c r="M354" s="1376" t="s">
        <v>555</v>
      </c>
      <c r="N354" s="1376"/>
      <c r="P354" t="s">
        <v>1833</v>
      </c>
      <c r="AJ354" s="1376" t="s">
        <v>679</v>
      </c>
      <c r="AK354" s="1376"/>
    </row>
    <row r="355" spans="1:37" ht="12.95" customHeight="1">
      <c r="D355" s="3" t="s">
        <v>1822</v>
      </c>
      <c r="M355" s="1376" t="s">
        <v>601</v>
      </c>
      <c r="N355" s="1376"/>
      <c r="P355" s="3" t="s">
        <v>1982</v>
      </c>
      <c r="AJ355" s="1428"/>
      <c r="AK355" s="1428"/>
    </row>
    <row r="356" spans="1:37" ht="12.95" customHeight="1">
      <c r="D356" s="3" t="s">
        <v>717</v>
      </c>
      <c r="M356" s="1376" t="s">
        <v>601</v>
      </c>
      <c r="N356" s="1376"/>
      <c r="P356" t="s">
        <v>1832</v>
      </c>
      <c r="AJ356" s="1376" t="s">
        <v>601</v>
      </c>
      <c r="AK356" s="1376"/>
    </row>
    <row r="357" spans="1:37" ht="12.95" customHeight="1">
      <c r="D357" s="3" t="s">
        <v>718</v>
      </c>
      <c r="M357" s="1376" t="s">
        <v>601</v>
      </c>
      <c r="N357" s="1376"/>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6" t="s">
        <v>601</v>
      </c>
      <c r="O362" s="1376"/>
      <c r="P362" s="40"/>
      <c r="Q362" s="40"/>
      <c r="R362" s="40"/>
      <c r="S362" s="40"/>
      <c r="T362" s="40"/>
      <c r="U362" s="40"/>
      <c r="V362" s="40"/>
      <c r="W362" s="40"/>
      <c r="X362" s="40"/>
      <c r="Y362" s="40"/>
      <c r="Z362" s="40"/>
      <c r="AC362" s="40"/>
      <c r="AD362" s="40"/>
      <c r="AE362" s="40"/>
    </row>
    <row r="363" spans="1:37" ht="12.95" customHeight="1">
      <c r="E363" t="s">
        <v>372</v>
      </c>
      <c r="Y363" s="1376" t="s">
        <v>601</v>
      </c>
      <c r="Z363" s="1376"/>
    </row>
    <row r="364" spans="1:37" ht="12.95" customHeight="1">
      <c r="D364" s="4" t="s">
        <v>1019</v>
      </c>
      <c r="Q364" s="1392"/>
      <c r="R364" s="1392"/>
      <c r="S364" s="1392"/>
      <c r="T364" s="1392"/>
      <c r="U364" s="1392"/>
      <c r="V364" s="1392"/>
      <c r="W364" s="1392"/>
      <c r="X364" s="1392"/>
      <c r="Y364" s="1392"/>
      <c r="Z364" s="1392"/>
      <c r="AA364" s="1392"/>
      <c r="AB364" s="1392"/>
      <c r="AC364" s="1392"/>
      <c r="AD364" s="1392"/>
      <c r="AE364" s="1392"/>
      <c r="AF364" s="1392"/>
      <c r="AG364" s="139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6" t="s">
        <v>601</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605" t="s">
        <v>719</v>
      </c>
      <c r="F367" s="1605"/>
      <c r="G367" s="1605"/>
      <c r="H367" s="1605"/>
      <c r="I367" s="1605"/>
      <c r="J367" s="1605"/>
      <c r="K367" s="1605"/>
      <c r="L367" s="1605"/>
      <c r="M367" s="1605"/>
      <c r="N367" s="1605"/>
      <c r="O367" s="1605"/>
      <c r="P367" s="1605"/>
      <c r="Q367" s="1605"/>
      <c r="R367" s="1605"/>
      <c r="S367" s="1605"/>
      <c r="T367" s="1605"/>
      <c r="U367" s="1605"/>
      <c r="V367" s="1605"/>
      <c r="W367" s="1605"/>
      <c r="X367" s="1605"/>
      <c r="Y367" s="1605"/>
      <c r="Z367" s="1605"/>
      <c r="AA367" s="1605"/>
      <c r="AB367" s="1605"/>
      <c r="AC367" s="1605"/>
      <c r="AD367" s="1605"/>
      <c r="AE367" s="1605"/>
      <c r="AF367" s="1605"/>
      <c r="AG367" s="1605"/>
      <c r="AH367" s="1605"/>
    </row>
    <row r="368" spans="1:37" ht="12.95" customHeight="1">
      <c r="E368" s="1605"/>
      <c r="F368" s="1605"/>
      <c r="G368" s="1605"/>
      <c r="H368" s="1605"/>
      <c r="I368" s="1605"/>
      <c r="J368" s="1605"/>
      <c r="K368" s="1605"/>
      <c r="L368" s="1605"/>
      <c r="M368" s="1605"/>
      <c r="N368" s="1605"/>
      <c r="O368" s="1605"/>
      <c r="P368" s="1605"/>
      <c r="Q368" s="1605"/>
      <c r="R368" s="1605"/>
      <c r="S368" s="1605"/>
      <c r="T368" s="1605"/>
      <c r="U368" s="1605"/>
      <c r="V368" s="1605"/>
      <c r="W368" s="1605"/>
      <c r="X368" s="1605"/>
      <c r="Y368" s="1605"/>
      <c r="Z368" s="1605"/>
      <c r="AA368" s="1605"/>
      <c r="AB368" s="1605"/>
      <c r="AC368" s="1605"/>
      <c r="AD368" s="1605"/>
      <c r="AE368" s="1605"/>
      <c r="AF368" s="1605"/>
      <c r="AG368" s="1605"/>
      <c r="AH368" s="1605"/>
    </row>
    <row r="369" spans="1:36" ht="12.95" customHeight="1">
      <c r="E369" s="4" t="s">
        <v>458</v>
      </c>
      <c r="F369" s="4"/>
      <c r="G369" s="4"/>
      <c r="H369" s="4"/>
      <c r="I369" s="4"/>
      <c r="J369" s="4"/>
      <c r="K369" s="4"/>
      <c r="L369" s="4"/>
      <c r="N369" s="1381"/>
      <c r="O369" s="1381"/>
      <c r="P369" s="1381"/>
      <c r="Q369" s="1381"/>
      <c r="R369" s="4"/>
      <c r="U369" s="4" t="s">
        <v>459</v>
      </c>
      <c r="V369" s="4"/>
      <c r="W369" s="4"/>
      <c r="X369" s="4"/>
      <c r="Y369" s="4"/>
      <c r="Z369" s="4"/>
      <c r="AA369" s="4"/>
      <c r="AB369" s="4"/>
      <c r="AC369" s="1381"/>
      <c r="AD369" s="1381"/>
      <c r="AE369" s="1381"/>
      <c r="AF369" s="1381"/>
    </row>
    <row r="370" spans="1:36" ht="12.95" customHeight="1">
      <c r="E370" s="4" t="s">
        <v>460</v>
      </c>
      <c r="F370" s="4"/>
      <c r="G370" s="4"/>
      <c r="H370" s="4"/>
      <c r="I370" s="4"/>
      <c r="J370" s="4"/>
      <c r="K370" s="4"/>
      <c r="L370" s="4"/>
      <c r="N370" s="1381"/>
      <c r="O370" s="1381"/>
      <c r="P370" s="1381"/>
      <c r="Q370" s="1381"/>
      <c r="R370" s="4"/>
      <c r="U370" s="4" t="s">
        <v>0</v>
      </c>
      <c r="V370" s="4"/>
      <c r="W370" s="4"/>
      <c r="X370" s="4"/>
      <c r="Y370" s="4"/>
      <c r="Z370" s="4"/>
      <c r="AA370" s="4"/>
      <c r="AB370" s="4"/>
      <c r="AC370" s="1381"/>
      <c r="AD370" s="1381"/>
      <c r="AE370" s="1381"/>
      <c r="AF370" s="1381"/>
    </row>
    <row r="371" spans="1:36" ht="12.95" customHeight="1">
      <c r="E371" s="4" t="s">
        <v>1</v>
      </c>
      <c r="F371" s="4"/>
      <c r="G371" s="4"/>
      <c r="H371" s="4"/>
      <c r="I371" s="4"/>
      <c r="J371" s="4"/>
      <c r="K371" s="4"/>
      <c r="L371" s="4"/>
      <c r="N371" s="1381"/>
      <c r="O371" s="1381"/>
      <c r="P371" s="1381"/>
      <c r="Q371" s="1381"/>
      <c r="R371" s="4"/>
      <c r="V371" s="4"/>
      <c r="W371" s="4"/>
      <c r="X371" s="4"/>
      <c r="Y371" s="4"/>
      <c r="Z371" s="4"/>
      <c r="AA371" s="4"/>
      <c r="AB371" s="4"/>
    </row>
    <row r="372" spans="1:36" ht="12.95"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2.95"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2507</v>
      </c>
      <c r="F376" s="4"/>
      <c r="G376" s="4"/>
      <c r="H376" s="4"/>
      <c r="I376" s="4"/>
      <c r="J376" s="4"/>
      <c r="K376" s="4"/>
      <c r="L376" s="4"/>
      <c r="N376" t="s">
        <v>2501</v>
      </c>
      <c r="R376" s="27" t="s">
        <v>307</v>
      </c>
      <c r="S376" s="1443"/>
      <c r="T376" s="1443"/>
      <c r="U376" s="1" t="s">
        <v>308</v>
      </c>
      <c r="V376" s="1443"/>
      <c r="W376" s="1443"/>
      <c r="Y376" t="s">
        <v>2501</v>
      </c>
      <c r="AC376" s="27" t="s">
        <v>307</v>
      </c>
      <c r="AD376" s="1443"/>
      <c r="AE376" s="1443"/>
      <c r="AF376" s="1" t="s">
        <v>308</v>
      </c>
      <c r="AG376" s="1443"/>
      <c r="AH376" s="1443"/>
    </row>
    <row r="377" spans="1:36" ht="12.95" customHeight="1">
      <c r="E377" s="4" t="s">
        <v>1045</v>
      </c>
      <c r="F377" s="4"/>
      <c r="G377" s="4"/>
      <c r="H377" s="4"/>
      <c r="I377" s="4"/>
      <c r="J377" s="4"/>
      <c r="K377" s="4"/>
      <c r="L377" s="4"/>
      <c r="N377" s="1443"/>
      <c r="O377" s="1443"/>
      <c r="P377" s="1443"/>
    </row>
    <row r="378" spans="1:36" ht="12.95" customHeight="1">
      <c r="E378" s="218" t="s">
        <v>2508</v>
      </c>
      <c r="F378" s="4"/>
      <c r="G378" s="4"/>
      <c r="H378" s="4"/>
      <c r="I378" s="4"/>
      <c r="J378" s="4"/>
      <c r="K378" s="4"/>
      <c r="L378" s="4"/>
      <c r="AG378" s="1533" t="s">
        <v>601</v>
      </c>
      <c r="AH378" s="1533"/>
    </row>
    <row r="379" spans="1:36" ht="12.95" customHeight="1">
      <c r="E379" s="4"/>
      <c r="F379" s="4"/>
      <c r="G379" s="4" t="s">
        <v>2509</v>
      </c>
      <c r="H379" s="4"/>
      <c r="I379" s="4"/>
      <c r="J379" s="4"/>
      <c r="K379" s="4"/>
      <c r="L379" s="4"/>
      <c r="AG379" s="1533" t="s">
        <v>601</v>
      </c>
      <c r="AH379" s="1533"/>
    </row>
    <row r="380" spans="1:36" ht="12.95" customHeight="1">
      <c r="E380" s="4"/>
      <c r="F380" s="4"/>
      <c r="G380" s="349" t="s">
        <v>1046</v>
      </c>
      <c r="H380" s="4"/>
      <c r="I380" s="4"/>
      <c r="J380" s="4"/>
      <c r="K380" s="4"/>
      <c r="L380" s="4"/>
      <c r="V380" s="1376" t="s">
        <v>601</v>
      </c>
      <c r="W380" s="1376"/>
      <c r="Y380" s="22" t="s">
        <v>1021</v>
      </c>
    </row>
    <row r="381" spans="1:36" ht="12.95" customHeight="1">
      <c r="E381" s="4" t="s">
        <v>1022</v>
      </c>
      <c r="F381" s="4"/>
      <c r="G381" s="4"/>
      <c r="H381" s="4"/>
      <c r="I381" s="4"/>
      <c r="J381" s="4"/>
      <c r="K381" s="4"/>
      <c r="L381" s="4"/>
      <c r="V381" s="1376" t="s">
        <v>601</v>
      </c>
      <c r="W381" s="1376"/>
      <c r="Y381" s="4" t="s">
        <v>1023</v>
      </c>
    </row>
    <row r="382" spans="1:36" ht="12.95" customHeight="1"/>
    <row r="383" spans="1:36" ht="12.95" customHeight="1">
      <c r="A383" s="2" t="s">
        <v>79</v>
      </c>
      <c r="B383" s="2"/>
    </row>
    <row r="384" spans="1:36" ht="12.95" customHeight="1">
      <c r="D384" t="s">
        <v>430</v>
      </c>
      <c r="J384" s="1392" t="s">
        <v>2646</v>
      </c>
      <c r="K384" s="1392"/>
      <c r="L384" s="1392"/>
      <c r="M384" s="1392"/>
      <c r="N384" s="1392"/>
      <c r="O384" s="1392"/>
      <c r="P384" s="1392"/>
      <c r="Q384" s="1392"/>
      <c r="R384" s="1392"/>
      <c r="S384" s="1392"/>
      <c r="T384" s="1392"/>
      <c r="U384" s="1392"/>
      <c r="V384" s="8" t="s">
        <v>84</v>
      </c>
      <c r="W384" s="8"/>
      <c r="X384" s="8"/>
      <c r="Y384" s="8"/>
      <c r="Z384" s="8"/>
      <c r="AA384" s="8"/>
      <c r="AB384" s="8"/>
      <c r="AC384" s="1392" t="s">
        <v>2647</v>
      </c>
      <c r="AD384" s="1392"/>
      <c r="AE384" s="1392"/>
      <c r="AF384" s="1392"/>
      <c r="AG384" s="1392"/>
      <c r="AH384" s="1392"/>
      <c r="AI384" s="1392"/>
      <c r="AJ384" s="1392"/>
    </row>
    <row r="385" spans="4:36" ht="12.95" customHeight="1">
      <c r="D385" s="3" t="s">
        <v>1326</v>
      </c>
      <c r="J385" s="1372"/>
      <c r="K385" s="1372"/>
      <c r="L385" s="1372"/>
      <c r="M385" s="1372"/>
      <c r="N385" s="1372"/>
      <c r="O385" s="1372"/>
      <c r="P385" s="1372"/>
      <c r="Q385" s="1372"/>
      <c r="R385" s="1372"/>
      <c r="S385" s="1372"/>
      <c r="T385" s="1372"/>
      <c r="U385" s="1372"/>
      <c r="V385" s="3" t="s">
        <v>1326</v>
      </c>
      <c r="W385" s="8"/>
      <c r="X385" s="8"/>
      <c r="Y385" s="8"/>
      <c r="Z385" s="8"/>
      <c r="AA385" s="8"/>
      <c r="AB385" s="8"/>
      <c r="AC385" s="1392"/>
      <c r="AD385" s="1392"/>
      <c r="AE385" s="1392"/>
      <c r="AF385" s="1392"/>
      <c r="AG385" s="1392"/>
      <c r="AH385" s="1392"/>
      <c r="AI385" s="1392"/>
      <c r="AJ385" s="1392"/>
    </row>
    <row r="386" spans="4:36" ht="12.95" customHeight="1">
      <c r="D386" s="3" t="s">
        <v>445</v>
      </c>
      <c r="J386" s="1372" t="s">
        <v>444</v>
      </c>
      <c r="K386" s="1372"/>
      <c r="L386" s="1372"/>
      <c r="M386" s="1372"/>
      <c r="N386" s="1372"/>
      <c r="O386" s="1372"/>
      <c r="P386" s="1372"/>
      <c r="Q386" s="1372"/>
      <c r="R386" s="1372"/>
      <c r="S386" s="1372"/>
      <c r="T386" s="1372"/>
      <c r="U386" s="1372"/>
      <c r="V386" s="3" t="s">
        <v>445</v>
      </c>
      <c r="W386" s="8"/>
      <c r="X386" s="8"/>
      <c r="Y386" s="8"/>
      <c r="Z386" s="8"/>
      <c r="AA386" s="8"/>
      <c r="AB386" s="8"/>
      <c r="AC386" s="1392"/>
      <c r="AD386" s="1392"/>
      <c r="AE386" s="1392"/>
      <c r="AF386" s="1392"/>
      <c r="AG386" s="1392"/>
      <c r="AH386" s="1392"/>
      <c r="AI386" s="1392"/>
      <c r="AJ386" s="1392"/>
    </row>
    <row r="387" spans="4:36" ht="12.95" customHeight="1">
      <c r="D387" t="s">
        <v>1322</v>
      </c>
      <c r="J387" s="1361" t="s">
        <v>2723</v>
      </c>
      <c r="K387" s="1361"/>
      <c r="L387" s="1361"/>
      <c r="M387" s="1361"/>
      <c r="N387" s="1361"/>
      <c r="O387" s="1361"/>
      <c r="P387" s="1361"/>
      <c r="Q387" s="1361"/>
      <c r="R387" s="1361"/>
      <c r="S387" s="1361"/>
      <c r="T387" s="1361"/>
      <c r="U387" s="1361"/>
      <c r="V387" s="1392" t="s">
        <v>2724</v>
      </c>
      <c r="W387" s="1392"/>
      <c r="X387" s="1392"/>
      <c r="Y387" s="1392"/>
      <c r="Z387" s="1392"/>
      <c r="AA387" s="1392"/>
      <c r="AB387" s="1392"/>
      <c r="AC387" s="1392"/>
      <c r="AD387" s="1392"/>
      <c r="AE387" s="1392"/>
      <c r="AF387" s="1392"/>
      <c r="AG387" s="1392"/>
      <c r="AH387" s="1392"/>
      <c r="AI387" s="1392"/>
      <c r="AJ387" s="1392"/>
    </row>
    <row r="388" spans="4:36" ht="12.95" customHeight="1">
      <c r="D388" t="s">
        <v>4</v>
      </c>
      <c r="Q388" s="1762">
        <v>44467</v>
      </c>
      <c r="R388" s="1762"/>
      <c r="S388" s="1762"/>
      <c r="T388" s="1762"/>
      <c r="U388" s="1762"/>
      <c r="V388" t="s">
        <v>311</v>
      </c>
      <c r="AI388" s="1376" t="s">
        <v>679</v>
      </c>
      <c r="AJ388" s="1376"/>
    </row>
    <row r="389" spans="4:36" ht="12.95" customHeight="1">
      <c r="D389" t="s">
        <v>5</v>
      </c>
      <c r="Q389" s="1603"/>
      <c r="R389" s="1604"/>
      <c r="S389" s="1604"/>
      <c r="T389" s="1604"/>
      <c r="U389" s="1604"/>
      <c r="W389" s="21" t="s">
        <v>75</v>
      </c>
      <c r="AG389" s="1436"/>
      <c r="AH389" s="1436"/>
      <c r="AI389" s="1436"/>
      <c r="AJ389" s="1436"/>
    </row>
    <row r="390" spans="4:36" ht="12.95" customHeight="1">
      <c r="D390" t="s">
        <v>429</v>
      </c>
      <c r="Q390" s="1602">
        <v>2100000</v>
      </c>
      <c r="R390" s="1602"/>
      <c r="S390" s="1602"/>
      <c r="T390" s="1602"/>
      <c r="U390" s="1602"/>
      <c r="V390" s="3" t="s">
        <v>1325</v>
      </c>
      <c r="AG390" s="1446"/>
      <c r="AH390" s="1446"/>
      <c r="AI390" s="1446"/>
      <c r="AJ390" s="1446"/>
    </row>
    <row r="391" spans="4:36" ht="12.95" customHeight="1">
      <c r="D391" t="s">
        <v>89</v>
      </c>
      <c r="I391" s="1540" t="s">
        <v>2725</v>
      </c>
      <c r="J391" s="1540"/>
      <c r="K391" s="1540"/>
      <c r="L391" s="1540"/>
      <c r="M391" s="1540"/>
      <c r="N391" s="1540"/>
      <c r="Q391" s="4" t="s">
        <v>208</v>
      </c>
      <c r="S391" s="1607"/>
      <c r="T391" s="1607"/>
      <c r="U391" s="1607"/>
      <c r="V391" t="s">
        <v>74</v>
      </c>
      <c r="AI391" s="1376" t="s">
        <v>679</v>
      </c>
      <c r="AJ391" s="1376"/>
    </row>
    <row r="392" spans="4:36" ht="12.95" customHeight="1">
      <c r="D392" t="s">
        <v>312</v>
      </c>
      <c r="Q392" s="1440"/>
      <c r="R392" s="1440"/>
      <c r="S392" s="1440"/>
      <c r="T392" s="1440"/>
      <c r="U392" s="1440"/>
      <c r="V392" t="s">
        <v>313</v>
      </c>
      <c r="AG392" s="1436"/>
      <c r="AH392" s="1436"/>
      <c r="AI392" s="1436"/>
      <c r="AJ392" s="1436"/>
    </row>
    <row r="393" spans="4:36" ht="12.95" customHeight="1">
      <c r="D393" t="s">
        <v>314</v>
      </c>
      <c r="Q393" s="1718">
        <v>0.01</v>
      </c>
      <c r="R393" s="1718"/>
      <c r="S393" s="1718"/>
      <c r="T393" s="1718"/>
      <c r="U393" s="1718"/>
      <c r="V393" t="s">
        <v>1306</v>
      </c>
      <c r="AG393" s="1436"/>
      <c r="AH393" s="1436"/>
      <c r="AI393" s="1436"/>
      <c r="AJ393" s="1436"/>
    </row>
    <row r="394" spans="4:36" ht="12.95" customHeight="1">
      <c r="D394" t="s">
        <v>1305</v>
      </c>
      <c r="AG394" s="1436"/>
      <c r="AH394" s="1436"/>
      <c r="AI394" s="1436"/>
      <c r="AJ394" s="1436"/>
    </row>
    <row r="395" spans="4:36" ht="12.95" customHeight="1">
      <c r="AG395" s="491"/>
      <c r="AH395" s="491"/>
      <c r="AI395" s="491"/>
      <c r="AJ395" s="491"/>
    </row>
    <row r="396" spans="4:36" ht="12.95" customHeight="1">
      <c r="D396" s="3" t="s">
        <v>2619</v>
      </c>
      <c r="AG396" s="491"/>
      <c r="AH396" s="491"/>
      <c r="AI396" s="1376" t="s">
        <v>679</v>
      </c>
      <c r="AJ396" s="1376"/>
    </row>
    <row r="397" spans="4:36" ht="12.95" customHeight="1">
      <c r="D397" s="3" t="s">
        <v>1851</v>
      </c>
      <c r="T397" s="1406"/>
      <c r="U397" s="1406"/>
      <c r="V397" s="1406"/>
      <c r="W397" s="1406"/>
      <c r="X397" s="1406"/>
      <c r="Y397" s="1406"/>
      <c r="Z397" s="1406"/>
      <c r="AA397" s="1406"/>
      <c r="AB397" s="1406"/>
      <c r="AC397" s="1406"/>
      <c r="AD397" s="1406"/>
      <c r="AE397" s="1406"/>
      <c r="AF397" s="1406"/>
      <c r="AG397" s="1406"/>
      <c r="AH397" s="1406"/>
      <c r="AI397" s="1406"/>
      <c r="AJ397" s="1406"/>
    </row>
    <row r="398" spans="4:36" ht="12.95" customHeight="1">
      <c r="D398" s="3" t="s">
        <v>1850</v>
      </c>
      <c r="T398" s="1406"/>
      <c r="U398" s="1406"/>
      <c r="V398" s="1406"/>
      <c r="W398" s="1406"/>
      <c r="X398" s="1406"/>
      <c r="Y398" s="1406"/>
      <c r="Z398" s="1406"/>
      <c r="AA398" s="1406"/>
      <c r="AB398" s="1406"/>
      <c r="AC398" s="1406"/>
      <c r="AD398" s="1406"/>
      <c r="AE398" s="1406"/>
      <c r="AF398" s="1406"/>
      <c r="AG398" s="1406"/>
      <c r="AH398" s="1406"/>
      <c r="AI398" s="1406"/>
      <c r="AJ398" s="1406"/>
    </row>
    <row r="399" spans="4:36" ht="12.95" customHeight="1">
      <c r="AG399" s="491"/>
      <c r="AH399" s="491"/>
      <c r="AI399" s="491"/>
      <c r="AJ399" s="491"/>
    </row>
    <row r="400" spans="4:36" ht="12.95" customHeight="1">
      <c r="D400" s="3" t="s">
        <v>1844</v>
      </c>
      <c r="S400" s="1406" t="s">
        <v>679</v>
      </c>
      <c r="T400" s="1406"/>
      <c r="U400" s="1406"/>
      <c r="V400" t="s">
        <v>1845</v>
      </c>
      <c r="AG400" s="1534"/>
      <c r="AH400" s="1534"/>
      <c r="AI400" s="1534"/>
      <c r="AJ400" s="1534"/>
    </row>
    <row r="401" spans="1:36" ht="12.95" customHeight="1">
      <c r="D401" s="3" t="s">
        <v>1842</v>
      </c>
      <c r="S401" s="1406" t="s">
        <v>601</v>
      </c>
      <c r="T401" s="1406"/>
      <c r="U401" s="1406"/>
      <c r="V401" t="s">
        <v>1847</v>
      </c>
      <c r="AE401" s="1535"/>
      <c r="AF401" s="1535"/>
      <c r="AG401" s="1535"/>
      <c r="AH401" s="1535"/>
      <c r="AI401" s="1535"/>
      <c r="AJ401" s="1535"/>
    </row>
    <row r="402" spans="1:36" ht="12.95" customHeight="1">
      <c r="D402" s="3" t="s">
        <v>1843</v>
      </c>
      <c r="K402" s="1456"/>
      <c r="L402" s="1456"/>
      <c r="M402" s="1456"/>
      <c r="N402" s="1456"/>
      <c r="O402" s="1456"/>
      <c r="P402" s="1456"/>
      <c r="Q402" s="1456"/>
      <c r="R402" s="1456"/>
      <c r="S402" s="1456"/>
      <c r="T402" s="1456"/>
      <c r="U402" s="1456"/>
      <c r="V402" s="1456"/>
      <c r="W402" s="1456"/>
      <c r="X402" s="1456"/>
      <c r="Y402" s="1456"/>
      <c r="Z402" s="1456"/>
      <c r="AA402" s="1456"/>
      <c r="AB402" s="1456"/>
      <c r="AC402" s="1456"/>
      <c r="AD402" s="1456"/>
      <c r="AE402" s="1456"/>
      <c r="AF402" s="1456"/>
      <c r="AG402" s="1456"/>
      <c r="AH402" s="1456"/>
      <c r="AI402" s="1456"/>
      <c r="AJ402" s="1456"/>
    </row>
    <row r="403" spans="1:36" ht="12.95" customHeight="1">
      <c r="D403" s="3" t="s">
        <v>1846</v>
      </c>
      <c r="K403" s="1456"/>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2.95" customHeight="1">
      <c r="D404" s="3" t="s">
        <v>1849</v>
      </c>
      <c r="E404" s="512"/>
      <c r="F404" s="512"/>
      <c r="G404" s="512"/>
      <c r="H404" s="512"/>
      <c r="I404" s="512"/>
      <c r="J404" s="512"/>
      <c r="K404" s="512"/>
      <c r="L404" s="512"/>
      <c r="M404" s="512"/>
      <c r="N404" s="512"/>
      <c r="O404" s="512"/>
      <c r="P404" s="512"/>
      <c r="Q404" s="512"/>
      <c r="R404" s="512"/>
      <c r="S404" s="1536" t="s">
        <v>2726</v>
      </c>
      <c r="T404" s="1536"/>
      <c r="U404" s="1536"/>
      <c r="V404" s="1536"/>
      <c r="W404" s="1536"/>
      <c r="X404" s="1536"/>
      <c r="Y404" s="1536"/>
      <c r="Z404" s="1536"/>
      <c r="AA404" s="1536"/>
      <c r="AB404" s="1536"/>
      <c r="AC404" s="1536"/>
      <c r="AD404" s="1536"/>
      <c r="AE404" s="1536"/>
      <c r="AF404" s="1536"/>
      <c r="AG404" s="1536"/>
      <c r="AH404" s="1536"/>
      <c r="AI404" s="1536"/>
      <c r="AJ404" s="1536"/>
    </row>
    <row r="405" spans="1:36" ht="12.95" customHeight="1">
      <c r="D405" s="1269" t="s">
        <v>1848</v>
      </c>
      <c r="E405" s="1269"/>
      <c r="F405" s="1269"/>
      <c r="G405" s="1269"/>
      <c r="H405" s="1269"/>
      <c r="I405" s="1269"/>
      <c r="J405" s="1269"/>
      <c r="K405" s="1269"/>
      <c r="L405" s="1269"/>
      <c r="M405" s="1269"/>
      <c r="N405" s="1269"/>
      <c r="O405" s="1269"/>
      <c r="P405" s="1269"/>
      <c r="Q405" s="1269"/>
      <c r="R405" s="1269"/>
      <c r="S405" s="1269"/>
      <c r="T405" s="1269"/>
      <c r="U405" s="1269"/>
      <c r="V405" s="1269"/>
      <c r="W405" s="1269"/>
      <c r="X405" s="1269"/>
      <c r="Y405" s="1269"/>
      <c r="Z405" s="1269"/>
      <c r="AA405" s="1269"/>
      <c r="AB405" s="1269"/>
      <c r="AC405" s="1269"/>
      <c r="AD405" s="1269"/>
      <c r="AE405" s="1269"/>
      <c r="AF405" s="1269"/>
      <c r="AG405" s="1269"/>
      <c r="AH405" s="1269"/>
      <c r="AI405" s="1269"/>
      <c r="AJ405" s="1269"/>
    </row>
    <row r="406" spans="1:36" ht="12.95" customHeight="1">
      <c r="D406" s="1269"/>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475" t="s">
        <v>1372</v>
      </c>
      <c r="J409" s="1475"/>
      <c r="K409" s="1475"/>
      <c r="L409" s="1475"/>
      <c r="M409" s="1475"/>
      <c r="N409" s="1475"/>
      <c r="O409" s="1475"/>
      <c r="P409" s="1475"/>
      <c r="Q409" s="1475"/>
      <c r="R409" s="1475"/>
      <c r="S409" s="1475"/>
      <c r="T409" s="1475"/>
      <c r="U409" s="1475"/>
      <c r="V409" s="1475"/>
      <c r="W409" s="1475"/>
      <c r="X409" s="1475"/>
      <c r="Y409" s="1475"/>
      <c r="Z409" s="1475"/>
      <c r="AA409" s="1475"/>
      <c r="AB409" s="1475"/>
      <c r="AC409" s="1475"/>
      <c r="AD409" s="1475"/>
      <c r="AE409" s="1475"/>
    </row>
    <row r="410" spans="1:36" ht="12.95" customHeight="1">
      <c r="E410" t="s">
        <v>107</v>
      </c>
      <c r="R410" s="1376" t="s">
        <v>555</v>
      </c>
      <c r="S410" s="1376"/>
      <c r="T410" t="s">
        <v>580</v>
      </c>
      <c r="AD410" s="1381">
        <v>4</v>
      </c>
      <c r="AE410" s="1381"/>
    </row>
    <row r="411" spans="1:36" ht="12.95" customHeight="1">
      <c r="E411" t="s">
        <v>108</v>
      </c>
      <c r="R411" s="1376" t="s">
        <v>601</v>
      </c>
      <c r="S411" s="1376"/>
      <c r="T411" t="s">
        <v>580</v>
      </c>
      <c r="AD411" s="1381">
        <v>0</v>
      </c>
      <c r="AE411" s="1381"/>
    </row>
    <row r="412" spans="1:36" ht="12.95" customHeight="1">
      <c r="E412" t="s">
        <v>109</v>
      </c>
      <c r="S412" s="1376" t="s">
        <v>601</v>
      </c>
      <c r="T412" s="1376"/>
    </row>
    <row r="413" spans="1:36" ht="12.95" customHeight="1">
      <c r="E413" t="s">
        <v>171</v>
      </c>
      <c r="H413" s="1716" t="s">
        <v>336</v>
      </c>
      <c r="I413" s="1716"/>
      <c r="J413" s="1716"/>
      <c r="K413" s="1716"/>
      <c r="L413" s="1716"/>
      <c r="M413" s="1716"/>
      <c r="N413" s="1716"/>
      <c r="O413" s="1716"/>
      <c r="P413" s="1716"/>
      <c r="Q413" s="1716"/>
      <c r="R413" s="1716"/>
      <c r="S413" s="1716"/>
      <c r="T413" s="1716"/>
      <c r="U413" s="1716"/>
      <c r="V413" s="1716"/>
      <c r="W413" s="1716"/>
      <c r="X413" s="1716"/>
      <c r="Y413" s="1716"/>
      <c r="Z413" s="1716"/>
      <c r="AA413" s="1716"/>
      <c r="AB413" s="1716"/>
      <c r="AC413" s="1716"/>
      <c r="AD413" s="1716"/>
      <c r="AE413" s="1716"/>
    </row>
    <row r="414" spans="1:36" ht="12.95" customHeight="1">
      <c r="H414" s="1717"/>
      <c r="I414" s="1717"/>
      <c r="J414" s="1717"/>
      <c r="K414" s="1717"/>
      <c r="L414" s="1717"/>
      <c r="M414" s="1717"/>
      <c r="N414" s="1717"/>
      <c r="O414" s="1717"/>
      <c r="P414" s="1717"/>
      <c r="Q414" s="1717"/>
      <c r="R414" s="1717"/>
      <c r="S414" s="1717"/>
      <c r="T414" s="1717"/>
      <c r="U414" s="1717"/>
      <c r="V414" s="1717"/>
      <c r="W414" s="1717"/>
      <c r="X414" s="1717"/>
      <c r="Y414" s="1717"/>
      <c r="Z414" s="1717"/>
      <c r="AA414" s="1717"/>
      <c r="AB414" s="1717"/>
      <c r="AC414" s="1717"/>
      <c r="AD414" s="1717"/>
      <c r="AE414" s="1717"/>
    </row>
    <row r="415" spans="1:36" ht="12.95" customHeight="1"/>
    <row r="416" spans="1:36" ht="12.95" customHeight="1">
      <c r="A416" s="2" t="s">
        <v>600</v>
      </c>
      <c r="B416" s="2"/>
      <c r="C416" s="2"/>
      <c r="D416" s="2" t="s">
        <v>115</v>
      </c>
      <c r="AF416" s="2" t="s">
        <v>998</v>
      </c>
    </row>
    <row r="417" spans="1:39" ht="12.95" customHeight="1">
      <c r="E417" s="1443"/>
      <c r="F417" s="1443"/>
      <c r="G417" s="1443"/>
      <c r="H417" s="13" t="s">
        <v>116</v>
      </c>
      <c r="I417" s="1443"/>
      <c r="J417" s="1443"/>
      <c r="K417" s="1443"/>
      <c r="L417" t="s">
        <v>117</v>
      </c>
      <c r="N417" s="27" t="s">
        <v>585</v>
      </c>
      <c r="P417" s="1606">
        <v>2.68</v>
      </c>
      <c r="Q417" s="1606"/>
      <c r="R417" s="1606"/>
      <c r="S417" t="s">
        <v>118</v>
      </c>
      <c r="W417" s="1370">
        <f>IF(E417&gt;0,(E417*I417),(P417*43560))</f>
        <v>116740.8</v>
      </c>
      <c r="X417" s="1370"/>
      <c r="Y417" s="1370"/>
      <c r="Z417" t="s">
        <v>119</v>
      </c>
      <c r="AF417" s="1532">
        <f>IF(P417&gt;0,(AG436/P417),(AG436/(W417/43560)))</f>
        <v>50.373134328358205</v>
      </c>
      <c r="AG417" s="1532"/>
      <c r="AH417" s="1532"/>
      <c r="AM417" s="3"/>
    </row>
    <row r="418" spans="1:39" ht="12.95" customHeight="1">
      <c r="E418" t="s">
        <v>51</v>
      </c>
    </row>
    <row r="419" spans="1:39" ht="12.95" customHeight="1">
      <c r="E419" s="1470"/>
      <c r="F419" s="1470"/>
      <c r="G419" s="1470"/>
      <c r="H419" s="1470"/>
      <c r="I419" s="1470"/>
      <c r="J419" s="1470"/>
      <c r="K419" s="1470"/>
      <c r="L419" s="1470"/>
      <c r="M419" s="1470"/>
      <c r="N419" s="1470"/>
      <c r="O419" s="1470"/>
      <c r="P419" s="1470"/>
      <c r="Q419" s="1470"/>
      <c r="R419" s="1470"/>
      <c r="S419" s="1470"/>
      <c r="T419" s="1470"/>
      <c r="U419" s="1470"/>
      <c r="V419" s="1470"/>
      <c r="W419" s="1470"/>
      <c r="X419" s="1470"/>
      <c r="Y419" s="1470"/>
      <c r="Z419" s="1470"/>
      <c r="AA419" s="1470"/>
      <c r="AB419" s="1470"/>
      <c r="AC419" s="1470"/>
      <c r="AD419" s="1470"/>
      <c r="AE419" s="1470"/>
      <c r="AF419" s="1470"/>
      <c r="AG419" s="1470"/>
      <c r="AH419" s="1470"/>
      <c r="AI419" s="1470"/>
      <c r="AJ419" s="1470"/>
    </row>
    <row r="420" spans="1:39" ht="12.95" customHeight="1">
      <c r="E420" s="118" t="s">
        <v>1999</v>
      </c>
      <c r="F420" s="1050"/>
      <c r="G420" s="1050"/>
      <c r="H420" s="1050"/>
      <c r="I420" s="1727"/>
      <c r="J420" s="1727"/>
      <c r="K420" s="1727"/>
      <c r="L420" s="1050"/>
      <c r="M420" s="118"/>
      <c r="N420" s="1050"/>
      <c r="O420" s="1050"/>
      <c r="P420" s="1752" t="e">
        <f>(CS623+CS631+CS647)/I420</f>
        <v>#DIV/0!</v>
      </c>
      <c r="Q420" s="1752"/>
      <c r="R420" s="1752"/>
      <c r="S420" s="118" t="s">
        <v>2000</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6">
        <v>1</v>
      </c>
      <c r="Q423" s="1376"/>
      <c r="S423" t="s">
        <v>191</v>
      </c>
      <c r="AE423" s="1376">
        <v>1</v>
      </c>
      <c r="AF423" s="1376"/>
    </row>
    <row r="424" spans="1:39" ht="12.95" customHeight="1">
      <c r="E424" t="s">
        <v>192</v>
      </c>
      <c r="P424" s="1376">
        <v>0</v>
      </c>
      <c r="Q424" s="1376"/>
      <c r="S424" t="s">
        <v>132</v>
      </c>
      <c r="AE424" s="1376" t="s">
        <v>601</v>
      </c>
      <c r="AF424" s="1376"/>
    </row>
    <row r="425" spans="1:39" ht="12.95" customHeight="1">
      <c r="F425" s="28" t="s">
        <v>133</v>
      </c>
    </row>
    <row r="426" spans="1:39" ht="12.95" customHeight="1">
      <c r="F426" s="1444" t="s">
        <v>2727</v>
      </c>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2.95"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2.95" customHeight="1">
      <c r="E428" t="s">
        <v>618</v>
      </c>
      <c r="P428" s="1"/>
      <c r="Q428" s="1376" t="s">
        <v>555</v>
      </c>
      <c r="R428" s="1376"/>
    </row>
    <row r="429" spans="1:39" ht="12.95" customHeight="1">
      <c r="F429" t="s">
        <v>619</v>
      </c>
      <c r="P429" s="1"/>
      <c r="Q429" s="1"/>
      <c r="AF429" s="1376" t="s">
        <v>601</v>
      </c>
      <c r="AG429" s="1577"/>
    </row>
    <row r="430" spans="1:39" ht="12.95" customHeight="1"/>
    <row r="431" spans="1:39" ht="12.95" customHeight="1">
      <c r="A431" s="2"/>
      <c r="B431" s="2"/>
      <c r="C431" s="2"/>
      <c r="E431" s="4" t="s">
        <v>310</v>
      </c>
      <c r="Z431" s="1376" t="s">
        <v>679</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6" t="s">
        <v>601</v>
      </c>
      <c r="AA433" s="1376"/>
    </row>
    <row r="434" spans="1:110" ht="12.95" customHeight="1"/>
    <row r="435" spans="1:110" ht="12.95" customHeight="1">
      <c r="A435" s="2" t="s">
        <v>477</v>
      </c>
      <c r="B435" s="2"/>
      <c r="C435" s="2"/>
      <c r="D435" s="2" t="s">
        <v>789</v>
      </c>
      <c r="AF435" s="48"/>
    </row>
    <row r="436" spans="1:110" ht="12.95" customHeight="1">
      <c r="D436" s="1421" t="s">
        <v>43</v>
      </c>
      <c r="E436" s="1422"/>
      <c r="F436" s="1422"/>
      <c r="G436" s="1422"/>
      <c r="H436" s="1422"/>
      <c r="I436" s="1422"/>
      <c r="J436" s="1422"/>
      <c r="K436" s="1422"/>
      <c r="L436" s="1422"/>
      <c r="M436" s="1422"/>
      <c r="N436" s="1422"/>
      <c r="O436" s="1422"/>
      <c r="P436" s="1422"/>
      <c r="Q436" s="1422"/>
      <c r="R436" s="1422"/>
      <c r="S436" s="1422"/>
      <c r="T436" s="1422"/>
      <c r="U436" s="1422"/>
      <c r="V436" s="1422"/>
      <c r="W436" s="1422"/>
      <c r="X436" s="1422"/>
      <c r="Y436" s="1422"/>
      <c r="Z436" s="1422"/>
      <c r="AA436" s="1422"/>
      <c r="AB436" s="1422"/>
      <c r="AC436" s="1422"/>
      <c r="AD436" s="1422"/>
      <c r="AE436" s="1422"/>
      <c r="AF436" s="1423"/>
      <c r="AG436" s="1363">
        <v>135</v>
      </c>
      <c r="AH436" s="1363"/>
      <c r="AI436" s="1363"/>
      <c r="AJ436" s="1363"/>
    </row>
    <row r="437" spans="1:110" ht="12.95" customHeight="1">
      <c r="D437" s="1367" t="s">
        <v>1370</v>
      </c>
      <c r="E437" s="1368"/>
      <c r="F437" s="1368"/>
      <c r="G437" s="1368"/>
      <c r="H437" s="1368"/>
      <c r="I437" s="1368"/>
      <c r="J437" s="1368"/>
      <c r="K437" s="1368"/>
      <c r="L437" s="1368"/>
      <c r="M437" s="1368"/>
      <c r="N437" s="1368"/>
      <c r="O437" s="1368"/>
      <c r="P437" s="1368"/>
      <c r="Q437" s="1368"/>
      <c r="R437" s="1368"/>
      <c r="S437" s="1368"/>
      <c r="T437" s="1368"/>
      <c r="U437" s="1368"/>
      <c r="V437" s="1368"/>
      <c r="W437" s="1368"/>
      <c r="X437" s="1368"/>
      <c r="Y437" s="1368"/>
      <c r="Z437" s="1368"/>
      <c r="AA437" s="1368"/>
      <c r="AB437" s="1368"/>
      <c r="AC437" s="1368"/>
      <c r="AD437" s="1368"/>
      <c r="AE437" s="1368"/>
      <c r="AF437" s="1369"/>
      <c r="AG437" s="1374"/>
      <c r="AH437" s="1375"/>
      <c r="AI437" s="1375"/>
      <c r="AJ437" s="1375"/>
    </row>
    <row r="438" spans="1:110" ht="12.95" customHeight="1">
      <c r="D438" s="1367" t="s">
        <v>1093</v>
      </c>
      <c r="E438" s="1368"/>
      <c r="F438" s="1368"/>
      <c r="G438" s="1368"/>
      <c r="H438" s="1368"/>
      <c r="I438" s="1368"/>
      <c r="J438" s="1368"/>
      <c r="K438" s="1368"/>
      <c r="L438" s="1368"/>
      <c r="M438" s="1368"/>
      <c r="N438" s="1368"/>
      <c r="O438" s="1368"/>
      <c r="P438" s="1368"/>
      <c r="Q438" s="1368"/>
      <c r="R438" s="1368"/>
      <c r="S438" s="1368"/>
      <c r="T438" s="1368"/>
      <c r="U438" s="1368"/>
      <c r="V438" s="1368"/>
      <c r="W438" s="1368"/>
      <c r="X438" s="1368"/>
      <c r="Y438" s="1368"/>
      <c r="Z438" s="1368"/>
      <c r="AA438" s="1368"/>
      <c r="AB438" s="1368"/>
      <c r="AC438" s="1368"/>
      <c r="AD438" s="1368"/>
      <c r="AE438" s="1368"/>
      <c r="AF438" s="1369"/>
      <c r="AG438" s="1363">
        <v>133</v>
      </c>
      <c r="AH438" s="1363"/>
      <c r="AI438" s="1363"/>
      <c r="AJ438" s="1363"/>
    </row>
    <row r="439" spans="1:110" ht="12.95" customHeight="1">
      <c r="D439" s="1367" t="s">
        <v>1094</v>
      </c>
      <c r="E439" s="1368"/>
      <c r="F439" s="1368"/>
      <c r="G439" s="1368"/>
      <c r="H439" s="1368"/>
      <c r="I439" s="1368"/>
      <c r="J439" s="1368"/>
      <c r="K439" s="1368"/>
      <c r="L439" s="1368"/>
      <c r="M439" s="1368"/>
      <c r="N439" s="1368"/>
      <c r="O439" s="1368"/>
      <c r="P439" s="1368"/>
      <c r="Q439" s="1368"/>
      <c r="R439" s="1368"/>
      <c r="S439" s="1368"/>
      <c r="T439" s="1368"/>
      <c r="U439" s="1368"/>
      <c r="V439" s="1368"/>
      <c r="W439" s="1368"/>
      <c r="X439" s="1368"/>
      <c r="Y439" s="1368"/>
      <c r="Z439" s="1368"/>
      <c r="AA439" s="1368"/>
      <c r="AB439" s="1368"/>
      <c r="AC439" s="1368"/>
      <c r="AD439" s="1368"/>
      <c r="AE439" s="1368"/>
      <c r="AF439" s="1369"/>
      <c r="AG439" s="1363">
        <v>133</v>
      </c>
      <c r="AH439" s="1363"/>
      <c r="AI439" s="1363"/>
      <c r="AJ439" s="1363"/>
    </row>
    <row r="440" spans="1:110" ht="12.95" customHeight="1">
      <c r="D440" s="1367" t="s">
        <v>1096</v>
      </c>
      <c r="E440" s="1368"/>
      <c r="F440" s="1368"/>
      <c r="G440" s="1368"/>
      <c r="H440" s="1368"/>
      <c r="I440" s="1368"/>
      <c r="J440" s="1368"/>
      <c r="K440" s="1368"/>
      <c r="L440" s="1368"/>
      <c r="M440" s="1368"/>
      <c r="N440" s="1368"/>
      <c r="O440" s="1368"/>
      <c r="P440" s="1368"/>
      <c r="Q440" s="1368"/>
      <c r="R440" s="1368"/>
      <c r="S440" s="1368"/>
      <c r="T440" s="1368"/>
      <c r="U440" s="1368"/>
      <c r="V440" s="1368"/>
      <c r="W440" s="1368"/>
      <c r="X440" s="1368"/>
      <c r="Y440" s="1368"/>
      <c r="Z440" s="1368"/>
      <c r="AA440" s="1368"/>
      <c r="AB440" s="1368"/>
      <c r="AC440" s="1368"/>
      <c r="AD440" s="1368"/>
      <c r="AE440" s="1368"/>
      <c r="AF440" s="1369"/>
      <c r="AG440" s="1365">
        <f>IF(ISERROR(AG439/AG438),"",AG439/AG438)</f>
        <v>1</v>
      </c>
      <c r="AH440" s="1365"/>
      <c r="AI440" s="1365"/>
      <c r="AJ440" s="1365"/>
    </row>
    <row r="441" spans="1:110" ht="12.95" customHeight="1">
      <c r="D441" s="1367" t="s">
        <v>1095</v>
      </c>
      <c r="E441" s="1368"/>
      <c r="F441" s="1368"/>
      <c r="G441" s="1368"/>
      <c r="H441" s="1368"/>
      <c r="I441" s="1368"/>
      <c r="J441" s="1368"/>
      <c r="K441" s="1368"/>
      <c r="L441" s="1368"/>
      <c r="M441" s="1368"/>
      <c r="N441" s="1368"/>
      <c r="O441" s="1368"/>
      <c r="P441" s="1368"/>
      <c r="Q441" s="1368"/>
      <c r="R441" s="1368"/>
      <c r="S441" s="1368"/>
      <c r="T441" s="1368"/>
      <c r="U441" s="1368"/>
      <c r="V441" s="1368"/>
      <c r="W441" s="1368"/>
      <c r="X441" s="1368"/>
      <c r="Y441" s="1368"/>
      <c r="Z441" s="1368"/>
      <c r="AA441" s="1368"/>
      <c r="AB441" s="1368"/>
      <c r="AC441" s="1368"/>
      <c r="AD441" s="1368"/>
      <c r="AE441" s="1368"/>
      <c r="AF441" s="1369"/>
      <c r="AG441" s="1364">
        <v>80030</v>
      </c>
      <c r="AH441" s="1364"/>
      <c r="AI441" s="1364"/>
      <c r="AJ441" s="1364"/>
    </row>
    <row r="442" spans="1:110" ht="12.95" customHeight="1">
      <c r="D442" s="1367" t="s">
        <v>1097</v>
      </c>
      <c r="E442" s="1368"/>
      <c r="F442" s="1368"/>
      <c r="G442" s="1368"/>
      <c r="H442" s="1368"/>
      <c r="I442" s="1368"/>
      <c r="J442" s="1368"/>
      <c r="K442" s="1368"/>
      <c r="L442" s="1368"/>
      <c r="M442" s="1368"/>
      <c r="N442" s="1368"/>
      <c r="O442" s="1368"/>
      <c r="P442" s="1368"/>
      <c r="Q442" s="1368"/>
      <c r="R442" s="1368"/>
      <c r="S442" s="1368"/>
      <c r="T442" s="1368"/>
      <c r="U442" s="1368"/>
      <c r="V442" s="1368"/>
      <c r="W442" s="1368"/>
      <c r="X442" s="1368"/>
      <c r="Y442" s="1368"/>
      <c r="Z442" s="1368"/>
      <c r="AA442" s="1368"/>
      <c r="AB442" s="1368"/>
      <c r="AC442" s="1368"/>
      <c r="AD442" s="1368"/>
      <c r="AE442" s="1368"/>
      <c r="AF442" s="1369"/>
      <c r="AG442" s="1364">
        <v>80030</v>
      </c>
      <c r="AH442" s="1364"/>
      <c r="AI442" s="1364"/>
      <c r="AJ442" s="1364"/>
    </row>
    <row r="443" spans="1:110" ht="12.95" customHeight="1">
      <c r="D443" s="1367" t="s">
        <v>1098</v>
      </c>
      <c r="E443" s="1368"/>
      <c r="F443" s="1368"/>
      <c r="G443" s="1368"/>
      <c r="H443" s="1368"/>
      <c r="I443" s="1368"/>
      <c r="J443" s="1368"/>
      <c r="K443" s="1368"/>
      <c r="L443" s="1368"/>
      <c r="M443" s="1368"/>
      <c r="N443" s="1368"/>
      <c r="O443" s="1368"/>
      <c r="P443" s="1368"/>
      <c r="Q443" s="1368"/>
      <c r="R443" s="1368"/>
      <c r="S443" s="1368"/>
      <c r="T443" s="1368"/>
      <c r="U443" s="1368"/>
      <c r="V443" s="1368"/>
      <c r="W443" s="1368"/>
      <c r="X443" s="1368"/>
      <c r="Y443" s="1368"/>
      <c r="Z443" s="1368"/>
      <c r="AA443" s="1368"/>
      <c r="AB443" s="1368"/>
      <c r="AC443" s="1368"/>
      <c r="AD443" s="1368"/>
      <c r="AE443" s="1368"/>
      <c r="AF443" s="1369"/>
      <c r="AG443" s="1365">
        <f>IF(ISERROR(AG442/AG441),"",AG442/AG441)</f>
        <v>1</v>
      </c>
      <c r="AH443" s="1365"/>
      <c r="AI443" s="1365"/>
      <c r="AJ443" s="1365"/>
    </row>
    <row r="444" spans="1:110" ht="12.95" customHeight="1">
      <c r="D444" s="1367" t="s">
        <v>1099</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9"/>
      <c r="AG444" s="1365">
        <f>MIN(IF(AG440&gt;AG443,AG443,AG440),1)</f>
        <v>1</v>
      </c>
      <c r="AH444" s="1365"/>
      <c r="AI444" s="1365"/>
      <c r="AJ444" s="1365"/>
    </row>
    <row r="445" spans="1:110" ht="12.95" customHeight="1">
      <c r="D445" s="1367" t="s">
        <v>2510</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364">
        <v>1825</v>
      </c>
      <c r="AH445" s="1364"/>
      <c r="AI445" s="1364"/>
      <c r="AJ445" s="1364"/>
    </row>
    <row r="446" spans="1:110" ht="12.95" customHeight="1">
      <c r="D446" s="1421" t="s">
        <v>579</v>
      </c>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3"/>
      <c r="AG446" s="1364">
        <v>0</v>
      </c>
      <c r="AH446" s="1364"/>
      <c r="AI446" s="1364"/>
      <c r="AJ446" s="136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7" t="s">
        <v>1349</v>
      </c>
      <c r="E447" s="1422"/>
      <c r="F447" s="1422"/>
      <c r="G447" s="1422"/>
      <c r="H447" s="1422"/>
      <c r="I447" s="1422"/>
      <c r="J447" s="1422"/>
      <c r="K447" s="1422"/>
      <c r="L447" s="1422"/>
      <c r="M447" s="1422"/>
      <c r="N447" s="1422"/>
      <c r="O447" s="1422"/>
      <c r="P447" s="1422"/>
      <c r="Q447" s="1422"/>
      <c r="R447" s="1422"/>
      <c r="S447" s="1422"/>
      <c r="T447" s="1422"/>
      <c r="U447" s="1422"/>
      <c r="V447" s="1422"/>
      <c r="W447" s="1422"/>
      <c r="X447" s="1422"/>
      <c r="Y447" s="1422"/>
      <c r="Z447" s="1422"/>
      <c r="AA447" s="1422"/>
      <c r="AB447" s="1422"/>
      <c r="AC447" s="1422"/>
      <c r="AD447" s="1422"/>
      <c r="AE447" s="1422"/>
      <c r="AF447" s="1423"/>
      <c r="AG447" s="1364">
        <v>7965</v>
      </c>
      <c r="AH447" s="1364"/>
      <c r="AI447" s="1364"/>
      <c r="AJ447" s="136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7" t="s">
        <v>1100</v>
      </c>
      <c r="E448" s="1422"/>
      <c r="F448" s="1422"/>
      <c r="G448" s="1422"/>
      <c r="H448" s="1422"/>
      <c r="I448" s="1422"/>
      <c r="J448" s="1422"/>
      <c r="K448" s="1422"/>
      <c r="L448" s="1422"/>
      <c r="M448" s="1422"/>
      <c r="N448" s="1422"/>
      <c r="O448" s="1422"/>
      <c r="P448" s="1422"/>
      <c r="Q448" s="1422"/>
      <c r="R448" s="1422"/>
      <c r="S448" s="1422"/>
      <c r="T448" s="1422"/>
      <c r="U448" s="1422"/>
      <c r="V448" s="1422"/>
      <c r="W448" s="1422"/>
      <c r="X448" s="1422"/>
      <c r="Y448" s="1422"/>
      <c r="Z448" s="1422"/>
      <c r="AA448" s="1422"/>
      <c r="AB448" s="1422"/>
      <c r="AC448" s="1422"/>
      <c r="AD448" s="1422"/>
      <c r="AE448" s="1422"/>
      <c r="AF448" s="1423"/>
      <c r="AG448" s="1364">
        <v>38762</v>
      </c>
      <c r="AH448" s="1364"/>
      <c r="AI448" s="1364"/>
      <c r="AJ448" s="136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65" t="s">
        <v>1101</v>
      </c>
      <c r="E449" s="1466"/>
      <c r="F449" s="1466"/>
      <c r="G449" s="1466"/>
      <c r="H449" s="1466"/>
      <c r="I449" s="1466"/>
      <c r="J449" s="1466"/>
      <c r="K449" s="1466"/>
      <c r="L449" s="1466"/>
      <c r="M449" s="1466"/>
      <c r="N449" s="1466"/>
      <c r="O449" s="1466"/>
      <c r="P449" s="1466"/>
      <c r="Q449" s="1466"/>
      <c r="R449" s="1466"/>
      <c r="S449" s="1466"/>
      <c r="T449" s="1466"/>
      <c r="U449" s="1466"/>
      <c r="V449" s="1466"/>
      <c r="W449" s="1466"/>
      <c r="X449" s="1466"/>
      <c r="Y449" s="1466"/>
      <c r="Z449" s="1466"/>
      <c r="AA449" s="1466"/>
      <c r="AB449" s="1466"/>
      <c r="AC449" s="1466"/>
      <c r="AD449" s="1466"/>
      <c r="AE449" s="1466"/>
      <c r="AF449" s="1467"/>
      <c r="AG449" s="1462">
        <f>AG441+AG445+AG447+AG448</f>
        <v>128582</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68" t="s">
        <v>1350</v>
      </c>
      <c r="E450" s="1468"/>
      <c r="F450" s="1468"/>
      <c r="G450" s="1468"/>
      <c r="H450" s="1468"/>
      <c r="I450" s="1468"/>
      <c r="J450" s="1468"/>
      <c r="K450" s="1468"/>
      <c r="L450" s="1468"/>
      <c r="M450" s="1468"/>
      <c r="N450" s="1468"/>
      <c r="O450" s="1468"/>
      <c r="P450" s="1468"/>
      <c r="Q450" s="1468"/>
      <c r="R450" s="1468"/>
      <c r="S450" s="1468"/>
      <c r="T450" s="1468"/>
      <c r="U450" s="1468"/>
      <c r="V450" s="1468"/>
      <c r="W450" s="1468"/>
      <c r="X450" s="1468"/>
      <c r="Y450" s="1468"/>
      <c r="Z450" s="1468"/>
      <c r="AA450" s="1468"/>
      <c r="AB450" s="1468"/>
      <c r="AC450" s="1468"/>
      <c r="AD450" s="1468"/>
      <c r="AE450" s="1468"/>
      <c r="AF450" s="1468"/>
      <c r="AG450" s="1468"/>
      <c r="AH450" s="1468"/>
      <c r="AI450" s="1468"/>
      <c r="AJ450" s="146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69"/>
      <c r="E451" s="1469"/>
      <c r="F451" s="1469"/>
      <c r="G451" s="1469"/>
      <c r="H451" s="1469"/>
      <c r="I451" s="1469"/>
      <c r="J451" s="1469"/>
      <c r="K451" s="1469"/>
      <c r="L451" s="1469"/>
      <c r="M451" s="1469"/>
      <c r="N451" s="1469"/>
      <c r="O451" s="1469"/>
      <c r="P451" s="1469"/>
      <c r="Q451" s="1469"/>
      <c r="R451" s="1469"/>
      <c r="S451" s="1469"/>
      <c r="T451" s="1469"/>
      <c r="U451" s="1469"/>
      <c r="V451" s="1469"/>
      <c r="W451" s="1469"/>
      <c r="X451" s="1469"/>
      <c r="Y451" s="1469"/>
      <c r="Z451" s="1469"/>
      <c r="AA451" s="1469"/>
      <c r="AB451" s="1469"/>
      <c r="AC451" s="1469"/>
      <c r="AD451" s="1469"/>
      <c r="AE451" s="1469"/>
      <c r="AF451" s="1469"/>
      <c r="AG451" s="1469"/>
      <c r="AH451" s="1469"/>
      <c r="AI451" s="1469"/>
      <c r="AJ451" s="146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6">
        <f>'Sources and Uses Budget'!B105/Application!AG436</f>
        <v>491017.55281481484</v>
      </c>
      <c r="AD453" s="1366"/>
      <c r="AE453" s="1366"/>
      <c r="AF453" s="136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6">
        <f>'Sources and Uses Budget'!C105/Application!AG436</f>
        <v>491017.55281481484</v>
      </c>
      <c r="AD454" s="1366"/>
      <c r="AE454" s="1366"/>
      <c r="AF454" s="136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6">
        <f>('Sources and Uses Budget'!$S$107+'Sources and Uses Budget'!$T$107)/Application!AG436</f>
        <v>470137.59748148144</v>
      </c>
      <c r="AD455" s="1366"/>
      <c r="AE455" s="1366"/>
      <c r="AF455" s="136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471" t="str">
        <f>IFERROR(IF(AC453&gt;650000,"Please provide a justification of cost per unit in Tab 12 for all projects with per unit costs of greater than $650,000.",""),"")</f>
        <v/>
      </c>
      <c r="G456" s="1471"/>
      <c r="H456" s="1471"/>
      <c r="I456" s="1471"/>
      <c r="J456" s="1471"/>
      <c r="K456" s="1471"/>
      <c r="L456" s="1471"/>
      <c r="M456" s="1471"/>
      <c r="N456" s="1471"/>
      <c r="O456" s="1471"/>
      <c r="P456" s="1471"/>
      <c r="Q456" s="1471"/>
      <c r="R456" s="1471"/>
      <c r="S456" s="1471"/>
      <c r="T456" s="1471"/>
      <c r="U456" s="1471"/>
      <c r="V456" s="1471"/>
      <c r="W456" s="1471"/>
      <c r="X456" s="1471"/>
      <c r="Y456" s="1471"/>
      <c r="Z456" s="1471"/>
      <c r="AA456" s="1471"/>
      <c r="AB456" s="147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471"/>
      <c r="G457" s="1471"/>
      <c r="H457" s="1471"/>
      <c r="I457" s="1471"/>
      <c r="J457" s="1471"/>
      <c r="K457" s="1471"/>
      <c r="L457" s="1471"/>
      <c r="M457" s="1471"/>
      <c r="N457" s="1471"/>
      <c r="O457" s="1471"/>
      <c r="P457" s="1471"/>
      <c r="Q457" s="1471"/>
      <c r="R457" s="1471"/>
      <c r="S457" s="1471"/>
      <c r="T457" s="1471"/>
      <c r="U457" s="1471"/>
      <c r="V457" s="1471"/>
      <c r="W457" s="1471"/>
      <c r="X457" s="1471"/>
      <c r="Y457" s="1471"/>
      <c r="Z457" s="1471"/>
      <c r="AA457" s="1471"/>
      <c r="AB457" s="147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2144</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1" t="s">
        <v>2525</v>
      </c>
      <c r="E464" s="1359"/>
      <c r="F464" s="1359"/>
      <c r="G464" s="1359"/>
      <c r="H464" s="1359"/>
      <c r="I464" s="1359"/>
      <c r="J464" s="1359"/>
      <c r="K464" s="1359"/>
      <c r="L464" s="1359"/>
      <c r="M464" s="1359"/>
      <c r="N464" s="1359"/>
      <c r="O464" s="1359"/>
      <c r="P464" s="1359"/>
      <c r="Q464" s="1359"/>
      <c r="R464" s="1359"/>
      <c r="S464" s="1359"/>
      <c r="T464" s="1359"/>
      <c r="U464" s="1359"/>
      <c r="V464" s="1360"/>
      <c r="W464" s="1355">
        <v>0</v>
      </c>
      <c r="X464" s="1356"/>
      <c r="Y464" s="1357"/>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8" t="s">
        <v>704</v>
      </c>
      <c r="E465" s="1359"/>
      <c r="F465" s="1359"/>
      <c r="G465" s="1359"/>
      <c r="H465" s="1359"/>
      <c r="I465" s="1359"/>
      <c r="J465" s="1359"/>
      <c r="K465" s="1359"/>
      <c r="L465" s="1359"/>
      <c r="M465" s="1359"/>
      <c r="N465" s="1359"/>
      <c r="O465" s="1359"/>
      <c r="P465" s="1359"/>
      <c r="Q465" s="1359"/>
      <c r="R465" s="1359"/>
      <c r="S465" s="1359"/>
      <c r="T465" s="1359"/>
      <c r="U465" s="1359"/>
      <c r="V465" s="1360"/>
      <c r="W465" s="1355">
        <v>0</v>
      </c>
      <c r="X465" s="1356"/>
      <c r="Y465" s="1357"/>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8" t="s">
        <v>705</v>
      </c>
      <c r="E466" s="1359"/>
      <c r="F466" s="1359"/>
      <c r="G466" s="1359"/>
      <c r="H466" s="1359"/>
      <c r="I466" s="1359"/>
      <c r="J466" s="1359"/>
      <c r="K466" s="1359"/>
      <c r="L466" s="1359"/>
      <c r="M466" s="1359"/>
      <c r="N466" s="1359"/>
      <c r="O466" s="1359"/>
      <c r="P466" s="1359"/>
      <c r="Q466" s="1359"/>
      <c r="R466" s="1359"/>
      <c r="S466" s="1359"/>
      <c r="T466" s="1359"/>
      <c r="U466" s="1359"/>
      <c r="V466" s="1360"/>
      <c r="W466" s="1355">
        <v>0</v>
      </c>
      <c r="X466" s="1356"/>
      <c r="Y466" s="135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8" t="s">
        <v>706</v>
      </c>
      <c r="E467" s="1359"/>
      <c r="F467" s="1359"/>
      <c r="G467" s="1359"/>
      <c r="H467" s="1359"/>
      <c r="I467" s="1359"/>
      <c r="J467" s="1359"/>
      <c r="K467" s="1359"/>
      <c r="L467" s="1359"/>
      <c r="M467" s="1359"/>
      <c r="N467" s="1359"/>
      <c r="O467" s="1359"/>
      <c r="P467" s="1359"/>
      <c r="Q467" s="1359"/>
      <c r="R467" s="1359"/>
      <c r="S467" s="1359"/>
      <c r="T467" s="1359"/>
      <c r="U467" s="1359"/>
      <c r="V467" s="1360"/>
      <c r="W467" s="1355">
        <v>0</v>
      </c>
      <c r="X467" s="1356"/>
      <c r="Y467" s="135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8" t="s">
        <v>911</v>
      </c>
      <c r="E468" s="1359"/>
      <c r="F468" s="1359"/>
      <c r="G468" s="1359"/>
      <c r="H468" s="1359"/>
      <c r="I468" s="1359"/>
      <c r="J468" s="1359"/>
      <c r="K468" s="1359"/>
      <c r="L468" s="1359"/>
      <c r="M468" s="1359"/>
      <c r="N468" s="1359"/>
      <c r="O468" s="1359"/>
      <c r="P468" s="1359"/>
      <c r="Q468" s="1359"/>
      <c r="R468" s="1359"/>
      <c r="S468" s="1359"/>
      <c r="T468" s="1359"/>
      <c r="U468" s="1359"/>
      <c r="V468" s="1360"/>
      <c r="W468" s="1355">
        <v>0</v>
      </c>
      <c r="X468" s="1356"/>
      <c r="Y468" s="135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8" t="s">
        <v>707</v>
      </c>
      <c r="E469" s="1359"/>
      <c r="F469" s="1359"/>
      <c r="G469" s="1359"/>
      <c r="H469" s="1359"/>
      <c r="I469" s="1359"/>
      <c r="J469" s="1359"/>
      <c r="K469" s="1359"/>
      <c r="L469" s="1359"/>
      <c r="M469" s="1359"/>
      <c r="N469" s="1359"/>
      <c r="O469" s="1359"/>
      <c r="P469" s="1359"/>
      <c r="Q469" s="1359"/>
      <c r="R469" s="1359"/>
      <c r="S469" s="1359"/>
      <c r="T469" s="1359"/>
      <c r="U469" s="1359"/>
      <c r="V469" s="1360"/>
      <c r="W469" s="1355">
        <v>0</v>
      </c>
      <c r="X469" s="1356"/>
      <c r="Y469" s="1357"/>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8" t="s">
        <v>1070</v>
      </c>
      <c r="E470" s="1359"/>
      <c r="F470" s="1359"/>
      <c r="G470" s="1359"/>
      <c r="H470" s="1359"/>
      <c r="I470" s="1359"/>
      <c r="J470" s="1359"/>
      <c r="K470" s="1359"/>
      <c r="L470" s="1359"/>
      <c r="M470" s="1359"/>
      <c r="N470" s="1359"/>
      <c r="O470" s="1359"/>
      <c r="P470" s="1359"/>
      <c r="Q470" s="1359"/>
      <c r="R470" s="1359"/>
      <c r="S470" s="1359"/>
      <c r="T470" s="1359"/>
      <c r="U470" s="1359"/>
      <c r="V470" s="1360"/>
      <c r="W470" s="1355">
        <v>0</v>
      </c>
      <c r="X470" s="1356"/>
      <c r="Y470" s="1357"/>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1" t="s">
        <v>1837</v>
      </c>
      <c r="E471" s="1359"/>
      <c r="F471" s="1359"/>
      <c r="G471" s="1359"/>
      <c r="H471" s="1359"/>
      <c r="I471" s="1359"/>
      <c r="J471" s="1359"/>
      <c r="K471" s="1359"/>
      <c r="L471" s="1359"/>
      <c r="M471" s="1359"/>
      <c r="N471" s="1359"/>
      <c r="O471" s="1359"/>
      <c r="P471" s="1359"/>
      <c r="Q471" s="1359"/>
      <c r="R471" s="1359"/>
      <c r="S471" s="1359"/>
      <c r="T471" s="1359"/>
      <c r="U471" s="1359"/>
      <c r="V471" s="1360"/>
      <c r="W471" s="1355">
        <v>23</v>
      </c>
      <c r="X471" s="1356"/>
      <c r="Y471" s="135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8" t="s">
        <v>2728</v>
      </c>
      <c r="H472" s="1459"/>
      <c r="I472" s="1459"/>
      <c r="J472" s="1459"/>
      <c r="K472" s="1459"/>
      <c r="L472" s="1459"/>
      <c r="M472" s="1459"/>
      <c r="N472" s="1459"/>
      <c r="O472" s="1459"/>
      <c r="P472" s="1459"/>
      <c r="Q472" s="1459"/>
      <c r="R472" s="1459"/>
      <c r="S472" s="1459"/>
      <c r="T472" s="1459"/>
      <c r="U472" s="1459"/>
      <c r="V472" s="1460"/>
      <c r="W472" s="1355">
        <v>113</v>
      </c>
      <c r="X472" s="1356"/>
      <c r="Y472" s="135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1" t="s">
        <v>836</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0" t="s">
        <v>395</v>
      </c>
      <c r="R483" s="1416"/>
      <c r="S483" s="1416"/>
      <c r="T483" s="1416"/>
      <c r="U483" s="1416"/>
      <c r="V483" s="1416"/>
      <c r="W483" s="1416"/>
      <c r="X483" s="1416"/>
      <c r="Y483" s="1416"/>
      <c r="Z483" s="1416"/>
      <c r="AA483" s="1416"/>
      <c r="AB483" s="1416"/>
      <c r="AC483" s="1416"/>
      <c r="AD483" s="1416"/>
      <c r="AE483" s="1416"/>
      <c r="AF483" s="1416"/>
      <c r="AG483" s="1416"/>
      <c r="AH483" s="1416"/>
      <c r="AI483" s="1416"/>
      <c r="AJ483" s="1416"/>
      <c r="AK483" s="141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04" t="s">
        <v>2729</v>
      </c>
      <c r="R484" s="1372"/>
      <c r="S484" s="1372"/>
      <c r="T484" s="1372"/>
      <c r="U484" s="1372"/>
      <c r="V484" s="1372"/>
      <c r="W484" s="1372"/>
      <c r="X484" s="1372"/>
      <c r="Y484" s="1372"/>
      <c r="Z484" s="1372"/>
      <c r="AA484" s="1372"/>
      <c r="AB484" s="1372"/>
      <c r="AC484" s="1372"/>
      <c r="AD484" s="1372"/>
      <c r="AE484" s="1372"/>
      <c r="AF484" s="1372"/>
      <c r="AG484" s="1372"/>
      <c r="AH484" s="1372"/>
      <c r="AI484" s="1372"/>
      <c r="AJ484" s="1372"/>
      <c r="AK484" s="137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04" t="s">
        <v>2730</v>
      </c>
      <c r="R485" s="1372"/>
      <c r="S485" s="1372"/>
      <c r="T485" s="1372"/>
      <c r="U485" s="1372"/>
      <c r="V485" s="1372"/>
      <c r="W485" s="1372"/>
      <c r="X485" s="1372"/>
      <c r="Y485" s="1372"/>
      <c r="Z485" s="1372"/>
      <c r="AA485" s="1372"/>
      <c r="AB485" s="1372"/>
      <c r="AC485" s="1372"/>
      <c r="AD485" s="1372"/>
      <c r="AE485" s="1372"/>
      <c r="AF485" s="1372"/>
      <c r="AG485" s="1372"/>
      <c r="AH485" s="1372"/>
      <c r="AI485" s="1372"/>
      <c r="AJ485" s="1372"/>
      <c r="AK485" s="137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404" t="s">
        <v>2731</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4" t="s">
        <v>399</v>
      </c>
      <c r="C487" s="1395"/>
      <c r="D487" s="1395"/>
      <c r="E487" s="1395"/>
      <c r="F487" s="1395"/>
      <c r="G487" s="1395"/>
      <c r="H487" s="1395"/>
      <c r="I487" s="1395"/>
      <c r="J487" s="1395"/>
      <c r="K487" s="1395"/>
      <c r="L487" s="1395"/>
      <c r="M487" s="1395"/>
      <c r="N487" s="1395"/>
      <c r="O487" s="1395"/>
      <c r="P487" s="1396"/>
      <c r="Q487" s="1400" t="s">
        <v>679</v>
      </c>
      <c r="R487" s="1401"/>
      <c r="S487" s="1737" t="s">
        <v>167</v>
      </c>
      <c r="T487" s="1738"/>
      <c r="U487" s="1738"/>
      <c r="V487" s="1738"/>
      <c r="W487" s="1738"/>
      <c r="X487" s="1738"/>
      <c r="Y487" s="1738"/>
      <c r="Z487" s="1738"/>
      <c r="AA487" s="1738"/>
      <c r="AB487" s="1738"/>
      <c r="AC487" s="1738"/>
      <c r="AD487" s="1738"/>
      <c r="AE487" s="1738"/>
      <c r="AF487" s="1738"/>
      <c r="AG487" s="1738"/>
      <c r="AH487" s="1738"/>
      <c r="AI487" s="1738"/>
      <c r="AJ487" s="1738"/>
      <c r="AK487" s="173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7"/>
      <c r="C488" s="1398"/>
      <c r="D488" s="1398"/>
      <c r="E488" s="1398"/>
      <c r="F488" s="1398"/>
      <c r="G488" s="1398"/>
      <c r="H488" s="1398"/>
      <c r="I488" s="1398"/>
      <c r="J488" s="1398"/>
      <c r="K488" s="1398"/>
      <c r="L488" s="1398"/>
      <c r="M488" s="1398"/>
      <c r="N488" s="1398"/>
      <c r="O488" s="1398"/>
      <c r="P488" s="1399"/>
      <c r="Q488" s="1402"/>
      <c r="R488" s="1403"/>
      <c r="S488" s="1740"/>
      <c r="T488" s="1445"/>
      <c r="U488" s="1445"/>
      <c r="V488" s="1445"/>
      <c r="W488" s="1445"/>
      <c r="X488" s="1445"/>
      <c r="Y488" s="1445"/>
      <c r="Z488" s="1445"/>
      <c r="AA488" s="1445"/>
      <c r="AB488" s="1445"/>
      <c r="AC488" s="1445"/>
      <c r="AD488" s="1445"/>
      <c r="AE488" s="1445"/>
      <c r="AF488" s="1445"/>
      <c r="AG488" s="1445"/>
      <c r="AH488" s="1445"/>
      <c r="AI488" s="1445"/>
      <c r="AJ488" s="1445"/>
      <c r="AK488" s="174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1855</v>
      </c>
      <c r="C489" s="909"/>
      <c r="D489" s="909"/>
      <c r="E489" s="909"/>
      <c r="F489" s="909"/>
      <c r="G489" s="909"/>
      <c r="H489" s="909"/>
      <c r="I489" s="909"/>
      <c r="J489" s="909"/>
      <c r="K489" s="909"/>
      <c r="L489" s="909"/>
      <c r="M489" s="909"/>
      <c r="N489" s="909"/>
      <c r="O489" s="909"/>
      <c r="P489" s="909"/>
      <c r="Q489" s="1453" t="s">
        <v>679</v>
      </c>
      <c r="R489" s="1454"/>
      <c r="S489" s="1454"/>
      <c r="T489" s="1454"/>
      <c r="U489" s="1454"/>
      <c r="V489" s="1454"/>
      <c r="W489" s="1454"/>
      <c r="X489" s="1454"/>
      <c r="Y489" s="1454"/>
      <c r="Z489" s="1454"/>
      <c r="AA489" s="1454"/>
      <c r="AB489" s="1454"/>
      <c r="AC489" s="1454"/>
      <c r="AD489" s="1454"/>
      <c r="AE489" s="1454"/>
      <c r="AF489" s="1454"/>
      <c r="AG489" s="1454"/>
      <c r="AH489" s="1454"/>
      <c r="AI489" s="1454"/>
      <c r="AJ489" s="1454"/>
      <c r="AK489" s="14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71" t="s">
        <v>2732</v>
      </c>
      <c r="R490" s="1372"/>
      <c r="S490" s="1372"/>
      <c r="T490" s="1372"/>
      <c r="U490" s="1372"/>
      <c r="V490" s="1372"/>
      <c r="W490" s="1372"/>
      <c r="X490" s="1372"/>
      <c r="Y490" s="1372"/>
      <c r="Z490" s="1372"/>
      <c r="AA490" s="1372"/>
      <c r="AB490" s="1372"/>
      <c r="AC490" s="1372"/>
      <c r="AD490" s="1372"/>
      <c r="AE490" s="1372"/>
      <c r="AF490" s="1372"/>
      <c r="AG490" s="1372"/>
      <c r="AH490" s="1372"/>
      <c r="AI490" s="1372"/>
      <c r="AJ490" s="1372"/>
      <c r="AK490" s="137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4" t="s">
        <v>2733</v>
      </c>
      <c r="R491" s="1372"/>
      <c r="S491" s="1372"/>
      <c r="T491" s="1372"/>
      <c r="U491" s="1372"/>
      <c r="V491" s="1372"/>
      <c r="W491" s="1372"/>
      <c r="X491" s="1372"/>
      <c r="Y491" s="1372"/>
      <c r="Z491" s="1372"/>
      <c r="AA491" s="1372"/>
      <c r="AB491" s="1372"/>
      <c r="AC491" s="1372"/>
      <c r="AD491" s="1372"/>
      <c r="AE491" s="1372"/>
      <c r="AF491" s="1372"/>
      <c r="AG491" s="1372"/>
      <c r="AH491" s="1372"/>
      <c r="AI491" s="1372"/>
      <c r="AJ491" s="1372"/>
      <c r="AK491" s="137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1852</v>
      </c>
      <c r="C492" s="5"/>
      <c r="D492" s="5"/>
      <c r="E492" s="5"/>
      <c r="F492" s="5"/>
      <c r="G492" s="5"/>
      <c r="H492" s="5"/>
      <c r="I492" s="5"/>
      <c r="J492" s="5"/>
      <c r="K492" s="5"/>
      <c r="L492" s="5"/>
      <c r="M492" s="5"/>
      <c r="N492" s="5"/>
      <c r="O492" s="5"/>
      <c r="P492" s="5"/>
      <c r="Q492" s="1371">
        <v>139</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1853</v>
      </c>
      <c r="C493" s="5"/>
      <c r="D493" s="5"/>
      <c r="E493" s="5"/>
      <c r="F493" s="5"/>
      <c r="G493" s="5"/>
      <c r="H493" s="5"/>
      <c r="I493" s="5"/>
      <c r="J493" s="5"/>
      <c r="K493" s="5"/>
      <c r="L493" s="5"/>
      <c r="M493" s="1427">
        <v>60</v>
      </c>
      <c r="N493" s="1428"/>
      <c r="O493" s="1428"/>
      <c r="P493" s="1429"/>
      <c r="Q493" s="121" t="s">
        <v>1854</v>
      </c>
      <c r="R493" s="5"/>
      <c r="S493" s="5"/>
      <c r="T493" s="5"/>
      <c r="U493" s="5"/>
      <c r="V493" s="5"/>
      <c r="W493" s="5"/>
      <c r="X493" s="5"/>
      <c r="Y493" s="5"/>
      <c r="Z493" s="5"/>
      <c r="AA493" s="5"/>
      <c r="AB493" s="5"/>
      <c r="AC493" s="5"/>
      <c r="AD493" s="5"/>
      <c r="AE493" s="5"/>
      <c r="AF493" s="5"/>
      <c r="AG493" s="5"/>
      <c r="AH493" s="1427">
        <v>79</v>
      </c>
      <c r="AI493" s="1428"/>
      <c r="AJ493" s="1428"/>
      <c r="AK493" s="142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0" t="s">
        <v>403</v>
      </c>
      <c r="AD497" s="1416"/>
      <c r="AE497" s="1416"/>
      <c r="AF497" s="1416"/>
      <c r="AG497" s="1416"/>
      <c r="AH497" s="1416"/>
      <c r="AI497" s="1416"/>
      <c r="AJ497" s="1416"/>
      <c r="AK497" s="141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0" t="s">
        <v>404</v>
      </c>
      <c r="AD498" s="1416"/>
      <c r="AE498" s="1416"/>
      <c r="AF498" s="1416"/>
      <c r="AG498" s="50" t="s">
        <v>405</v>
      </c>
      <c r="AH498" s="1416" t="s">
        <v>406</v>
      </c>
      <c r="AI498" s="1416"/>
      <c r="AJ498" s="1416"/>
      <c r="AK498" s="141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7" t="s">
        <v>407</v>
      </c>
      <c r="C499" s="1408"/>
      <c r="D499" s="1408"/>
      <c r="E499" s="1408"/>
      <c r="F499" s="1408"/>
      <c r="G499" s="1408"/>
      <c r="H499" s="1409"/>
      <c r="I499" s="42" t="s">
        <v>408</v>
      </c>
      <c r="J499" s="42"/>
      <c r="K499" s="42"/>
      <c r="L499" s="42"/>
      <c r="M499" s="42"/>
      <c r="N499" s="42"/>
      <c r="O499" s="42"/>
      <c r="P499" s="42"/>
      <c r="Q499" s="42"/>
      <c r="R499" s="42"/>
      <c r="S499" s="42"/>
      <c r="T499" s="42"/>
      <c r="U499" s="42"/>
      <c r="V499" s="42"/>
      <c r="W499" s="42"/>
      <c r="AC499" s="1380" t="s">
        <v>601</v>
      </c>
      <c r="AD499" s="1381"/>
      <c r="AE499" s="1381"/>
      <c r="AF499" s="1381"/>
      <c r="AG499" s="13" t="s">
        <v>405</v>
      </c>
      <c r="AH499" s="1361">
        <v>0</v>
      </c>
      <c r="AI499" s="1361"/>
      <c r="AJ499" s="1361"/>
      <c r="AK499" s="136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0"/>
      <c r="C500" s="1411"/>
      <c r="D500" s="1411"/>
      <c r="E500" s="1411"/>
      <c r="F500" s="1411"/>
      <c r="G500" s="1411"/>
      <c r="H500" s="1412"/>
      <c r="I500" s="48" t="s">
        <v>409</v>
      </c>
      <c r="J500" s="48"/>
      <c r="K500" s="48"/>
      <c r="L500" s="48"/>
      <c r="M500" s="48"/>
      <c r="N500" s="48"/>
      <c r="O500" s="48"/>
      <c r="P500" s="48"/>
      <c r="Q500" s="48"/>
      <c r="R500" s="48"/>
      <c r="S500" s="48"/>
      <c r="T500" s="48"/>
      <c r="U500" s="48"/>
      <c r="V500" s="48"/>
      <c r="W500" s="48"/>
      <c r="X500" s="48"/>
      <c r="Y500" s="48"/>
      <c r="Z500" s="48"/>
      <c r="AA500" s="48"/>
      <c r="AB500" s="48"/>
      <c r="AC500" s="1380">
        <v>2</v>
      </c>
      <c r="AD500" s="1381"/>
      <c r="AE500" s="1381"/>
      <c r="AF500" s="1381"/>
      <c r="AG500" s="38" t="s">
        <v>405</v>
      </c>
      <c r="AH500" s="1361">
        <v>2022</v>
      </c>
      <c r="AI500" s="1361"/>
      <c r="AJ500" s="1361"/>
      <c r="AK500" s="136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7" t="s">
        <v>410</v>
      </c>
      <c r="C501" s="1408"/>
      <c r="D501" s="1408"/>
      <c r="E501" s="1408"/>
      <c r="F501" s="1408"/>
      <c r="G501" s="1408"/>
      <c r="H501" s="1409"/>
      <c r="I501" s="42" t="s">
        <v>411</v>
      </c>
      <c r="J501" s="42"/>
      <c r="K501" s="42"/>
      <c r="L501" s="42"/>
      <c r="M501" s="42"/>
      <c r="N501" s="42"/>
      <c r="O501" s="42"/>
      <c r="P501" s="42"/>
      <c r="Q501" s="42"/>
      <c r="R501" s="42"/>
      <c r="S501" s="42"/>
      <c r="T501" s="42"/>
      <c r="U501" s="42"/>
      <c r="V501" s="42"/>
      <c r="W501" s="42"/>
      <c r="AC501" s="1380">
        <v>2</v>
      </c>
      <c r="AD501" s="1381"/>
      <c r="AE501" s="1381"/>
      <c r="AF501" s="1381"/>
      <c r="AG501" s="13" t="s">
        <v>405</v>
      </c>
      <c r="AH501" s="1361">
        <v>2022</v>
      </c>
      <c r="AI501" s="1361"/>
      <c r="AJ501" s="1361"/>
      <c r="AK501" s="136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0"/>
      <c r="C502" s="1411"/>
      <c r="D502" s="1411"/>
      <c r="E502" s="1411"/>
      <c r="F502" s="1411"/>
      <c r="G502" s="1411"/>
      <c r="H502" s="1412"/>
      <c r="I502" t="s">
        <v>412</v>
      </c>
      <c r="AC502" s="1380">
        <v>2</v>
      </c>
      <c r="AD502" s="1381"/>
      <c r="AE502" s="1381"/>
      <c r="AF502" s="1381"/>
      <c r="AG502" s="13" t="s">
        <v>405</v>
      </c>
      <c r="AH502" s="1361">
        <v>2022</v>
      </c>
      <c r="AI502" s="1361"/>
      <c r="AJ502" s="1361"/>
      <c r="AK502" s="136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0"/>
      <c r="C503" s="1411"/>
      <c r="D503" s="1411"/>
      <c r="E503" s="1411"/>
      <c r="F503" s="1411"/>
      <c r="G503" s="1411"/>
      <c r="H503" s="1412"/>
      <c r="I503" t="s">
        <v>413</v>
      </c>
      <c r="AC503" s="1380" t="s">
        <v>601</v>
      </c>
      <c r="AD503" s="1381"/>
      <c r="AE503" s="1381"/>
      <c r="AF503" s="1381"/>
      <c r="AG503" s="13" t="s">
        <v>405</v>
      </c>
      <c r="AH503" s="1361"/>
      <c r="AI503" s="1361"/>
      <c r="AJ503" s="1361"/>
      <c r="AK503" s="136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0"/>
      <c r="C504" s="1411"/>
      <c r="D504" s="1411"/>
      <c r="E504" s="1411"/>
      <c r="F504" s="1411"/>
      <c r="G504" s="1411"/>
      <c r="H504" s="1412"/>
      <c r="I504" t="s">
        <v>414</v>
      </c>
      <c r="AC504" s="1380" t="s">
        <v>601</v>
      </c>
      <c r="AD504" s="1381"/>
      <c r="AE504" s="1381"/>
      <c r="AF504" s="1381"/>
      <c r="AG504" s="13" t="s">
        <v>405</v>
      </c>
      <c r="AH504" s="1361"/>
      <c r="AI504" s="1361"/>
      <c r="AJ504" s="1361"/>
      <c r="AK504" s="136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0"/>
      <c r="C505" s="1411"/>
      <c r="D505" s="1411"/>
      <c r="E505" s="1411"/>
      <c r="F505" s="1411"/>
      <c r="G505" s="1411"/>
      <c r="H505" s="1412"/>
      <c r="I505" s="3" t="s">
        <v>415</v>
      </c>
      <c r="AC505" s="1383" t="s">
        <v>601</v>
      </c>
      <c r="AD505" s="1384"/>
      <c r="AE505" s="1384"/>
      <c r="AF505" s="1384"/>
      <c r="AG505" s="13" t="s">
        <v>405</v>
      </c>
      <c r="AH505" s="1361"/>
      <c r="AI505" s="1361"/>
      <c r="AJ505" s="1361"/>
      <c r="AK505" s="136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0"/>
      <c r="C506" s="1411"/>
      <c r="D506" s="1411"/>
      <c r="E506" s="1411"/>
      <c r="F506" s="1411"/>
      <c r="G506" s="1411"/>
      <c r="H506" s="1412"/>
      <c r="I506" s="933" t="s">
        <v>171</v>
      </c>
      <c r="J506" s="48"/>
      <c r="K506" s="48"/>
      <c r="L506" s="1405" t="s">
        <v>336</v>
      </c>
      <c r="M506" s="1406"/>
      <c r="N506" s="1406"/>
      <c r="O506" s="1406"/>
      <c r="P506" s="1406"/>
      <c r="Q506" s="1406"/>
      <c r="R506" s="1406"/>
      <c r="S506" s="1406"/>
      <c r="T506" s="1406"/>
      <c r="U506" s="1406"/>
      <c r="V506" s="1406"/>
      <c r="W506" s="1406"/>
      <c r="X506" s="1406"/>
      <c r="Y506" s="1406"/>
      <c r="Z506" s="1406"/>
      <c r="AA506" s="1406"/>
      <c r="AB506" s="1434"/>
      <c r="AC506" s="1380" t="s">
        <v>601</v>
      </c>
      <c r="AD506" s="1381"/>
      <c r="AE506" s="1381"/>
      <c r="AF506" s="1381"/>
      <c r="AG506" s="38" t="s">
        <v>405</v>
      </c>
      <c r="AH506" s="1361"/>
      <c r="AI506" s="1361"/>
      <c r="AJ506" s="1361"/>
      <c r="AK506" s="136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1859</v>
      </c>
      <c r="AC507" s="1363" t="s">
        <v>1328</v>
      </c>
      <c r="AD507" s="1363"/>
      <c r="AE507" s="1363"/>
      <c r="AF507" s="1363"/>
      <c r="AG507" s="13"/>
      <c r="AH507" s="1302"/>
      <c r="AI507" s="1302"/>
      <c r="AJ507" s="1302"/>
      <c r="AK507" s="138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1856</v>
      </c>
      <c r="AC508" s="1383"/>
      <c r="AD508" s="1384"/>
      <c r="AE508" s="1384"/>
      <c r="AF508" s="1385"/>
      <c r="AG508" s="13"/>
      <c r="AH508" s="1302"/>
      <c r="AI508" s="1302"/>
      <c r="AJ508" s="1302"/>
      <c r="AK508" s="138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1857</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1858</v>
      </c>
      <c r="J510" s="48"/>
      <c r="K510" s="48"/>
      <c r="L510" s="48"/>
      <c r="M510" s="48"/>
      <c r="N510" s="48"/>
      <c r="O510" s="48"/>
      <c r="P510" s="48"/>
      <c r="Q510" s="48"/>
      <c r="R510" s="48"/>
      <c r="S510" s="48"/>
      <c r="T510" s="48"/>
      <c r="U510" s="48"/>
      <c r="V510" s="48"/>
      <c r="W510" s="48"/>
      <c r="X510" s="48"/>
      <c r="Y510" s="48"/>
      <c r="Z510" s="48"/>
      <c r="AA510" s="48"/>
      <c r="AB510" s="48"/>
      <c r="AC510" s="1387"/>
      <c r="AD510" s="1388"/>
      <c r="AE510" s="1388"/>
      <c r="AF510" s="1389"/>
      <c r="AG510" s="38"/>
      <c r="AH510" s="1390"/>
      <c r="AI510" s="1390"/>
      <c r="AJ510" s="1390"/>
      <c r="AK510" s="139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0" t="s">
        <v>404</v>
      </c>
      <c r="AD511" s="1451"/>
      <c r="AE511" s="1451"/>
      <c r="AF511" s="1451"/>
      <c r="AG511" s="38" t="s">
        <v>405</v>
      </c>
      <c r="AH511" s="1451" t="s">
        <v>406</v>
      </c>
      <c r="AI511" s="1451"/>
      <c r="AJ511" s="1451"/>
      <c r="AK511" s="1452"/>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7" t="s">
        <v>416</v>
      </c>
      <c r="C512" s="1408"/>
      <c r="D512" s="1408"/>
      <c r="E512" s="1408"/>
      <c r="F512" s="1408"/>
      <c r="G512" s="1408"/>
      <c r="H512" s="1409"/>
      <c r="I512" s="42" t="s">
        <v>417</v>
      </c>
      <c r="J512" s="42"/>
      <c r="K512" s="42"/>
      <c r="L512" s="42"/>
      <c r="M512" s="42"/>
      <c r="N512" s="42"/>
      <c r="O512" s="42"/>
      <c r="P512" s="42"/>
      <c r="Q512" s="42"/>
      <c r="R512" s="42"/>
      <c r="S512" s="42"/>
      <c r="T512" s="42"/>
      <c r="U512" s="42"/>
      <c r="V512" s="42"/>
      <c r="W512" s="42"/>
      <c r="AC512" s="1380">
        <v>1</v>
      </c>
      <c r="AD512" s="1381"/>
      <c r="AE512" s="1381"/>
      <c r="AF512" s="1381"/>
      <c r="AG512" s="13" t="s">
        <v>405</v>
      </c>
      <c r="AH512" s="1361">
        <v>2022</v>
      </c>
      <c r="AI512" s="1361"/>
      <c r="AJ512" s="1361"/>
      <c r="AK512" s="1362"/>
      <c r="AZ512" s="3"/>
      <c r="BA512" s="3"/>
      <c r="BB512" s="3"/>
      <c r="BC512" s="3"/>
      <c r="BD512" s="3"/>
      <c r="BE512" s="3"/>
      <c r="BF512" s="3"/>
      <c r="BG512" s="3"/>
      <c r="BH512" s="3"/>
      <c r="BI512" s="3"/>
      <c r="BJ512" s="3"/>
      <c r="BK512" s="3"/>
      <c r="BL512" s="3"/>
      <c r="BM512" s="3"/>
      <c r="BN512" s="3" t="s">
        <v>2531</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0"/>
      <c r="C513" s="1411"/>
      <c r="D513" s="1411"/>
      <c r="E513" s="1411"/>
      <c r="F513" s="1411"/>
      <c r="G513" s="1411"/>
      <c r="H513" s="1412"/>
      <c r="I513" t="s">
        <v>418</v>
      </c>
      <c r="AC513" s="1380">
        <v>5</v>
      </c>
      <c r="AD513" s="1381"/>
      <c r="AE513" s="1381"/>
      <c r="AF513" s="1381"/>
      <c r="AG513" s="13" t="s">
        <v>405</v>
      </c>
      <c r="AH513" s="1361">
        <v>2023</v>
      </c>
      <c r="AI513" s="1361"/>
      <c r="AJ513" s="1361"/>
      <c r="AK513" s="1362"/>
      <c r="AZ513" s="3"/>
      <c r="BA513" s="3"/>
      <c r="BB513" s="3"/>
      <c r="BC513" s="3"/>
      <c r="BD513" s="3"/>
      <c r="BE513" s="3"/>
      <c r="BF513" s="3"/>
      <c r="BG513" s="3"/>
      <c r="BH513" s="3"/>
      <c r="BI513" s="3"/>
      <c r="BJ513" s="3"/>
      <c r="BK513" s="3"/>
      <c r="BL513" s="3"/>
      <c r="BM513" s="3"/>
      <c r="BN513" s="3" t="s">
        <v>2532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0"/>
      <c r="C514" s="1411"/>
      <c r="D514" s="1411"/>
      <c r="E514" s="1411"/>
      <c r="F514" s="1411"/>
      <c r="G514" s="1411"/>
      <c r="H514" s="1412"/>
      <c r="I514" s="48" t="s">
        <v>419</v>
      </c>
      <c r="J514" s="48"/>
      <c r="K514" s="48"/>
      <c r="L514" s="48"/>
      <c r="M514" s="48"/>
      <c r="N514" s="48"/>
      <c r="O514" s="48"/>
      <c r="P514" s="48"/>
      <c r="Q514" s="48"/>
      <c r="R514" s="48"/>
      <c r="S514" s="48"/>
      <c r="T514" s="48"/>
      <c r="U514" s="48"/>
      <c r="V514" s="48"/>
      <c r="W514" s="48"/>
      <c r="X514" s="48"/>
      <c r="Y514" s="48"/>
      <c r="Z514" s="48"/>
      <c r="AA514" s="48"/>
      <c r="AB514" s="48"/>
      <c r="AC514" s="1380">
        <v>2</v>
      </c>
      <c r="AD514" s="1381"/>
      <c r="AE514" s="1381"/>
      <c r="AF514" s="1381"/>
      <c r="AG514" s="38" t="s">
        <v>405</v>
      </c>
      <c r="AH514" s="1361">
        <v>2024</v>
      </c>
      <c r="AI514" s="1361"/>
      <c r="AJ514" s="1361"/>
      <c r="AK514" s="1362"/>
      <c r="AZ514" s="3"/>
      <c r="BA514" s="3"/>
      <c r="BB514" s="3"/>
      <c r="BC514" s="3"/>
      <c r="BD514" s="3"/>
      <c r="BE514" s="3"/>
      <c r="BF514" s="3"/>
      <c r="BG514" s="3"/>
      <c r="BH514" s="3"/>
      <c r="BI514" s="3"/>
      <c r="BJ514" s="3"/>
      <c r="BK514" s="3"/>
      <c r="BL514" s="3"/>
      <c r="BM514" s="3"/>
      <c r="BN514" s="3" t="s">
        <v>2533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7" t="s">
        <v>420</v>
      </c>
      <c r="C515" s="1408"/>
      <c r="D515" s="1408"/>
      <c r="E515" s="1408"/>
      <c r="F515" s="1408"/>
      <c r="G515" s="1408"/>
      <c r="H515" s="1409"/>
      <c r="I515" s="42" t="s">
        <v>417</v>
      </c>
      <c r="J515" s="42"/>
      <c r="K515" s="42"/>
      <c r="L515" s="42"/>
      <c r="M515" s="42"/>
      <c r="N515" s="42"/>
      <c r="O515" s="42"/>
      <c r="P515" s="42"/>
      <c r="Q515" s="42"/>
      <c r="R515" s="42"/>
      <c r="S515" s="42"/>
      <c r="T515" s="42"/>
      <c r="U515" s="42"/>
      <c r="V515" s="42"/>
      <c r="W515" s="42"/>
      <c r="X515" s="42"/>
      <c r="Y515" s="42"/>
      <c r="Z515" s="42"/>
      <c r="AA515" s="42"/>
      <c r="AB515" s="42"/>
      <c r="AC515" s="1383">
        <v>2</v>
      </c>
      <c r="AD515" s="1384"/>
      <c r="AE515" s="1384"/>
      <c r="AF515" s="1384"/>
      <c r="AG515" s="129" t="s">
        <v>405</v>
      </c>
      <c r="AH515" s="1361">
        <v>2022</v>
      </c>
      <c r="AI515" s="1361"/>
      <c r="AJ515" s="1361"/>
      <c r="AK515" s="1362"/>
      <c r="AZ515" s="3"/>
      <c r="BA515" s="3"/>
      <c r="BB515" s="3"/>
      <c r="BC515" s="3"/>
      <c r="BD515" s="3"/>
      <c r="BE515" s="3"/>
      <c r="BF515" s="3"/>
      <c r="BG515" s="3"/>
      <c r="BH515" s="3"/>
      <c r="BI515" s="3"/>
      <c r="BJ515" s="3"/>
      <c r="BK515" s="3"/>
      <c r="BL515" s="3"/>
      <c r="BM515" s="3"/>
      <c r="BN515" s="3" t="s">
        <v>2534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0"/>
      <c r="C516" s="1411"/>
      <c r="D516" s="1411"/>
      <c r="E516" s="1411"/>
      <c r="F516" s="1411"/>
      <c r="G516" s="1411"/>
      <c r="H516" s="1412"/>
      <c r="I516" t="s">
        <v>418</v>
      </c>
      <c r="AC516" s="1380">
        <v>5</v>
      </c>
      <c r="AD516" s="1381"/>
      <c r="AE516" s="1381"/>
      <c r="AF516" s="1381"/>
      <c r="AG516" s="13" t="s">
        <v>405</v>
      </c>
      <c r="AH516" s="1361">
        <v>2023</v>
      </c>
      <c r="AI516" s="1361"/>
      <c r="AJ516" s="1361"/>
      <c r="AK516" s="1362"/>
      <c r="AZ516" s="3"/>
      <c r="BB516" s="3"/>
      <c r="BC516" s="3"/>
      <c r="BD516" s="3"/>
      <c r="BE516" s="3"/>
      <c r="BF516" s="3"/>
      <c r="BG516" s="3"/>
      <c r="BH516" s="3"/>
      <c r="BI516" s="3"/>
      <c r="BJ516" s="3"/>
      <c r="BK516" s="3"/>
      <c r="BL516" s="3"/>
      <c r="BM516" s="3"/>
      <c r="BN516" s="3" t="s">
        <v>2535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3"/>
      <c r="C517" s="1414"/>
      <c r="D517" s="1414"/>
      <c r="E517" s="1414"/>
      <c r="F517" s="1414"/>
      <c r="G517" s="1414"/>
      <c r="H517" s="1415"/>
      <c r="I517" s="48" t="s">
        <v>419</v>
      </c>
      <c r="J517" s="48"/>
      <c r="K517" s="48"/>
      <c r="L517" s="48"/>
      <c r="M517" s="48"/>
      <c r="N517" s="48"/>
      <c r="O517" s="48"/>
      <c r="P517" s="48"/>
      <c r="Q517" s="48"/>
      <c r="R517" s="48"/>
      <c r="S517" s="48"/>
      <c r="T517" s="48"/>
      <c r="U517" s="48"/>
      <c r="V517" s="48"/>
      <c r="W517" s="48"/>
      <c r="X517" s="48"/>
      <c r="Y517" s="48"/>
      <c r="Z517" s="48"/>
      <c r="AA517" s="48"/>
      <c r="AB517" s="48"/>
      <c r="AC517" s="1380">
        <v>2</v>
      </c>
      <c r="AD517" s="1381"/>
      <c r="AE517" s="1381"/>
      <c r="AF517" s="1381"/>
      <c r="AG517" s="38" t="s">
        <v>405</v>
      </c>
      <c r="AH517" s="1361">
        <v>2024</v>
      </c>
      <c r="AI517" s="1361"/>
      <c r="AJ517" s="1361"/>
      <c r="AK517" s="1362"/>
      <c r="BB517" s="3"/>
      <c r="BC517" s="3"/>
      <c r="BD517" s="3"/>
      <c r="BE517" s="3"/>
      <c r="BF517" s="3"/>
      <c r="BG517" s="3"/>
      <c r="BH517" s="3"/>
      <c r="BI517" s="3"/>
      <c r="BJ517" s="3"/>
      <c r="BK517" s="3"/>
      <c r="BL517" s="3"/>
      <c r="BM517" s="3"/>
      <c r="BN517" s="3" t="s">
        <v>2536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7" t="s">
        <v>421</v>
      </c>
      <c r="C518" s="1408"/>
      <c r="D518" s="1408"/>
      <c r="E518" s="1408"/>
      <c r="F518" s="1408"/>
      <c r="G518" s="1408"/>
      <c r="H518" s="1409"/>
      <c r="I518" s="41" t="s">
        <v>422</v>
      </c>
      <c r="J518" s="42"/>
      <c r="K518" s="42"/>
      <c r="L518" s="42"/>
      <c r="M518" s="42"/>
      <c r="N518" s="42"/>
      <c r="O518" s="1405" t="s">
        <v>2646</v>
      </c>
      <c r="P518" s="1406"/>
      <c r="Q518" s="1406"/>
      <c r="R518" s="1406"/>
      <c r="S518" s="1406"/>
      <c r="T518" s="1406"/>
      <c r="U518" s="1406"/>
      <c r="V518" s="1406"/>
      <c r="W518" s="1406"/>
      <c r="X518" s="1406"/>
      <c r="Y518" s="1406"/>
      <c r="Z518" s="1406"/>
      <c r="AA518" s="1406"/>
      <c r="AB518" s="58"/>
      <c r="AC518" s="1383" t="s">
        <v>601</v>
      </c>
      <c r="AD518" s="1384"/>
      <c r="AE518" s="1384"/>
      <c r="AF518" s="1384"/>
      <c r="AG518" s="129" t="s">
        <v>405</v>
      </c>
      <c r="AH518" s="1361"/>
      <c r="AI518" s="1361"/>
      <c r="AJ518" s="1361"/>
      <c r="AK518" s="1362"/>
      <c r="BB518" s="3"/>
      <c r="BC518" s="3"/>
      <c r="BD518" s="3"/>
      <c r="BE518" s="3"/>
      <c r="BF518" s="3"/>
      <c r="BG518" s="3"/>
      <c r="BH518" s="3"/>
      <c r="BI518" s="3"/>
      <c r="BJ518" s="3"/>
      <c r="BK518" s="3"/>
      <c r="BL518" s="3"/>
      <c r="BM518" s="3"/>
      <c r="BN518" s="3" t="s">
        <v>2537</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0"/>
      <c r="C519" s="1411"/>
      <c r="D519" s="1411"/>
      <c r="E519" s="1411"/>
      <c r="F519" s="1411"/>
      <c r="G519" s="1411"/>
      <c r="H519" s="1412"/>
      <c r="I519" s="114" t="s">
        <v>423</v>
      </c>
      <c r="AB519" s="65"/>
      <c r="AC519" s="1380">
        <v>1</v>
      </c>
      <c r="AD519" s="1381"/>
      <c r="AE519" s="1381"/>
      <c r="AF519" s="1381"/>
      <c r="AG519" s="13" t="s">
        <v>405</v>
      </c>
      <c r="AH519" s="1361">
        <v>2022</v>
      </c>
      <c r="AI519" s="1361"/>
      <c r="AJ519" s="1361"/>
      <c r="AK519" s="1362"/>
      <c r="AZ519" s="3"/>
      <c r="BB519" s="3"/>
      <c r="BC519" s="3"/>
      <c r="BD519" s="3"/>
      <c r="BE519" s="3"/>
      <c r="BF519" s="3"/>
      <c r="BG519" s="3"/>
      <c r="BH519" s="3"/>
      <c r="BI519" s="3"/>
      <c r="BJ519" s="3"/>
      <c r="BK519" s="3"/>
      <c r="BL519" s="3"/>
      <c r="BM519" s="3"/>
      <c r="BN519" s="3" t="s">
        <v>2538</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0"/>
      <c r="C520" s="1411"/>
      <c r="D520" s="1411"/>
      <c r="E520" s="1411"/>
      <c r="F520" s="1411"/>
      <c r="G520" s="1411"/>
      <c r="H520" s="1412"/>
      <c r="I520" s="47" t="s">
        <v>424</v>
      </c>
      <c r="J520" s="48"/>
      <c r="K520" s="48"/>
      <c r="L520" s="48"/>
      <c r="M520" s="48"/>
      <c r="N520" s="48"/>
      <c r="O520" s="48"/>
      <c r="P520" s="48"/>
      <c r="Q520" s="48"/>
      <c r="R520" s="48"/>
      <c r="S520" s="48"/>
      <c r="T520" s="48"/>
      <c r="U520" s="48"/>
      <c r="V520" s="48"/>
      <c r="W520" s="48"/>
      <c r="X520" s="48"/>
      <c r="Y520" s="48"/>
      <c r="Z520" s="48"/>
      <c r="AA520" s="48"/>
      <c r="AB520" s="49"/>
      <c r="AC520" s="1380">
        <v>2</v>
      </c>
      <c r="AD520" s="1381"/>
      <c r="AE520" s="1381"/>
      <c r="AF520" s="1381"/>
      <c r="AG520" s="38" t="s">
        <v>405</v>
      </c>
      <c r="AH520" s="1361">
        <v>2022</v>
      </c>
      <c r="AI520" s="1361"/>
      <c r="AJ520" s="1361"/>
      <c r="AK520" s="1362"/>
      <c r="AZ520" s="3"/>
      <c r="BB520" s="3"/>
      <c r="BC520" s="3"/>
      <c r="BD520" s="3"/>
      <c r="BE520" s="3"/>
      <c r="BF520" s="3"/>
      <c r="BG520" s="3"/>
      <c r="BH520" s="3"/>
      <c r="BI520" s="3"/>
      <c r="BJ520" s="3"/>
      <c r="BK520" s="3"/>
      <c r="BL520" s="3"/>
      <c r="BM520" s="3"/>
      <c r="BN520" s="3" t="s">
        <v>2539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0"/>
      <c r="C521" s="1411"/>
      <c r="D521" s="1411"/>
      <c r="E521" s="1411"/>
      <c r="F521" s="1411"/>
      <c r="G521" s="1411"/>
      <c r="H521" s="1412"/>
      <c r="I521" s="42" t="s">
        <v>425</v>
      </c>
      <c r="J521" s="42"/>
      <c r="K521" s="42"/>
      <c r="L521" s="42"/>
      <c r="M521" s="42"/>
      <c r="N521" s="42"/>
      <c r="O521" s="1405" t="s">
        <v>336</v>
      </c>
      <c r="P521" s="1406"/>
      <c r="Q521" s="1406"/>
      <c r="R521" s="1406"/>
      <c r="S521" s="1406"/>
      <c r="T521" s="1406"/>
      <c r="U521" s="1406"/>
      <c r="V521" s="1406"/>
      <c r="W521" s="1406"/>
      <c r="X521" s="1406"/>
      <c r="Y521" s="1406"/>
      <c r="Z521" s="1406"/>
      <c r="AA521" s="1406"/>
      <c r="AC521" s="1380" t="s">
        <v>601</v>
      </c>
      <c r="AD521" s="1381"/>
      <c r="AE521" s="1381"/>
      <c r="AF521" s="1381"/>
      <c r="AG521" s="13" t="s">
        <v>405</v>
      </c>
      <c r="AH521" s="1361"/>
      <c r="AI521" s="1361"/>
      <c r="AJ521" s="1361"/>
      <c r="AK521" s="1362"/>
      <c r="AZ521" s="3"/>
      <c r="BA521" s="3"/>
      <c r="BB521" s="3"/>
      <c r="BC521" s="3"/>
      <c r="BD521" s="3"/>
      <c r="BE521" s="3"/>
      <c r="BF521" s="3"/>
      <c r="BG521" s="3"/>
      <c r="BH521" s="3"/>
      <c r="BI521" s="3"/>
      <c r="BJ521" s="3"/>
      <c r="BK521" s="3"/>
      <c r="BL521" s="3"/>
      <c r="BM521" s="3"/>
      <c r="BN521" s="3" t="s">
        <v>2540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0"/>
      <c r="C522" s="1411"/>
      <c r="D522" s="1411"/>
      <c r="E522" s="1411"/>
      <c r="F522" s="1411"/>
      <c r="G522" s="1411"/>
      <c r="H522" s="1412"/>
      <c r="I522" t="s">
        <v>423</v>
      </c>
      <c r="AC522" s="1380" t="s">
        <v>601</v>
      </c>
      <c r="AD522" s="1381"/>
      <c r="AE522" s="1381"/>
      <c r="AF522" s="1381"/>
      <c r="AG522" s="13" t="s">
        <v>405</v>
      </c>
      <c r="AH522" s="1361"/>
      <c r="AI522" s="1361"/>
      <c r="AJ522" s="1361"/>
      <c r="AK522" s="1362"/>
      <c r="AZ522" s="3"/>
      <c r="BA522" s="3"/>
      <c r="BB522" s="3"/>
      <c r="BC522" s="3"/>
      <c r="BD522" s="3"/>
      <c r="BE522" s="3"/>
      <c r="BF522" s="3"/>
      <c r="BG522" s="3"/>
      <c r="BH522" s="3"/>
      <c r="BI522" s="3"/>
      <c r="BJ522" s="3"/>
      <c r="BK522" s="3"/>
      <c r="BL522" s="3"/>
      <c r="BM522" s="3"/>
      <c r="BN522" s="3" t="s">
        <v>2541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0"/>
      <c r="C523" s="1411"/>
      <c r="D523" s="1411"/>
      <c r="E523" s="1411"/>
      <c r="F523" s="1411"/>
      <c r="G523" s="1411"/>
      <c r="H523" s="1412"/>
      <c r="I523" s="48" t="s">
        <v>424</v>
      </c>
      <c r="J523" s="48"/>
      <c r="K523" s="48"/>
      <c r="L523" s="48"/>
      <c r="M523" s="48"/>
      <c r="N523" s="48"/>
      <c r="O523" s="48"/>
      <c r="P523" s="48"/>
      <c r="Q523" s="48"/>
      <c r="R523" s="48"/>
      <c r="S523" s="48"/>
      <c r="T523" s="48"/>
      <c r="U523" s="48"/>
      <c r="V523" s="48"/>
      <c r="W523" s="48"/>
      <c r="X523" s="48"/>
      <c r="Y523" s="48"/>
      <c r="Z523" s="48"/>
      <c r="AA523" s="48"/>
      <c r="AB523" s="48"/>
      <c r="AC523" s="1380" t="s">
        <v>601</v>
      </c>
      <c r="AD523" s="1381"/>
      <c r="AE523" s="1381"/>
      <c r="AF523" s="1381"/>
      <c r="AG523" s="38" t="s">
        <v>405</v>
      </c>
      <c r="AH523" s="1361"/>
      <c r="AI523" s="1361"/>
      <c r="AJ523" s="1361"/>
      <c r="AK523" s="1362"/>
      <c r="AZ523" s="3"/>
      <c r="BA523" s="3"/>
      <c r="BB523" s="3"/>
      <c r="BC523" s="3"/>
      <c r="BD523" s="3"/>
      <c r="BE523" s="3"/>
      <c r="BF523" s="3"/>
      <c r="BG523" s="3"/>
      <c r="BH523" s="3"/>
      <c r="BI523" s="3"/>
      <c r="BJ523" s="3"/>
      <c r="BK523" s="3"/>
      <c r="BL523" s="3"/>
      <c r="BM523" s="3"/>
      <c r="BN523" s="3" t="s">
        <v>2542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0"/>
      <c r="C524" s="1411"/>
      <c r="D524" s="1411"/>
      <c r="E524" s="1411"/>
      <c r="F524" s="1411"/>
      <c r="G524" s="1411"/>
      <c r="H524" s="1412"/>
      <c r="I524" s="42" t="s">
        <v>425</v>
      </c>
      <c r="J524" s="42"/>
      <c r="K524" s="42"/>
      <c r="L524" s="42"/>
      <c r="M524" s="42"/>
      <c r="N524" s="42"/>
      <c r="O524" s="1405" t="s">
        <v>336</v>
      </c>
      <c r="P524" s="1406"/>
      <c r="Q524" s="1406"/>
      <c r="R524" s="1406"/>
      <c r="S524" s="1406"/>
      <c r="T524" s="1406"/>
      <c r="U524" s="1406"/>
      <c r="V524" s="1406"/>
      <c r="W524" s="1406"/>
      <c r="X524" s="1406"/>
      <c r="Y524" s="1406"/>
      <c r="Z524" s="1406"/>
      <c r="AA524" s="1406"/>
      <c r="AC524" s="1380" t="s">
        <v>601</v>
      </c>
      <c r="AD524" s="1381"/>
      <c r="AE524" s="1381"/>
      <c r="AF524" s="1381"/>
      <c r="AG524" s="13" t="s">
        <v>405</v>
      </c>
      <c r="AH524" s="1361"/>
      <c r="AI524" s="1361"/>
      <c r="AJ524" s="1361"/>
      <c r="AK524" s="1362"/>
      <c r="AZ524" s="3"/>
      <c r="BA524" s="3"/>
      <c r="BB524" s="3"/>
      <c r="BC524" s="3"/>
      <c r="BD524" s="3"/>
      <c r="BE524" s="3"/>
      <c r="BF524" s="3"/>
      <c r="BG524" s="3"/>
      <c r="BH524" s="3"/>
      <c r="BI524" s="3"/>
      <c r="BJ524" s="3"/>
      <c r="BK524" s="3"/>
      <c r="BL524" s="3"/>
      <c r="BM524" s="3"/>
      <c r="BN524" s="3" t="s">
        <v>2543</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0"/>
      <c r="C525" s="1411"/>
      <c r="D525" s="1411"/>
      <c r="E525" s="1411"/>
      <c r="F525" s="1411"/>
      <c r="G525" s="1411"/>
      <c r="H525" s="1412"/>
      <c r="I525" t="s">
        <v>423</v>
      </c>
      <c r="AC525" s="1380" t="s">
        <v>601</v>
      </c>
      <c r="AD525" s="1381"/>
      <c r="AE525" s="1381"/>
      <c r="AF525" s="1381"/>
      <c r="AG525" s="13" t="s">
        <v>405</v>
      </c>
      <c r="AH525" s="1361"/>
      <c r="AI525" s="1361"/>
      <c r="AJ525" s="1361"/>
      <c r="AK525" s="1362"/>
      <c r="AZ525" s="3"/>
      <c r="BA525" s="3"/>
      <c r="BB525" s="3"/>
      <c r="BC525" s="3"/>
      <c r="BD525" s="3"/>
      <c r="BE525" s="3"/>
      <c r="BF525" s="3"/>
      <c r="BG525" s="3"/>
      <c r="BH525" s="3"/>
      <c r="BI525" s="3"/>
      <c r="BJ525" s="3"/>
      <c r="BK525" s="3"/>
      <c r="BL525" s="3"/>
      <c r="BM525" s="3"/>
      <c r="BN525" s="3" t="s">
        <v>2544</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0"/>
      <c r="C526" s="1411"/>
      <c r="D526" s="1411"/>
      <c r="E526" s="1411"/>
      <c r="F526" s="1411"/>
      <c r="G526" s="1411"/>
      <c r="H526" s="1412"/>
      <c r="I526" s="48" t="s">
        <v>424</v>
      </c>
      <c r="J526" s="48"/>
      <c r="K526" s="48"/>
      <c r="L526" s="48"/>
      <c r="M526" s="48"/>
      <c r="N526" s="48"/>
      <c r="O526" s="48"/>
      <c r="P526" s="48"/>
      <c r="Q526" s="48"/>
      <c r="R526" s="48"/>
      <c r="S526" s="48"/>
      <c r="T526" s="48"/>
      <c r="U526" s="48"/>
      <c r="V526" s="48"/>
      <c r="W526" s="48"/>
      <c r="X526" s="48"/>
      <c r="Y526" s="48"/>
      <c r="Z526" s="48"/>
      <c r="AA526" s="48"/>
      <c r="AB526" s="48"/>
      <c r="AC526" s="1380" t="s">
        <v>601</v>
      </c>
      <c r="AD526" s="1381"/>
      <c r="AE526" s="1381"/>
      <c r="AF526" s="1381"/>
      <c r="AG526" s="38" t="s">
        <v>405</v>
      </c>
      <c r="AH526" s="1361"/>
      <c r="AI526" s="1361"/>
      <c r="AJ526" s="1361"/>
      <c r="AK526" s="1362"/>
      <c r="AZ526" s="3"/>
      <c r="BA526" s="3"/>
      <c r="BB526" s="3"/>
      <c r="BC526" s="3"/>
      <c r="BD526" s="3"/>
      <c r="BE526" s="3"/>
      <c r="BF526" s="3"/>
      <c r="BG526" s="3"/>
      <c r="BH526" s="3"/>
      <c r="BI526" s="3"/>
      <c r="BJ526" s="3"/>
      <c r="BK526" s="3"/>
      <c r="BL526" s="3"/>
      <c r="BM526" s="3"/>
      <c r="BN526" s="3" t="s">
        <v>2545</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0"/>
      <c r="C527" s="1411"/>
      <c r="D527" s="1411"/>
      <c r="E527" s="1411"/>
      <c r="F527" s="1411"/>
      <c r="G527" s="1411"/>
      <c r="H527" s="1412"/>
      <c r="I527" s="42" t="s">
        <v>425</v>
      </c>
      <c r="J527" s="42"/>
      <c r="K527" s="42"/>
      <c r="L527" s="42"/>
      <c r="M527" s="42"/>
      <c r="N527" s="42"/>
      <c r="O527" s="1405" t="s">
        <v>336</v>
      </c>
      <c r="P527" s="1406"/>
      <c r="Q527" s="1406"/>
      <c r="R527" s="1406"/>
      <c r="S527" s="1406"/>
      <c r="T527" s="1406"/>
      <c r="U527" s="1406"/>
      <c r="V527" s="1406"/>
      <c r="W527" s="1406"/>
      <c r="X527" s="1406"/>
      <c r="Y527" s="1406"/>
      <c r="Z527" s="1406"/>
      <c r="AA527" s="1406"/>
      <c r="AC527" s="1380" t="s">
        <v>601</v>
      </c>
      <c r="AD527" s="1381"/>
      <c r="AE527" s="1381"/>
      <c r="AF527" s="1381"/>
      <c r="AG527" s="13" t="s">
        <v>405</v>
      </c>
      <c r="AH527" s="1361"/>
      <c r="AI527" s="1361"/>
      <c r="AJ527" s="1361"/>
      <c r="AK527" s="1362"/>
      <c r="AZ527" s="3"/>
      <c r="BA527" s="3"/>
      <c r="BB527" s="3"/>
      <c r="BC527" s="3"/>
      <c r="BD527" s="3"/>
      <c r="BE527" s="3"/>
      <c r="BF527" s="3"/>
      <c r="BG527" s="3"/>
      <c r="BH527" s="3"/>
      <c r="BI527" s="3"/>
      <c r="BJ527" s="3"/>
      <c r="BK527" s="3"/>
      <c r="BL527" s="3"/>
      <c r="BM527" s="3"/>
      <c r="BN527" s="3" t="s">
        <v>2546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0"/>
      <c r="C528" s="1411"/>
      <c r="D528" s="1411"/>
      <c r="E528" s="1411"/>
      <c r="F528" s="1411"/>
      <c r="G528" s="1411"/>
      <c r="H528" s="1412"/>
      <c r="I528" t="s">
        <v>423</v>
      </c>
      <c r="AC528" s="1380" t="s">
        <v>601</v>
      </c>
      <c r="AD528" s="1381"/>
      <c r="AE528" s="1381"/>
      <c r="AF528" s="1381"/>
      <c r="AG528" s="13" t="s">
        <v>405</v>
      </c>
      <c r="AH528" s="1361"/>
      <c r="AI528" s="1361"/>
      <c r="AJ528" s="1361"/>
      <c r="AK528" s="1362"/>
      <c r="AZ528" s="3"/>
      <c r="BA528" s="3"/>
      <c r="BB528" s="3"/>
      <c r="BC528" s="3"/>
      <c r="BD528" s="3"/>
      <c r="BE528" s="3"/>
      <c r="BF528" s="3"/>
      <c r="BG528" s="3"/>
      <c r="BH528" s="3"/>
      <c r="BI528" s="3"/>
      <c r="BJ528" s="3"/>
      <c r="BK528" s="3"/>
      <c r="BL528" s="3"/>
      <c r="BM528" s="3"/>
      <c r="BN528" s="3" t="s">
        <v>2547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0"/>
      <c r="C529" s="1411"/>
      <c r="D529" s="1411"/>
      <c r="E529" s="1411"/>
      <c r="F529" s="1411"/>
      <c r="G529" s="1411"/>
      <c r="H529" s="1412"/>
      <c r="I529" s="48" t="s">
        <v>424</v>
      </c>
      <c r="J529" s="48"/>
      <c r="K529" s="48"/>
      <c r="L529" s="48"/>
      <c r="M529" s="48"/>
      <c r="N529" s="48"/>
      <c r="O529" s="48"/>
      <c r="P529" s="48"/>
      <c r="Q529" s="48"/>
      <c r="R529" s="48"/>
      <c r="S529" s="48"/>
      <c r="T529" s="48"/>
      <c r="U529" s="48"/>
      <c r="V529" s="48"/>
      <c r="W529" s="48"/>
      <c r="X529" s="48"/>
      <c r="Y529" s="48"/>
      <c r="Z529" s="48"/>
      <c r="AA529" s="48"/>
      <c r="AB529" s="48"/>
      <c r="AC529" s="1380" t="s">
        <v>601</v>
      </c>
      <c r="AD529" s="1381"/>
      <c r="AE529" s="1381"/>
      <c r="AF529" s="1381"/>
      <c r="AG529" s="38" t="s">
        <v>405</v>
      </c>
      <c r="AH529" s="1361"/>
      <c r="AI529" s="1361"/>
      <c r="AJ529" s="1361"/>
      <c r="AK529" s="1362"/>
      <c r="AZ529" s="3"/>
      <c r="BA529" s="3"/>
      <c r="BB529" s="3"/>
      <c r="BC529" s="3"/>
      <c r="BD529" s="3"/>
      <c r="BE529" s="3"/>
      <c r="BF529" s="3"/>
      <c r="BG529" s="3"/>
      <c r="BH529" s="3"/>
      <c r="BI529" s="3"/>
      <c r="BJ529" s="3"/>
      <c r="BK529" s="3"/>
      <c r="BL529" s="3"/>
      <c r="BM529" s="3"/>
      <c r="BN529" s="3" t="s">
        <v>2548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0"/>
      <c r="C530" s="1411"/>
      <c r="D530" s="1411"/>
      <c r="E530" s="1411"/>
      <c r="F530" s="1411"/>
      <c r="G530" s="1411"/>
      <c r="H530" s="1412"/>
      <c r="I530" s="42" t="s">
        <v>425</v>
      </c>
      <c r="J530" s="42"/>
      <c r="K530" s="42"/>
      <c r="L530" s="42"/>
      <c r="M530" s="42"/>
      <c r="N530" s="42"/>
      <c r="O530" s="1405" t="s">
        <v>336</v>
      </c>
      <c r="P530" s="1406"/>
      <c r="Q530" s="1406"/>
      <c r="R530" s="1406"/>
      <c r="S530" s="1406"/>
      <c r="T530" s="1406"/>
      <c r="U530" s="1406"/>
      <c r="V530" s="1406"/>
      <c r="W530" s="1406"/>
      <c r="X530" s="1406"/>
      <c r="Y530" s="1406"/>
      <c r="Z530" s="1406"/>
      <c r="AA530" s="1406"/>
      <c r="AC530" s="1380" t="s">
        <v>601</v>
      </c>
      <c r="AD530" s="1381"/>
      <c r="AE530" s="1381"/>
      <c r="AF530" s="1381"/>
      <c r="AG530" s="13" t="s">
        <v>405</v>
      </c>
      <c r="AH530" s="1361"/>
      <c r="AI530" s="1361"/>
      <c r="AJ530" s="1361"/>
      <c r="AK530" s="1362"/>
      <c r="AZ530" s="3"/>
      <c r="BA530" s="3"/>
      <c r="BB530" s="3"/>
      <c r="BC530" s="3"/>
      <c r="BD530" s="3"/>
      <c r="BE530" s="3"/>
      <c r="BF530" s="3"/>
      <c r="BG530" s="3"/>
      <c r="BH530" s="3"/>
      <c r="BI530" s="3"/>
      <c r="BJ530" s="3"/>
      <c r="BK530" s="3"/>
      <c r="BL530" s="3"/>
      <c r="BM530" s="3"/>
      <c r="BN530" s="3" t="s">
        <v>2549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0"/>
      <c r="C531" s="1411"/>
      <c r="D531" s="1411"/>
      <c r="E531" s="1411"/>
      <c r="F531" s="1411"/>
      <c r="G531" s="1411"/>
      <c r="H531" s="1412"/>
      <c r="I531" t="s">
        <v>423</v>
      </c>
      <c r="AC531" s="1380" t="s">
        <v>601</v>
      </c>
      <c r="AD531" s="1381"/>
      <c r="AE531" s="1381"/>
      <c r="AF531" s="1381"/>
      <c r="AG531" s="38" t="s">
        <v>405</v>
      </c>
      <c r="AH531" s="1361"/>
      <c r="AI531" s="1361"/>
      <c r="AJ531" s="1361"/>
      <c r="AK531" s="1362"/>
      <c r="AZ531" s="3"/>
      <c r="BA531" s="3"/>
      <c r="BB531" s="3"/>
      <c r="BC531" s="3"/>
      <c r="BD531" s="3"/>
      <c r="BE531" s="3"/>
      <c r="BF531" s="3"/>
      <c r="BG531" s="3"/>
      <c r="BH531" s="3"/>
      <c r="BI531" s="3"/>
      <c r="BJ531" s="3"/>
      <c r="BK531" s="3"/>
      <c r="BL531" s="3"/>
      <c r="BM531" s="3"/>
      <c r="BN531" s="3" t="s">
        <v>2550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0"/>
      <c r="C532" s="1411"/>
      <c r="D532" s="1411"/>
      <c r="E532" s="1411"/>
      <c r="F532" s="1411"/>
      <c r="G532" s="1411"/>
      <c r="H532" s="1412"/>
      <c r="I532" s="48" t="s">
        <v>424</v>
      </c>
      <c r="J532" s="48"/>
      <c r="K532" s="48"/>
      <c r="L532" s="48"/>
      <c r="M532" s="48"/>
      <c r="N532" s="48"/>
      <c r="O532" s="48"/>
      <c r="P532" s="48"/>
      <c r="Q532" s="48"/>
      <c r="R532" s="48"/>
      <c r="S532" s="48"/>
      <c r="T532" s="48"/>
      <c r="U532" s="48"/>
      <c r="V532" s="48"/>
      <c r="W532" s="48"/>
      <c r="X532" s="48"/>
      <c r="Y532" s="48"/>
      <c r="Z532" s="48"/>
      <c r="AA532" s="48"/>
      <c r="AB532" s="48"/>
      <c r="AC532" s="1380" t="s">
        <v>601</v>
      </c>
      <c r="AD532" s="1381"/>
      <c r="AE532" s="1381"/>
      <c r="AF532" s="1381"/>
      <c r="AG532" s="13" t="s">
        <v>405</v>
      </c>
      <c r="AH532" s="1361"/>
      <c r="AI532" s="1361"/>
      <c r="AJ532" s="1361"/>
      <c r="AK532" s="1362"/>
      <c r="AZ532" s="3"/>
      <c r="BA532" s="3"/>
      <c r="BB532" s="3"/>
      <c r="BC532" s="3"/>
      <c r="BD532" s="3"/>
      <c r="BE532" s="3"/>
      <c r="BF532" s="3"/>
      <c r="BG532" s="3"/>
      <c r="BH532" s="3"/>
      <c r="BI532" s="3"/>
      <c r="BJ532" s="3"/>
      <c r="BK532" s="3"/>
      <c r="BL532" s="3"/>
      <c r="BM532" s="3"/>
      <c r="BN532" s="3" t="s">
        <v>2551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0"/>
      <c r="C533" s="1411"/>
      <c r="D533" s="1411"/>
      <c r="E533" s="1411"/>
      <c r="F533" s="1411"/>
      <c r="G533" s="1411"/>
      <c r="H533" s="1412"/>
      <c r="I533" s="42" t="s">
        <v>425</v>
      </c>
      <c r="J533" s="42"/>
      <c r="K533" s="42"/>
      <c r="L533" s="42"/>
      <c r="M533" s="42"/>
      <c r="N533" s="42"/>
      <c r="O533" s="1405" t="s">
        <v>336</v>
      </c>
      <c r="P533" s="1406"/>
      <c r="Q533" s="1406"/>
      <c r="R533" s="1406"/>
      <c r="S533" s="1406"/>
      <c r="T533" s="1406"/>
      <c r="U533" s="1406"/>
      <c r="V533" s="1406"/>
      <c r="W533" s="1406"/>
      <c r="X533" s="1406"/>
      <c r="Y533" s="1406"/>
      <c r="Z533" s="1406"/>
      <c r="AA533" s="1406"/>
      <c r="AC533" s="1380" t="s">
        <v>601</v>
      </c>
      <c r="AD533" s="1381"/>
      <c r="AE533" s="1381"/>
      <c r="AF533" s="1381"/>
      <c r="AG533" s="38" t="s">
        <v>405</v>
      </c>
      <c r="AH533" s="1361"/>
      <c r="AI533" s="1361"/>
      <c r="AJ533" s="1361"/>
      <c r="AK533" s="1362"/>
      <c r="AZ533" s="3"/>
      <c r="BA533" s="3"/>
      <c r="BB533" s="3"/>
      <c r="BC533" s="3"/>
      <c r="BD533" s="3"/>
      <c r="BE533" s="3"/>
      <c r="BF533" s="3"/>
      <c r="BG533" s="3"/>
      <c r="BH533" s="3"/>
      <c r="BI533" s="3"/>
      <c r="BJ533" s="3"/>
      <c r="BK533" s="3"/>
      <c r="BL533" s="3"/>
      <c r="BM533" s="3"/>
      <c r="BN533" s="3" t="s">
        <v>2552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0"/>
      <c r="C534" s="1411"/>
      <c r="D534" s="1411"/>
      <c r="E534" s="1411"/>
      <c r="F534" s="1411"/>
      <c r="G534" s="1411"/>
      <c r="H534" s="1412"/>
      <c r="I534" t="s">
        <v>423</v>
      </c>
      <c r="AC534" s="1380" t="s">
        <v>601</v>
      </c>
      <c r="AD534" s="1381"/>
      <c r="AE534" s="1381"/>
      <c r="AF534" s="1381"/>
      <c r="AG534" s="13" t="s">
        <v>405</v>
      </c>
      <c r="AH534" s="1361"/>
      <c r="AI534" s="1361"/>
      <c r="AJ534" s="1361"/>
      <c r="AK534" s="1362"/>
      <c r="AZ534" s="3"/>
      <c r="BA534" s="3"/>
      <c r="BB534" s="3"/>
      <c r="BC534" s="3"/>
      <c r="BD534" s="3"/>
      <c r="BE534" s="3"/>
      <c r="BF534" s="3"/>
      <c r="BG534" s="3"/>
      <c r="BH534" s="3"/>
      <c r="BI534" s="3"/>
      <c r="BJ534" s="3"/>
      <c r="BK534" s="3"/>
      <c r="BL534" s="3"/>
      <c r="BM534" s="3"/>
      <c r="BN534" s="3" t="s">
        <v>2553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0"/>
      <c r="C535" s="1411"/>
      <c r="D535" s="1411"/>
      <c r="E535" s="1411"/>
      <c r="F535" s="1411"/>
      <c r="G535" s="1411"/>
      <c r="H535" s="1412"/>
      <c r="I535" s="48" t="s">
        <v>424</v>
      </c>
      <c r="J535" s="48"/>
      <c r="K535" s="48"/>
      <c r="L535" s="48"/>
      <c r="M535" s="48"/>
      <c r="N535" s="48"/>
      <c r="O535" s="48"/>
      <c r="P535" s="48"/>
      <c r="Q535" s="48"/>
      <c r="R535" s="48"/>
      <c r="S535" s="48"/>
      <c r="T535" s="48"/>
      <c r="U535" s="48"/>
      <c r="V535" s="48"/>
      <c r="W535" s="48"/>
      <c r="X535" s="48"/>
      <c r="Y535" s="48"/>
      <c r="Z535" s="48"/>
      <c r="AA535" s="48"/>
      <c r="AB535" s="48"/>
      <c r="AC535" s="1380" t="s">
        <v>601</v>
      </c>
      <c r="AD535" s="1381"/>
      <c r="AE535" s="1381"/>
      <c r="AF535" s="1381"/>
      <c r="AG535" s="38" t="s">
        <v>405</v>
      </c>
      <c r="AH535" s="1361"/>
      <c r="AI535" s="1361"/>
      <c r="AJ535" s="1361"/>
      <c r="AK535" s="1362"/>
      <c r="AZ535" s="3"/>
      <c r="BA535" s="3"/>
      <c r="BB535" s="3"/>
      <c r="BC535" s="3"/>
      <c r="BD535" s="3"/>
      <c r="BE535" s="3"/>
      <c r="BF535" s="3"/>
      <c r="BG535" s="3"/>
      <c r="BH535" s="3"/>
      <c r="BI535" s="3"/>
      <c r="BJ535" s="3"/>
      <c r="BK535" s="3"/>
      <c r="BL535" s="3"/>
      <c r="BM535" s="3"/>
      <c r="BN535" s="3" t="s">
        <v>2554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0"/>
      <c r="C536" s="1411"/>
      <c r="D536" s="1411"/>
      <c r="E536" s="1411"/>
      <c r="F536" s="1411"/>
      <c r="G536" s="1411"/>
      <c r="H536" s="1412"/>
      <c r="I536" s="42" t="s">
        <v>572</v>
      </c>
      <c r="J536" s="42"/>
      <c r="K536" s="42"/>
      <c r="L536" s="42"/>
      <c r="M536" s="42"/>
      <c r="N536" s="42"/>
      <c r="O536" s="42"/>
      <c r="P536" s="42"/>
      <c r="Q536" s="42"/>
      <c r="R536" s="42"/>
      <c r="S536" s="42"/>
      <c r="T536" s="42"/>
      <c r="U536" s="42"/>
      <c r="V536" s="42"/>
      <c r="W536" s="42"/>
      <c r="AC536" s="1380">
        <v>5</v>
      </c>
      <c r="AD536" s="1381"/>
      <c r="AE536" s="1381"/>
      <c r="AF536" s="1381"/>
      <c r="AG536" s="38" t="s">
        <v>405</v>
      </c>
      <c r="AH536" s="1361">
        <v>2024</v>
      </c>
      <c r="AI536" s="1361"/>
      <c r="AJ536" s="1361"/>
      <c r="AK536" s="1362"/>
      <c r="AZ536" s="3"/>
      <c r="BA536" s="3"/>
      <c r="BB536" s="3"/>
      <c r="BC536" s="3"/>
      <c r="BD536" s="3"/>
      <c r="BE536" s="3"/>
      <c r="BF536" s="3"/>
      <c r="BG536" s="3"/>
      <c r="BH536" s="3"/>
      <c r="BI536" s="3"/>
      <c r="BJ536" s="3"/>
      <c r="BK536" s="3"/>
      <c r="BL536" s="3"/>
      <c r="BM536" s="3"/>
      <c r="BN536" s="3" t="s">
        <v>2555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0"/>
      <c r="C537" s="1411"/>
      <c r="D537" s="1411"/>
      <c r="E537" s="1411"/>
      <c r="F537" s="1411"/>
      <c r="G537" s="1411"/>
      <c r="H537" s="1412"/>
      <c r="I537" t="s">
        <v>573</v>
      </c>
      <c r="AC537" s="1380">
        <v>2</v>
      </c>
      <c r="AD537" s="1381"/>
      <c r="AE537" s="1381"/>
      <c r="AF537" s="1381"/>
      <c r="AG537" s="13" t="s">
        <v>405</v>
      </c>
      <c r="AH537" s="1361">
        <v>2024</v>
      </c>
      <c r="AI537" s="1361"/>
      <c r="AJ537" s="1361"/>
      <c r="AK537" s="136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0"/>
      <c r="C538" s="1411"/>
      <c r="D538" s="1411"/>
      <c r="E538" s="1411"/>
      <c r="F538" s="1411"/>
      <c r="G538" s="1411"/>
      <c r="H538" s="1412"/>
      <c r="I538" t="s">
        <v>574</v>
      </c>
      <c r="AC538" s="1380">
        <v>2</v>
      </c>
      <c r="AD538" s="1381"/>
      <c r="AE538" s="1381"/>
      <c r="AF538" s="1381"/>
      <c r="AG538" s="38" t="s">
        <v>405</v>
      </c>
      <c r="AH538" s="1361">
        <v>2026</v>
      </c>
      <c r="AI538" s="1361"/>
      <c r="AJ538" s="1361"/>
      <c r="AK538" s="136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0"/>
      <c r="C539" s="1411"/>
      <c r="D539" s="1411"/>
      <c r="E539" s="1411"/>
      <c r="F539" s="1411"/>
      <c r="G539" s="1411"/>
      <c r="H539" s="1412"/>
      <c r="I539" t="s">
        <v>575</v>
      </c>
      <c r="AC539" s="1380">
        <v>2</v>
      </c>
      <c r="AD539" s="1381"/>
      <c r="AE539" s="1381"/>
      <c r="AF539" s="1381"/>
      <c r="AG539" s="38" t="s">
        <v>405</v>
      </c>
      <c r="AH539" s="1361">
        <v>2026</v>
      </c>
      <c r="AI539" s="1361"/>
      <c r="AJ539" s="1361"/>
      <c r="AK539" s="136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3"/>
      <c r="C540" s="1414"/>
      <c r="D540" s="1414"/>
      <c r="E540" s="1414"/>
      <c r="F540" s="1414"/>
      <c r="G540" s="1414"/>
      <c r="H540" s="1415"/>
      <c r="I540" s="48" t="s">
        <v>461</v>
      </c>
      <c r="J540" s="48"/>
      <c r="K540" s="48"/>
      <c r="L540" s="48"/>
      <c r="M540" s="48"/>
      <c r="N540" s="48"/>
      <c r="O540" s="48"/>
      <c r="P540" s="48"/>
      <c r="Q540" s="48"/>
      <c r="R540" s="48"/>
      <c r="S540" s="48"/>
      <c r="T540" s="48"/>
      <c r="U540" s="48"/>
      <c r="V540" s="48"/>
      <c r="W540" s="48"/>
      <c r="X540" s="48"/>
      <c r="Y540" s="48"/>
      <c r="Z540" s="48"/>
      <c r="AA540" s="48"/>
      <c r="AB540" s="48"/>
      <c r="AC540" s="1380">
        <v>8</v>
      </c>
      <c r="AD540" s="1381"/>
      <c r="AE540" s="1381"/>
      <c r="AF540" s="1381"/>
      <c r="AG540" s="38" t="s">
        <v>405</v>
      </c>
      <c r="AH540" s="1361">
        <v>2026</v>
      </c>
      <c r="AI540" s="1361"/>
      <c r="AJ540" s="1361"/>
      <c r="AK540" s="136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3" t="s">
        <v>553</v>
      </c>
      <c r="B542" s="1273"/>
      <c r="C542" s="1273"/>
      <c r="D542" s="1273"/>
      <c r="E542" s="1273"/>
      <c r="F542" s="1273"/>
      <c r="G542" s="1273"/>
      <c r="H542" s="1273"/>
      <c r="I542" s="1273"/>
      <c r="J542" s="1273"/>
      <c r="K542" s="1273"/>
      <c r="L542" s="1273"/>
      <c r="M542" s="1273"/>
      <c r="N542" s="1273"/>
      <c r="O542" s="1273"/>
      <c r="P542" s="1273"/>
      <c r="Q542" s="1273"/>
      <c r="R542" s="1273"/>
      <c r="S542" s="1273"/>
      <c r="T542" s="1273"/>
      <c r="U542" s="1273"/>
      <c r="V542" s="1273"/>
      <c r="W542" s="1273"/>
      <c r="X542" s="1273"/>
      <c r="Y542" s="1273"/>
      <c r="Z542" s="1273"/>
      <c r="AA542" s="1273"/>
      <c r="AB542" s="1273"/>
      <c r="AC542" s="1273"/>
      <c r="AD542" s="1273"/>
      <c r="AE542" s="1273"/>
      <c r="AF542" s="1273"/>
      <c r="AG542" s="1273"/>
      <c r="AH542" s="1273"/>
      <c r="AI542" s="1273"/>
      <c r="AJ542" s="1273"/>
      <c r="AK542" s="1273"/>
      <c r="AL542" s="1273"/>
      <c r="AM542" s="1273"/>
      <c r="AN542" s="1273"/>
      <c r="AO542" s="1273"/>
      <c r="AP542" s="1273"/>
      <c r="AQ542" s="1273"/>
      <c r="AR542" s="1273"/>
      <c r="AS542" s="1273"/>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3"/>
      <c r="B543" s="1273"/>
      <c r="C543" s="1273"/>
      <c r="D543" s="1273"/>
      <c r="E543" s="1273"/>
      <c r="F543" s="1273"/>
      <c r="G543" s="1273"/>
      <c r="H543" s="1273"/>
      <c r="I543" s="1273"/>
      <c r="J543" s="1273"/>
      <c r="K543" s="1273"/>
      <c r="L543" s="1273"/>
      <c r="M543" s="1273"/>
      <c r="N543" s="1273"/>
      <c r="O543" s="1273"/>
      <c r="P543" s="1273"/>
      <c r="Q543" s="1273"/>
      <c r="R543" s="1273"/>
      <c r="S543" s="1273"/>
      <c r="T543" s="1273"/>
      <c r="U543" s="1273"/>
      <c r="V543" s="1273"/>
      <c r="W543" s="1273"/>
      <c r="X543" s="1273"/>
      <c r="Y543" s="1273"/>
      <c r="Z543" s="1273"/>
      <c r="AA543" s="1273"/>
      <c r="AB543" s="1273"/>
      <c r="AC543" s="1273"/>
      <c r="AD543" s="1273"/>
      <c r="AE543" s="1273"/>
      <c r="AF543" s="1273"/>
      <c r="AG543" s="1273"/>
      <c r="AH543" s="1273"/>
      <c r="AI543" s="1273"/>
      <c r="AJ543" s="1273"/>
      <c r="AK543" s="1273"/>
      <c r="AL543" s="1273"/>
      <c r="AM543" s="1273"/>
      <c r="AN543" s="1273"/>
      <c r="AO543" s="1273"/>
      <c r="AP543" s="1273"/>
      <c r="AQ543" s="1273"/>
      <c r="AR543" s="1273"/>
      <c r="AS543" s="1273"/>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2527</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7" t="s">
        <v>2529</v>
      </c>
      <c r="C549" s="1378"/>
      <c r="D549" s="1378"/>
      <c r="E549" s="1378"/>
      <c r="F549" s="1378"/>
      <c r="G549" s="1378"/>
      <c r="H549" s="1378"/>
      <c r="I549" s="1378"/>
      <c r="J549" s="1378"/>
      <c r="K549" s="1378"/>
      <c r="L549" s="1379"/>
      <c r="M549" s="1519" t="s">
        <v>2530</v>
      </c>
      <c r="N549" s="1519"/>
      <c r="O549" s="1519"/>
      <c r="P549" s="1519"/>
      <c r="Q549" s="1377" t="s">
        <v>2556</v>
      </c>
      <c r="R549" s="1378"/>
      <c r="S549" s="1379"/>
      <c r="T549" s="1377" t="s">
        <v>2557</v>
      </c>
      <c r="U549" s="1378"/>
      <c r="V549" s="1379"/>
      <c r="W549" s="1377" t="s">
        <v>463</v>
      </c>
      <c r="X549" s="1378"/>
      <c r="Y549" s="1379"/>
      <c r="Z549" s="1377" t="s">
        <v>2117</v>
      </c>
      <c r="AA549" s="1378"/>
      <c r="AB549" s="1378"/>
      <c r="AC549" s="1378"/>
      <c r="AD549" s="1378"/>
      <c r="AE549" s="1377" t="s">
        <v>1938</v>
      </c>
      <c r="AF549" s="1378"/>
      <c r="AG549" s="1378"/>
      <c r="AH549" s="1379"/>
      <c r="AI549" s="1377" t="s">
        <v>1939</v>
      </c>
      <c r="AJ549" s="1378"/>
      <c r="AK549" s="1378"/>
      <c r="AL549" s="1379"/>
      <c r="AM549" s="1377" t="s">
        <v>464</v>
      </c>
      <c r="AN549" s="1378"/>
      <c r="AO549" s="1378"/>
      <c r="AP549" s="1378"/>
      <c r="AQ549" s="1378"/>
      <c r="AR549" s="1378"/>
      <c r="AS549" s="137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82" t="s">
        <v>2627</v>
      </c>
      <c r="D550" s="1382"/>
      <c r="E550" s="1382"/>
      <c r="F550" s="1382"/>
      <c r="G550" s="1382"/>
      <c r="H550" s="1382"/>
      <c r="I550" s="1382"/>
      <c r="J550" s="1382"/>
      <c r="K550" s="1382"/>
      <c r="L550" s="1382"/>
      <c r="M550" s="1382" t="s">
        <v>2546</v>
      </c>
      <c r="N550" s="1382"/>
      <c r="O550" s="1382"/>
      <c r="P550" s="1382"/>
      <c r="Q550" s="1431">
        <v>24</v>
      </c>
      <c r="R550" s="1431"/>
      <c r="S550" s="1432"/>
      <c r="T550" s="1430"/>
      <c r="U550" s="1431"/>
      <c r="V550" s="1432"/>
      <c r="W550" s="1472">
        <v>6.5000000000000002E-2</v>
      </c>
      <c r="X550" s="1473"/>
      <c r="Y550" s="1474"/>
      <c r="Z550" s="1433" t="s">
        <v>2633</v>
      </c>
      <c r="AA550" s="1433"/>
      <c r="AB550" s="1433"/>
      <c r="AC550" s="1433"/>
      <c r="AD550" s="1433"/>
      <c r="AE550" s="1424"/>
      <c r="AF550" s="1425"/>
      <c r="AG550" s="1425"/>
      <c r="AH550" s="1426"/>
      <c r="AI550" s="1447"/>
      <c r="AJ550" s="1448"/>
      <c r="AK550" s="1448"/>
      <c r="AL550" s="1449"/>
      <c r="AM550" s="1352">
        <v>36062717</v>
      </c>
      <c r="AN550" s="1353"/>
      <c r="AO550" s="1353"/>
      <c r="AP550" s="1353"/>
      <c r="AQ550" s="1353"/>
      <c r="AR550" s="1353"/>
      <c r="AS550" s="1354"/>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20" t="s">
        <v>2628</v>
      </c>
      <c r="D551" s="1520"/>
      <c r="E551" s="1520"/>
      <c r="F551" s="1520"/>
      <c r="G551" s="1520"/>
      <c r="H551" s="1520"/>
      <c r="I551" s="1520"/>
      <c r="J551" s="1520"/>
      <c r="K551" s="1520"/>
      <c r="L551" s="1520"/>
      <c r="M551" s="1382" t="s">
        <v>2545</v>
      </c>
      <c r="N551" s="1382"/>
      <c r="O551" s="1382"/>
      <c r="P551" s="1382"/>
      <c r="Q551" s="1430">
        <v>24</v>
      </c>
      <c r="R551" s="1431"/>
      <c r="S551" s="1432"/>
      <c r="T551" s="1430"/>
      <c r="U551" s="1431"/>
      <c r="V551" s="1432"/>
      <c r="W551" s="1472">
        <v>7.0000000000000007E-2</v>
      </c>
      <c r="X551" s="1473"/>
      <c r="Y551" s="1474"/>
      <c r="Z551" s="1433" t="s">
        <v>2633</v>
      </c>
      <c r="AA551" s="1433"/>
      <c r="AB551" s="1433"/>
      <c r="AC551" s="1433"/>
      <c r="AD551" s="1433"/>
      <c r="AE551" s="1424"/>
      <c r="AF551" s="1425"/>
      <c r="AG551" s="1425"/>
      <c r="AH551" s="1426"/>
      <c r="AI551" s="1447"/>
      <c r="AJ551" s="1448"/>
      <c r="AK551" s="1448"/>
      <c r="AL551" s="1449"/>
      <c r="AM551" s="1352">
        <v>13446841</v>
      </c>
      <c r="AN551" s="1353"/>
      <c r="AO551" s="1353"/>
      <c r="AP551" s="1353"/>
      <c r="AQ551" s="1353"/>
      <c r="AR551" s="1353"/>
      <c r="AS551" s="1354"/>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20" t="s">
        <v>2629</v>
      </c>
      <c r="D552" s="1520"/>
      <c r="E552" s="1520"/>
      <c r="F552" s="1520"/>
      <c r="G552" s="1520"/>
      <c r="H552" s="1520"/>
      <c r="I552" s="1520"/>
      <c r="J552" s="1520"/>
      <c r="K552" s="1520"/>
      <c r="L552" s="1520"/>
      <c r="M552" s="1382" t="s">
        <v>1328</v>
      </c>
      <c r="N552" s="1382"/>
      <c r="O552" s="1382"/>
      <c r="P552" s="1382"/>
      <c r="Q552" s="1430"/>
      <c r="R552" s="1431"/>
      <c r="S552" s="1432"/>
      <c r="T552" s="1430"/>
      <c r="U552" s="1431"/>
      <c r="V552" s="1432"/>
      <c r="W552" s="1472"/>
      <c r="X552" s="1473"/>
      <c r="Y552" s="1474"/>
      <c r="Z552" s="1433" t="s">
        <v>1328</v>
      </c>
      <c r="AA552" s="1433"/>
      <c r="AB552" s="1433"/>
      <c r="AC552" s="1433"/>
      <c r="AD552" s="1433"/>
      <c r="AE552" s="1424"/>
      <c r="AF552" s="1425"/>
      <c r="AG552" s="1425"/>
      <c r="AH552" s="1426"/>
      <c r="AI552" s="1447"/>
      <c r="AJ552" s="1448"/>
      <c r="AK552" s="1448"/>
      <c r="AL552" s="1449"/>
      <c r="AM552" s="1352">
        <v>4398372</v>
      </c>
      <c r="AN552" s="1353"/>
      <c r="AO552" s="1353"/>
      <c r="AP552" s="1353"/>
      <c r="AQ552" s="1353"/>
      <c r="AR552" s="1353"/>
      <c r="AS552" s="1354"/>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520" t="s">
        <v>2630</v>
      </c>
      <c r="D553" s="1520"/>
      <c r="E553" s="1520"/>
      <c r="F553" s="1520"/>
      <c r="G553" s="1520"/>
      <c r="H553" s="1520"/>
      <c r="I553" s="1520"/>
      <c r="J553" s="1520"/>
      <c r="K553" s="1520"/>
      <c r="L553" s="1520"/>
      <c r="M553" s="1382" t="s">
        <v>1328</v>
      </c>
      <c r="N553" s="1382"/>
      <c r="O553" s="1382"/>
      <c r="P553" s="1382"/>
      <c r="Q553" s="1430"/>
      <c r="R553" s="1431"/>
      <c r="S553" s="1432"/>
      <c r="T553" s="1430"/>
      <c r="U553" s="1431"/>
      <c r="V553" s="1432"/>
      <c r="W553" s="1472"/>
      <c r="X553" s="1473"/>
      <c r="Y553" s="1474"/>
      <c r="Z553" s="1433" t="s">
        <v>1328</v>
      </c>
      <c r="AA553" s="1433"/>
      <c r="AB553" s="1433"/>
      <c r="AC553" s="1433"/>
      <c r="AD553" s="1433"/>
      <c r="AE553" s="1424"/>
      <c r="AF553" s="1425"/>
      <c r="AG553" s="1425"/>
      <c r="AH553" s="1426"/>
      <c r="AI553" s="1447"/>
      <c r="AJ553" s="1448"/>
      <c r="AK553" s="1448"/>
      <c r="AL553" s="1449"/>
      <c r="AM553" s="1352">
        <v>379440</v>
      </c>
      <c r="AN553" s="1353"/>
      <c r="AO553" s="1353"/>
      <c r="AP553" s="1353"/>
      <c r="AQ553" s="1353"/>
      <c r="AR553" s="1353"/>
      <c r="AS553" s="1354"/>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520" t="s">
        <v>1924</v>
      </c>
      <c r="D554" s="1520"/>
      <c r="E554" s="1520"/>
      <c r="F554" s="1520"/>
      <c r="G554" s="1520"/>
      <c r="H554" s="1520"/>
      <c r="I554" s="1520"/>
      <c r="J554" s="1520"/>
      <c r="K554" s="1520"/>
      <c r="L554" s="1520"/>
      <c r="M554" s="1382" t="s">
        <v>1328</v>
      </c>
      <c r="N554" s="1382"/>
      <c r="O554" s="1382"/>
      <c r="P554" s="1382"/>
      <c r="Q554" s="1430"/>
      <c r="R554" s="1431"/>
      <c r="S554" s="1432"/>
      <c r="T554" s="1430"/>
      <c r="U554" s="1431"/>
      <c r="V554" s="1432"/>
      <c r="W554" s="1472"/>
      <c r="X554" s="1473"/>
      <c r="Y554" s="1474"/>
      <c r="Z554" s="1433" t="s">
        <v>1328</v>
      </c>
      <c r="AA554" s="1433"/>
      <c r="AB554" s="1433"/>
      <c r="AC554" s="1433"/>
      <c r="AD554" s="1433"/>
      <c r="AE554" s="1424"/>
      <c r="AF554" s="1425"/>
      <c r="AG554" s="1425"/>
      <c r="AH554" s="1426"/>
      <c r="AI554" s="1447"/>
      <c r="AJ554" s="1448"/>
      <c r="AK554" s="1448"/>
      <c r="AL554" s="1449"/>
      <c r="AM554" s="1352">
        <v>5000000</v>
      </c>
      <c r="AN554" s="1353"/>
      <c r="AO554" s="1353"/>
      <c r="AP554" s="1353"/>
      <c r="AQ554" s="1353"/>
      <c r="AR554" s="1353"/>
      <c r="AS554" s="1354"/>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520" t="s">
        <v>2631</v>
      </c>
      <c r="D555" s="1520"/>
      <c r="E555" s="1520"/>
      <c r="F555" s="1520"/>
      <c r="G555" s="1520"/>
      <c r="H555" s="1520"/>
      <c r="I555" s="1520"/>
      <c r="J555" s="1520"/>
      <c r="K555" s="1520"/>
      <c r="L555" s="1520"/>
      <c r="M555" s="1382" t="s">
        <v>1328</v>
      </c>
      <c r="N555" s="1382"/>
      <c r="O555" s="1382"/>
      <c r="P555" s="1382"/>
      <c r="Q555" s="1430">
        <v>24</v>
      </c>
      <c r="R555" s="1431"/>
      <c r="S555" s="1432"/>
      <c r="T555" s="1430"/>
      <c r="U555" s="1431"/>
      <c r="V555" s="1432"/>
      <c r="W555" s="1472">
        <v>0.01</v>
      </c>
      <c r="X555" s="1473"/>
      <c r="Y555" s="1474"/>
      <c r="Z555" s="1433" t="s">
        <v>1328</v>
      </c>
      <c r="AA555" s="1433"/>
      <c r="AB555" s="1433"/>
      <c r="AC555" s="1433"/>
      <c r="AD555" s="1433"/>
      <c r="AE555" s="1424"/>
      <c r="AF555" s="1425"/>
      <c r="AG555" s="1425"/>
      <c r="AH555" s="1426"/>
      <c r="AI555" s="1447"/>
      <c r="AJ555" s="1448"/>
      <c r="AK555" s="1448"/>
      <c r="AL555" s="1449"/>
      <c r="AM555" s="1352">
        <v>7000000</v>
      </c>
      <c r="AN555" s="1353"/>
      <c r="AO555" s="1353"/>
      <c r="AP555" s="1353"/>
      <c r="AQ555" s="1353"/>
      <c r="AR555" s="1353"/>
      <c r="AS555" s="1354"/>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20" t="s">
        <v>2632</v>
      </c>
      <c r="D556" s="1520"/>
      <c r="E556" s="1520"/>
      <c r="F556" s="1520"/>
      <c r="G556" s="1520"/>
      <c r="H556" s="1520"/>
      <c r="I556" s="1520"/>
      <c r="J556" s="1520"/>
      <c r="K556" s="1520"/>
      <c r="L556" s="1520"/>
      <c r="M556" s="1382" t="s">
        <v>1328</v>
      </c>
      <c r="N556" s="1382"/>
      <c r="O556" s="1382"/>
      <c r="P556" s="1382"/>
      <c r="Q556" s="1430">
        <v>24</v>
      </c>
      <c r="R556" s="1431"/>
      <c r="S556" s="1432"/>
      <c r="T556" s="1430"/>
      <c r="U556" s="1431"/>
      <c r="V556" s="1432"/>
      <c r="W556" s="1472">
        <v>0.01</v>
      </c>
      <c r="X556" s="1473"/>
      <c r="Y556" s="1474"/>
      <c r="Z556" s="1433" t="s">
        <v>1328</v>
      </c>
      <c r="AA556" s="1433"/>
      <c r="AB556" s="1433"/>
      <c r="AC556" s="1433"/>
      <c r="AD556" s="1433"/>
      <c r="AE556" s="1424"/>
      <c r="AF556" s="1425"/>
      <c r="AG556" s="1425"/>
      <c r="AH556" s="1426"/>
      <c r="AI556" s="1447"/>
      <c r="AJ556" s="1448"/>
      <c r="AK556" s="1448"/>
      <c r="AL556" s="1449"/>
      <c r="AM556" s="1352"/>
      <c r="AN556" s="1353"/>
      <c r="AO556" s="1353"/>
      <c r="AP556" s="1353"/>
      <c r="AQ556" s="1353"/>
      <c r="AR556" s="1353"/>
      <c r="AS556" s="1354"/>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520"/>
      <c r="D557" s="1520"/>
      <c r="E557" s="1520"/>
      <c r="F557" s="1520"/>
      <c r="G557" s="1520"/>
      <c r="H557" s="1520"/>
      <c r="I557" s="1520"/>
      <c r="J557" s="1520"/>
      <c r="K557" s="1520"/>
      <c r="L557" s="1520"/>
      <c r="M557" s="1382" t="s">
        <v>1328</v>
      </c>
      <c r="N557" s="1382"/>
      <c r="O557" s="1382"/>
      <c r="P557" s="1382"/>
      <c r="Q557" s="1430"/>
      <c r="R557" s="1431"/>
      <c r="S557" s="1432"/>
      <c r="T557" s="1430"/>
      <c r="U557" s="1431"/>
      <c r="V557" s="1432"/>
      <c r="W557" s="1472"/>
      <c r="X557" s="1473"/>
      <c r="Y557" s="1474"/>
      <c r="Z557" s="1433" t="s">
        <v>1328</v>
      </c>
      <c r="AA557" s="1433"/>
      <c r="AB557" s="1433"/>
      <c r="AC557" s="1433"/>
      <c r="AD557" s="1433"/>
      <c r="AE557" s="1424"/>
      <c r="AF557" s="1425"/>
      <c r="AG557" s="1425"/>
      <c r="AH557" s="1426"/>
      <c r="AI557" s="1447"/>
      <c r="AJ557" s="1448"/>
      <c r="AK557" s="1448"/>
      <c r="AL557" s="1449"/>
      <c r="AM557" s="1352"/>
      <c r="AN557" s="1353"/>
      <c r="AO557" s="1353"/>
      <c r="AP557" s="1353"/>
      <c r="AQ557" s="1353"/>
      <c r="AR557" s="1353"/>
      <c r="AS557" s="1354"/>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520"/>
      <c r="D558" s="1520"/>
      <c r="E558" s="1520"/>
      <c r="F558" s="1520"/>
      <c r="G558" s="1520"/>
      <c r="H558" s="1520"/>
      <c r="I558" s="1520"/>
      <c r="J558" s="1520"/>
      <c r="K558" s="1520"/>
      <c r="L558" s="1520"/>
      <c r="M558" s="1382" t="s">
        <v>1328</v>
      </c>
      <c r="N558" s="1382"/>
      <c r="O558" s="1382"/>
      <c r="P558" s="1382"/>
      <c r="Q558" s="1430"/>
      <c r="R558" s="1431"/>
      <c r="S558" s="1432"/>
      <c r="T558" s="1430"/>
      <c r="U558" s="1431"/>
      <c r="V558" s="1432"/>
      <c r="W558" s="1472"/>
      <c r="X558" s="1473"/>
      <c r="Y558" s="1474"/>
      <c r="Z558" s="1433" t="s">
        <v>1328</v>
      </c>
      <c r="AA558" s="1433"/>
      <c r="AB558" s="1433"/>
      <c r="AC558" s="1433"/>
      <c r="AD558" s="1433"/>
      <c r="AE558" s="1424"/>
      <c r="AF558" s="1425"/>
      <c r="AG558" s="1425"/>
      <c r="AH558" s="1426"/>
      <c r="AI558" s="1447"/>
      <c r="AJ558" s="1448"/>
      <c r="AK558" s="1448"/>
      <c r="AL558" s="1449"/>
      <c r="AM558" s="1352"/>
      <c r="AN558" s="1353"/>
      <c r="AO558" s="1353"/>
      <c r="AP558" s="1353"/>
      <c r="AQ558" s="1353"/>
      <c r="AR558" s="1353"/>
      <c r="AS558" s="1354"/>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520"/>
      <c r="D559" s="1520"/>
      <c r="E559" s="1520"/>
      <c r="F559" s="1520"/>
      <c r="G559" s="1520"/>
      <c r="H559" s="1520"/>
      <c r="I559" s="1520"/>
      <c r="J559" s="1520"/>
      <c r="K559" s="1520"/>
      <c r="L559" s="1520"/>
      <c r="M559" s="1382" t="s">
        <v>1328</v>
      </c>
      <c r="N559" s="1382"/>
      <c r="O559" s="1382"/>
      <c r="P559" s="1382"/>
      <c r="Q559" s="1430"/>
      <c r="R559" s="1431"/>
      <c r="S559" s="1432"/>
      <c r="T559" s="1430"/>
      <c r="U559" s="1431"/>
      <c r="V559" s="1432"/>
      <c r="W559" s="1472"/>
      <c r="X559" s="1473"/>
      <c r="Y559" s="1474"/>
      <c r="Z559" s="1433" t="s">
        <v>1328</v>
      </c>
      <c r="AA559" s="1433"/>
      <c r="AB559" s="1433"/>
      <c r="AC559" s="1433"/>
      <c r="AD559" s="1433"/>
      <c r="AE559" s="1424"/>
      <c r="AF559" s="1425"/>
      <c r="AG559" s="1425"/>
      <c r="AH559" s="1426"/>
      <c r="AI559" s="1447"/>
      <c r="AJ559" s="1448"/>
      <c r="AK559" s="1448"/>
      <c r="AL559" s="1449"/>
      <c r="AM559" s="1352"/>
      <c r="AN559" s="1353"/>
      <c r="AO559" s="1353"/>
      <c r="AP559" s="1353"/>
      <c r="AQ559" s="1353"/>
      <c r="AR559" s="1353"/>
      <c r="AS559" s="1354"/>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20"/>
      <c r="D560" s="1520"/>
      <c r="E560" s="1520"/>
      <c r="F560" s="1520"/>
      <c r="G560" s="1520"/>
      <c r="H560" s="1520"/>
      <c r="I560" s="1520"/>
      <c r="J560" s="1520"/>
      <c r="K560" s="1520"/>
      <c r="L560" s="1520"/>
      <c r="M560" s="1382" t="s">
        <v>1328</v>
      </c>
      <c r="N560" s="1382"/>
      <c r="O560" s="1382"/>
      <c r="P560" s="1382"/>
      <c r="Q560" s="1430"/>
      <c r="R560" s="1431"/>
      <c r="S560" s="1432"/>
      <c r="T560" s="1430"/>
      <c r="U560" s="1431"/>
      <c r="V560" s="1432"/>
      <c r="W560" s="1472"/>
      <c r="X560" s="1473"/>
      <c r="Y560" s="1474"/>
      <c r="Z560" s="1433" t="s">
        <v>1328</v>
      </c>
      <c r="AA560" s="1433"/>
      <c r="AB560" s="1433"/>
      <c r="AC560" s="1433"/>
      <c r="AD560" s="1433"/>
      <c r="AE560" s="1424"/>
      <c r="AF560" s="1425"/>
      <c r="AG560" s="1425"/>
      <c r="AH560" s="1426"/>
      <c r="AI560" s="1447"/>
      <c r="AJ560" s="1448"/>
      <c r="AK560" s="1448"/>
      <c r="AL560" s="1449"/>
      <c r="AM560" s="1352"/>
      <c r="AN560" s="1353"/>
      <c r="AO560" s="1353"/>
      <c r="AP560" s="1353"/>
      <c r="AQ560" s="1353"/>
      <c r="AR560" s="1353"/>
      <c r="AS560" s="1354"/>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20"/>
      <c r="D561" s="1520"/>
      <c r="E561" s="1520"/>
      <c r="F561" s="1520"/>
      <c r="G561" s="1520"/>
      <c r="H561" s="1520"/>
      <c r="I561" s="1520"/>
      <c r="J561" s="1520"/>
      <c r="K561" s="1520"/>
      <c r="L561" s="1520"/>
      <c r="M561" s="1382" t="s">
        <v>1328</v>
      </c>
      <c r="N561" s="1382"/>
      <c r="O561" s="1382"/>
      <c r="P561" s="1382"/>
      <c r="Q561" s="1430"/>
      <c r="R561" s="1431"/>
      <c r="S561" s="1432"/>
      <c r="T561" s="1430"/>
      <c r="U561" s="1431"/>
      <c r="V561" s="1432"/>
      <c r="W561" s="1472"/>
      <c r="X561" s="1473"/>
      <c r="Y561" s="1474"/>
      <c r="Z561" s="1433" t="s">
        <v>1328</v>
      </c>
      <c r="AA561" s="1433"/>
      <c r="AB561" s="1433"/>
      <c r="AC561" s="1433"/>
      <c r="AD561" s="1433"/>
      <c r="AE561" s="1424"/>
      <c r="AF561" s="1425"/>
      <c r="AG561" s="1425"/>
      <c r="AH561" s="1426"/>
      <c r="AI561" s="1447"/>
      <c r="AJ561" s="1448"/>
      <c r="AK561" s="1448"/>
      <c r="AL561" s="1449"/>
      <c r="AM561" s="1352"/>
      <c r="AN561" s="1353"/>
      <c r="AO561" s="1353"/>
      <c r="AP561" s="1353"/>
      <c r="AQ561" s="1353"/>
      <c r="AR561" s="1353"/>
      <c r="AS561" s="1354"/>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4" t="s">
        <v>128</v>
      </c>
      <c r="C562" s="1525"/>
      <c r="D562" s="1525"/>
      <c r="E562" s="1525"/>
      <c r="F562" s="1525"/>
      <c r="G562" s="1525"/>
      <c r="H562" s="1525"/>
      <c r="I562" s="1525"/>
      <c r="J562" s="1525"/>
      <c r="K562" s="1525"/>
      <c r="L562" s="1525"/>
      <c r="M562" s="1525"/>
      <c r="N562" s="1525"/>
      <c r="O562" s="1525"/>
      <c r="P562" s="1525"/>
      <c r="Q562" s="1525"/>
      <c r="R562" s="1525"/>
      <c r="S562" s="1525"/>
      <c r="T562" s="1525"/>
      <c r="U562" s="1526"/>
      <c r="V562" s="1525"/>
      <c r="W562" s="1525"/>
      <c r="X562" s="1525"/>
      <c r="Y562" s="1525"/>
      <c r="Z562" s="1525"/>
      <c r="AA562" s="1525"/>
      <c r="AB562" s="1525"/>
      <c r="AC562" s="1525"/>
      <c r="AD562" s="1525"/>
      <c r="AE562" s="1525"/>
      <c r="AF562" s="1525"/>
      <c r="AG562" s="1525"/>
      <c r="AH562" s="1525"/>
      <c r="AI562" s="1525"/>
      <c r="AJ562" s="1525"/>
      <c r="AK562" s="1525"/>
      <c r="AL562" s="1527"/>
      <c r="AM562" s="1521">
        <f>SUM(AM550:AS561)</f>
        <v>66287370</v>
      </c>
      <c r="AN562" s="1522"/>
      <c r="AO562" s="1522"/>
      <c r="AP562" s="1522"/>
      <c r="AQ562" s="1522"/>
      <c r="AR562" s="1522"/>
      <c r="AS562" s="152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7" t="str">
        <f>C550</f>
        <v>Citibank, N.A.</v>
      </c>
      <c r="H564" s="1517"/>
      <c r="I564" s="1517"/>
      <c r="J564" s="1517"/>
      <c r="K564" s="1517"/>
      <c r="L564" s="1517"/>
      <c r="M564" s="1517"/>
      <c r="N564" s="1517"/>
      <c r="O564" s="1517"/>
      <c r="P564" s="1517"/>
      <c r="Q564" s="1517"/>
      <c r="R564" s="1517"/>
      <c r="S564" s="8"/>
      <c r="T564" s="55" t="s">
        <v>114</v>
      </c>
      <c r="U564" t="s">
        <v>473</v>
      </c>
      <c r="Z564" s="1517" t="str">
        <f>C551</f>
        <v>CitiBank, N.A.</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75" t="s">
        <v>2637</v>
      </c>
      <c r="H565" s="1392"/>
      <c r="I565" s="1392"/>
      <c r="J565" s="1392"/>
      <c r="K565" s="1392"/>
      <c r="L565" s="1392"/>
      <c r="M565" s="1392"/>
      <c r="N565" s="1392"/>
      <c r="O565" s="1392"/>
      <c r="P565" s="1392"/>
      <c r="Q565" s="1392"/>
      <c r="R565" s="1392"/>
      <c r="S565" s="8"/>
      <c r="T565" s="22"/>
      <c r="U565" t="s">
        <v>86</v>
      </c>
      <c r="Z565" s="1475" t="s">
        <v>2637</v>
      </c>
      <c r="AA565" s="1392"/>
      <c r="AB565" s="1392"/>
      <c r="AC565" s="1392"/>
      <c r="AD565" s="1392"/>
      <c r="AE565" s="1392"/>
      <c r="AF565" s="1392"/>
      <c r="AG565" s="1392"/>
      <c r="AH565" s="1392"/>
      <c r="AI565" s="1392"/>
      <c r="AJ565" s="1392"/>
      <c r="AK565" s="139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475" t="s">
        <v>2638</v>
      </c>
      <c r="H566" s="1392"/>
      <c r="I566" s="1392"/>
      <c r="J566" s="1392"/>
      <c r="K566" s="1392"/>
      <c r="L566" s="1392"/>
      <c r="M566" s="1392"/>
      <c r="N566" s="1392"/>
      <c r="O566" s="1392"/>
      <c r="P566" s="1392"/>
      <c r="Q566" s="1392"/>
      <c r="R566" s="1392"/>
      <c r="T566" s="22"/>
      <c r="U566" t="s">
        <v>590</v>
      </c>
      <c r="Z566" s="1475" t="s">
        <v>2638</v>
      </c>
      <c r="AA566" s="1392"/>
      <c r="AB566" s="1392"/>
      <c r="AC566" s="1392"/>
      <c r="AD566" s="1392"/>
      <c r="AE566" s="1392"/>
      <c r="AF566" s="1392"/>
      <c r="AG566" s="1392"/>
      <c r="AH566" s="1392"/>
      <c r="AI566" s="1392"/>
      <c r="AJ566" s="1392"/>
      <c r="AK566" s="1392"/>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75" t="s">
        <v>2639</v>
      </c>
      <c r="H567" s="1392"/>
      <c r="I567" s="1392"/>
      <c r="J567" s="1392"/>
      <c r="K567" s="1392"/>
      <c r="L567" s="1392"/>
      <c r="M567" s="1392"/>
      <c r="N567" s="1392"/>
      <c r="O567" s="1392"/>
      <c r="P567" s="1392"/>
      <c r="Q567" s="1392"/>
      <c r="R567" s="1392"/>
      <c r="S567" s="8"/>
      <c r="T567" s="22"/>
      <c r="U567" t="s">
        <v>17</v>
      </c>
      <c r="Z567" s="1475" t="s">
        <v>2639</v>
      </c>
      <c r="AA567" s="1392"/>
      <c r="AB567" s="1392"/>
      <c r="AC567" s="1392"/>
      <c r="AD567" s="1392"/>
      <c r="AE567" s="1392"/>
      <c r="AF567" s="1392"/>
      <c r="AG567" s="1392"/>
      <c r="AH567" s="1392"/>
      <c r="AI567" s="1392"/>
      <c r="AJ567" s="1392"/>
      <c r="AK567" s="139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8" t="s">
        <v>2640</v>
      </c>
      <c r="H568" s="1518"/>
      <c r="I568" s="1518"/>
      <c r="J568" s="1518"/>
      <c r="K568" s="1518"/>
      <c r="L568" s="1518"/>
      <c r="O568" s="33" t="s">
        <v>208</v>
      </c>
      <c r="P568" s="1464"/>
      <c r="Q568" s="1464"/>
      <c r="R568" s="1464"/>
      <c r="S568" s="10"/>
      <c r="T568" s="22"/>
      <c r="U568" t="s">
        <v>318</v>
      </c>
      <c r="Z568" s="1518" t="s">
        <v>2640</v>
      </c>
      <c r="AA568" s="1518"/>
      <c r="AB568" s="1518"/>
      <c r="AC568" s="1518"/>
      <c r="AD568" s="1518"/>
      <c r="AE568" s="1518"/>
      <c r="AH568" s="33" t="s">
        <v>208</v>
      </c>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475" t="s">
        <v>2641</v>
      </c>
      <c r="I569" s="1392"/>
      <c r="J569" s="1392"/>
      <c r="K569" s="1392"/>
      <c r="L569" s="1392"/>
      <c r="M569" s="1392"/>
      <c r="N569" s="1392"/>
      <c r="O569" s="1392"/>
      <c r="P569" s="1392"/>
      <c r="Q569" s="1392"/>
      <c r="R569" s="1392"/>
      <c r="S569" s="8"/>
      <c r="T569" s="22"/>
      <c r="U569" t="s">
        <v>18</v>
      </c>
      <c r="AA569" s="1475" t="s">
        <v>2734</v>
      </c>
      <c r="AB569" s="1392"/>
      <c r="AC569" s="1392"/>
      <c r="AD569" s="1392"/>
      <c r="AE569" s="1392"/>
      <c r="AF569" s="1392"/>
      <c r="AG569" s="1392"/>
      <c r="AH569" s="1392"/>
      <c r="AI569" s="1392"/>
      <c r="AJ569" s="1392"/>
      <c r="AK569" s="139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728" t="s">
        <v>601</v>
      </c>
      <c r="N570" s="1689"/>
      <c r="O570" s="1689"/>
      <c r="P570" s="1689"/>
      <c r="Q570" s="1689"/>
      <c r="R570" s="1689"/>
      <c r="S570" s="8"/>
      <c r="T570" s="22"/>
      <c r="U570" s="349" t="s">
        <v>1329</v>
      </c>
      <c r="AA570" s="8"/>
      <c r="AB570" s="8"/>
      <c r="AC570" s="8"/>
      <c r="AD570" s="8"/>
      <c r="AE570" s="8"/>
      <c r="AF570" s="1728" t="s">
        <v>601</v>
      </c>
      <c r="AG570" s="1689"/>
      <c r="AH570" s="1689"/>
      <c r="AI570" s="1689"/>
      <c r="AJ570" s="1689"/>
      <c r="AK570" s="168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555</v>
      </c>
      <c r="O571" s="1376"/>
      <c r="T571" s="22"/>
      <c r="U571" t="s">
        <v>20</v>
      </c>
      <c r="AG571" s="1376" t="s">
        <v>555</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7" t="str">
        <f>C552</f>
        <v>Investor's Equity</v>
      </c>
      <c r="H573" s="1517"/>
      <c r="I573" s="1517"/>
      <c r="J573" s="1517"/>
      <c r="K573" s="1517"/>
      <c r="L573" s="1517"/>
      <c r="M573" s="1517"/>
      <c r="N573" s="1517"/>
      <c r="O573" s="1517"/>
      <c r="P573" s="1517"/>
      <c r="Q573" s="1517"/>
      <c r="R573" s="1517"/>
      <c r="T573" s="55" t="s">
        <v>591</v>
      </c>
      <c r="U573" t="s">
        <v>473</v>
      </c>
      <c r="Z573" s="1517" t="str">
        <f>C553</f>
        <v>Deferred Reserves</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2"/>
      <c r="H574" s="1392"/>
      <c r="I574" s="1392"/>
      <c r="J574" s="1392"/>
      <c r="K574" s="1392"/>
      <c r="L574" s="1392"/>
      <c r="M574" s="1392"/>
      <c r="N574" s="1392"/>
      <c r="O574" s="1392"/>
      <c r="P574" s="1392"/>
      <c r="Q574" s="1392"/>
      <c r="R574" s="1392"/>
      <c r="T574" s="22"/>
      <c r="U574" t="s">
        <v>86</v>
      </c>
      <c r="Z574" s="1475" t="s">
        <v>2735</v>
      </c>
      <c r="AA574" s="1392"/>
      <c r="AB574" s="1392"/>
      <c r="AC574" s="1392"/>
      <c r="AD574" s="1392"/>
      <c r="AE574" s="1392"/>
      <c r="AF574" s="1392"/>
      <c r="AG574" s="1392"/>
      <c r="AH574" s="1392"/>
      <c r="AI574" s="1392"/>
      <c r="AJ574" s="1392"/>
      <c r="AK574" s="139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72"/>
      <c r="H575" s="1372"/>
      <c r="I575" s="1372"/>
      <c r="J575" s="1372"/>
      <c r="K575" s="1372"/>
      <c r="L575" s="1372"/>
      <c r="M575" s="1372"/>
      <c r="N575" s="1372"/>
      <c r="O575" s="1372"/>
      <c r="P575" s="1372"/>
      <c r="Q575" s="1372"/>
      <c r="R575" s="1372"/>
      <c r="T575" s="22"/>
      <c r="U575" t="s">
        <v>590</v>
      </c>
      <c r="Z575" s="1475" t="s">
        <v>2736</v>
      </c>
      <c r="AA575" s="1392"/>
      <c r="AB575" s="1392"/>
      <c r="AC575" s="1392"/>
      <c r="AD575" s="1392"/>
      <c r="AE575" s="1392"/>
      <c r="AF575" s="1392"/>
      <c r="AG575" s="1392"/>
      <c r="AH575" s="1392"/>
      <c r="AI575" s="1392"/>
      <c r="AJ575" s="1392"/>
      <c r="AK575" s="139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72"/>
      <c r="H576" s="1372"/>
      <c r="I576" s="1372"/>
      <c r="J576" s="1372"/>
      <c r="K576" s="1372"/>
      <c r="L576" s="1372"/>
      <c r="M576" s="1372"/>
      <c r="N576" s="1372"/>
      <c r="O576" s="1372"/>
      <c r="P576" s="1372"/>
      <c r="Q576" s="1372"/>
      <c r="R576" s="1372"/>
      <c r="T576" s="22"/>
      <c r="U576" t="s">
        <v>17</v>
      </c>
      <c r="Z576" s="1475" t="s">
        <v>2737</v>
      </c>
      <c r="AA576" s="1392"/>
      <c r="AB576" s="1392"/>
      <c r="AC576" s="1392"/>
      <c r="AD576" s="1392"/>
      <c r="AE576" s="1392"/>
      <c r="AF576" s="1392"/>
      <c r="AG576" s="1392"/>
      <c r="AH576" s="1392"/>
      <c r="AI576" s="1392"/>
      <c r="AJ576" s="1392"/>
      <c r="AK576" s="139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7"/>
      <c r="H577" s="1437"/>
      <c r="I577" s="1437"/>
      <c r="J577" s="1437"/>
      <c r="K577" s="1437"/>
      <c r="L577" s="1437"/>
      <c r="O577" s="33" t="s">
        <v>208</v>
      </c>
      <c r="P577" s="1464"/>
      <c r="Q577" s="1464"/>
      <c r="R577" s="1464"/>
      <c r="T577" s="22"/>
      <c r="U577" t="s">
        <v>318</v>
      </c>
      <c r="Z577" s="1518" t="s">
        <v>2713</v>
      </c>
      <c r="AA577" s="1518"/>
      <c r="AB577" s="1518"/>
      <c r="AC577" s="1518"/>
      <c r="AD577" s="1518"/>
      <c r="AE577" s="1518"/>
      <c r="AH577" s="33" t="s">
        <v>208</v>
      </c>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2"/>
      <c r="I578" s="1392"/>
      <c r="J578" s="1392"/>
      <c r="K578" s="1392"/>
      <c r="L578" s="1392"/>
      <c r="M578" s="1392"/>
      <c r="N578" s="1392"/>
      <c r="O578" s="1392"/>
      <c r="P578" s="1392"/>
      <c r="Q578" s="1392"/>
      <c r="R578" s="1392"/>
      <c r="T578" s="22"/>
      <c r="U578" t="s">
        <v>18</v>
      </c>
      <c r="AA578" s="1475" t="s">
        <v>2739</v>
      </c>
      <c r="AB578" s="1392"/>
      <c r="AC578" s="1392"/>
      <c r="AD578" s="1392"/>
      <c r="AE578" s="1392"/>
      <c r="AF578" s="1392"/>
      <c r="AG578" s="1392"/>
      <c r="AH578" s="1392"/>
      <c r="AI578" s="1392"/>
      <c r="AJ578" s="1392"/>
      <c r="AK578" s="139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555</v>
      </c>
      <c r="O579" s="1376"/>
      <c r="T579" s="22"/>
      <c r="U579" t="s">
        <v>20</v>
      </c>
      <c r="AG579" s="1376" t="s">
        <v>555</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7" t="str">
        <f>C554</f>
        <v>Deferred Developer Fee</v>
      </c>
      <c r="H581" s="1517"/>
      <c r="I581" s="1517"/>
      <c r="J581" s="1517"/>
      <c r="K581" s="1517"/>
      <c r="L581" s="1517"/>
      <c r="M581" s="1517"/>
      <c r="N581" s="1517"/>
      <c r="O581" s="1517"/>
      <c r="P581" s="1517"/>
      <c r="Q581" s="1517"/>
      <c r="R581" s="1517"/>
      <c r="T581" s="55" t="s">
        <v>594</v>
      </c>
      <c r="U581" t="s">
        <v>473</v>
      </c>
      <c r="Z581" s="1517" t="str">
        <f>C555</f>
        <v>City of Vacaville Land Loan</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475" t="s">
        <v>2735</v>
      </c>
      <c r="H582" s="1392"/>
      <c r="I582" s="1392"/>
      <c r="J582" s="1392"/>
      <c r="K582" s="1392"/>
      <c r="L582" s="1392"/>
      <c r="M582" s="1392"/>
      <c r="N582" s="1392"/>
      <c r="O582" s="1392"/>
      <c r="P582" s="1392"/>
      <c r="Q582" s="1392"/>
      <c r="R582" s="1392"/>
      <c r="T582" s="22"/>
      <c r="U582" t="s">
        <v>86</v>
      </c>
      <c r="Z582" s="1392" t="s">
        <v>2740</v>
      </c>
      <c r="AA582" s="1392"/>
      <c r="AB582" s="1392"/>
      <c r="AC582" s="1392"/>
      <c r="AD582" s="1392"/>
      <c r="AE582" s="1392"/>
      <c r="AF582" s="1392"/>
      <c r="AG582" s="1392"/>
      <c r="AH582" s="1392"/>
      <c r="AI582" s="1392"/>
      <c r="AJ582" s="1392"/>
      <c r="AK582" s="139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475" t="s">
        <v>2736</v>
      </c>
      <c r="H583" s="1392"/>
      <c r="I583" s="1392"/>
      <c r="J583" s="1392"/>
      <c r="K583" s="1392"/>
      <c r="L583" s="1392"/>
      <c r="M583" s="1392"/>
      <c r="N583" s="1392"/>
      <c r="O583" s="1392"/>
      <c r="P583" s="1392"/>
      <c r="Q583" s="1392"/>
      <c r="R583" s="1392"/>
      <c r="T583" s="22"/>
      <c r="U583" t="s">
        <v>590</v>
      </c>
      <c r="Z583" s="1463" t="s">
        <v>2741</v>
      </c>
      <c r="AA583" s="1372"/>
      <c r="AB583" s="1372"/>
      <c r="AC583" s="1372"/>
      <c r="AD583" s="1372"/>
      <c r="AE583" s="1372"/>
      <c r="AF583" s="1372"/>
      <c r="AG583" s="1372"/>
      <c r="AH583" s="1372"/>
      <c r="AI583" s="1372"/>
      <c r="AJ583" s="1372"/>
      <c r="AK583" s="137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75" t="s">
        <v>2737</v>
      </c>
      <c r="H584" s="1392"/>
      <c r="I584" s="1392"/>
      <c r="J584" s="1392"/>
      <c r="K584" s="1392"/>
      <c r="L584" s="1392"/>
      <c r="M584" s="1392"/>
      <c r="N584" s="1392"/>
      <c r="O584" s="1392"/>
      <c r="P584" s="1392"/>
      <c r="Q584" s="1392"/>
      <c r="R584" s="1392"/>
      <c r="T584" s="22"/>
      <c r="U584" t="s">
        <v>17</v>
      </c>
      <c r="Z584" s="1463" t="s">
        <v>2742</v>
      </c>
      <c r="AA584" s="1372"/>
      <c r="AB584" s="1372"/>
      <c r="AC584" s="1372"/>
      <c r="AD584" s="1372"/>
      <c r="AE584" s="1372"/>
      <c r="AF584" s="1372"/>
      <c r="AG584" s="1372"/>
      <c r="AH584" s="1372"/>
      <c r="AI584" s="1372"/>
      <c r="AJ584" s="1372"/>
      <c r="AK584" s="137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18" t="s">
        <v>2713</v>
      </c>
      <c r="H585" s="1518"/>
      <c r="I585" s="1518"/>
      <c r="J585" s="1518"/>
      <c r="K585" s="1518"/>
      <c r="L585" s="1518"/>
      <c r="O585" s="33" t="s">
        <v>208</v>
      </c>
      <c r="P585" s="1464"/>
      <c r="Q585" s="1464"/>
      <c r="R585" s="1464"/>
      <c r="T585" s="22"/>
      <c r="U585" t="s">
        <v>318</v>
      </c>
      <c r="Z585" s="1518" t="s">
        <v>2743</v>
      </c>
      <c r="AA585" s="1518"/>
      <c r="AB585" s="1518"/>
      <c r="AC585" s="1518"/>
      <c r="AD585" s="1518"/>
      <c r="AE585" s="1518"/>
      <c r="AH585" s="33" t="s">
        <v>208</v>
      </c>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75" t="s">
        <v>2738</v>
      </c>
      <c r="I586" s="1392"/>
      <c r="J586" s="1392"/>
      <c r="K586" s="1392"/>
      <c r="L586" s="1392"/>
      <c r="M586" s="1392"/>
      <c r="N586" s="1392"/>
      <c r="O586" s="1392"/>
      <c r="P586" s="1392"/>
      <c r="Q586" s="1392"/>
      <c r="R586" s="1392"/>
      <c r="T586" s="22"/>
      <c r="U586" t="s">
        <v>18</v>
      </c>
      <c r="AA586" s="1475" t="s">
        <v>2744</v>
      </c>
      <c r="AB586" s="1392"/>
      <c r="AC586" s="1392"/>
      <c r="AD586" s="1392"/>
      <c r="AE586" s="1392"/>
      <c r="AF586" s="1392"/>
      <c r="AG586" s="1392"/>
      <c r="AH586" s="1392"/>
      <c r="AI586" s="1392"/>
      <c r="AJ586" s="1392"/>
      <c r="AK586" s="139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555</v>
      </c>
      <c r="O587" s="1376"/>
      <c r="T587" s="22"/>
      <c r="U587" t="s">
        <v>20</v>
      </c>
      <c r="AG587" s="1376" t="s">
        <v>555</v>
      </c>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7" t="str">
        <f>C556</f>
        <v>City of Vacaville Cash Loan</v>
      </c>
      <c r="H589" s="1517"/>
      <c r="I589" s="1517"/>
      <c r="J589" s="1517"/>
      <c r="K589" s="1517"/>
      <c r="L589" s="1517"/>
      <c r="M589" s="1517"/>
      <c r="N589" s="1517"/>
      <c r="O589" s="1517"/>
      <c r="P589" s="1517"/>
      <c r="Q589" s="1517"/>
      <c r="R589" s="1517"/>
      <c r="T589" s="55" t="s">
        <v>466</v>
      </c>
      <c r="U589" t="s">
        <v>473</v>
      </c>
      <c r="Z589" s="1517">
        <f>C557</f>
        <v>0</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2" t="s">
        <v>2740</v>
      </c>
      <c r="H590" s="1392"/>
      <c r="I590" s="1392"/>
      <c r="J590" s="1392"/>
      <c r="K590" s="1392"/>
      <c r="L590" s="1392"/>
      <c r="M590" s="1392"/>
      <c r="N590" s="1392"/>
      <c r="O590" s="1392"/>
      <c r="P590" s="1392"/>
      <c r="Q590" s="1392"/>
      <c r="R590" s="1392"/>
      <c r="T590" s="22"/>
      <c r="U590" t="s">
        <v>86</v>
      </c>
      <c r="Z590" s="1392"/>
      <c r="AA590" s="1392"/>
      <c r="AB590" s="1392"/>
      <c r="AC590" s="1392"/>
      <c r="AD590" s="1392"/>
      <c r="AE590" s="1392"/>
      <c r="AF590" s="1392"/>
      <c r="AG590" s="1392"/>
      <c r="AH590" s="1392"/>
      <c r="AI590" s="1392"/>
      <c r="AJ590" s="1392"/>
      <c r="AK590" s="139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463" t="s">
        <v>2741</v>
      </c>
      <c r="H591" s="1372"/>
      <c r="I591" s="1372"/>
      <c r="J591" s="1372"/>
      <c r="K591" s="1372"/>
      <c r="L591" s="1372"/>
      <c r="M591" s="1372"/>
      <c r="N591" s="1372"/>
      <c r="O591" s="1372"/>
      <c r="P591" s="1372"/>
      <c r="Q591" s="1372"/>
      <c r="R591" s="1372"/>
      <c r="T591" s="22"/>
      <c r="U591" t="s">
        <v>590</v>
      </c>
      <c r="Z591" s="1372"/>
      <c r="AA591" s="1372"/>
      <c r="AB591" s="1372"/>
      <c r="AC591" s="1372"/>
      <c r="AD591" s="1372"/>
      <c r="AE591" s="1372"/>
      <c r="AF591" s="1372"/>
      <c r="AG591" s="1372"/>
      <c r="AH591" s="1372"/>
      <c r="AI591" s="1372"/>
      <c r="AJ591" s="1372"/>
      <c r="AK591" s="137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463" t="s">
        <v>2742</v>
      </c>
      <c r="H592" s="1372"/>
      <c r="I592" s="1372"/>
      <c r="J592" s="1372"/>
      <c r="K592" s="1372"/>
      <c r="L592" s="1372"/>
      <c r="M592" s="1372"/>
      <c r="N592" s="1372"/>
      <c r="O592" s="1372"/>
      <c r="P592" s="1372"/>
      <c r="Q592" s="1372"/>
      <c r="R592" s="1372"/>
      <c r="T592" s="22"/>
      <c r="U592" t="s">
        <v>17</v>
      </c>
      <c r="Z592" s="1372"/>
      <c r="AA592" s="1372"/>
      <c r="AB592" s="1372"/>
      <c r="AC592" s="1372"/>
      <c r="AD592" s="1372"/>
      <c r="AE592" s="1372"/>
      <c r="AF592" s="1372"/>
      <c r="AG592" s="1372"/>
      <c r="AH592" s="1372"/>
      <c r="AI592" s="1372"/>
      <c r="AJ592" s="1372"/>
      <c r="AK592" s="137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518" t="s">
        <v>2743</v>
      </c>
      <c r="H593" s="1518"/>
      <c r="I593" s="1518"/>
      <c r="J593" s="1518"/>
      <c r="K593" s="1518"/>
      <c r="L593" s="1518"/>
      <c r="M593"/>
      <c r="N593"/>
      <c r="O593" s="33" t="s">
        <v>208</v>
      </c>
      <c r="P593" s="1464"/>
      <c r="Q593" s="1464"/>
      <c r="R593" s="1464"/>
      <c r="S593"/>
      <c r="T593" s="22"/>
      <c r="U593" t="s">
        <v>318</v>
      </c>
      <c r="V593"/>
      <c r="W593"/>
      <c r="X593"/>
      <c r="Y593"/>
      <c r="Z593" s="1437"/>
      <c r="AA593" s="1437"/>
      <c r="AB593" s="1437"/>
      <c r="AC593" s="1437"/>
      <c r="AD593" s="1437"/>
      <c r="AE593" s="1437"/>
      <c r="AF593"/>
      <c r="AG593"/>
      <c r="AH593" s="33" t="s">
        <v>208</v>
      </c>
      <c r="AI593" s="1464"/>
      <c r="AJ593" s="1464"/>
      <c r="AK593" s="146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475" t="s">
        <v>2745</v>
      </c>
      <c r="I594" s="1392"/>
      <c r="J594" s="1392"/>
      <c r="K594" s="1392"/>
      <c r="L594" s="1392"/>
      <c r="M594" s="1392"/>
      <c r="N594" s="1392"/>
      <c r="O594" s="1392"/>
      <c r="P594" s="1392"/>
      <c r="Q594" s="1392"/>
      <c r="R594" s="1392"/>
      <c r="S594"/>
      <c r="T594" s="22"/>
      <c r="U594" t="s">
        <v>18</v>
      </c>
      <c r="V594"/>
      <c r="W594"/>
      <c r="X594"/>
      <c r="Y594"/>
      <c r="Z594"/>
      <c r="AA594" s="1392"/>
      <c r="AB594" s="1392"/>
      <c r="AC594" s="1392"/>
      <c r="AD594" s="1392"/>
      <c r="AE594" s="1392"/>
      <c r="AF594" s="1392"/>
      <c r="AG594" s="1392"/>
      <c r="AH594" s="1392"/>
      <c r="AI594" s="1392"/>
      <c r="AJ594" s="1392"/>
      <c r="AK594" s="139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2108</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555</v>
      </c>
      <c r="O595" s="1376"/>
      <c r="P595"/>
      <c r="Q595"/>
      <c r="R595"/>
      <c r="S595"/>
      <c r="T595" s="22"/>
      <c r="U595" t="s">
        <v>20</v>
      </c>
      <c r="V595"/>
      <c r="W595"/>
      <c r="X595"/>
      <c r="Y595"/>
      <c r="Z595"/>
      <c r="AA595"/>
      <c r="AB595"/>
      <c r="AC595"/>
      <c r="AD595"/>
      <c r="AE595"/>
      <c r="AF595"/>
      <c r="AG595" s="1376" t="s">
        <v>679</v>
      </c>
      <c r="AH595" s="1376"/>
      <c r="AI595"/>
      <c r="AJ595"/>
      <c r="AK595"/>
      <c r="AL595"/>
      <c r="AM595"/>
      <c r="AN595"/>
      <c r="AO595"/>
      <c r="AP595"/>
      <c r="AQ595"/>
      <c r="AR595"/>
      <c r="AS595"/>
      <c r="AT595"/>
      <c r="AU595"/>
      <c r="AV595"/>
      <c r="AW595"/>
      <c r="AX595"/>
      <c r="AY595"/>
      <c r="BA595" s="4" t="s">
        <v>326</v>
      </c>
      <c r="BB595" s="3"/>
      <c r="BC595" s="3"/>
      <c r="BD595" s="3"/>
      <c r="BE595" s="121" t="s">
        <v>484</v>
      </c>
      <c r="BF595" s="122"/>
      <c r="BG595" s="1476"/>
      <c r="BH595" s="1477"/>
      <c r="BI595" s="121" t="s">
        <v>485</v>
      </c>
      <c r="BJ595" s="122"/>
      <c r="BK595" s="1476"/>
      <c r="BL595" s="1477"/>
      <c r="BM595" s="3"/>
      <c r="BN595" s="1724" t="s">
        <v>643</v>
      </c>
      <c r="BO595" s="1725"/>
      <c r="BP595" s="1725"/>
      <c r="BQ595" s="1725"/>
      <c r="BR595" s="1726"/>
      <c r="BS595" s="1516" t="s">
        <v>327</v>
      </c>
      <c r="BT595" s="1516"/>
      <c r="BU595" s="1516"/>
      <c r="BV595" s="1516"/>
      <c r="BW595" s="1516"/>
      <c r="BX595" s="1516" t="s">
        <v>164</v>
      </c>
      <c r="BY595" s="1516"/>
      <c r="BZ595" s="1516"/>
      <c r="CA595" s="1516"/>
      <c r="CB595" s="1516"/>
      <c r="CC595" s="1516" t="s">
        <v>165</v>
      </c>
      <c r="CD595" s="1516"/>
      <c r="CE595" s="1516"/>
      <c r="CF595" s="1516"/>
      <c r="CG595" s="1516"/>
      <c r="CH595" s="1516" t="s">
        <v>470</v>
      </c>
      <c r="CI595" s="1516"/>
      <c r="CJ595" s="1516"/>
      <c r="CK595" s="1516"/>
      <c r="CL595" s="1516"/>
      <c r="CM595" s="1516" t="s">
        <v>30</v>
      </c>
      <c r="CN595" s="1516"/>
      <c r="CO595" s="1516"/>
      <c r="CP595" s="1516"/>
      <c r="CQ595" s="1516"/>
      <c r="CR595" s="89"/>
      <c r="CS595" s="1516" t="s">
        <v>643</v>
      </c>
      <c r="CT595" s="1516"/>
      <c r="CU595" s="1516"/>
      <c r="CV595" s="1516"/>
      <c r="CW595" s="1516"/>
      <c r="CX595" s="1516" t="s">
        <v>327</v>
      </c>
      <c r="CY595" s="1516"/>
      <c r="CZ595" s="1516"/>
      <c r="DA595" s="1516"/>
      <c r="DB595" s="1516"/>
      <c r="DC595" s="1516" t="s">
        <v>164</v>
      </c>
      <c r="DD595" s="1516"/>
      <c r="DE595" s="1516"/>
      <c r="DF595" s="1516"/>
      <c r="DG595" s="1516"/>
      <c r="DH595" s="1516" t="s">
        <v>165</v>
      </c>
      <c r="DI595" s="1516"/>
      <c r="DJ595" s="1516"/>
      <c r="DK595" s="1516"/>
      <c r="DL595" s="1516"/>
      <c r="DM595" s="1516" t="s">
        <v>470</v>
      </c>
      <c r="DN595" s="1516"/>
      <c r="DO595" s="1516"/>
      <c r="DP595" s="1516"/>
      <c r="DQ595" s="1516"/>
      <c r="DR595" s="1516" t="s">
        <v>30</v>
      </c>
      <c r="DS595" s="1516"/>
      <c r="DT595" s="1516"/>
      <c r="DU595" s="1516"/>
      <c r="DV595" s="1516"/>
      <c r="DX595" s="1516" t="s">
        <v>643</v>
      </c>
      <c r="DY595" s="1516"/>
      <c r="DZ595" s="1516"/>
      <c r="EA595" s="1516"/>
      <c r="EB595" s="1516"/>
      <c r="EC595" s="1516" t="s">
        <v>327</v>
      </c>
      <c r="ED595" s="1516"/>
      <c r="EE595" s="1516"/>
      <c r="EF595" s="1516"/>
      <c r="EG595" s="1516"/>
      <c r="EH595" s="1516" t="s">
        <v>164</v>
      </c>
      <c r="EI595" s="1516"/>
      <c r="EJ595" s="1516"/>
      <c r="EK595" s="1516"/>
      <c r="EL595" s="1516"/>
      <c r="EM595" s="1516" t="s">
        <v>165</v>
      </c>
      <c r="EN595" s="1516"/>
      <c r="EO595" s="1516"/>
      <c r="EP595" s="1516"/>
      <c r="EQ595" s="1516"/>
      <c r="ER595" s="1516" t="s">
        <v>470</v>
      </c>
      <c r="ES595" s="1516"/>
      <c r="ET595" s="1516"/>
      <c r="EU595" s="1516"/>
      <c r="EV595" s="1516"/>
      <c r="EW595" s="1516" t="s">
        <v>30</v>
      </c>
      <c r="EX595" s="1516"/>
      <c r="EY595" s="1516"/>
      <c r="EZ595" s="1516"/>
      <c r="FA595" s="151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1">IF(AND(AC714&lt;=0.5,AC714&gt;=0.36),1,0)</f>
        <v>0</v>
      </c>
      <c r="BF596" s="1419"/>
      <c r="BG596" s="1476">
        <f t="shared" ref="BG596:BG620" si="2">IF(BE596=1,G714,0)</f>
        <v>0</v>
      </c>
      <c r="BH596" s="1477"/>
      <c r="BI596" s="1418">
        <f t="shared" ref="BI596:BI620" si="3">IF(AND(AC714&lt;=0.35,AC714&gt;0),1,0)</f>
        <v>1</v>
      </c>
      <c r="BJ596" s="1419"/>
      <c r="BK596" s="1476">
        <f t="shared" ref="BK596:BK620" si="4">IF(BI596=1,G714,0)</f>
        <v>2</v>
      </c>
      <c r="BL596" s="1477"/>
      <c r="BM596" s="3"/>
      <c r="BN596" s="1478">
        <f t="shared" ref="BN596:BN620" si="5">IF(B714="SRO/Studio",G714,0)</f>
        <v>2</v>
      </c>
      <c r="BO596" s="1479"/>
      <c r="BP596" s="1479"/>
      <c r="BQ596" s="1479"/>
      <c r="BR596" s="1480"/>
      <c r="BS596" s="1393">
        <f t="shared" ref="BS596:BS620" si="6">IF(B714="1 Bedroom",G714,0)</f>
        <v>0</v>
      </c>
      <c r="BT596" s="1393"/>
      <c r="BU596" s="1393"/>
      <c r="BV596" s="1393"/>
      <c r="BW596" s="1393"/>
      <c r="BX596" s="1393">
        <f t="shared" ref="BX596:BX620" si="7">IF(B714="2 Bedrooms",G714,0)</f>
        <v>0</v>
      </c>
      <c r="BY596" s="1393"/>
      <c r="BZ596" s="1393"/>
      <c r="CA596" s="1393"/>
      <c r="CB596" s="1393"/>
      <c r="CC596" s="1393">
        <f t="shared" ref="CC596:CC620" si="8">IF(B714="3 Bedrooms",G714,0)</f>
        <v>0</v>
      </c>
      <c r="CD596" s="1393"/>
      <c r="CE596" s="1393"/>
      <c r="CF596" s="1393"/>
      <c r="CG596" s="1393"/>
      <c r="CH596" s="1393">
        <f t="shared" ref="CH596:CH620" si="9">IF(B714="4 Bedrooms",G714,0)</f>
        <v>0</v>
      </c>
      <c r="CI596" s="1393"/>
      <c r="CJ596" s="1393"/>
      <c r="CK596" s="1393"/>
      <c r="CL596" s="1393"/>
      <c r="CM596" s="1393">
        <f t="shared" ref="CM596:CM620" si="10">IF(B714="5 Bedrooms",G714,0)</f>
        <v>0</v>
      </c>
      <c r="CN596" s="1393"/>
      <c r="CO596" s="1393"/>
      <c r="CP596" s="1393"/>
      <c r="CQ596" s="1393"/>
      <c r="CR596" s="6"/>
      <c r="CS596" s="1729">
        <f t="shared" ref="CS596:CS620" si="11">IF(AND(B714="SRO/Studio",AC714&lt;=0.3),G714,0)</f>
        <v>2</v>
      </c>
      <c r="CT596" s="1729"/>
      <c r="CU596" s="1729"/>
      <c r="CV596" s="1729"/>
      <c r="CW596" s="1729"/>
      <c r="CX596" s="1729">
        <f t="shared" ref="CX596:CX620" si="12">IF(AND(B714="1 Bedroom",AC714&lt;=0.3),G714,0)</f>
        <v>0</v>
      </c>
      <c r="CY596" s="1729"/>
      <c r="CZ596" s="1729"/>
      <c r="DA596" s="1729"/>
      <c r="DB596" s="1729"/>
      <c r="DC596" s="1729">
        <f t="shared" ref="DC596:DC620" si="13">IF(AND(B714="2 Bedrooms",AC714&lt;=0.3),G714,0)</f>
        <v>0</v>
      </c>
      <c r="DD596" s="1729"/>
      <c r="DE596" s="1729"/>
      <c r="DF596" s="1729"/>
      <c r="DG596" s="1729"/>
      <c r="DH596" s="1729">
        <f t="shared" ref="DH596:DH620" si="14">IF(AND(B714="3 Bedrooms",AC714&lt;=0.3),G714,0)</f>
        <v>0</v>
      </c>
      <c r="DI596" s="1729"/>
      <c r="DJ596" s="1729"/>
      <c r="DK596" s="1729"/>
      <c r="DL596" s="1729"/>
      <c r="DM596" s="1729">
        <f t="shared" ref="DM596:DM620" si="15">IF(AND(B714="4 Bedrooms",AC714&lt;=0.3),G714,0)</f>
        <v>0</v>
      </c>
      <c r="DN596" s="1729"/>
      <c r="DO596" s="1729"/>
      <c r="DP596" s="1729"/>
      <c r="DQ596" s="1729"/>
      <c r="DR596" s="1729">
        <f t="shared" ref="DR596:DR620" si="16">IF(AND(B714="5 Bedrooms",AC714&lt;=0.3),G714,0)</f>
        <v>0</v>
      </c>
      <c r="DS596" s="1729"/>
      <c r="DT596" s="1729"/>
      <c r="DU596" s="1729"/>
      <c r="DV596" s="1729"/>
      <c r="DX596" s="1418">
        <f t="shared" ref="DX596:DX620" si="17">IF(BN596&gt;0,O714," ")</f>
        <v>508</v>
      </c>
      <c r="DY596" s="1865"/>
      <c r="DZ596" s="1865"/>
      <c r="EA596" s="1865"/>
      <c r="EB596" s="1419"/>
      <c r="EC596" s="1418" t="str">
        <f t="shared" ref="EC596:EC620" si="18">IF(BS596&gt;0,O714," ")</f>
        <v xml:space="preserve"> </v>
      </c>
      <c r="ED596" s="1865"/>
      <c r="EE596" s="1865"/>
      <c r="EF596" s="1865"/>
      <c r="EG596" s="1419"/>
      <c r="EH596" s="1418" t="str">
        <f t="shared" ref="EH596:EH620" si="19">IF(BX596&gt;0,O714," ")</f>
        <v xml:space="preserve"> </v>
      </c>
      <c r="EI596" s="1865"/>
      <c r="EJ596" s="1865"/>
      <c r="EK596" s="1865"/>
      <c r="EL596" s="1419"/>
      <c r="EM596" s="1418" t="str">
        <f t="shared" ref="EM596:EM620" si="20">IF(CC596&gt;0,O714," ")</f>
        <v xml:space="preserve"> </v>
      </c>
      <c r="EN596" s="1865"/>
      <c r="EO596" s="1865"/>
      <c r="EP596" s="1865"/>
      <c r="EQ596" s="1419"/>
      <c r="ER596" s="1418" t="str">
        <f t="shared" ref="ER596:ER620" si="21">IF(CH596&gt;0,O714," ")</f>
        <v xml:space="preserve"> </v>
      </c>
      <c r="ES596" s="1865"/>
      <c r="ET596" s="1865"/>
      <c r="EU596" s="1865"/>
      <c r="EV596" s="1419"/>
      <c r="EW596" s="1418" t="str">
        <f t="shared" ref="EW596:EW620" si="22">IF(CM596&gt;0,O714," ")</f>
        <v xml:space="preserve"> </v>
      </c>
      <c r="EX596" s="1865"/>
      <c r="EY596" s="1865"/>
      <c r="EZ596" s="1865"/>
      <c r="FA596" s="1419"/>
    </row>
    <row r="597" spans="1:157" s="4" customFormat="1" ht="12.95" customHeight="1">
      <c r="A597" s="55" t="s">
        <v>471</v>
      </c>
      <c r="B597" t="s">
        <v>473</v>
      </c>
      <c r="C597"/>
      <c r="D597"/>
      <c r="E597"/>
      <c r="F597"/>
      <c r="G597" s="1517">
        <f>C558</f>
        <v>0</v>
      </c>
      <c r="H597" s="1517"/>
      <c r="I597" s="1517"/>
      <c r="J597" s="1517"/>
      <c r="K597" s="1517"/>
      <c r="L597" s="1517"/>
      <c r="M597" s="1517"/>
      <c r="N597" s="1517"/>
      <c r="O597" s="1517"/>
      <c r="P597" s="1517"/>
      <c r="Q597" s="1517"/>
      <c r="R597" s="1517"/>
      <c r="S597"/>
      <c r="T597" s="55" t="s">
        <v>656</v>
      </c>
      <c r="U597" t="s">
        <v>473</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18">
        <f t="shared" si="1"/>
        <v>0</v>
      </c>
      <c r="BF597" s="1419"/>
      <c r="BG597" s="1476">
        <f t="shared" si="2"/>
        <v>0</v>
      </c>
      <c r="BH597" s="1477"/>
      <c r="BI597" s="1418">
        <f t="shared" si="3"/>
        <v>1</v>
      </c>
      <c r="BJ597" s="1419"/>
      <c r="BK597" s="1476">
        <f t="shared" si="4"/>
        <v>2</v>
      </c>
      <c r="BL597" s="1477"/>
      <c r="BM597" s="3"/>
      <c r="BN597" s="1478">
        <f t="shared" si="5"/>
        <v>2</v>
      </c>
      <c r="BO597" s="1479"/>
      <c r="BP597" s="1479"/>
      <c r="BQ597" s="1479"/>
      <c r="BR597" s="1480"/>
      <c r="BS597" s="1393">
        <f t="shared" si="6"/>
        <v>0</v>
      </c>
      <c r="BT597" s="1393"/>
      <c r="BU597" s="1393"/>
      <c r="BV597" s="1393"/>
      <c r="BW597" s="1393"/>
      <c r="BX597" s="1393">
        <f t="shared" si="7"/>
        <v>0</v>
      </c>
      <c r="BY597" s="1393"/>
      <c r="BZ597" s="1393"/>
      <c r="CA597" s="1393"/>
      <c r="CB597" s="1393"/>
      <c r="CC597" s="1393">
        <f t="shared" si="8"/>
        <v>0</v>
      </c>
      <c r="CD597" s="1393"/>
      <c r="CE597" s="1393"/>
      <c r="CF597" s="1393"/>
      <c r="CG597" s="1393"/>
      <c r="CH597" s="1393">
        <f t="shared" si="9"/>
        <v>0</v>
      </c>
      <c r="CI597" s="1393"/>
      <c r="CJ597" s="1393"/>
      <c r="CK597" s="1393"/>
      <c r="CL597" s="1393"/>
      <c r="CM597" s="1393">
        <f t="shared" si="10"/>
        <v>0</v>
      </c>
      <c r="CN597" s="1393"/>
      <c r="CO597" s="1393"/>
      <c r="CP597" s="1393"/>
      <c r="CQ597" s="1393"/>
      <c r="CR597" s="6"/>
      <c r="CS597" s="1729">
        <f t="shared" si="11"/>
        <v>2</v>
      </c>
      <c r="CT597" s="1729"/>
      <c r="CU597" s="1729"/>
      <c r="CV597" s="1729"/>
      <c r="CW597" s="1729"/>
      <c r="CX597" s="1729">
        <f t="shared" si="12"/>
        <v>0</v>
      </c>
      <c r="CY597" s="1729"/>
      <c r="CZ597" s="1729"/>
      <c r="DA597" s="1729"/>
      <c r="DB597" s="1729"/>
      <c r="DC597" s="1729">
        <f t="shared" si="13"/>
        <v>0</v>
      </c>
      <c r="DD597" s="1729"/>
      <c r="DE597" s="1729"/>
      <c r="DF597" s="1729"/>
      <c r="DG597" s="1729"/>
      <c r="DH597" s="1729">
        <f t="shared" si="14"/>
        <v>0</v>
      </c>
      <c r="DI597" s="1729"/>
      <c r="DJ597" s="1729"/>
      <c r="DK597" s="1729"/>
      <c r="DL597" s="1729"/>
      <c r="DM597" s="1729">
        <f t="shared" si="15"/>
        <v>0</v>
      </c>
      <c r="DN597" s="1729"/>
      <c r="DO597" s="1729"/>
      <c r="DP597" s="1729"/>
      <c r="DQ597" s="1729"/>
      <c r="DR597" s="1729">
        <f t="shared" si="16"/>
        <v>0</v>
      </c>
      <c r="DS597" s="1729"/>
      <c r="DT597" s="1729"/>
      <c r="DU597" s="1729"/>
      <c r="DV597" s="1729"/>
      <c r="DX597" s="1418">
        <f t="shared" si="17"/>
        <v>508</v>
      </c>
      <c r="DY597" s="1865"/>
      <c r="DZ597" s="1865"/>
      <c r="EA597" s="1865"/>
      <c r="EB597" s="1419"/>
      <c r="EC597" s="1418" t="str">
        <f t="shared" si="18"/>
        <v xml:space="preserve"> </v>
      </c>
      <c r="ED597" s="1865"/>
      <c r="EE597" s="1865"/>
      <c r="EF597" s="1865"/>
      <c r="EG597" s="1419"/>
      <c r="EH597" s="1418" t="str">
        <f t="shared" si="19"/>
        <v xml:space="preserve"> </v>
      </c>
      <c r="EI597" s="1865"/>
      <c r="EJ597" s="1865"/>
      <c r="EK597" s="1865"/>
      <c r="EL597" s="1419"/>
      <c r="EM597" s="1418" t="str">
        <f t="shared" si="20"/>
        <v xml:space="preserve"> </v>
      </c>
      <c r="EN597" s="1865"/>
      <c r="EO597" s="1865"/>
      <c r="EP597" s="1865"/>
      <c r="EQ597" s="1419"/>
      <c r="ER597" s="1418" t="str">
        <f t="shared" si="21"/>
        <v xml:space="preserve"> </v>
      </c>
      <c r="ES597" s="1865"/>
      <c r="ET597" s="1865"/>
      <c r="EU597" s="1865"/>
      <c r="EV597" s="1419"/>
      <c r="EW597" s="1418" t="str">
        <f t="shared" si="22"/>
        <v xml:space="preserve"> </v>
      </c>
      <c r="EX597" s="1865"/>
      <c r="EY597" s="1865"/>
      <c r="EZ597" s="1865"/>
      <c r="FA597" s="1419"/>
    </row>
    <row r="598" spans="1:157" ht="12.95" customHeight="1">
      <c r="A598" s="22"/>
      <c r="B598" t="s">
        <v>86</v>
      </c>
      <c r="G598" s="1392"/>
      <c r="H598" s="1392"/>
      <c r="I598" s="1392"/>
      <c r="J598" s="1392"/>
      <c r="K598" s="1392"/>
      <c r="L598" s="1392"/>
      <c r="M598" s="1392"/>
      <c r="N598" s="1392"/>
      <c r="O598" s="1392"/>
      <c r="P598" s="1392"/>
      <c r="Q598" s="1392"/>
      <c r="R598" s="1392"/>
      <c r="T598" s="22"/>
      <c r="U598" t="s">
        <v>86</v>
      </c>
      <c r="Z598" s="1392"/>
      <c r="AA598" s="1392"/>
      <c r="AB598" s="1392"/>
      <c r="AC598" s="1392"/>
      <c r="AD598" s="1392"/>
      <c r="AE598" s="1392"/>
      <c r="AF598" s="1392"/>
      <c r="AG598" s="1392"/>
      <c r="AH598" s="1392"/>
      <c r="AI598" s="1392"/>
      <c r="AJ598" s="1392"/>
      <c r="AK598" s="1392"/>
      <c r="BA598" s="4" t="s">
        <v>165</v>
      </c>
      <c r="BB598" s="3"/>
      <c r="BC598" s="3"/>
      <c r="BD598" s="3"/>
      <c r="BE598" s="1418">
        <f t="shared" si="1"/>
        <v>0</v>
      </c>
      <c r="BF598" s="1419"/>
      <c r="BG598" s="1476">
        <f t="shared" si="2"/>
        <v>0</v>
      </c>
      <c r="BH598" s="1477"/>
      <c r="BI598" s="1418">
        <f t="shared" si="3"/>
        <v>0</v>
      </c>
      <c r="BJ598" s="1419"/>
      <c r="BK598" s="1476">
        <f t="shared" si="4"/>
        <v>0</v>
      </c>
      <c r="BL598" s="1477"/>
      <c r="BM598" s="3"/>
      <c r="BN598" s="1478">
        <f t="shared" si="5"/>
        <v>17</v>
      </c>
      <c r="BO598" s="1479"/>
      <c r="BP598" s="1479"/>
      <c r="BQ598" s="1479"/>
      <c r="BR598" s="1480"/>
      <c r="BS598" s="1393">
        <f t="shared" si="6"/>
        <v>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729">
        <f t="shared" si="11"/>
        <v>0</v>
      </c>
      <c r="CT598" s="1729"/>
      <c r="CU598" s="1729"/>
      <c r="CV598" s="1729"/>
      <c r="CW598" s="1729"/>
      <c r="CX598" s="1729">
        <f t="shared" si="12"/>
        <v>0</v>
      </c>
      <c r="CY598" s="1729"/>
      <c r="CZ598" s="1729"/>
      <c r="DA598" s="1729"/>
      <c r="DB598" s="1729"/>
      <c r="DC598" s="1729">
        <f t="shared" si="13"/>
        <v>0</v>
      </c>
      <c r="DD598" s="1729"/>
      <c r="DE598" s="1729"/>
      <c r="DF598" s="1729"/>
      <c r="DG598" s="1729"/>
      <c r="DH598" s="1729">
        <f t="shared" si="14"/>
        <v>0</v>
      </c>
      <c r="DI598" s="1729"/>
      <c r="DJ598" s="1729"/>
      <c r="DK598" s="1729"/>
      <c r="DL598" s="1729"/>
      <c r="DM598" s="1729">
        <f t="shared" si="15"/>
        <v>0</v>
      </c>
      <c r="DN598" s="1729"/>
      <c r="DO598" s="1729"/>
      <c r="DP598" s="1729"/>
      <c r="DQ598" s="1729"/>
      <c r="DR598" s="1729">
        <f t="shared" si="16"/>
        <v>0</v>
      </c>
      <c r="DS598" s="1729"/>
      <c r="DT598" s="1729"/>
      <c r="DU598" s="1729"/>
      <c r="DV598" s="1729"/>
      <c r="DX598" s="1418">
        <f t="shared" si="17"/>
        <v>1079</v>
      </c>
      <c r="DY598" s="1865"/>
      <c r="DZ598" s="1865"/>
      <c r="EA598" s="1865"/>
      <c r="EB598" s="1419"/>
      <c r="EC598" s="1418" t="str">
        <f t="shared" si="18"/>
        <v xml:space="preserve"> </v>
      </c>
      <c r="ED598" s="1865"/>
      <c r="EE598" s="1865"/>
      <c r="EF598" s="1865"/>
      <c r="EG598" s="1419"/>
      <c r="EH598" s="1418" t="str">
        <f t="shared" si="19"/>
        <v xml:space="preserve"> </v>
      </c>
      <c r="EI598" s="1865"/>
      <c r="EJ598" s="1865"/>
      <c r="EK598" s="1865"/>
      <c r="EL598" s="1419"/>
      <c r="EM598" s="1418" t="str">
        <f t="shared" si="20"/>
        <v xml:space="preserve"> </v>
      </c>
      <c r="EN598" s="1865"/>
      <c r="EO598" s="1865"/>
      <c r="EP598" s="1865"/>
      <c r="EQ598" s="1419"/>
      <c r="ER598" s="1418" t="str">
        <f t="shared" si="21"/>
        <v xml:space="preserve"> </v>
      </c>
      <c r="ES598" s="1865"/>
      <c r="ET598" s="1865"/>
      <c r="EU598" s="1865"/>
      <c r="EV598" s="1419"/>
      <c r="EW598" s="1418" t="str">
        <f t="shared" si="22"/>
        <v xml:space="preserve"> </v>
      </c>
      <c r="EX598" s="1865"/>
      <c r="EY598" s="1865"/>
      <c r="EZ598" s="1865"/>
      <c r="FA598" s="1419"/>
    </row>
    <row r="599" spans="1:157" ht="12.95" customHeight="1">
      <c r="A599" s="22"/>
      <c r="B599" t="s">
        <v>590</v>
      </c>
      <c r="G599" s="1392"/>
      <c r="H599" s="1392"/>
      <c r="I599" s="1392"/>
      <c r="J599" s="1392"/>
      <c r="K599" s="1392"/>
      <c r="L599" s="1392"/>
      <c r="M599" s="1392"/>
      <c r="N599" s="1392"/>
      <c r="O599" s="1392"/>
      <c r="P599" s="1392"/>
      <c r="Q599" s="1392"/>
      <c r="R599" s="1392"/>
      <c r="T599" s="22"/>
      <c r="U599" t="s">
        <v>590</v>
      </c>
      <c r="Z599" s="1372"/>
      <c r="AA599" s="1372"/>
      <c r="AB599" s="1372"/>
      <c r="AC599" s="1372"/>
      <c r="AD599" s="1372"/>
      <c r="AE599" s="1372"/>
      <c r="AF599" s="1372"/>
      <c r="AG599" s="1372"/>
      <c r="AH599" s="1372"/>
      <c r="AI599" s="1372"/>
      <c r="AJ599" s="1372"/>
      <c r="AK599" s="1372"/>
      <c r="BA599" s="4" t="s">
        <v>166</v>
      </c>
      <c r="BB599" s="3"/>
      <c r="BC599" s="3"/>
      <c r="BD599" s="3"/>
      <c r="BE599" s="1418">
        <f t="shared" si="1"/>
        <v>0</v>
      </c>
      <c r="BF599" s="1419"/>
      <c r="BG599" s="1476">
        <f t="shared" si="2"/>
        <v>0</v>
      </c>
      <c r="BH599" s="1477"/>
      <c r="BI599" s="1418">
        <f t="shared" si="3"/>
        <v>0</v>
      </c>
      <c r="BJ599" s="1419"/>
      <c r="BK599" s="1476">
        <f t="shared" si="4"/>
        <v>0</v>
      </c>
      <c r="BL599" s="1477"/>
      <c r="BM599" s="3"/>
      <c r="BN599" s="1478">
        <f t="shared" si="5"/>
        <v>0</v>
      </c>
      <c r="BO599" s="1479"/>
      <c r="BP599" s="1479"/>
      <c r="BQ599" s="1479"/>
      <c r="BR599" s="1480"/>
      <c r="BS599" s="1393">
        <f t="shared" si="6"/>
        <v>0</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729">
        <f t="shared" si="11"/>
        <v>0</v>
      </c>
      <c r="CT599" s="1729"/>
      <c r="CU599" s="1729"/>
      <c r="CV599" s="1729"/>
      <c r="CW599" s="1729"/>
      <c r="CX599" s="1729">
        <f t="shared" si="12"/>
        <v>0</v>
      </c>
      <c r="CY599" s="1729"/>
      <c r="CZ599" s="1729"/>
      <c r="DA599" s="1729"/>
      <c r="DB599" s="1729"/>
      <c r="DC599" s="1729">
        <f t="shared" si="13"/>
        <v>0</v>
      </c>
      <c r="DD599" s="1729"/>
      <c r="DE599" s="1729"/>
      <c r="DF599" s="1729"/>
      <c r="DG599" s="1729"/>
      <c r="DH599" s="1729">
        <f t="shared" si="14"/>
        <v>0</v>
      </c>
      <c r="DI599" s="1729"/>
      <c r="DJ599" s="1729"/>
      <c r="DK599" s="1729"/>
      <c r="DL599" s="1729"/>
      <c r="DM599" s="1729">
        <f t="shared" si="15"/>
        <v>0</v>
      </c>
      <c r="DN599" s="1729"/>
      <c r="DO599" s="1729"/>
      <c r="DP599" s="1729"/>
      <c r="DQ599" s="1729"/>
      <c r="DR599" s="1729">
        <f t="shared" si="16"/>
        <v>0</v>
      </c>
      <c r="DS599" s="1729"/>
      <c r="DT599" s="1729"/>
      <c r="DU599" s="1729"/>
      <c r="DV599" s="1729"/>
      <c r="DX599" s="1418" t="str">
        <f t="shared" si="17"/>
        <v xml:space="preserve"> </v>
      </c>
      <c r="DY599" s="1865"/>
      <c r="DZ599" s="1865"/>
      <c r="EA599" s="1865"/>
      <c r="EB599" s="1419"/>
      <c r="EC599" s="1418" t="str">
        <f t="shared" si="18"/>
        <v xml:space="preserve"> </v>
      </c>
      <c r="ED599" s="1865"/>
      <c r="EE599" s="1865"/>
      <c r="EF599" s="1865"/>
      <c r="EG599" s="1419"/>
      <c r="EH599" s="1418" t="str">
        <f t="shared" si="19"/>
        <v xml:space="preserve"> </v>
      </c>
      <c r="EI599" s="1865"/>
      <c r="EJ599" s="1865"/>
      <c r="EK599" s="1865"/>
      <c r="EL599" s="1419"/>
      <c r="EM599" s="1418" t="str">
        <f t="shared" si="20"/>
        <v xml:space="preserve"> </v>
      </c>
      <c r="EN599" s="1865"/>
      <c r="EO599" s="1865"/>
      <c r="EP599" s="1865"/>
      <c r="EQ599" s="1419"/>
      <c r="ER599" s="1418" t="str">
        <f t="shared" si="21"/>
        <v xml:space="preserve"> </v>
      </c>
      <c r="ES599" s="1865"/>
      <c r="ET599" s="1865"/>
      <c r="EU599" s="1865"/>
      <c r="EV599" s="1419"/>
      <c r="EW599" s="1418" t="str">
        <f t="shared" si="22"/>
        <v xml:space="preserve"> </v>
      </c>
      <c r="EX599" s="1865"/>
      <c r="EY599" s="1865"/>
      <c r="EZ599" s="1865"/>
      <c r="FA599" s="1419"/>
    </row>
    <row r="600" spans="1:157" ht="12.95" customHeight="1">
      <c r="A600" s="22"/>
      <c r="B600" t="s">
        <v>17</v>
      </c>
      <c r="G600" s="1392"/>
      <c r="H600" s="1392"/>
      <c r="I600" s="1392"/>
      <c r="J600" s="1392"/>
      <c r="K600" s="1392"/>
      <c r="L600" s="1392"/>
      <c r="M600" s="1392"/>
      <c r="N600" s="1392"/>
      <c r="O600" s="1392"/>
      <c r="P600" s="1392"/>
      <c r="Q600" s="1392"/>
      <c r="R600" s="1392"/>
      <c r="T600" s="22"/>
      <c r="U600" t="s">
        <v>17</v>
      </c>
      <c r="Z600" s="1372"/>
      <c r="AA600" s="1372"/>
      <c r="AB600" s="1372"/>
      <c r="AC600" s="1372"/>
      <c r="AD600" s="1372"/>
      <c r="AE600" s="1372"/>
      <c r="AF600" s="1372"/>
      <c r="AG600" s="1372"/>
      <c r="AH600" s="1372"/>
      <c r="AI600" s="1372"/>
      <c r="AJ600" s="1372"/>
      <c r="AK600" s="1372"/>
      <c r="BA600" s="4" t="s">
        <v>30</v>
      </c>
      <c r="BB600" s="3"/>
      <c r="BC600" s="3"/>
      <c r="BD600" s="3"/>
      <c r="BE600" s="1418">
        <f t="shared" si="1"/>
        <v>0</v>
      </c>
      <c r="BF600" s="1419"/>
      <c r="BG600" s="1476">
        <f t="shared" si="2"/>
        <v>0</v>
      </c>
      <c r="BH600" s="1477"/>
      <c r="BI600" s="1418">
        <f t="shared" si="3"/>
        <v>1</v>
      </c>
      <c r="BJ600" s="1419"/>
      <c r="BK600" s="1476">
        <f t="shared" si="4"/>
        <v>12</v>
      </c>
      <c r="BL600" s="1477"/>
      <c r="BM600" s="3"/>
      <c r="BN600" s="1478">
        <f t="shared" si="5"/>
        <v>0</v>
      </c>
      <c r="BO600" s="1479"/>
      <c r="BP600" s="1479"/>
      <c r="BQ600" s="1479"/>
      <c r="BR600" s="1480"/>
      <c r="BS600" s="1393">
        <f t="shared" si="6"/>
        <v>12</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729">
        <f t="shared" si="11"/>
        <v>0</v>
      </c>
      <c r="CT600" s="1729"/>
      <c r="CU600" s="1729"/>
      <c r="CV600" s="1729"/>
      <c r="CW600" s="1729"/>
      <c r="CX600" s="1729">
        <f t="shared" si="12"/>
        <v>12</v>
      </c>
      <c r="CY600" s="1729"/>
      <c r="CZ600" s="1729"/>
      <c r="DA600" s="1729"/>
      <c r="DB600" s="1729"/>
      <c r="DC600" s="1729">
        <f t="shared" si="13"/>
        <v>0</v>
      </c>
      <c r="DD600" s="1729"/>
      <c r="DE600" s="1729"/>
      <c r="DF600" s="1729"/>
      <c r="DG600" s="1729"/>
      <c r="DH600" s="1729">
        <f t="shared" si="14"/>
        <v>0</v>
      </c>
      <c r="DI600" s="1729"/>
      <c r="DJ600" s="1729"/>
      <c r="DK600" s="1729"/>
      <c r="DL600" s="1729"/>
      <c r="DM600" s="1729">
        <f t="shared" si="15"/>
        <v>0</v>
      </c>
      <c r="DN600" s="1729"/>
      <c r="DO600" s="1729"/>
      <c r="DP600" s="1729"/>
      <c r="DQ600" s="1729"/>
      <c r="DR600" s="1729">
        <f t="shared" si="16"/>
        <v>0</v>
      </c>
      <c r="DS600" s="1729"/>
      <c r="DT600" s="1729"/>
      <c r="DU600" s="1729"/>
      <c r="DV600" s="1729"/>
      <c r="DX600" s="1418" t="str">
        <f t="shared" si="17"/>
        <v xml:space="preserve"> </v>
      </c>
      <c r="DY600" s="1865"/>
      <c r="DZ600" s="1865"/>
      <c r="EA600" s="1865"/>
      <c r="EB600" s="1419"/>
      <c r="EC600" s="1418">
        <f t="shared" si="18"/>
        <v>536</v>
      </c>
      <c r="ED600" s="1865"/>
      <c r="EE600" s="1865"/>
      <c r="EF600" s="1865"/>
      <c r="EG600" s="1419"/>
      <c r="EH600" s="1418" t="str">
        <f t="shared" si="19"/>
        <v xml:space="preserve"> </v>
      </c>
      <c r="EI600" s="1865"/>
      <c r="EJ600" s="1865"/>
      <c r="EK600" s="1865"/>
      <c r="EL600" s="1419"/>
      <c r="EM600" s="1418" t="str">
        <f t="shared" si="20"/>
        <v xml:space="preserve"> </v>
      </c>
      <c r="EN600" s="1865"/>
      <c r="EO600" s="1865"/>
      <c r="EP600" s="1865"/>
      <c r="EQ600" s="1419"/>
      <c r="ER600" s="1418" t="str">
        <f t="shared" si="21"/>
        <v xml:space="preserve"> </v>
      </c>
      <c r="ES600" s="1865"/>
      <c r="ET600" s="1865"/>
      <c r="EU600" s="1865"/>
      <c r="EV600" s="1419"/>
      <c r="EW600" s="1418" t="str">
        <f t="shared" si="22"/>
        <v xml:space="preserve"> </v>
      </c>
      <c r="EX600" s="1865"/>
      <c r="EY600" s="1865"/>
      <c r="EZ600" s="1865"/>
      <c r="FA600" s="1419"/>
    </row>
    <row r="601" spans="1:157" ht="12.95" customHeight="1">
      <c r="A601" s="22"/>
      <c r="B601" t="s">
        <v>318</v>
      </c>
      <c r="G601" s="1437"/>
      <c r="H601" s="1437"/>
      <c r="I601" s="1437"/>
      <c r="J601" s="1437"/>
      <c r="K601" s="1437"/>
      <c r="L601" s="1437"/>
      <c r="O601" s="33" t="s">
        <v>208</v>
      </c>
      <c r="P601" s="1464"/>
      <c r="Q601" s="1464"/>
      <c r="R601" s="1464"/>
      <c r="T601" s="22"/>
      <c r="U601" t="s">
        <v>318</v>
      </c>
      <c r="Z601" s="1437"/>
      <c r="AA601" s="1437"/>
      <c r="AB601" s="1437"/>
      <c r="AC601" s="1437"/>
      <c r="AD601" s="1437"/>
      <c r="AE601" s="1437"/>
      <c r="AH601" s="33" t="s">
        <v>208</v>
      </c>
      <c r="AI601" s="1464"/>
      <c r="AJ601" s="1464"/>
      <c r="AK601" s="1464"/>
      <c r="AZ601" s="3"/>
      <c r="BA601" s="3"/>
      <c r="BB601" s="3"/>
      <c r="BC601" s="3"/>
      <c r="BD601" s="3"/>
      <c r="BE601" s="1418">
        <f t="shared" si="1"/>
        <v>0</v>
      </c>
      <c r="BF601" s="1419"/>
      <c r="BG601" s="1476">
        <f t="shared" si="2"/>
        <v>0</v>
      </c>
      <c r="BH601" s="1477"/>
      <c r="BI601" s="1418">
        <f t="shared" si="3"/>
        <v>1</v>
      </c>
      <c r="BJ601" s="1419"/>
      <c r="BK601" s="1476">
        <f t="shared" si="4"/>
        <v>4</v>
      </c>
      <c r="BL601" s="1477"/>
      <c r="BM601" s="3"/>
      <c r="BN601" s="1478">
        <f t="shared" si="5"/>
        <v>0</v>
      </c>
      <c r="BO601" s="1479"/>
      <c r="BP601" s="1479"/>
      <c r="BQ601" s="1479"/>
      <c r="BR601" s="1480"/>
      <c r="BS601" s="1393">
        <f t="shared" si="6"/>
        <v>4</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729">
        <f t="shared" si="11"/>
        <v>0</v>
      </c>
      <c r="CT601" s="1729"/>
      <c r="CU601" s="1729"/>
      <c r="CV601" s="1729"/>
      <c r="CW601" s="1729"/>
      <c r="CX601" s="1729">
        <f t="shared" si="12"/>
        <v>4</v>
      </c>
      <c r="CY601" s="1729"/>
      <c r="CZ601" s="1729"/>
      <c r="DA601" s="1729"/>
      <c r="DB601" s="1729"/>
      <c r="DC601" s="1729">
        <f t="shared" si="13"/>
        <v>0</v>
      </c>
      <c r="DD601" s="1729"/>
      <c r="DE601" s="1729"/>
      <c r="DF601" s="1729"/>
      <c r="DG601" s="1729"/>
      <c r="DH601" s="1729">
        <f t="shared" si="14"/>
        <v>0</v>
      </c>
      <c r="DI601" s="1729"/>
      <c r="DJ601" s="1729"/>
      <c r="DK601" s="1729"/>
      <c r="DL601" s="1729"/>
      <c r="DM601" s="1729">
        <f t="shared" si="15"/>
        <v>0</v>
      </c>
      <c r="DN601" s="1729"/>
      <c r="DO601" s="1729"/>
      <c r="DP601" s="1729"/>
      <c r="DQ601" s="1729"/>
      <c r="DR601" s="1729">
        <f t="shared" si="16"/>
        <v>0</v>
      </c>
      <c r="DS601" s="1729"/>
      <c r="DT601" s="1729"/>
      <c r="DU601" s="1729"/>
      <c r="DV601" s="1729"/>
      <c r="DX601" s="1418" t="str">
        <f t="shared" si="17"/>
        <v xml:space="preserve"> </v>
      </c>
      <c r="DY601" s="1865"/>
      <c r="DZ601" s="1865"/>
      <c r="EA601" s="1865"/>
      <c r="EB601" s="1419"/>
      <c r="EC601" s="1418">
        <f t="shared" si="18"/>
        <v>536</v>
      </c>
      <c r="ED601" s="1865"/>
      <c r="EE601" s="1865"/>
      <c r="EF601" s="1865"/>
      <c r="EG601" s="1419"/>
      <c r="EH601" s="1418" t="str">
        <f t="shared" si="19"/>
        <v xml:space="preserve"> </v>
      </c>
      <c r="EI601" s="1865"/>
      <c r="EJ601" s="1865"/>
      <c r="EK601" s="1865"/>
      <c r="EL601" s="1419"/>
      <c r="EM601" s="1418" t="str">
        <f t="shared" si="20"/>
        <v xml:space="preserve"> </v>
      </c>
      <c r="EN601" s="1865"/>
      <c r="EO601" s="1865"/>
      <c r="EP601" s="1865"/>
      <c r="EQ601" s="1419"/>
      <c r="ER601" s="1418" t="str">
        <f t="shared" si="21"/>
        <v xml:space="preserve"> </v>
      </c>
      <c r="ES601" s="1865"/>
      <c r="ET601" s="1865"/>
      <c r="EU601" s="1865"/>
      <c r="EV601" s="1419"/>
      <c r="EW601" s="1418" t="str">
        <f t="shared" si="22"/>
        <v xml:space="preserve"> </v>
      </c>
      <c r="EX601" s="1865"/>
      <c r="EY601" s="1865"/>
      <c r="EZ601" s="1865"/>
      <c r="FA601" s="1419"/>
    </row>
    <row r="602" spans="1:157" ht="12.95" customHeight="1">
      <c r="A602" s="22"/>
      <c r="B602" t="s">
        <v>18</v>
      </c>
      <c r="H602" s="1392"/>
      <c r="I602" s="1392"/>
      <c r="J602" s="1392"/>
      <c r="K602" s="1392"/>
      <c r="L602" s="1392"/>
      <c r="M602" s="1392"/>
      <c r="N602" s="1392"/>
      <c r="O602" s="1392"/>
      <c r="P602" s="1392"/>
      <c r="Q602" s="1392"/>
      <c r="R602" s="1392"/>
      <c r="T602" s="22"/>
      <c r="U602" t="s">
        <v>18</v>
      </c>
      <c r="AA602" s="1392"/>
      <c r="AB602" s="1392"/>
      <c r="AC602" s="1392"/>
      <c r="AD602" s="1392"/>
      <c r="AE602" s="1392"/>
      <c r="AF602" s="1392"/>
      <c r="AG602" s="1392"/>
      <c r="AH602" s="1392"/>
      <c r="AI602" s="1392"/>
      <c r="AJ602" s="1392"/>
      <c r="AK602" s="1392"/>
      <c r="AZ602" s="3"/>
      <c r="BA602" s="3"/>
      <c r="BB602" s="3"/>
      <c r="BC602" s="3"/>
      <c r="BD602" s="3"/>
      <c r="BE602" s="1418">
        <f t="shared" si="1"/>
        <v>0</v>
      </c>
      <c r="BF602" s="1419"/>
      <c r="BG602" s="1476">
        <f t="shared" si="2"/>
        <v>0</v>
      </c>
      <c r="BH602" s="1477"/>
      <c r="BI602" s="1418">
        <f t="shared" si="3"/>
        <v>0</v>
      </c>
      <c r="BJ602" s="1419"/>
      <c r="BK602" s="1476">
        <f t="shared" si="4"/>
        <v>0</v>
      </c>
      <c r="BL602" s="1477"/>
      <c r="BM602" s="3"/>
      <c r="BN602" s="1478">
        <f t="shared" si="5"/>
        <v>0</v>
      </c>
      <c r="BO602" s="1479"/>
      <c r="BP602" s="1479"/>
      <c r="BQ602" s="1479"/>
      <c r="BR602" s="1480"/>
      <c r="BS602" s="1393">
        <f t="shared" si="6"/>
        <v>66</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729">
        <f t="shared" si="11"/>
        <v>0</v>
      </c>
      <c r="CT602" s="1729"/>
      <c r="CU602" s="1729"/>
      <c r="CV602" s="1729"/>
      <c r="CW602" s="1729"/>
      <c r="CX602" s="1729">
        <f t="shared" si="12"/>
        <v>0</v>
      </c>
      <c r="CY602" s="1729"/>
      <c r="CZ602" s="1729"/>
      <c r="DA602" s="1729"/>
      <c r="DB602" s="1729"/>
      <c r="DC602" s="1729">
        <f t="shared" si="13"/>
        <v>0</v>
      </c>
      <c r="DD602" s="1729"/>
      <c r="DE602" s="1729"/>
      <c r="DF602" s="1729"/>
      <c r="DG602" s="1729"/>
      <c r="DH602" s="1729">
        <f t="shared" si="14"/>
        <v>0</v>
      </c>
      <c r="DI602" s="1729"/>
      <c r="DJ602" s="1729"/>
      <c r="DK602" s="1729"/>
      <c r="DL602" s="1729"/>
      <c r="DM602" s="1729">
        <f t="shared" si="15"/>
        <v>0</v>
      </c>
      <c r="DN602" s="1729"/>
      <c r="DO602" s="1729"/>
      <c r="DP602" s="1729"/>
      <c r="DQ602" s="1729"/>
      <c r="DR602" s="1729">
        <f t="shared" si="16"/>
        <v>0</v>
      </c>
      <c r="DS602" s="1729"/>
      <c r="DT602" s="1729"/>
      <c r="DU602" s="1729"/>
      <c r="DV602" s="1729"/>
      <c r="DX602" s="1418" t="str">
        <f t="shared" si="17"/>
        <v xml:space="preserve"> </v>
      </c>
      <c r="DY602" s="1865"/>
      <c r="DZ602" s="1865"/>
      <c r="EA602" s="1865"/>
      <c r="EB602" s="1419"/>
      <c r="EC602" s="1418">
        <f t="shared" si="18"/>
        <v>1147</v>
      </c>
      <c r="ED602" s="1865"/>
      <c r="EE602" s="1865"/>
      <c r="EF602" s="1865"/>
      <c r="EG602" s="1419"/>
      <c r="EH602" s="1418" t="str">
        <f t="shared" si="19"/>
        <v xml:space="preserve"> </v>
      </c>
      <c r="EI602" s="1865"/>
      <c r="EJ602" s="1865"/>
      <c r="EK602" s="1865"/>
      <c r="EL602" s="1419"/>
      <c r="EM602" s="1418" t="str">
        <f t="shared" si="20"/>
        <v xml:space="preserve"> </v>
      </c>
      <c r="EN602" s="1865"/>
      <c r="EO602" s="1865"/>
      <c r="EP602" s="1865"/>
      <c r="EQ602" s="1419"/>
      <c r="ER602" s="1418" t="str">
        <f t="shared" si="21"/>
        <v xml:space="preserve"> </v>
      </c>
      <c r="ES602" s="1865"/>
      <c r="ET602" s="1865"/>
      <c r="EU602" s="1865"/>
      <c r="EV602" s="1419"/>
      <c r="EW602" s="1418" t="str">
        <f t="shared" si="22"/>
        <v xml:space="preserve"> </v>
      </c>
      <c r="EX602" s="1865"/>
      <c r="EY602" s="1865"/>
      <c r="EZ602" s="1865"/>
      <c r="FA602" s="1419"/>
    </row>
    <row r="603" spans="1:157" ht="12.95" customHeight="1">
      <c r="A603" s="22"/>
      <c r="B603" t="s">
        <v>20</v>
      </c>
      <c r="N603" s="1376" t="s">
        <v>679</v>
      </c>
      <c r="O603" s="1376"/>
      <c r="T603" s="22"/>
      <c r="U603" t="s">
        <v>20</v>
      </c>
      <c r="AG603" s="1376" t="s">
        <v>679</v>
      </c>
      <c r="AH603" s="1376"/>
      <c r="AZ603" s="3"/>
      <c r="BA603" s="3"/>
      <c r="BB603" s="3"/>
      <c r="BC603" s="3"/>
      <c r="BD603" s="3"/>
      <c r="BE603" s="1418">
        <f t="shared" si="1"/>
        <v>0</v>
      </c>
      <c r="BF603" s="1419"/>
      <c r="BG603" s="1476">
        <f t="shared" si="2"/>
        <v>0</v>
      </c>
      <c r="BH603" s="1477"/>
      <c r="BI603" s="1418">
        <f t="shared" si="3"/>
        <v>1</v>
      </c>
      <c r="BJ603" s="1419"/>
      <c r="BK603" s="1476">
        <f t="shared" si="4"/>
        <v>5</v>
      </c>
      <c r="BL603" s="1477"/>
      <c r="BM603" s="3"/>
      <c r="BN603" s="1478">
        <f t="shared" si="5"/>
        <v>0</v>
      </c>
      <c r="BO603" s="1479"/>
      <c r="BP603" s="1479"/>
      <c r="BQ603" s="1479"/>
      <c r="BR603" s="1480"/>
      <c r="BS603" s="1393">
        <f t="shared" si="6"/>
        <v>0</v>
      </c>
      <c r="BT603" s="1393"/>
      <c r="BU603" s="1393"/>
      <c r="BV603" s="1393"/>
      <c r="BW603" s="1393"/>
      <c r="BX603" s="1393">
        <f t="shared" si="7"/>
        <v>5</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729">
        <f t="shared" si="11"/>
        <v>0</v>
      </c>
      <c r="CT603" s="1729"/>
      <c r="CU603" s="1729"/>
      <c r="CV603" s="1729"/>
      <c r="CW603" s="1729"/>
      <c r="CX603" s="1729">
        <f t="shared" si="12"/>
        <v>0</v>
      </c>
      <c r="CY603" s="1729"/>
      <c r="CZ603" s="1729"/>
      <c r="DA603" s="1729"/>
      <c r="DB603" s="1729"/>
      <c r="DC603" s="1729">
        <f t="shared" si="13"/>
        <v>5</v>
      </c>
      <c r="DD603" s="1729"/>
      <c r="DE603" s="1729"/>
      <c r="DF603" s="1729"/>
      <c r="DG603" s="1729"/>
      <c r="DH603" s="1729">
        <f t="shared" si="14"/>
        <v>0</v>
      </c>
      <c r="DI603" s="1729"/>
      <c r="DJ603" s="1729"/>
      <c r="DK603" s="1729"/>
      <c r="DL603" s="1729"/>
      <c r="DM603" s="1729">
        <f t="shared" si="15"/>
        <v>0</v>
      </c>
      <c r="DN603" s="1729"/>
      <c r="DO603" s="1729"/>
      <c r="DP603" s="1729"/>
      <c r="DQ603" s="1729"/>
      <c r="DR603" s="1729">
        <f t="shared" si="16"/>
        <v>0</v>
      </c>
      <c r="DS603" s="1729"/>
      <c r="DT603" s="1729"/>
      <c r="DU603" s="1729"/>
      <c r="DV603" s="1729"/>
      <c r="DX603" s="1418" t="str">
        <f t="shared" si="17"/>
        <v xml:space="preserve"> </v>
      </c>
      <c r="DY603" s="1865"/>
      <c r="DZ603" s="1865"/>
      <c r="EA603" s="1865"/>
      <c r="EB603" s="1419"/>
      <c r="EC603" s="1418" t="str">
        <f t="shared" si="18"/>
        <v xml:space="preserve"> </v>
      </c>
      <c r="ED603" s="1865"/>
      <c r="EE603" s="1865"/>
      <c r="EF603" s="1865"/>
      <c r="EG603" s="1419"/>
      <c r="EH603" s="1418">
        <f t="shared" si="19"/>
        <v>631</v>
      </c>
      <c r="EI603" s="1865"/>
      <c r="EJ603" s="1865"/>
      <c r="EK603" s="1865"/>
      <c r="EL603" s="1419"/>
      <c r="EM603" s="1418" t="str">
        <f t="shared" si="20"/>
        <v xml:space="preserve"> </v>
      </c>
      <c r="EN603" s="1865"/>
      <c r="EO603" s="1865"/>
      <c r="EP603" s="1865"/>
      <c r="EQ603" s="1419"/>
      <c r="ER603" s="1418" t="str">
        <f t="shared" si="21"/>
        <v xml:space="preserve"> </v>
      </c>
      <c r="ES603" s="1865"/>
      <c r="ET603" s="1865"/>
      <c r="EU603" s="1865"/>
      <c r="EV603" s="1419"/>
      <c r="EW603" s="1418" t="str">
        <f t="shared" si="22"/>
        <v xml:space="preserve"> </v>
      </c>
      <c r="EX603" s="1865"/>
      <c r="EY603" s="1865"/>
      <c r="EZ603" s="1865"/>
      <c r="FA603" s="1419"/>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19"/>
      <c r="BG604" s="1476">
        <f t="shared" si="2"/>
        <v>0</v>
      </c>
      <c r="BH604" s="1477"/>
      <c r="BI604" s="1418">
        <f t="shared" si="3"/>
        <v>1</v>
      </c>
      <c r="BJ604" s="1419"/>
      <c r="BK604" s="1476">
        <f t="shared" si="4"/>
        <v>2</v>
      </c>
      <c r="BL604" s="1477"/>
      <c r="BM604" s="3"/>
      <c r="BN604" s="1478">
        <f t="shared" si="5"/>
        <v>0</v>
      </c>
      <c r="BO604" s="1479"/>
      <c r="BP604" s="1479"/>
      <c r="BQ604" s="1479"/>
      <c r="BR604" s="1480"/>
      <c r="BS604" s="1393">
        <f t="shared" si="6"/>
        <v>0</v>
      </c>
      <c r="BT604" s="1393"/>
      <c r="BU604" s="1393"/>
      <c r="BV604" s="1393"/>
      <c r="BW604" s="1393"/>
      <c r="BX604" s="1393">
        <f t="shared" si="7"/>
        <v>2</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729">
        <f t="shared" si="11"/>
        <v>0</v>
      </c>
      <c r="CT604" s="1729"/>
      <c r="CU604" s="1729"/>
      <c r="CV604" s="1729"/>
      <c r="CW604" s="1729"/>
      <c r="CX604" s="1729">
        <f t="shared" si="12"/>
        <v>0</v>
      </c>
      <c r="CY604" s="1729"/>
      <c r="CZ604" s="1729"/>
      <c r="DA604" s="1729"/>
      <c r="DB604" s="1729"/>
      <c r="DC604" s="1729">
        <f t="shared" si="13"/>
        <v>2</v>
      </c>
      <c r="DD604" s="1729"/>
      <c r="DE604" s="1729"/>
      <c r="DF604" s="1729"/>
      <c r="DG604" s="1729"/>
      <c r="DH604" s="1729">
        <f t="shared" si="14"/>
        <v>0</v>
      </c>
      <c r="DI604" s="1729"/>
      <c r="DJ604" s="1729"/>
      <c r="DK604" s="1729"/>
      <c r="DL604" s="1729"/>
      <c r="DM604" s="1729">
        <f t="shared" si="15"/>
        <v>0</v>
      </c>
      <c r="DN604" s="1729"/>
      <c r="DO604" s="1729"/>
      <c r="DP604" s="1729"/>
      <c r="DQ604" s="1729"/>
      <c r="DR604" s="1729">
        <f t="shared" si="16"/>
        <v>0</v>
      </c>
      <c r="DS604" s="1729"/>
      <c r="DT604" s="1729"/>
      <c r="DU604" s="1729"/>
      <c r="DV604" s="1729"/>
      <c r="DX604" s="1418" t="str">
        <f t="shared" si="17"/>
        <v xml:space="preserve"> </v>
      </c>
      <c r="DY604" s="1865"/>
      <c r="DZ604" s="1865"/>
      <c r="EA604" s="1865"/>
      <c r="EB604" s="1419"/>
      <c r="EC604" s="1418" t="str">
        <f t="shared" si="18"/>
        <v xml:space="preserve"> </v>
      </c>
      <c r="ED604" s="1865"/>
      <c r="EE604" s="1865"/>
      <c r="EF604" s="1865"/>
      <c r="EG604" s="1419"/>
      <c r="EH604" s="1418">
        <f t="shared" si="19"/>
        <v>631</v>
      </c>
      <c r="EI604" s="1865"/>
      <c r="EJ604" s="1865"/>
      <c r="EK604" s="1865"/>
      <c r="EL604" s="1419"/>
      <c r="EM604" s="1418" t="str">
        <f t="shared" si="20"/>
        <v xml:space="preserve"> </v>
      </c>
      <c r="EN604" s="1865"/>
      <c r="EO604" s="1865"/>
      <c r="EP604" s="1865"/>
      <c r="EQ604" s="1419"/>
      <c r="ER604" s="1418" t="str">
        <f t="shared" si="21"/>
        <v xml:space="preserve"> </v>
      </c>
      <c r="ES604" s="1865"/>
      <c r="ET604" s="1865"/>
      <c r="EU604" s="1865"/>
      <c r="EV604" s="1419"/>
      <c r="EW604" s="1418" t="str">
        <f t="shared" si="22"/>
        <v xml:space="preserve"> </v>
      </c>
      <c r="EX604" s="1865"/>
      <c r="EY604" s="1865"/>
      <c r="EZ604" s="1865"/>
      <c r="FA604" s="1419"/>
    </row>
    <row r="605" spans="1:157" s="4" customFormat="1" ht="12.95" customHeight="1">
      <c r="A605" s="55" t="s">
        <v>364</v>
      </c>
      <c r="B605" t="s">
        <v>473</v>
      </c>
      <c r="C605"/>
      <c r="D605"/>
      <c r="E605"/>
      <c r="F605"/>
      <c r="G605" s="1517">
        <f>C560</f>
        <v>0</v>
      </c>
      <c r="H605" s="1517"/>
      <c r="I605" s="1517"/>
      <c r="J605" s="1517"/>
      <c r="K605" s="1517"/>
      <c r="L605" s="1517"/>
      <c r="M605" s="1517"/>
      <c r="N605" s="1517"/>
      <c r="O605" s="1517"/>
      <c r="P605" s="1517"/>
      <c r="Q605" s="1517"/>
      <c r="R605" s="1517"/>
      <c r="S605"/>
      <c r="T605" s="55" t="s">
        <v>365</v>
      </c>
      <c r="U605" t="s">
        <v>473</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18">
        <f t="shared" si="1"/>
        <v>0</v>
      </c>
      <c r="BF605" s="1419"/>
      <c r="BG605" s="1476">
        <f t="shared" si="2"/>
        <v>0</v>
      </c>
      <c r="BH605" s="1477"/>
      <c r="BI605" s="1418">
        <f t="shared" si="3"/>
        <v>0</v>
      </c>
      <c r="BJ605" s="1419"/>
      <c r="BK605" s="1476">
        <f t="shared" si="4"/>
        <v>0</v>
      </c>
      <c r="BL605" s="1477"/>
      <c r="BM605" s="3"/>
      <c r="BN605" s="1478">
        <f t="shared" si="5"/>
        <v>0</v>
      </c>
      <c r="BO605" s="1479"/>
      <c r="BP605" s="1479"/>
      <c r="BQ605" s="1479"/>
      <c r="BR605" s="1480"/>
      <c r="BS605" s="1393">
        <f t="shared" si="6"/>
        <v>0</v>
      </c>
      <c r="BT605" s="1393"/>
      <c r="BU605" s="1393"/>
      <c r="BV605" s="1393"/>
      <c r="BW605" s="1393"/>
      <c r="BX605" s="1393">
        <f t="shared" si="7"/>
        <v>23</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729">
        <f t="shared" si="11"/>
        <v>0</v>
      </c>
      <c r="CT605" s="1729"/>
      <c r="CU605" s="1729"/>
      <c r="CV605" s="1729"/>
      <c r="CW605" s="1729"/>
      <c r="CX605" s="1729">
        <f t="shared" si="12"/>
        <v>0</v>
      </c>
      <c r="CY605" s="1729"/>
      <c r="CZ605" s="1729"/>
      <c r="DA605" s="1729"/>
      <c r="DB605" s="1729"/>
      <c r="DC605" s="1729">
        <f t="shared" si="13"/>
        <v>0</v>
      </c>
      <c r="DD605" s="1729"/>
      <c r="DE605" s="1729"/>
      <c r="DF605" s="1729"/>
      <c r="DG605" s="1729"/>
      <c r="DH605" s="1729">
        <f t="shared" si="14"/>
        <v>0</v>
      </c>
      <c r="DI605" s="1729"/>
      <c r="DJ605" s="1729"/>
      <c r="DK605" s="1729"/>
      <c r="DL605" s="1729"/>
      <c r="DM605" s="1729">
        <f t="shared" si="15"/>
        <v>0</v>
      </c>
      <c r="DN605" s="1729"/>
      <c r="DO605" s="1729"/>
      <c r="DP605" s="1729"/>
      <c r="DQ605" s="1729"/>
      <c r="DR605" s="1729">
        <f t="shared" si="16"/>
        <v>0</v>
      </c>
      <c r="DS605" s="1729"/>
      <c r="DT605" s="1729"/>
      <c r="DU605" s="1729"/>
      <c r="DV605" s="1729"/>
      <c r="DX605" s="1418" t="str">
        <f t="shared" si="17"/>
        <v xml:space="preserve"> </v>
      </c>
      <c r="DY605" s="1865"/>
      <c r="DZ605" s="1865"/>
      <c r="EA605" s="1865"/>
      <c r="EB605" s="1419"/>
      <c r="EC605" s="1418" t="str">
        <f t="shared" si="18"/>
        <v xml:space="preserve"> </v>
      </c>
      <c r="ED605" s="1865"/>
      <c r="EE605" s="1865"/>
      <c r="EF605" s="1865"/>
      <c r="EG605" s="1419"/>
      <c r="EH605" s="1418">
        <f t="shared" si="19"/>
        <v>1365</v>
      </c>
      <c r="EI605" s="1865"/>
      <c r="EJ605" s="1865"/>
      <c r="EK605" s="1865"/>
      <c r="EL605" s="1419"/>
      <c r="EM605" s="1418" t="str">
        <f t="shared" si="20"/>
        <v xml:space="preserve"> </v>
      </c>
      <c r="EN605" s="1865"/>
      <c r="EO605" s="1865"/>
      <c r="EP605" s="1865"/>
      <c r="EQ605" s="1419"/>
      <c r="ER605" s="1418" t="str">
        <f t="shared" si="21"/>
        <v xml:space="preserve"> </v>
      </c>
      <c r="ES605" s="1865"/>
      <c r="ET605" s="1865"/>
      <c r="EU605" s="1865"/>
      <c r="EV605" s="1419"/>
      <c r="EW605" s="1418" t="str">
        <f t="shared" si="22"/>
        <v xml:space="preserve"> </v>
      </c>
      <c r="EX605" s="1865"/>
      <c r="EY605" s="1865"/>
      <c r="EZ605" s="1865"/>
      <c r="FA605" s="1419"/>
    </row>
    <row r="606" spans="1:157" s="4" customFormat="1" ht="12.95" customHeight="1">
      <c r="A606"/>
      <c r="B606" t="s">
        <v>86</v>
      </c>
      <c r="C606"/>
      <c r="D606"/>
      <c r="E606"/>
      <c r="F606"/>
      <c r="G606" s="1392"/>
      <c r="H606" s="1392"/>
      <c r="I606" s="1392"/>
      <c r="J606" s="1392"/>
      <c r="K606" s="1392"/>
      <c r="L606" s="1392"/>
      <c r="M606" s="1392"/>
      <c r="N606" s="1392"/>
      <c r="O606" s="1392"/>
      <c r="P606" s="1392"/>
      <c r="Q606" s="1392"/>
      <c r="R606" s="1392"/>
      <c r="S606"/>
      <c r="T606"/>
      <c r="U606" t="s">
        <v>86</v>
      </c>
      <c r="V606"/>
      <c r="W606"/>
      <c r="X606"/>
      <c r="Y606"/>
      <c r="Z606" s="1392"/>
      <c r="AA606" s="1392"/>
      <c r="AB606" s="1392"/>
      <c r="AC606" s="1392"/>
      <c r="AD606" s="1392"/>
      <c r="AE606" s="1392"/>
      <c r="AF606" s="1392"/>
      <c r="AG606" s="1392"/>
      <c r="AH606" s="1392"/>
      <c r="AI606" s="1392"/>
      <c r="AJ606" s="1392"/>
      <c r="AK606" s="1392"/>
      <c r="AL606"/>
      <c r="AM606"/>
      <c r="AN606"/>
      <c r="AO606"/>
      <c r="AP606"/>
      <c r="AQ606"/>
      <c r="AR606"/>
      <c r="AS606"/>
      <c r="AT606"/>
      <c r="AU606"/>
      <c r="AV606"/>
      <c r="AW606"/>
      <c r="AX606"/>
      <c r="AY606"/>
      <c r="AZ606" s="3"/>
      <c r="BA606" s="3"/>
      <c r="BB606" s="3"/>
      <c r="BC606" s="3"/>
      <c r="BD606" s="3"/>
      <c r="BE606" s="1418">
        <f t="shared" si="1"/>
        <v>0</v>
      </c>
      <c r="BF606" s="1419"/>
      <c r="BG606" s="1476">
        <f t="shared" si="2"/>
        <v>0</v>
      </c>
      <c r="BH606" s="1477"/>
      <c r="BI606" s="1418">
        <f t="shared" si="3"/>
        <v>0</v>
      </c>
      <c r="BJ606" s="1419"/>
      <c r="BK606" s="1476">
        <f t="shared" si="4"/>
        <v>0</v>
      </c>
      <c r="BL606" s="1477"/>
      <c r="BM606" s="3"/>
      <c r="BN606" s="1478">
        <f t="shared" si="5"/>
        <v>0</v>
      </c>
      <c r="BO606" s="1479"/>
      <c r="BP606" s="1479"/>
      <c r="BQ606" s="1479"/>
      <c r="BR606" s="1480"/>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729">
        <f t="shared" si="11"/>
        <v>0</v>
      </c>
      <c r="CT606" s="1729"/>
      <c r="CU606" s="1729"/>
      <c r="CV606" s="1729"/>
      <c r="CW606" s="1729"/>
      <c r="CX606" s="1729">
        <f t="shared" si="12"/>
        <v>0</v>
      </c>
      <c r="CY606" s="1729"/>
      <c r="CZ606" s="1729"/>
      <c r="DA606" s="1729"/>
      <c r="DB606" s="1729"/>
      <c r="DC606" s="1729">
        <f t="shared" si="13"/>
        <v>0</v>
      </c>
      <c r="DD606" s="1729"/>
      <c r="DE606" s="1729"/>
      <c r="DF606" s="1729"/>
      <c r="DG606" s="1729"/>
      <c r="DH606" s="1729">
        <f t="shared" si="14"/>
        <v>0</v>
      </c>
      <c r="DI606" s="1729"/>
      <c r="DJ606" s="1729"/>
      <c r="DK606" s="1729"/>
      <c r="DL606" s="1729"/>
      <c r="DM606" s="1729">
        <f t="shared" si="15"/>
        <v>0</v>
      </c>
      <c r="DN606" s="1729"/>
      <c r="DO606" s="1729"/>
      <c r="DP606" s="1729"/>
      <c r="DQ606" s="1729"/>
      <c r="DR606" s="1729">
        <f t="shared" si="16"/>
        <v>0</v>
      </c>
      <c r="DS606" s="1729"/>
      <c r="DT606" s="1729"/>
      <c r="DU606" s="1729"/>
      <c r="DV606" s="1729"/>
      <c r="DX606" s="1418" t="str">
        <f t="shared" si="17"/>
        <v xml:space="preserve"> </v>
      </c>
      <c r="DY606" s="1865"/>
      <c r="DZ606" s="1865"/>
      <c r="EA606" s="1865"/>
      <c r="EB606" s="1419"/>
      <c r="EC606" s="1418" t="str">
        <f t="shared" si="18"/>
        <v xml:space="preserve"> </v>
      </c>
      <c r="ED606" s="1865"/>
      <c r="EE606" s="1865"/>
      <c r="EF606" s="1865"/>
      <c r="EG606" s="1419"/>
      <c r="EH606" s="1418" t="str">
        <f t="shared" si="19"/>
        <v xml:space="preserve"> </v>
      </c>
      <c r="EI606" s="1865"/>
      <c r="EJ606" s="1865"/>
      <c r="EK606" s="1865"/>
      <c r="EL606" s="1419"/>
      <c r="EM606" s="1418" t="str">
        <f t="shared" si="20"/>
        <v xml:space="preserve"> </v>
      </c>
      <c r="EN606" s="1865"/>
      <c r="EO606" s="1865"/>
      <c r="EP606" s="1865"/>
      <c r="EQ606" s="1419"/>
      <c r="ER606" s="1418" t="str">
        <f t="shared" si="21"/>
        <v xml:space="preserve"> </v>
      </c>
      <c r="ES606" s="1865"/>
      <c r="ET606" s="1865"/>
      <c r="EU606" s="1865"/>
      <c r="EV606" s="1419"/>
      <c r="EW606" s="1418" t="str">
        <f t="shared" si="22"/>
        <v xml:space="preserve"> </v>
      </c>
      <c r="EX606" s="1865"/>
      <c r="EY606" s="1865"/>
      <c r="EZ606" s="1865"/>
      <c r="FA606" s="1419"/>
    </row>
    <row r="607" spans="1:157" ht="12.95" customHeight="1">
      <c r="B607" t="s">
        <v>590</v>
      </c>
      <c r="G607" s="1392"/>
      <c r="H607" s="1392"/>
      <c r="I607" s="1392"/>
      <c r="J607" s="1392"/>
      <c r="K607" s="1392"/>
      <c r="L607" s="1392"/>
      <c r="M607" s="1392"/>
      <c r="N607" s="1392"/>
      <c r="O607" s="1392"/>
      <c r="P607" s="1392"/>
      <c r="Q607" s="1392"/>
      <c r="R607" s="1392"/>
      <c r="U607" t="s">
        <v>590</v>
      </c>
      <c r="Z607" s="1372"/>
      <c r="AA607" s="1372"/>
      <c r="AB607" s="1372"/>
      <c r="AC607" s="1372"/>
      <c r="AD607" s="1372"/>
      <c r="AE607" s="1372"/>
      <c r="AF607" s="1372"/>
      <c r="AG607" s="1372"/>
      <c r="AH607" s="1372"/>
      <c r="AI607" s="1372"/>
      <c r="AJ607" s="1372"/>
      <c r="AK607" s="1372"/>
      <c r="AZ607" s="3"/>
      <c r="BA607" s="3"/>
      <c r="BB607" s="3"/>
      <c r="BC607" s="3"/>
      <c r="BD607" s="3"/>
      <c r="BE607" s="1418">
        <f t="shared" si="1"/>
        <v>0</v>
      </c>
      <c r="BF607" s="1419"/>
      <c r="BG607" s="1476">
        <f t="shared" si="2"/>
        <v>0</v>
      </c>
      <c r="BH607" s="1477"/>
      <c r="BI607" s="1418">
        <f t="shared" si="3"/>
        <v>0</v>
      </c>
      <c r="BJ607" s="1419"/>
      <c r="BK607" s="1476">
        <f t="shared" si="4"/>
        <v>0</v>
      </c>
      <c r="BL607" s="1477"/>
      <c r="BM607" s="3"/>
      <c r="BN607" s="1478">
        <f t="shared" si="5"/>
        <v>0</v>
      </c>
      <c r="BO607" s="1479"/>
      <c r="BP607" s="1479"/>
      <c r="BQ607" s="1479"/>
      <c r="BR607" s="1480"/>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729">
        <f t="shared" si="11"/>
        <v>0</v>
      </c>
      <c r="CT607" s="1729"/>
      <c r="CU607" s="1729"/>
      <c r="CV607" s="1729"/>
      <c r="CW607" s="1729"/>
      <c r="CX607" s="1729">
        <f t="shared" si="12"/>
        <v>0</v>
      </c>
      <c r="CY607" s="1729"/>
      <c r="CZ607" s="1729"/>
      <c r="DA607" s="1729"/>
      <c r="DB607" s="1729"/>
      <c r="DC607" s="1729">
        <f t="shared" si="13"/>
        <v>0</v>
      </c>
      <c r="DD607" s="1729"/>
      <c r="DE607" s="1729"/>
      <c r="DF607" s="1729"/>
      <c r="DG607" s="1729"/>
      <c r="DH607" s="1729">
        <f t="shared" si="14"/>
        <v>0</v>
      </c>
      <c r="DI607" s="1729"/>
      <c r="DJ607" s="1729"/>
      <c r="DK607" s="1729"/>
      <c r="DL607" s="1729"/>
      <c r="DM607" s="1729">
        <f t="shared" si="15"/>
        <v>0</v>
      </c>
      <c r="DN607" s="1729"/>
      <c r="DO607" s="1729"/>
      <c r="DP607" s="1729"/>
      <c r="DQ607" s="1729"/>
      <c r="DR607" s="1729">
        <f t="shared" si="16"/>
        <v>0</v>
      </c>
      <c r="DS607" s="1729"/>
      <c r="DT607" s="1729"/>
      <c r="DU607" s="1729"/>
      <c r="DV607" s="1729"/>
      <c r="DX607" s="1418" t="str">
        <f t="shared" si="17"/>
        <v xml:space="preserve"> </v>
      </c>
      <c r="DY607" s="1865"/>
      <c r="DZ607" s="1865"/>
      <c r="EA607" s="1865"/>
      <c r="EB607" s="1419"/>
      <c r="EC607" s="1418" t="str">
        <f t="shared" si="18"/>
        <v xml:space="preserve"> </v>
      </c>
      <c r="ED607" s="1865"/>
      <c r="EE607" s="1865"/>
      <c r="EF607" s="1865"/>
      <c r="EG607" s="1419"/>
      <c r="EH607" s="1418" t="str">
        <f t="shared" si="19"/>
        <v xml:space="preserve"> </v>
      </c>
      <c r="EI607" s="1865"/>
      <c r="EJ607" s="1865"/>
      <c r="EK607" s="1865"/>
      <c r="EL607" s="1419"/>
      <c r="EM607" s="1418" t="str">
        <f t="shared" si="20"/>
        <v xml:space="preserve"> </v>
      </c>
      <c r="EN607" s="1865"/>
      <c r="EO607" s="1865"/>
      <c r="EP607" s="1865"/>
      <c r="EQ607" s="1419"/>
      <c r="ER607" s="1418" t="str">
        <f t="shared" si="21"/>
        <v xml:space="preserve"> </v>
      </c>
      <c r="ES607" s="1865"/>
      <c r="ET607" s="1865"/>
      <c r="EU607" s="1865"/>
      <c r="EV607" s="1419"/>
      <c r="EW607" s="1418" t="str">
        <f t="shared" si="22"/>
        <v xml:space="preserve"> </v>
      </c>
      <c r="EX607" s="1865"/>
      <c r="EY607" s="1865"/>
      <c r="EZ607" s="1865"/>
      <c r="FA607" s="1419"/>
    </row>
    <row r="608" spans="1:157" ht="12.95" customHeight="1">
      <c r="B608" t="s">
        <v>17</v>
      </c>
      <c r="G608" s="1392"/>
      <c r="H608" s="1392"/>
      <c r="I608" s="1392"/>
      <c r="J608" s="1392"/>
      <c r="K608" s="1392"/>
      <c r="L608" s="1392"/>
      <c r="M608" s="1392"/>
      <c r="N608" s="1392"/>
      <c r="O608" s="1392"/>
      <c r="P608" s="1392"/>
      <c r="Q608" s="1392"/>
      <c r="R608" s="1392"/>
      <c r="U608" t="s">
        <v>17</v>
      </c>
      <c r="Z608" s="1372"/>
      <c r="AA608" s="1372"/>
      <c r="AB608" s="1372"/>
      <c r="AC608" s="1372"/>
      <c r="AD608" s="1372"/>
      <c r="AE608" s="1372"/>
      <c r="AF608" s="1372"/>
      <c r="AG608" s="1372"/>
      <c r="AH608" s="1372"/>
      <c r="AI608" s="1372"/>
      <c r="AJ608" s="1372"/>
      <c r="AK608" s="1372"/>
      <c r="AZ608" s="3"/>
      <c r="BA608" s="3"/>
      <c r="BB608" s="3"/>
      <c r="BC608" s="3"/>
      <c r="BD608" s="3"/>
      <c r="BE608" s="1418">
        <f t="shared" si="1"/>
        <v>0</v>
      </c>
      <c r="BF608" s="1419"/>
      <c r="BG608" s="1476">
        <f t="shared" si="2"/>
        <v>0</v>
      </c>
      <c r="BH608" s="1477"/>
      <c r="BI608" s="1418">
        <f t="shared" si="3"/>
        <v>0</v>
      </c>
      <c r="BJ608" s="1419"/>
      <c r="BK608" s="1476">
        <f t="shared" si="4"/>
        <v>0</v>
      </c>
      <c r="BL608" s="1477"/>
      <c r="BM608" s="3"/>
      <c r="BN608" s="1478">
        <f t="shared" si="5"/>
        <v>0</v>
      </c>
      <c r="BO608" s="1479"/>
      <c r="BP608" s="1479"/>
      <c r="BQ608" s="1479"/>
      <c r="BR608" s="1480"/>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729">
        <f t="shared" si="11"/>
        <v>0</v>
      </c>
      <c r="CT608" s="1729"/>
      <c r="CU608" s="1729"/>
      <c r="CV608" s="1729"/>
      <c r="CW608" s="1729"/>
      <c r="CX608" s="1729">
        <f t="shared" si="12"/>
        <v>0</v>
      </c>
      <c r="CY608" s="1729"/>
      <c r="CZ608" s="1729"/>
      <c r="DA608" s="1729"/>
      <c r="DB608" s="1729"/>
      <c r="DC608" s="1729">
        <f t="shared" si="13"/>
        <v>0</v>
      </c>
      <c r="DD608" s="1729"/>
      <c r="DE608" s="1729"/>
      <c r="DF608" s="1729"/>
      <c r="DG608" s="1729"/>
      <c r="DH608" s="1729">
        <f t="shared" si="14"/>
        <v>0</v>
      </c>
      <c r="DI608" s="1729"/>
      <c r="DJ608" s="1729"/>
      <c r="DK608" s="1729"/>
      <c r="DL608" s="1729"/>
      <c r="DM608" s="1729">
        <f t="shared" si="15"/>
        <v>0</v>
      </c>
      <c r="DN608" s="1729"/>
      <c r="DO608" s="1729"/>
      <c r="DP608" s="1729"/>
      <c r="DQ608" s="1729"/>
      <c r="DR608" s="1729">
        <f t="shared" si="16"/>
        <v>0</v>
      </c>
      <c r="DS608" s="1729"/>
      <c r="DT608" s="1729"/>
      <c r="DU608" s="1729"/>
      <c r="DV608" s="1729"/>
      <c r="DX608" s="1418" t="str">
        <f t="shared" si="17"/>
        <v xml:space="preserve"> </v>
      </c>
      <c r="DY608" s="1865"/>
      <c r="DZ608" s="1865"/>
      <c r="EA608" s="1865"/>
      <c r="EB608" s="1419"/>
      <c r="EC608" s="1418" t="str">
        <f t="shared" si="18"/>
        <v xml:space="preserve"> </v>
      </c>
      <c r="ED608" s="1865"/>
      <c r="EE608" s="1865"/>
      <c r="EF608" s="1865"/>
      <c r="EG608" s="1419"/>
      <c r="EH608" s="1418" t="str">
        <f t="shared" si="19"/>
        <v xml:space="preserve"> </v>
      </c>
      <c r="EI608" s="1865"/>
      <c r="EJ608" s="1865"/>
      <c r="EK608" s="1865"/>
      <c r="EL608" s="1419"/>
      <c r="EM608" s="1418" t="str">
        <f t="shared" si="20"/>
        <v xml:space="preserve"> </v>
      </c>
      <c r="EN608" s="1865"/>
      <c r="EO608" s="1865"/>
      <c r="EP608" s="1865"/>
      <c r="EQ608" s="1419"/>
      <c r="ER608" s="1418" t="str">
        <f t="shared" si="21"/>
        <v xml:space="preserve"> </v>
      </c>
      <c r="ES608" s="1865"/>
      <c r="ET608" s="1865"/>
      <c r="EU608" s="1865"/>
      <c r="EV608" s="1419"/>
      <c r="EW608" s="1418" t="str">
        <f t="shared" si="22"/>
        <v xml:space="preserve"> </v>
      </c>
      <c r="EX608" s="1865"/>
      <c r="EY608" s="1865"/>
      <c r="EZ608" s="1865"/>
      <c r="FA608" s="1419"/>
    </row>
    <row r="609" spans="1:157" ht="12.95" customHeight="1">
      <c r="B609" t="s">
        <v>318</v>
      </c>
      <c r="G609" s="1437"/>
      <c r="H609" s="1437"/>
      <c r="I609" s="1437"/>
      <c r="J609" s="1437"/>
      <c r="K609" s="1437"/>
      <c r="L609" s="1437"/>
      <c r="O609" s="33" t="s">
        <v>208</v>
      </c>
      <c r="P609" s="1464"/>
      <c r="Q609" s="1464"/>
      <c r="R609" s="1464"/>
      <c r="U609" t="s">
        <v>318</v>
      </c>
      <c r="Z609" s="1437"/>
      <c r="AA609" s="1437"/>
      <c r="AB609" s="1437"/>
      <c r="AC609" s="1437"/>
      <c r="AD609" s="1437"/>
      <c r="AE609" s="1437"/>
      <c r="AH609" s="33" t="s">
        <v>208</v>
      </c>
      <c r="AI609" s="1464"/>
      <c r="AJ609" s="1464"/>
      <c r="AK609" s="1464"/>
      <c r="AZ609" s="3"/>
      <c r="BA609" s="3"/>
      <c r="BB609" s="3"/>
      <c r="BC609" s="3"/>
      <c r="BD609" s="3"/>
      <c r="BE609" s="1418">
        <f t="shared" si="1"/>
        <v>0</v>
      </c>
      <c r="BF609" s="1419"/>
      <c r="BG609" s="1476">
        <f t="shared" si="2"/>
        <v>0</v>
      </c>
      <c r="BH609" s="1477"/>
      <c r="BI609" s="1418">
        <f t="shared" si="3"/>
        <v>0</v>
      </c>
      <c r="BJ609" s="1419"/>
      <c r="BK609" s="1476">
        <f t="shared" si="4"/>
        <v>0</v>
      </c>
      <c r="BL609" s="1477"/>
      <c r="BM609" s="3"/>
      <c r="BN609" s="1478">
        <f t="shared" si="5"/>
        <v>0</v>
      </c>
      <c r="BO609" s="1479"/>
      <c r="BP609" s="1479"/>
      <c r="BQ609" s="1479"/>
      <c r="BR609" s="1480"/>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729">
        <f t="shared" si="11"/>
        <v>0</v>
      </c>
      <c r="CT609" s="1729"/>
      <c r="CU609" s="1729"/>
      <c r="CV609" s="1729"/>
      <c r="CW609" s="1729"/>
      <c r="CX609" s="1729">
        <f t="shared" si="12"/>
        <v>0</v>
      </c>
      <c r="CY609" s="1729"/>
      <c r="CZ609" s="1729"/>
      <c r="DA609" s="1729"/>
      <c r="DB609" s="1729"/>
      <c r="DC609" s="1729">
        <f t="shared" si="13"/>
        <v>0</v>
      </c>
      <c r="DD609" s="1729"/>
      <c r="DE609" s="1729"/>
      <c r="DF609" s="1729"/>
      <c r="DG609" s="1729"/>
      <c r="DH609" s="1729">
        <f t="shared" si="14"/>
        <v>0</v>
      </c>
      <c r="DI609" s="1729"/>
      <c r="DJ609" s="1729"/>
      <c r="DK609" s="1729"/>
      <c r="DL609" s="1729"/>
      <c r="DM609" s="1729">
        <f t="shared" si="15"/>
        <v>0</v>
      </c>
      <c r="DN609" s="1729"/>
      <c r="DO609" s="1729"/>
      <c r="DP609" s="1729"/>
      <c r="DQ609" s="1729"/>
      <c r="DR609" s="1729">
        <f t="shared" si="16"/>
        <v>0</v>
      </c>
      <c r="DS609" s="1729"/>
      <c r="DT609" s="1729"/>
      <c r="DU609" s="1729"/>
      <c r="DV609" s="1729"/>
      <c r="DX609" s="1418" t="str">
        <f t="shared" si="17"/>
        <v xml:space="preserve"> </v>
      </c>
      <c r="DY609" s="1865"/>
      <c r="DZ609" s="1865"/>
      <c r="EA609" s="1865"/>
      <c r="EB609" s="1419"/>
      <c r="EC609" s="1418" t="str">
        <f t="shared" si="18"/>
        <v xml:space="preserve"> </v>
      </c>
      <c r="ED609" s="1865"/>
      <c r="EE609" s="1865"/>
      <c r="EF609" s="1865"/>
      <c r="EG609" s="1419"/>
      <c r="EH609" s="1418" t="str">
        <f t="shared" si="19"/>
        <v xml:space="preserve"> </v>
      </c>
      <c r="EI609" s="1865"/>
      <c r="EJ609" s="1865"/>
      <c r="EK609" s="1865"/>
      <c r="EL609" s="1419"/>
      <c r="EM609" s="1418" t="str">
        <f t="shared" si="20"/>
        <v xml:space="preserve"> </v>
      </c>
      <c r="EN609" s="1865"/>
      <c r="EO609" s="1865"/>
      <c r="EP609" s="1865"/>
      <c r="EQ609" s="1419"/>
      <c r="ER609" s="1418" t="str">
        <f t="shared" si="21"/>
        <v xml:space="preserve"> </v>
      </c>
      <c r="ES609" s="1865"/>
      <c r="ET609" s="1865"/>
      <c r="EU609" s="1865"/>
      <c r="EV609" s="1419"/>
      <c r="EW609" s="1418" t="str">
        <f t="shared" si="22"/>
        <v xml:space="preserve"> </v>
      </c>
      <c r="EX609" s="1865"/>
      <c r="EY609" s="1865"/>
      <c r="EZ609" s="1865"/>
      <c r="FA609" s="1419"/>
    </row>
    <row r="610" spans="1:157" ht="12.95" customHeight="1">
      <c r="B610" t="s">
        <v>18</v>
      </c>
      <c r="H610" s="1392"/>
      <c r="I610" s="1392"/>
      <c r="J610" s="1392"/>
      <c r="K610" s="1392"/>
      <c r="L610" s="1392"/>
      <c r="M610" s="1392"/>
      <c r="N610" s="1392"/>
      <c r="O610" s="1392"/>
      <c r="P610" s="1392"/>
      <c r="Q610" s="1392"/>
      <c r="R610" s="1392"/>
      <c r="U610" t="s">
        <v>18</v>
      </c>
      <c r="AA610" s="1392"/>
      <c r="AB610" s="1392"/>
      <c r="AC610" s="1392"/>
      <c r="AD610" s="1392"/>
      <c r="AE610" s="1392"/>
      <c r="AF610" s="1392"/>
      <c r="AG610" s="1392"/>
      <c r="AH610" s="1392"/>
      <c r="AI610" s="1392"/>
      <c r="AJ610" s="1392"/>
      <c r="AK610" s="1392"/>
      <c r="AZ610" s="3"/>
      <c r="BA610" s="3"/>
      <c r="BB610" s="3"/>
      <c r="BC610" s="3"/>
      <c r="BD610" s="3"/>
      <c r="BE610" s="1418">
        <f t="shared" si="1"/>
        <v>0</v>
      </c>
      <c r="BF610" s="1419"/>
      <c r="BG610" s="1476">
        <f t="shared" si="2"/>
        <v>0</v>
      </c>
      <c r="BH610" s="1477"/>
      <c r="BI610" s="1418">
        <f t="shared" si="3"/>
        <v>0</v>
      </c>
      <c r="BJ610" s="1419"/>
      <c r="BK610" s="1476">
        <f t="shared" si="4"/>
        <v>0</v>
      </c>
      <c r="BL610" s="1477"/>
      <c r="BM610" s="3"/>
      <c r="BN610" s="1478">
        <f t="shared" si="5"/>
        <v>0</v>
      </c>
      <c r="BO610" s="1479"/>
      <c r="BP610" s="1479"/>
      <c r="BQ610" s="1479"/>
      <c r="BR610" s="1480"/>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729">
        <f t="shared" si="11"/>
        <v>0</v>
      </c>
      <c r="CT610" s="1729"/>
      <c r="CU610" s="1729"/>
      <c r="CV610" s="1729"/>
      <c r="CW610" s="1729"/>
      <c r="CX610" s="1729">
        <f t="shared" si="12"/>
        <v>0</v>
      </c>
      <c r="CY610" s="1729"/>
      <c r="CZ610" s="1729"/>
      <c r="DA610" s="1729"/>
      <c r="DB610" s="1729"/>
      <c r="DC610" s="1729">
        <f t="shared" si="13"/>
        <v>0</v>
      </c>
      <c r="DD610" s="1729"/>
      <c r="DE610" s="1729"/>
      <c r="DF610" s="1729"/>
      <c r="DG610" s="1729"/>
      <c r="DH610" s="1729">
        <f t="shared" si="14"/>
        <v>0</v>
      </c>
      <c r="DI610" s="1729"/>
      <c r="DJ610" s="1729"/>
      <c r="DK610" s="1729"/>
      <c r="DL610" s="1729"/>
      <c r="DM610" s="1729">
        <f t="shared" si="15"/>
        <v>0</v>
      </c>
      <c r="DN610" s="1729"/>
      <c r="DO610" s="1729"/>
      <c r="DP610" s="1729"/>
      <c r="DQ610" s="1729"/>
      <c r="DR610" s="1729">
        <f t="shared" si="16"/>
        <v>0</v>
      </c>
      <c r="DS610" s="1729"/>
      <c r="DT610" s="1729"/>
      <c r="DU610" s="1729"/>
      <c r="DV610" s="1729"/>
      <c r="DX610" s="1418" t="str">
        <f t="shared" si="17"/>
        <v xml:space="preserve"> </v>
      </c>
      <c r="DY610" s="1865"/>
      <c r="DZ610" s="1865"/>
      <c r="EA610" s="1865"/>
      <c r="EB610" s="1419"/>
      <c r="EC610" s="1418" t="str">
        <f t="shared" si="18"/>
        <v xml:space="preserve"> </v>
      </c>
      <c r="ED610" s="1865"/>
      <c r="EE610" s="1865"/>
      <c r="EF610" s="1865"/>
      <c r="EG610" s="1419"/>
      <c r="EH610" s="1418" t="str">
        <f t="shared" si="19"/>
        <v xml:space="preserve"> </v>
      </c>
      <c r="EI610" s="1865"/>
      <c r="EJ610" s="1865"/>
      <c r="EK610" s="1865"/>
      <c r="EL610" s="1419"/>
      <c r="EM610" s="1418" t="str">
        <f t="shared" si="20"/>
        <v xml:space="preserve"> </v>
      </c>
      <c r="EN610" s="1865"/>
      <c r="EO610" s="1865"/>
      <c r="EP610" s="1865"/>
      <c r="EQ610" s="1419"/>
      <c r="ER610" s="1418" t="str">
        <f t="shared" si="21"/>
        <v xml:space="preserve"> </v>
      </c>
      <c r="ES610" s="1865"/>
      <c r="ET610" s="1865"/>
      <c r="EU610" s="1865"/>
      <c r="EV610" s="1419"/>
      <c r="EW610" s="1418" t="str">
        <f t="shared" si="22"/>
        <v xml:space="preserve"> </v>
      </c>
      <c r="EX610" s="1865"/>
      <c r="EY610" s="1865"/>
      <c r="EZ610" s="1865"/>
      <c r="FA610" s="1419"/>
    </row>
    <row r="611" spans="1:157" ht="12.95" customHeight="1">
      <c r="B611" t="s">
        <v>20</v>
      </c>
      <c r="N611" s="1376" t="s">
        <v>679</v>
      </c>
      <c r="O611" s="1376"/>
      <c r="U611" t="s">
        <v>20</v>
      </c>
      <c r="AG611" s="1376" t="s">
        <v>679</v>
      </c>
      <c r="AH611" s="1376"/>
      <c r="AZ611" s="3"/>
      <c r="BA611" s="3"/>
      <c r="BB611" s="3"/>
      <c r="BC611" s="3"/>
      <c r="BD611" s="3"/>
      <c r="BE611" s="1418">
        <f t="shared" si="1"/>
        <v>0</v>
      </c>
      <c r="BF611" s="1419"/>
      <c r="BG611" s="1476">
        <f t="shared" si="2"/>
        <v>0</v>
      </c>
      <c r="BH611" s="1477"/>
      <c r="BI611" s="1418">
        <f t="shared" si="3"/>
        <v>0</v>
      </c>
      <c r="BJ611" s="1419"/>
      <c r="BK611" s="1476">
        <f t="shared" si="4"/>
        <v>0</v>
      </c>
      <c r="BL611" s="1477"/>
      <c r="BM611" s="3"/>
      <c r="BN611" s="1478">
        <f t="shared" si="5"/>
        <v>0</v>
      </c>
      <c r="BO611" s="1479"/>
      <c r="BP611" s="1479"/>
      <c r="BQ611" s="1479"/>
      <c r="BR611" s="1480"/>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729">
        <f t="shared" si="11"/>
        <v>0</v>
      </c>
      <c r="CT611" s="1729"/>
      <c r="CU611" s="1729"/>
      <c r="CV611" s="1729"/>
      <c r="CW611" s="1729"/>
      <c r="CX611" s="1729">
        <f t="shared" si="12"/>
        <v>0</v>
      </c>
      <c r="CY611" s="1729"/>
      <c r="CZ611" s="1729"/>
      <c r="DA611" s="1729"/>
      <c r="DB611" s="1729"/>
      <c r="DC611" s="1729">
        <f t="shared" si="13"/>
        <v>0</v>
      </c>
      <c r="DD611" s="1729"/>
      <c r="DE611" s="1729"/>
      <c r="DF611" s="1729"/>
      <c r="DG611" s="1729"/>
      <c r="DH611" s="1729">
        <f t="shared" si="14"/>
        <v>0</v>
      </c>
      <c r="DI611" s="1729"/>
      <c r="DJ611" s="1729"/>
      <c r="DK611" s="1729"/>
      <c r="DL611" s="1729"/>
      <c r="DM611" s="1729">
        <f t="shared" si="15"/>
        <v>0</v>
      </c>
      <c r="DN611" s="1729"/>
      <c r="DO611" s="1729"/>
      <c r="DP611" s="1729"/>
      <c r="DQ611" s="1729"/>
      <c r="DR611" s="1729">
        <f t="shared" si="16"/>
        <v>0</v>
      </c>
      <c r="DS611" s="1729"/>
      <c r="DT611" s="1729"/>
      <c r="DU611" s="1729"/>
      <c r="DV611" s="1729"/>
      <c r="DX611" s="1418" t="str">
        <f t="shared" si="17"/>
        <v xml:space="preserve"> </v>
      </c>
      <c r="DY611" s="1865"/>
      <c r="DZ611" s="1865"/>
      <c r="EA611" s="1865"/>
      <c r="EB611" s="1419"/>
      <c r="EC611" s="1418" t="str">
        <f t="shared" si="18"/>
        <v xml:space="preserve"> </v>
      </c>
      <c r="ED611" s="1865"/>
      <c r="EE611" s="1865"/>
      <c r="EF611" s="1865"/>
      <c r="EG611" s="1419"/>
      <c r="EH611" s="1418" t="str">
        <f t="shared" si="19"/>
        <v xml:space="preserve"> </v>
      </c>
      <c r="EI611" s="1865"/>
      <c r="EJ611" s="1865"/>
      <c r="EK611" s="1865"/>
      <c r="EL611" s="1419"/>
      <c r="EM611" s="1418" t="str">
        <f t="shared" si="20"/>
        <v xml:space="preserve"> </v>
      </c>
      <c r="EN611" s="1865"/>
      <c r="EO611" s="1865"/>
      <c r="EP611" s="1865"/>
      <c r="EQ611" s="1419"/>
      <c r="ER611" s="1418" t="str">
        <f t="shared" si="21"/>
        <v xml:space="preserve"> </v>
      </c>
      <c r="ES611" s="1865"/>
      <c r="ET611" s="1865"/>
      <c r="EU611" s="1865"/>
      <c r="EV611" s="1419"/>
      <c r="EW611" s="1418" t="str">
        <f t="shared" si="22"/>
        <v xml:space="preserve"> </v>
      </c>
      <c r="EX611" s="1865"/>
      <c r="EY611" s="1865"/>
      <c r="EZ611" s="1865"/>
      <c r="FA611" s="1419"/>
    </row>
    <row r="612" spans="1:157" ht="12.95" customHeight="1">
      <c r="AZ612" s="3"/>
      <c r="BA612" s="3"/>
      <c r="BB612" s="3"/>
      <c r="BC612" s="3"/>
      <c r="BD612" s="3"/>
      <c r="BE612" s="1418">
        <f t="shared" si="1"/>
        <v>0</v>
      </c>
      <c r="BF612" s="1419"/>
      <c r="BG612" s="1476">
        <f t="shared" si="2"/>
        <v>0</v>
      </c>
      <c r="BH612" s="1477"/>
      <c r="BI612" s="1418">
        <f t="shared" si="3"/>
        <v>0</v>
      </c>
      <c r="BJ612" s="1419"/>
      <c r="BK612" s="1476">
        <f t="shared" si="4"/>
        <v>0</v>
      </c>
      <c r="BL612" s="1477"/>
      <c r="BM612" s="3"/>
      <c r="BN612" s="1478">
        <f t="shared" si="5"/>
        <v>0</v>
      </c>
      <c r="BO612" s="1479"/>
      <c r="BP612" s="1479"/>
      <c r="BQ612" s="1479"/>
      <c r="BR612" s="1480"/>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729">
        <f t="shared" si="11"/>
        <v>0</v>
      </c>
      <c r="CT612" s="1729"/>
      <c r="CU612" s="1729"/>
      <c r="CV612" s="1729"/>
      <c r="CW612" s="1729"/>
      <c r="CX612" s="1729">
        <f t="shared" si="12"/>
        <v>0</v>
      </c>
      <c r="CY612" s="1729"/>
      <c r="CZ612" s="1729"/>
      <c r="DA612" s="1729"/>
      <c r="DB612" s="1729"/>
      <c r="DC612" s="1729">
        <f t="shared" si="13"/>
        <v>0</v>
      </c>
      <c r="DD612" s="1729"/>
      <c r="DE612" s="1729"/>
      <c r="DF612" s="1729"/>
      <c r="DG612" s="1729"/>
      <c r="DH612" s="1729">
        <f t="shared" si="14"/>
        <v>0</v>
      </c>
      <c r="DI612" s="1729"/>
      <c r="DJ612" s="1729"/>
      <c r="DK612" s="1729"/>
      <c r="DL612" s="1729"/>
      <c r="DM612" s="1729">
        <f t="shared" si="15"/>
        <v>0</v>
      </c>
      <c r="DN612" s="1729"/>
      <c r="DO612" s="1729"/>
      <c r="DP612" s="1729"/>
      <c r="DQ612" s="1729"/>
      <c r="DR612" s="1729">
        <f t="shared" si="16"/>
        <v>0</v>
      </c>
      <c r="DS612" s="1729"/>
      <c r="DT612" s="1729"/>
      <c r="DU612" s="1729"/>
      <c r="DV612" s="1729"/>
      <c r="DX612" s="1418" t="str">
        <f t="shared" si="17"/>
        <v xml:space="preserve"> </v>
      </c>
      <c r="DY612" s="1865"/>
      <c r="DZ612" s="1865"/>
      <c r="EA612" s="1865"/>
      <c r="EB612" s="1419"/>
      <c r="EC612" s="1418" t="str">
        <f t="shared" si="18"/>
        <v xml:space="preserve"> </v>
      </c>
      <c r="ED612" s="1865"/>
      <c r="EE612" s="1865"/>
      <c r="EF612" s="1865"/>
      <c r="EG612" s="1419"/>
      <c r="EH612" s="1418" t="str">
        <f t="shared" si="19"/>
        <v xml:space="preserve"> </v>
      </c>
      <c r="EI612" s="1865"/>
      <c r="EJ612" s="1865"/>
      <c r="EK612" s="1865"/>
      <c r="EL612" s="1419"/>
      <c r="EM612" s="1418" t="str">
        <f t="shared" si="20"/>
        <v xml:space="preserve"> </v>
      </c>
      <c r="EN612" s="1865"/>
      <c r="EO612" s="1865"/>
      <c r="EP612" s="1865"/>
      <c r="EQ612" s="1419"/>
      <c r="ER612" s="1418" t="str">
        <f t="shared" si="21"/>
        <v xml:space="preserve"> </v>
      </c>
      <c r="ES612" s="1865"/>
      <c r="ET612" s="1865"/>
      <c r="EU612" s="1865"/>
      <c r="EV612" s="1419"/>
      <c r="EW612" s="1418" t="str">
        <f t="shared" si="22"/>
        <v xml:space="preserve"> </v>
      </c>
      <c r="EX612" s="1865"/>
      <c r="EY612" s="1865"/>
      <c r="EZ612" s="1865"/>
      <c r="FA612" s="1419"/>
    </row>
    <row r="613" spans="1:157" ht="12.95" customHeight="1">
      <c r="A613" s="1273" t="s">
        <v>554</v>
      </c>
      <c r="B613" s="1273"/>
      <c r="C613" s="1273"/>
      <c r="D613" s="1273"/>
      <c r="E613" s="1273"/>
      <c r="F613" s="1273"/>
      <c r="G613" s="1273"/>
      <c r="H613" s="1273"/>
      <c r="I613" s="1273"/>
      <c r="J613" s="1273"/>
      <c r="K613" s="1273"/>
      <c r="L613" s="1273"/>
      <c r="M613" s="1273"/>
      <c r="N613" s="1273"/>
      <c r="O613" s="1273"/>
      <c r="P613" s="1273"/>
      <c r="Q613" s="1273"/>
      <c r="R613" s="1273"/>
      <c r="S613" s="1273"/>
      <c r="T613" s="1273"/>
      <c r="U613" s="1273"/>
      <c r="V613" s="1273"/>
      <c r="W613" s="1273"/>
      <c r="X613" s="1273"/>
      <c r="Y613" s="1273"/>
      <c r="Z613" s="1273"/>
      <c r="AA613" s="1273"/>
      <c r="AB613" s="1273"/>
      <c r="AC613" s="1273"/>
      <c r="AD613" s="1273"/>
      <c r="AE613" s="1273"/>
      <c r="AF613" s="1273"/>
      <c r="AG613" s="1273"/>
      <c r="AH613" s="1273"/>
      <c r="AI613" s="1273"/>
      <c r="AJ613" s="1273"/>
      <c r="AK613" s="1273"/>
      <c r="AL613" s="1273"/>
      <c r="AM613" s="1273"/>
      <c r="AN613" s="1273"/>
      <c r="AO613" s="1273"/>
      <c r="AP613" s="1273"/>
      <c r="AQ613" s="1273"/>
      <c r="AR613" s="1273"/>
      <c r="AS613" s="1273"/>
      <c r="AT613" s="936"/>
      <c r="AU613" s="936"/>
      <c r="AV613" s="936"/>
      <c r="AW613" s="936"/>
      <c r="AX613" s="936"/>
      <c r="AY613" s="936"/>
      <c r="AZ613" s="3"/>
      <c r="BA613" s="3"/>
      <c r="BB613" s="3"/>
      <c r="BC613" s="3"/>
      <c r="BD613" s="3"/>
      <c r="BE613" s="1418">
        <f t="shared" si="1"/>
        <v>0</v>
      </c>
      <c r="BF613" s="1419"/>
      <c r="BG613" s="1476">
        <f t="shared" si="2"/>
        <v>0</v>
      </c>
      <c r="BH613" s="1477"/>
      <c r="BI613" s="1418">
        <f t="shared" si="3"/>
        <v>0</v>
      </c>
      <c r="BJ613" s="1419"/>
      <c r="BK613" s="1476">
        <f t="shared" si="4"/>
        <v>0</v>
      </c>
      <c r="BL613" s="1477"/>
      <c r="BM613" s="3"/>
      <c r="BN613" s="1478">
        <f t="shared" si="5"/>
        <v>0</v>
      </c>
      <c r="BO613" s="1479"/>
      <c r="BP613" s="1479"/>
      <c r="BQ613" s="1479"/>
      <c r="BR613" s="1480"/>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729">
        <f t="shared" si="11"/>
        <v>0</v>
      </c>
      <c r="CT613" s="1729"/>
      <c r="CU613" s="1729"/>
      <c r="CV613" s="1729"/>
      <c r="CW613" s="1729"/>
      <c r="CX613" s="1729">
        <f t="shared" si="12"/>
        <v>0</v>
      </c>
      <c r="CY613" s="1729"/>
      <c r="CZ613" s="1729"/>
      <c r="DA613" s="1729"/>
      <c r="DB613" s="1729"/>
      <c r="DC613" s="1729">
        <f t="shared" si="13"/>
        <v>0</v>
      </c>
      <c r="DD613" s="1729"/>
      <c r="DE613" s="1729"/>
      <c r="DF613" s="1729"/>
      <c r="DG613" s="1729"/>
      <c r="DH613" s="1729">
        <f t="shared" si="14"/>
        <v>0</v>
      </c>
      <c r="DI613" s="1729"/>
      <c r="DJ613" s="1729"/>
      <c r="DK613" s="1729"/>
      <c r="DL613" s="1729"/>
      <c r="DM613" s="1729">
        <f t="shared" si="15"/>
        <v>0</v>
      </c>
      <c r="DN613" s="1729"/>
      <c r="DO613" s="1729"/>
      <c r="DP613" s="1729"/>
      <c r="DQ613" s="1729"/>
      <c r="DR613" s="1729">
        <f t="shared" si="16"/>
        <v>0</v>
      </c>
      <c r="DS613" s="1729"/>
      <c r="DT613" s="1729"/>
      <c r="DU613" s="1729"/>
      <c r="DV613" s="1729"/>
      <c r="DX613" s="1418" t="str">
        <f t="shared" si="17"/>
        <v xml:space="preserve"> </v>
      </c>
      <c r="DY613" s="1865"/>
      <c r="DZ613" s="1865"/>
      <c r="EA613" s="1865"/>
      <c r="EB613" s="1419"/>
      <c r="EC613" s="1418" t="str">
        <f t="shared" si="18"/>
        <v xml:space="preserve"> </v>
      </c>
      <c r="ED613" s="1865"/>
      <c r="EE613" s="1865"/>
      <c r="EF613" s="1865"/>
      <c r="EG613" s="1419"/>
      <c r="EH613" s="1418" t="str">
        <f t="shared" si="19"/>
        <v xml:space="preserve"> </v>
      </c>
      <c r="EI613" s="1865"/>
      <c r="EJ613" s="1865"/>
      <c r="EK613" s="1865"/>
      <c r="EL613" s="1419"/>
      <c r="EM613" s="1418" t="str">
        <f t="shared" si="20"/>
        <v xml:space="preserve"> </v>
      </c>
      <c r="EN613" s="1865"/>
      <c r="EO613" s="1865"/>
      <c r="EP613" s="1865"/>
      <c r="EQ613" s="1419"/>
      <c r="ER613" s="1418" t="str">
        <f t="shared" si="21"/>
        <v xml:space="preserve"> </v>
      </c>
      <c r="ES613" s="1865"/>
      <c r="ET613" s="1865"/>
      <c r="EU613" s="1865"/>
      <c r="EV613" s="1419"/>
      <c r="EW613" s="1418" t="str">
        <f t="shared" si="22"/>
        <v xml:space="preserve"> </v>
      </c>
      <c r="EX613" s="1865"/>
      <c r="EY613" s="1865"/>
      <c r="EZ613" s="1865"/>
      <c r="FA613" s="1419"/>
    </row>
    <row r="614" spans="1:157" ht="12.95" customHeight="1">
      <c r="A614" s="1273"/>
      <c r="B614" s="1273"/>
      <c r="C614" s="1273"/>
      <c r="D614" s="1273"/>
      <c r="E614" s="1273"/>
      <c r="F614" s="1273"/>
      <c r="G614" s="1273"/>
      <c r="H614" s="1273"/>
      <c r="I614" s="1273"/>
      <c r="J614" s="1273"/>
      <c r="K614" s="1273"/>
      <c r="L614" s="1273"/>
      <c r="M614" s="1273"/>
      <c r="N614" s="1273"/>
      <c r="O614" s="1273"/>
      <c r="P614" s="1273"/>
      <c r="Q614" s="1273"/>
      <c r="R614" s="1273"/>
      <c r="S614" s="1273"/>
      <c r="T614" s="1273"/>
      <c r="U614" s="1273"/>
      <c r="V614" s="1273"/>
      <c r="W614" s="1273"/>
      <c r="X614" s="1273"/>
      <c r="Y614" s="1273"/>
      <c r="Z614" s="1273"/>
      <c r="AA614" s="1273"/>
      <c r="AB614" s="1273"/>
      <c r="AC614" s="1273"/>
      <c r="AD614" s="1273"/>
      <c r="AE614" s="1273"/>
      <c r="AF614" s="1273"/>
      <c r="AG614" s="1273"/>
      <c r="AH614" s="1273"/>
      <c r="AI614" s="1273"/>
      <c r="AJ614" s="1273"/>
      <c r="AK614" s="1273"/>
      <c r="AL614" s="1273"/>
      <c r="AM614" s="1273"/>
      <c r="AN614" s="1273"/>
      <c r="AO614" s="1273"/>
      <c r="AP614" s="1273"/>
      <c r="AQ614" s="1273"/>
      <c r="AR614" s="1273"/>
      <c r="AS614" s="1273"/>
      <c r="AT614" s="936"/>
      <c r="AU614" s="936"/>
      <c r="AV614" s="936"/>
      <c r="AW614" s="936"/>
      <c r="AX614" s="936"/>
      <c r="AY614" s="936"/>
      <c r="AZ614" s="3"/>
      <c r="BA614" s="3"/>
      <c r="BB614" s="3"/>
      <c r="BC614" s="3"/>
      <c r="BD614" s="3"/>
      <c r="BE614" s="1418">
        <f t="shared" si="1"/>
        <v>0</v>
      </c>
      <c r="BF614" s="1419"/>
      <c r="BG614" s="1476">
        <f t="shared" si="2"/>
        <v>0</v>
      </c>
      <c r="BH614" s="1477"/>
      <c r="BI614" s="1418">
        <f t="shared" si="3"/>
        <v>0</v>
      </c>
      <c r="BJ614" s="1419"/>
      <c r="BK614" s="1476">
        <f t="shared" si="4"/>
        <v>0</v>
      </c>
      <c r="BL614" s="1477"/>
      <c r="BM614" s="3"/>
      <c r="BN614" s="1478">
        <f t="shared" si="5"/>
        <v>0</v>
      </c>
      <c r="BO614" s="1479"/>
      <c r="BP614" s="1479"/>
      <c r="BQ614" s="1479"/>
      <c r="BR614" s="1480"/>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729">
        <f t="shared" si="11"/>
        <v>0</v>
      </c>
      <c r="CT614" s="1729"/>
      <c r="CU614" s="1729"/>
      <c r="CV614" s="1729"/>
      <c r="CW614" s="1729"/>
      <c r="CX614" s="1729">
        <f t="shared" si="12"/>
        <v>0</v>
      </c>
      <c r="CY614" s="1729"/>
      <c r="CZ614" s="1729"/>
      <c r="DA614" s="1729"/>
      <c r="DB614" s="1729"/>
      <c r="DC614" s="1729">
        <f t="shared" si="13"/>
        <v>0</v>
      </c>
      <c r="DD614" s="1729"/>
      <c r="DE614" s="1729"/>
      <c r="DF614" s="1729"/>
      <c r="DG614" s="1729"/>
      <c r="DH614" s="1729">
        <f t="shared" si="14"/>
        <v>0</v>
      </c>
      <c r="DI614" s="1729"/>
      <c r="DJ614" s="1729"/>
      <c r="DK614" s="1729"/>
      <c r="DL614" s="1729"/>
      <c r="DM614" s="1729">
        <f t="shared" si="15"/>
        <v>0</v>
      </c>
      <c r="DN614" s="1729"/>
      <c r="DO614" s="1729"/>
      <c r="DP614" s="1729"/>
      <c r="DQ614" s="1729"/>
      <c r="DR614" s="1729">
        <f t="shared" si="16"/>
        <v>0</v>
      </c>
      <c r="DS614" s="1729"/>
      <c r="DT614" s="1729"/>
      <c r="DU614" s="1729"/>
      <c r="DV614" s="1729"/>
      <c r="DX614" s="1418" t="str">
        <f t="shared" si="17"/>
        <v xml:space="preserve"> </v>
      </c>
      <c r="DY614" s="1865"/>
      <c r="DZ614" s="1865"/>
      <c r="EA614" s="1865"/>
      <c r="EB614" s="1419"/>
      <c r="EC614" s="1418" t="str">
        <f t="shared" si="18"/>
        <v xml:space="preserve"> </v>
      </c>
      <c r="ED614" s="1865"/>
      <c r="EE614" s="1865"/>
      <c r="EF614" s="1865"/>
      <c r="EG614" s="1419"/>
      <c r="EH614" s="1418" t="str">
        <f t="shared" si="19"/>
        <v xml:space="preserve"> </v>
      </c>
      <c r="EI614" s="1865"/>
      <c r="EJ614" s="1865"/>
      <c r="EK614" s="1865"/>
      <c r="EL614" s="1419"/>
      <c r="EM614" s="1418" t="str">
        <f t="shared" si="20"/>
        <v xml:space="preserve"> </v>
      </c>
      <c r="EN614" s="1865"/>
      <c r="EO614" s="1865"/>
      <c r="EP614" s="1865"/>
      <c r="EQ614" s="1419"/>
      <c r="ER614" s="1418" t="str">
        <f t="shared" si="21"/>
        <v xml:space="preserve"> </v>
      </c>
      <c r="ES614" s="1865"/>
      <c r="ET614" s="1865"/>
      <c r="EU614" s="1865"/>
      <c r="EV614" s="1419"/>
      <c r="EW614" s="1418" t="str">
        <f t="shared" si="22"/>
        <v xml:space="preserve"> </v>
      </c>
      <c r="EX614" s="1865"/>
      <c r="EY614" s="1865"/>
      <c r="EZ614" s="1865"/>
      <c r="FA614" s="1419"/>
    </row>
    <row r="615" spans="1:157" ht="12.95" customHeight="1">
      <c r="AZ615" s="3"/>
      <c r="BA615" s="3"/>
      <c r="BB615" s="3"/>
      <c r="BC615" s="3"/>
      <c r="BD615" s="3"/>
      <c r="BE615" s="1418">
        <f t="shared" si="1"/>
        <v>0</v>
      </c>
      <c r="BF615" s="1419"/>
      <c r="BG615" s="1476">
        <f t="shared" si="2"/>
        <v>0</v>
      </c>
      <c r="BH615" s="1477"/>
      <c r="BI615" s="1418">
        <f t="shared" si="3"/>
        <v>0</v>
      </c>
      <c r="BJ615" s="1419"/>
      <c r="BK615" s="1476">
        <f t="shared" si="4"/>
        <v>0</v>
      </c>
      <c r="BL615" s="1477"/>
      <c r="BM615" s="3"/>
      <c r="BN615" s="1478">
        <f t="shared" si="5"/>
        <v>0</v>
      </c>
      <c r="BO615" s="1479"/>
      <c r="BP615" s="1479"/>
      <c r="BQ615" s="1479"/>
      <c r="BR615" s="1480"/>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729">
        <f t="shared" si="11"/>
        <v>0</v>
      </c>
      <c r="CT615" s="1729"/>
      <c r="CU615" s="1729"/>
      <c r="CV615" s="1729"/>
      <c r="CW615" s="1729"/>
      <c r="CX615" s="1729">
        <f t="shared" si="12"/>
        <v>0</v>
      </c>
      <c r="CY615" s="1729"/>
      <c r="CZ615" s="1729"/>
      <c r="DA615" s="1729"/>
      <c r="DB615" s="1729"/>
      <c r="DC615" s="1729">
        <f t="shared" si="13"/>
        <v>0</v>
      </c>
      <c r="DD615" s="1729"/>
      <c r="DE615" s="1729"/>
      <c r="DF615" s="1729"/>
      <c r="DG615" s="1729"/>
      <c r="DH615" s="1729">
        <f t="shared" si="14"/>
        <v>0</v>
      </c>
      <c r="DI615" s="1729"/>
      <c r="DJ615" s="1729"/>
      <c r="DK615" s="1729"/>
      <c r="DL615" s="1729"/>
      <c r="DM615" s="1729">
        <f t="shared" si="15"/>
        <v>0</v>
      </c>
      <c r="DN615" s="1729"/>
      <c r="DO615" s="1729"/>
      <c r="DP615" s="1729"/>
      <c r="DQ615" s="1729"/>
      <c r="DR615" s="1729">
        <f t="shared" si="16"/>
        <v>0</v>
      </c>
      <c r="DS615" s="1729"/>
      <c r="DT615" s="1729"/>
      <c r="DU615" s="1729"/>
      <c r="DV615" s="1729"/>
      <c r="DX615" s="1418" t="str">
        <f t="shared" si="17"/>
        <v xml:space="preserve"> </v>
      </c>
      <c r="DY615" s="1865"/>
      <c r="DZ615" s="1865"/>
      <c r="EA615" s="1865"/>
      <c r="EB615" s="1419"/>
      <c r="EC615" s="1418" t="str">
        <f t="shared" si="18"/>
        <v xml:space="preserve"> </v>
      </c>
      <c r="ED615" s="1865"/>
      <c r="EE615" s="1865"/>
      <c r="EF615" s="1865"/>
      <c r="EG615" s="1419"/>
      <c r="EH615" s="1418" t="str">
        <f t="shared" si="19"/>
        <v xml:space="preserve"> </v>
      </c>
      <c r="EI615" s="1865"/>
      <c r="EJ615" s="1865"/>
      <c r="EK615" s="1865"/>
      <c r="EL615" s="1419"/>
      <c r="EM615" s="1418" t="str">
        <f t="shared" si="20"/>
        <v xml:space="preserve"> </v>
      </c>
      <c r="EN615" s="1865"/>
      <c r="EO615" s="1865"/>
      <c r="EP615" s="1865"/>
      <c r="EQ615" s="1419"/>
      <c r="ER615" s="1418" t="str">
        <f t="shared" si="21"/>
        <v xml:space="preserve"> </v>
      </c>
      <c r="ES615" s="1865"/>
      <c r="ET615" s="1865"/>
      <c r="EU615" s="1865"/>
      <c r="EV615" s="1419"/>
      <c r="EW615" s="1418" t="str">
        <f t="shared" si="22"/>
        <v xml:space="preserve"> </v>
      </c>
      <c r="EX615" s="1865"/>
      <c r="EY615" s="1865"/>
      <c r="EZ615" s="1865"/>
      <c r="FA615" s="1419"/>
    </row>
    <row r="616" spans="1:157" ht="12.95" customHeight="1">
      <c r="A616" s="2" t="s">
        <v>321</v>
      </c>
      <c r="B616" s="2"/>
      <c r="C616" s="2" t="s">
        <v>21</v>
      </c>
      <c r="AZ616" s="3"/>
      <c r="BA616" s="3"/>
      <c r="BB616" s="3"/>
      <c r="BC616" s="3"/>
      <c r="BD616" s="3"/>
      <c r="BE616" s="1418">
        <f t="shared" si="1"/>
        <v>0</v>
      </c>
      <c r="BF616" s="1419"/>
      <c r="BG616" s="1476">
        <f t="shared" si="2"/>
        <v>0</v>
      </c>
      <c r="BH616" s="1477"/>
      <c r="BI616" s="1418">
        <f t="shared" si="3"/>
        <v>0</v>
      </c>
      <c r="BJ616" s="1419"/>
      <c r="BK616" s="1476">
        <f t="shared" si="4"/>
        <v>0</v>
      </c>
      <c r="BL616" s="1477"/>
      <c r="BM616" s="3"/>
      <c r="BN616" s="1478">
        <f t="shared" si="5"/>
        <v>0</v>
      </c>
      <c r="BO616" s="1479"/>
      <c r="BP616" s="1479"/>
      <c r="BQ616" s="1479"/>
      <c r="BR616" s="1480"/>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729">
        <f t="shared" si="11"/>
        <v>0</v>
      </c>
      <c r="CT616" s="1729"/>
      <c r="CU616" s="1729"/>
      <c r="CV616" s="1729"/>
      <c r="CW616" s="1729"/>
      <c r="CX616" s="1729">
        <f t="shared" si="12"/>
        <v>0</v>
      </c>
      <c r="CY616" s="1729"/>
      <c r="CZ616" s="1729"/>
      <c r="DA616" s="1729"/>
      <c r="DB616" s="1729"/>
      <c r="DC616" s="1729">
        <f t="shared" si="13"/>
        <v>0</v>
      </c>
      <c r="DD616" s="1729"/>
      <c r="DE616" s="1729"/>
      <c r="DF616" s="1729"/>
      <c r="DG616" s="1729"/>
      <c r="DH616" s="1729">
        <f t="shared" si="14"/>
        <v>0</v>
      </c>
      <c r="DI616" s="1729"/>
      <c r="DJ616" s="1729"/>
      <c r="DK616" s="1729"/>
      <c r="DL616" s="1729"/>
      <c r="DM616" s="1729">
        <f t="shared" si="15"/>
        <v>0</v>
      </c>
      <c r="DN616" s="1729"/>
      <c r="DO616" s="1729"/>
      <c r="DP616" s="1729"/>
      <c r="DQ616" s="1729"/>
      <c r="DR616" s="1729">
        <f t="shared" si="16"/>
        <v>0</v>
      </c>
      <c r="DS616" s="1729"/>
      <c r="DT616" s="1729"/>
      <c r="DU616" s="1729"/>
      <c r="DV616" s="1729"/>
      <c r="DX616" s="1418" t="str">
        <f t="shared" si="17"/>
        <v xml:space="preserve"> </v>
      </c>
      <c r="DY616" s="1865"/>
      <c r="DZ616" s="1865"/>
      <c r="EA616" s="1865"/>
      <c r="EB616" s="1419"/>
      <c r="EC616" s="1418" t="str">
        <f t="shared" si="18"/>
        <v xml:space="preserve"> </v>
      </c>
      <c r="ED616" s="1865"/>
      <c r="EE616" s="1865"/>
      <c r="EF616" s="1865"/>
      <c r="EG616" s="1419"/>
      <c r="EH616" s="1418" t="str">
        <f t="shared" si="19"/>
        <v xml:space="preserve"> </v>
      </c>
      <c r="EI616" s="1865"/>
      <c r="EJ616" s="1865"/>
      <c r="EK616" s="1865"/>
      <c r="EL616" s="1419"/>
      <c r="EM616" s="1418" t="str">
        <f t="shared" si="20"/>
        <v xml:space="preserve"> </v>
      </c>
      <c r="EN616" s="1865"/>
      <c r="EO616" s="1865"/>
      <c r="EP616" s="1865"/>
      <c r="EQ616" s="1419"/>
      <c r="ER616" s="1418" t="str">
        <f t="shared" si="21"/>
        <v xml:space="preserve"> </v>
      </c>
      <c r="ES616" s="1865"/>
      <c r="ET616" s="1865"/>
      <c r="EU616" s="1865"/>
      <c r="EV616" s="1419"/>
      <c r="EW616" s="1418" t="str">
        <f t="shared" si="22"/>
        <v xml:space="preserve"> </v>
      </c>
      <c r="EX616" s="1865"/>
      <c r="EY616" s="1865"/>
      <c r="EZ616" s="1865"/>
      <c r="FA616" s="1419"/>
    </row>
    <row r="617" spans="1:157" ht="12.95" customHeight="1">
      <c r="A617" s="2"/>
      <c r="B617" s="2"/>
      <c r="C617" s="2"/>
      <c r="AZ617" s="3"/>
      <c r="BA617" s="3"/>
      <c r="BB617" s="3"/>
      <c r="BC617" s="3"/>
      <c r="BD617" s="3"/>
      <c r="BE617" s="1418">
        <f t="shared" si="1"/>
        <v>0</v>
      </c>
      <c r="BF617" s="1419"/>
      <c r="BG617" s="1476">
        <f t="shared" si="2"/>
        <v>0</v>
      </c>
      <c r="BH617" s="1477"/>
      <c r="BI617" s="1418">
        <f t="shared" si="3"/>
        <v>0</v>
      </c>
      <c r="BJ617" s="1419"/>
      <c r="BK617" s="1476">
        <f t="shared" si="4"/>
        <v>0</v>
      </c>
      <c r="BL617" s="1477"/>
      <c r="BM617" s="3"/>
      <c r="BN617" s="1478">
        <f t="shared" si="5"/>
        <v>0</v>
      </c>
      <c r="BO617" s="1479"/>
      <c r="BP617" s="1479"/>
      <c r="BQ617" s="1479"/>
      <c r="BR617" s="1480"/>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729">
        <f t="shared" si="11"/>
        <v>0</v>
      </c>
      <c r="CT617" s="1729"/>
      <c r="CU617" s="1729"/>
      <c r="CV617" s="1729"/>
      <c r="CW617" s="1729"/>
      <c r="CX617" s="1729">
        <f t="shared" si="12"/>
        <v>0</v>
      </c>
      <c r="CY617" s="1729"/>
      <c r="CZ617" s="1729"/>
      <c r="DA617" s="1729"/>
      <c r="DB617" s="1729"/>
      <c r="DC617" s="1729">
        <f t="shared" si="13"/>
        <v>0</v>
      </c>
      <c r="DD617" s="1729"/>
      <c r="DE617" s="1729"/>
      <c r="DF617" s="1729"/>
      <c r="DG617" s="1729"/>
      <c r="DH617" s="1729">
        <f t="shared" si="14"/>
        <v>0</v>
      </c>
      <c r="DI617" s="1729"/>
      <c r="DJ617" s="1729"/>
      <c r="DK617" s="1729"/>
      <c r="DL617" s="1729"/>
      <c r="DM617" s="1729">
        <f t="shared" si="15"/>
        <v>0</v>
      </c>
      <c r="DN617" s="1729"/>
      <c r="DO617" s="1729"/>
      <c r="DP617" s="1729"/>
      <c r="DQ617" s="1729"/>
      <c r="DR617" s="1729">
        <f t="shared" si="16"/>
        <v>0</v>
      </c>
      <c r="DS617" s="1729"/>
      <c r="DT617" s="1729"/>
      <c r="DU617" s="1729"/>
      <c r="DV617" s="1729"/>
      <c r="DX617" s="1418" t="str">
        <f t="shared" si="17"/>
        <v xml:space="preserve"> </v>
      </c>
      <c r="DY617" s="1865"/>
      <c r="DZ617" s="1865"/>
      <c r="EA617" s="1865"/>
      <c r="EB617" s="1419"/>
      <c r="EC617" s="1418" t="str">
        <f t="shared" si="18"/>
        <v xml:space="preserve"> </v>
      </c>
      <c r="ED617" s="1865"/>
      <c r="EE617" s="1865"/>
      <c r="EF617" s="1865"/>
      <c r="EG617" s="1419"/>
      <c r="EH617" s="1418" t="str">
        <f t="shared" si="19"/>
        <v xml:space="preserve"> </v>
      </c>
      <c r="EI617" s="1865"/>
      <c r="EJ617" s="1865"/>
      <c r="EK617" s="1865"/>
      <c r="EL617" s="1419"/>
      <c r="EM617" s="1418" t="str">
        <f t="shared" si="20"/>
        <v xml:space="preserve"> </v>
      </c>
      <c r="EN617" s="1865"/>
      <c r="EO617" s="1865"/>
      <c r="EP617" s="1865"/>
      <c r="EQ617" s="1419"/>
      <c r="ER617" s="1418" t="str">
        <f t="shared" si="21"/>
        <v xml:space="preserve"> </v>
      </c>
      <c r="ES617" s="1865"/>
      <c r="ET617" s="1865"/>
      <c r="EU617" s="1865"/>
      <c r="EV617" s="1419"/>
      <c r="EW617" s="1418" t="str">
        <f t="shared" si="22"/>
        <v xml:space="preserve"> </v>
      </c>
      <c r="EX617" s="1865"/>
      <c r="EY617" s="1865"/>
      <c r="EZ617" s="1865"/>
      <c r="FA617" s="1419"/>
    </row>
    <row r="618" spans="1:157" ht="12.95" customHeight="1">
      <c r="C618" s="2" t="s">
        <v>2527</v>
      </c>
      <c r="AZ618" s="3"/>
      <c r="BA618" s="3"/>
      <c r="BB618" s="3"/>
      <c r="BC618" s="3"/>
      <c r="BD618" s="3"/>
      <c r="BE618" s="1418">
        <f t="shared" si="1"/>
        <v>0</v>
      </c>
      <c r="BF618" s="1419"/>
      <c r="BG618" s="1476">
        <f t="shared" si="2"/>
        <v>0</v>
      </c>
      <c r="BH618" s="1477"/>
      <c r="BI618" s="1418">
        <f t="shared" si="3"/>
        <v>0</v>
      </c>
      <c r="BJ618" s="1419"/>
      <c r="BK618" s="1476">
        <f t="shared" si="4"/>
        <v>0</v>
      </c>
      <c r="BL618" s="1477"/>
      <c r="BM618" s="3"/>
      <c r="BN618" s="1478">
        <f t="shared" si="5"/>
        <v>0</v>
      </c>
      <c r="BO618" s="1479"/>
      <c r="BP618" s="1479"/>
      <c r="BQ618" s="1479"/>
      <c r="BR618" s="1480"/>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729">
        <f t="shared" si="11"/>
        <v>0</v>
      </c>
      <c r="CT618" s="1729"/>
      <c r="CU618" s="1729"/>
      <c r="CV618" s="1729"/>
      <c r="CW618" s="1729"/>
      <c r="CX618" s="1729">
        <f t="shared" si="12"/>
        <v>0</v>
      </c>
      <c r="CY618" s="1729"/>
      <c r="CZ618" s="1729"/>
      <c r="DA618" s="1729"/>
      <c r="DB618" s="1729"/>
      <c r="DC618" s="1729">
        <f t="shared" si="13"/>
        <v>0</v>
      </c>
      <c r="DD618" s="1729"/>
      <c r="DE618" s="1729"/>
      <c r="DF618" s="1729"/>
      <c r="DG618" s="1729"/>
      <c r="DH618" s="1729">
        <f t="shared" si="14"/>
        <v>0</v>
      </c>
      <c r="DI618" s="1729"/>
      <c r="DJ618" s="1729"/>
      <c r="DK618" s="1729"/>
      <c r="DL618" s="1729"/>
      <c r="DM618" s="1729">
        <f t="shared" si="15"/>
        <v>0</v>
      </c>
      <c r="DN618" s="1729"/>
      <c r="DO618" s="1729"/>
      <c r="DP618" s="1729"/>
      <c r="DQ618" s="1729"/>
      <c r="DR618" s="1729">
        <f t="shared" si="16"/>
        <v>0</v>
      </c>
      <c r="DS618" s="1729"/>
      <c r="DT618" s="1729"/>
      <c r="DU618" s="1729"/>
      <c r="DV618" s="1729"/>
      <c r="DX618" s="1418" t="str">
        <f t="shared" si="17"/>
        <v xml:space="preserve"> </v>
      </c>
      <c r="DY618" s="1865"/>
      <c r="DZ618" s="1865"/>
      <c r="EA618" s="1865"/>
      <c r="EB618" s="1419"/>
      <c r="EC618" s="1418" t="str">
        <f t="shared" si="18"/>
        <v xml:space="preserve"> </v>
      </c>
      <c r="ED618" s="1865"/>
      <c r="EE618" s="1865"/>
      <c r="EF618" s="1865"/>
      <c r="EG618" s="1419"/>
      <c r="EH618" s="1418" t="str">
        <f t="shared" si="19"/>
        <v xml:space="preserve"> </v>
      </c>
      <c r="EI618" s="1865"/>
      <c r="EJ618" s="1865"/>
      <c r="EK618" s="1865"/>
      <c r="EL618" s="1419"/>
      <c r="EM618" s="1418" t="str">
        <f t="shared" si="20"/>
        <v xml:space="preserve"> </v>
      </c>
      <c r="EN618" s="1865"/>
      <c r="EO618" s="1865"/>
      <c r="EP618" s="1865"/>
      <c r="EQ618" s="1419"/>
      <c r="ER618" s="1418" t="str">
        <f t="shared" si="21"/>
        <v xml:space="preserve"> </v>
      </c>
      <c r="ES618" s="1865"/>
      <c r="ET618" s="1865"/>
      <c r="EU618" s="1865"/>
      <c r="EV618" s="1419"/>
      <c r="EW618" s="1418" t="str">
        <f t="shared" si="22"/>
        <v xml:space="preserve"> </v>
      </c>
      <c r="EX618" s="1865"/>
      <c r="EY618" s="1865"/>
      <c r="EZ618" s="1865"/>
      <c r="FA618" s="1419"/>
    </row>
    <row r="619" spans="1:157" ht="12.95" customHeight="1">
      <c r="B619" s="547"/>
      <c r="C619" s="2"/>
      <c r="AZ619" s="3"/>
      <c r="BA619" s="3"/>
      <c r="BB619" s="3"/>
      <c r="BC619" s="3"/>
      <c r="BD619" s="3"/>
      <c r="BE619" s="1418">
        <f t="shared" si="1"/>
        <v>0</v>
      </c>
      <c r="BF619" s="1419"/>
      <c r="BG619" s="1476">
        <f t="shared" si="2"/>
        <v>0</v>
      </c>
      <c r="BH619" s="1477"/>
      <c r="BI619" s="1418">
        <f t="shared" si="3"/>
        <v>0</v>
      </c>
      <c r="BJ619" s="1419"/>
      <c r="BK619" s="1476">
        <f t="shared" si="4"/>
        <v>0</v>
      </c>
      <c r="BL619" s="1477"/>
      <c r="BM619" s="3"/>
      <c r="BN619" s="1478">
        <f t="shared" si="5"/>
        <v>0</v>
      </c>
      <c r="BO619" s="1479"/>
      <c r="BP619" s="1479"/>
      <c r="BQ619" s="1479"/>
      <c r="BR619" s="1480"/>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729">
        <f t="shared" si="11"/>
        <v>0</v>
      </c>
      <c r="CT619" s="1729"/>
      <c r="CU619" s="1729"/>
      <c r="CV619" s="1729"/>
      <c r="CW619" s="1729"/>
      <c r="CX619" s="1729">
        <f t="shared" si="12"/>
        <v>0</v>
      </c>
      <c r="CY619" s="1729"/>
      <c r="CZ619" s="1729"/>
      <c r="DA619" s="1729"/>
      <c r="DB619" s="1729"/>
      <c r="DC619" s="1729">
        <f t="shared" si="13"/>
        <v>0</v>
      </c>
      <c r="DD619" s="1729"/>
      <c r="DE619" s="1729"/>
      <c r="DF619" s="1729"/>
      <c r="DG619" s="1729"/>
      <c r="DH619" s="1729">
        <f t="shared" si="14"/>
        <v>0</v>
      </c>
      <c r="DI619" s="1729"/>
      <c r="DJ619" s="1729"/>
      <c r="DK619" s="1729"/>
      <c r="DL619" s="1729"/>
      <c r="DM619" s="1729">
        <f t="shared" si="15"/>
        <v>0</v>
      </c>
      <c r="DN619" s="1729"/>
      <c r="DO619" s="1729"/>
      <c r="DP619" s="1729"/>
      <c r="DQ619" s="1729"/>
      <c r="DR619" s="1729">
        <f t="shared" si="16"/>
        <v>0</v>
      </c>
      <c r="DS619" s="1729"/>
      <c r="DT619" s="1729"/>
      <c r="DU619" s="1729"/>
      <c r="DV619" s="1729"/>
      <c r="DX619" s="1418" t="str">
        <f t="shared" si="17"/>
        <v xml:space="preserve"> </v>
      </c>
      <c r="DY619" s="1865"/>
      <c r="DZ619" s="1865"/>
      <c r="EA619" s="1865"/>
      <c r="EB619" s="1419"/>
      <c r="EC619" s="1418" t="str">
        <f t="shared" si="18"/>
        <v xml:space="preserve"> </v>
      </c>
      <c r="ED619" s="1865"/>
      <c r="EE619" s="1865"/>
      <c r="EF619" s="1865"/>
      <c r="EG619" s="1419"/>
      <c r="EH619" s="1418" t="str">
        <f t="shared" si="19"/>
        <v xml:space="preserve"> </v>
      </c>
      <c r="EI619" s="1865"/>
      <c r="EJ619" s="1865"/>
      <c r="EK619" s="1865"/>
      <c r="EL619" s="1419"/>
      <c r="EM619" s="1418" t="str">
        <f t="shared" si="20"/>
        <v xml:space="preserve"> </v>
      </c>
      <c r="EN619" s="1865"/>
      <c r="EO619" s="1865"/>
      <c r="EP619" s="1865"/>
      <c r="EQ619" s="1419"/>
      <c r="ER619" s="1418" t="str">
        <f t="shared" si="21"/>
        <v xml:space="preserve"> </v>
      </c>
      <c r="ES619" s="1865"/>
      <c r="ET619" s="1865"/>
      <c r="EU619" s="1865"/>
      <c r="EV619" s="1419"/>
      <c r="EW619" s="1418" t="str">
        <f t="shared" si="22"/>
        <v xml:space="preserve"> </v>
      </c>
      <c r="EX619" s="1865"/>
      <c r="EY619" s="1865"/>
      <c r="EZ619" s="1865"/>
      <c r="FA619" s="1419"/>
    </row>
    <row r="620" spans="1:157" ht="12.95" customHeight="1">
      <c r="B620" s="1871" t="s">
        <v>2529</v>
      </c>
      <c r="C620" s="1871"/>
      <c r="D620" s="1871"/>
      <c r="E620" s="1871"/>
      <c r="F620" s="1871"/>
      <c r="G620" s="1871"/>
      <c r="H620" s="1871"/>
      <c r="I620" s="1871"/>
      <c r="J620" s="1871"/>
      <c r="K620" s="1871"/>
      <c r="L620" s="1871"/>
      <c r="M620" s="1519" t="s">
        <v>2530</v>
      </c>
      <c r="N620" s="1519"/>
      <c r="O620" s="1519"/>
      <c r="P620" s="1519"/>
      <c r="Q620" s="1519" t="s">
        <v>2118</v>
      </c>
      <c r="R620" s="1519"/>
      <c r="S620" s="1519"/>
      <c r="T620" s="1519" t="s">
        <v>2116</v>
      </c>
      <c r="U620" s="1519"/>
      <c r="V620" s="1519"/>
      <c r="W620" s="1576" t="s">
        <v>463</v>
      </c>
      <c r="X620" s="1576"/>
      <c r="Y620" s="1576"/>
      <c r="Z620" s="1408" t="s">
        <v>2559</v>
      </c>
      <c r="AA620" s="1408"/>
      <c r="AB620" s="1409"/>
      <c r="AC620" s="1753" t="s">
        <v>1938</v>
      </c>
      <c r="AD620" s="1754"/>
      <c r="AE620" s="1755"/>
      <c r="AF620" s="1407" t="s">
        <v>2316</v>
      </c>
      <c r="AG620" s="1408"/>
      <c r="AH620" s="1408"/>
      <c r="AI620" s="1408"/>
      <c r="AJ620" s="1409"/>
      <c r="AK620" s="1743" t="s">
        <v>2317</v>
      </c>
      <c r="AL620" s="1744"/>
      <c r="AM620" s="1744"/>
      <c r="AN620" s="1745"/>
      <c r="AO620" s="1519" t="s">
        <v>464</v>
      </c>
      <c r="AP620" s="1519"/>
      <c r="AQ620" s="1519"/>
      <c r="AR620" s="1519"/>
      <c r="AS620" s="1519"/>
      <c r="AZ620" s="3"/>
      <c r="BA620" s="3"/>
      <c r="BB620" s="3"/>
      <c r="BC620" s="3"/>
      <c r="BD620" s="3"/>
      <c r="BE620" s="1418">
        <f t="shared" si="1"/>
        <v>0</v>
      </c>
      <c r="BF620" s="1419"/>
      <c r="BG620" s="1476">
        <f t="shared" si="2"/>
        <v>0</v>
      </c>
      <c r="BH620" s="1477"/>
      <c r="BI620" s="1418">
        <f t="shared" si="3"/>
        <v>0</v>
      </c>
      <c r="BJ620" s="1419"/>
      <c r="BK620" s="1476">
        <f t="shared" si="4"/>
        <v>0</v>
      </c>
      <c r="BL620" s="1477"/>
      <c r="BM620" s="3"/>
      <c r="BN620" s="1478">
        <f t="shared" si="5"/>
        <v>0</v>
      </c>
      <c r="BO620" s="1479"/>
      <c r="BP620" s="1479"/>
      <c r="BQ620" s="1479"/>
      <c r="BR620" s="1480"/>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729">
        <f t="shared" si="11"/>
        <v>0</v>
      </c>
      <c r="CT620" s="1729"/>
      <c r="CU620" s="1729"/>
      <c r="CV620" s="1729"/>
      <c r="CW620" s="1729"/>
      <c r="CX620" s="1729">
        <f t="shared" si="12"/>
        <v>0</v>
      </c>
      <c r="CY620" s="1729"/>
      <c r="CZ620" s="1729"/>
      <c r="DA620" s="1729"/>
      <c r="DB620" s="1729"/>
      <c r="DC620" s="1729">
        <f t="shared" si="13"/>
        <v>0</v>
      </c>
      <c r="DD620" s="1729"/>
      <c r="DE620" s="1729"/>
      <c r="DF620" s="1729"/>
      <c r="DG620" s="1729"/>
      <c r="DH620" s="1729">
        <f t="shared" si="14"/>
        <v>0</v>
      </c>
      <c r="DI620" s="1729"/>
      <c r="DJ620" s="1729"/>
      <c r="DK620" s="1729"/>
      <c r="DL620" s="1729"/>
      <c r="DM620" s="1729">
        <f t="shared" si="15"/>
        <v>0</v>
      </c>
      <c r="DN620" s="1729"/>
      <c r="DO620" s="1729"/>
      <c r="DP620" s="1729"/>
      <c r="DQ620" s="1729"/>
      <c r="DR620" s="1729">
        <f t="shared" si="16"/>
        <v>0</v>
      </c>
      <c r="DS620" s="1729"/>
      <c r="DT620" s="1729"/>
      <c r="DU620" s="1729"/>
      <c r="DV620" s="1729"/>
      <c r="DX620" s="1418" t="str">
        <f t="shared" si="17"/>
        <v xml:space="preserve"> </v>
      </c>
      <c r="DY620" s="1865"/>
      <c r="DZ620" s="1865"/>
      <c r="EA620" s="1865"/>
      <c r="EB620" s="1419"/>
      <c r="EC620" s="1418" t="str">
        <f t="shared" si="18"/>
        <v xml:space="preserve"> </v>
      </c>
      <c r="ED620" s="1865"/>
      <c r="EE620" s="1865"/>
      <c r="EF620" s="1865"/>
      <c r="EG620" s="1419"/>
      <c r="EH620" s="1418" t="str">
        <f t="shared" si="19"/>
        <v xml:space="preserve"> </v>
      </c>
      <c r="EI620" s="1865"/>
      <c r="EJ620" s="1865"/>
      <c r="EK620" s="1865"/>
      <c r="EL620" s="1419"/>
      <c r="EM620" s="1418" t="str">
        <f t="shared" si="20"/>
        <v xml:space="preserve"> </v>
      </c>
      <c r="EN620" s="1865"/>
      <c r="EO620" s="1865"/>
      <c r="EP620" s="1865"/>
      <c r="EQ620" s="1419"/>
      <c r="ER620" s="1418" t="str">
        <f t="shared" si="21"/>
        <v xml:space="preserve"> </v>
      </c>
      <c r="ES620" s="1865"/>
      <c r="ET620" s="1865"/>
      <c r="EU620" s="1865"/>
      <c r="EV620" s="1419"/>
      <c r="EW620" s="1418" t="str">
        <f t="shared" si="22"/>
        <v xml:space="preserve"> </v>
      </c>
      <c r="EX620" s="1865"/>
      <c r="EY620" s="1865"/>
      <c r="EZ620" s="1865"/>
      <c r="FA620" s="1419"/>
    </row>
    <row r="621" spans="1:157" ht="12.95" customHeight="1">
      <c r="B621" s="1871"/>
      <c r="C621" s="1871"/>
      <c r="D621" s="1871"/>
      <c r="E621" s="1871"/>
      <c r="F621" s="1871"/>
      <c r="G621" s="1871"/>
      <c r="H621" s="1871"/>
      <c r="I621" s="1871"/>
      <c r="J621" s="1871"/>
      <c r="K621" s="1871"/>
      <c r="L621" s="1871"/>
      <c r="M621" s="1519"/>
      <c r="N621" s="1519"/>
      <c r="O621" s="1519"/>
      <c r="P621" s="1519"/>
      <c r="Q621" s="1519"/>
      <c r="R621" s="1519"/>
      <c r="S621" s="1519"/>
      <c r="T621" s="1519"/>
      <c r="U621" s="1519"/>
      <c r="V621" s="1519"/>
      <c r="W621" s="1576"/>
      <c r="X621" s="1576"/>
      <c r="Y621" s="1576"/>
      <c r="Z621" s="1411"/>
      <c r="AA621" s="1411"/>
      <c r="AB621" s="1412"/>
      <c r="AC621" s="1756"/>
      <c r="AD621" s="1757"/>
      <c r="AE621" s="1758"/>
      <c r="AF621" s="1410"/>
      <c r="AG621" s="1411"/>
      <c r="AH621" s="1411"/>
      <c r="AI621" s="1411"/>
      <c r="AJ621" s="1412"/>
      <c r="AK621" s="1746"/>
      <c r="AL621" s="1747"/>
      <c r="AM621" s="1747"/>
      <c r="AN621" s="1748"/>
      <c r="AO621" s="1519"/>
      <c r="AP621" s="1519"/>
      <c r="AQ621" s="1519"/>
      <c r="AR621" s="1519"/>
      <c r="AS621" s="1519"/>
      <c r="AZ621" s="3"/>
      <c r="BA621" s="3"/>
      <c r="BB621" s="3"/>
      <c r="BC621" s="3"/>
      <c r="BD621" s="3"/>
      <c r="BE621" s="3"/>
      <c r="BF621" s="3"/>
      <c r="BG621" s="1418">
        <f>SUM(BG596:BH620)</f>
        <v>0</v>
      </c>
      <c r="BH621" s="1419"/>
      <c r="BI621" s="3"/>
      <c r="BJ621" s="3"/>
      <c r="BK621" s="1418">
        <f>SUM(BK596:BL620)</f>
        <v>27</v>
      </c>
      <c r="BL621" s="1419"/>
      <c r="BM621" s="3"/>
      <c r="BN621" s="1418">
        <f>SUM(BN596:BR620)</f>
        <v>21</v>
      </c>
      <c r="BO621" s="1865"/>
      <c r="BP621" s="1865"/>
      <c r="BQ621" s="1865"/>
      <c r="BR621" s="1419"/>
      <c r="BS621" s="1707">
        <f>SUM(BS596:BW620)</f>
        <v>82</v>
      </c>
      <c r="BT621" s="1707"/>
      <c r="BU621" s="1707"/>
      <c r="BV621" s="1707"/>
      <c r="BW621" s="1707"/>
      <c r="BX621" s="1707">
        <f>SUM(BX596:CB620)</f>
        <v>30</v>
      </c>
      <c r="BY621" s="1707"/>
      <c r="BZ621" s="1707"/>
      <c r="CA621" s="1707"/>
      <c r="CB621" s="1707"/>
      <c r="CC621" s="1707">
        <f>SUM(CC596:CG620)</f>
        <v>0</v>
      </c>
      <c r="CD621" s="1707"/>
      <c r="CE621" s="1707"/>
      <c r="CF621" s="1707"/>
      <c r="CG621" s="1707"/>
      <c r="CH621" s="1707">
        <f>SUM(CH596:CL620)</f>
        <v>0</v>
      </c>
      <c r="CI621" s="1707"/>
      <c r="CJ621" s="1707"/>
      <c r="CK621" s="1707"/>
      <c r="CL621" s="1707"/>
      <c r="CM621" s="1707">
        <f>SUM(CM596:CQ620)</f>
        <v>0</v>
      </c>
      <c r="CN621" s="1707"/>
      <c r="CO621" s="1707"/>
      <c r="CP621" s="1707"/>
      <c r="CQ621" s="1707"/>
      <c r="CR621" s="386"/>
      <c r="CS621" s="1707">
        <f>SUM(CS596:CW620)</f>
        <v>4</v>
      </c>
      <c r="CT621" s="1707"/>
      <c r="CU621" s="1707"/>
      <c r="CV621" s="1707"/>
      <c r="CW621" s="1707"/>
      <c r="CX621" s="1707">
        <f>SUM(CX596:DB620)</f>
        <v>16</v>
      </c>
      <c r="CY621" s="1707"/>
      <c r="CZ621" s="1707"/>
      <c r="DA621" s="1707"/>
      <c r="DB621" s="1707"/>
      <c r="DC621" s="1707">
        <f>SUM(DC596:DG620)</f>
        <v>7</v>
      </c>
      <c r="DD621" s="1707"/>
      <c r="DE621" s="1707"/>
      <c r="DF621" s="1707"/>
      <c r="DG621" s="1707"/>
      <c r="DH621" s="1707">
        <f>SUM(DH596:DL620)</f>
        <v>0</v>
      </c>
      <c r="DI621" s="1707"/>
      <c r="DJ621" s="1707"/>
      <c r="DK621" s="1707"/>
      <c r="DL621" s="1707"/>
      <c r="DM621" s="1707">
        <f>SUM(DM596:DQ620)</f>
        <v>0</v>
      </c>
      <c r="DN621" s="1707"/>
      <c r="DO621" s="1707"/>
      <c r="DP621" s="1707"/>
      <c r="DQ621" s="1707"/>
      <c r="DR621" s="1707">
        <f>SUM(DR596:DV620)</f>
        <v>0</v>
      </c>
      <c r="DS621" s="1707"/>
      <c r="DT621" s="1707"/>
      <c r="DU621" s="1707"/>
      <c r="DV621" s="1707"/>
      <c r="DX621" s="1707">
        <f>SUM(DX596:EB620)</f>
        <v>2095</v>
      </c>
      <c r="DY621" s="1707"/>
      <c r="DZ621" s="1707"/>
      <c r="EA621" s="1707"/>
      <c r="EB621" s="1707"/>
      <c r="EC621" s="1707">
        <f>SUM(EC596:EG620)</f>
        <v>2219</v>
      </c>
      <c r="ED621" s="1707"/>
      <c r="EE621" s="1707"/>
      <c r="EF621" s="1707"/>
      <c r="EG621" s="1707"/>
      <c r="EH621" s="1707">
        <f>SUM(EH596:EL620)</f>
        <v>2627</v>
      </c>
      <c r="EI621" s="1707"/>
      <c r="EJ621" s="1707"/>
      <c r="EK621" s="1707"/>
      <c r="EL621" s="1707"/>
      <c r="EM621" s="1707">
        <f>SUM(EM596:EQ620)</f>
        <v>0</v>
      </c>
      <c r="EN621" s="1707"/>
      <c r="EO621" s="1707"/>
      <c r="EP621" s="1707"/>
      <c r="EQ621" s="1707"/>
      <c r="ER621" s="1707">
        <f>SUM(ER596:EV620)</f>
        <v>0</v>
      </c>
      <c r="ES621" s="1707"/>
      <c r="ET621" s="1707"/>
      <c r="EU621" s="1707"/>
      <c r="EV621" s="1707"/>
      <c r="EW621" s="1707">
        <f>SUM(EW596:FA620)</f>
        <v>0</v>
      </c>
      <c r="EX621" s="1707"/>
      <c r="EY621" s="1707"/>
      <c r="EZ621" s="1707"/>
      <c r="FA621" s="1707"/>
    </row>
    <row r="622" spans="1:157" ht="12.95" customHeight="1">
      <c r="B622" s="1871"/>
      <c r="C622" s="1871"/>
      <c r="D622" s="1871"/>
      <c r="E622" s="1871"/>
      <c r="F622" s="1871"/>
      <c r="G622" s="1871"/>
      <c r="H622" s="1871"/>
      <c r="I622" s="1871"/>
      <c r="J622" s="1871"/>
      <c r="K622" s="1871"/>
      <c r="L622" s="1871"/>
      <c r="M622" s="1519"/>
      <c r="N622" s="1519"/>
      <c r="O622" s="1519"/>
      <c r="P622" s="1519"/>
      <c r="Q622" s="1519"/>
      <c r="R622" s="1519"/>
      <c r="S622" s="1519"/>
      <c r="T622" s="1519"/>
      <c r="U622" s="1519"/>
      <c r="V622" s="1519"/>
      <c r="W622" s="1576"/>
      <c r="X622" s="1576"/>
      <c r="Y622" s="1576"/>
      <c r="Z622" s="1414"/>
      <c r="AA622" s="1414"/>
      <c r="AB622" s="1415"/>
      <c r="AC622" s="1759"/>
      <c r="AD622" s="1760"/>
      <c r="AE622" s="1761"/>
      <c r="AF622" s="1413"/>
      <c r="AG622" s="1414"/>
      <c r="AH622" s="1414"/>
      <c r="AI622" s="1414"/>
      <c r="AJ622" s="1415"/>
      <c r="AK622" s="1749"/>
      <c r="AL622" s="1750"/>
      <c r="AM622" s="1750"/>
      <c r="AN622" s="1751"/>
      <c r="AO622" s="1519"/>
      <c r="AP622" s="1519"/>
      <c r="AQ622" s="1519"/>
      <c r="AR622" s="1519"/>
      <c r="AS622" s="15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2126</v>
      </c>
      <c r="CM622" s="1418">
        <f>BN621+BS621+BX621+CC621+CH621+CM621</f>
        <v>133</v>
      </c>
      <c r="CN622" s="1865"/>
      <c r="CO622" s="1865"/>
      <c r="CP622" s="1865"/>
      <c r="CQ622" s="1419"/>
      <c r="CR622" s="386"/>
      <c r="CS622" s="3"/>
      <c r="CT622" s="3"/>
      <c r="CU622" s="3"/>
      <c r="CV622" s="3"/>
      <c r="CW622" s="3"/>
      <c r="CX622" s="3"/>
      <c r="CY622" s="3"/>
      <c r="CZ622" s="3"/>
      <c r="DA622" s="3"/>
      <c r="DB622" s="3"/>
      <c r="DC622" s="3"/>
      <c r="DD622" s="3"/>
      <c r="DE622" s="3"/>
      <c r="DF622" s="3"/>
    </row>
    <row r="623" spans="1:157" ht="12.95" customHeight="1">
      <c r="B623" s="51" t="s">
        <v>113</v>
      </c>
      <c r="C623" s="1719" t="s">
        <v>2634</v>
      </c>
      <c r="D623" s="1719"/>
      <c r="E623" s="1719"/>
      <c r="F623" s="1719"/>
      <c r="G623" s="1719"/>
      <c r="H623" s="1719"/>
      <c r="I623" s="1719"/>
      <c r="J623" s="1719"/>
      <c r="K623" s="1719"/>
      <c r="L623" s="1719"/>
      <c r="M623" s="1870" t="s">
        <v>1328</v>
      </c>
      <c r="N623" s="1870"/>
      <c r="O623" s="1870"/>
      <c r="P623" s="1870"/>
      <c r="Q623" s="1555">
        <v>204</v>
      </c>
      <c r="R623" s="1555"/>
      <c r="S623" s="1873"/>
      <c r="T623" s="1872">
        <v>480</v>
      </c>
      <c r="U623" s="1555"/>
      <c r="V623" s="1873"/>
      <c r="W623" s="1608">
        <v>5.8500000000000003E-2</v>
      </c>
      <c r="X623" s="1609"/>
      <c r="Y623" s="1610"/>
      <c r="Z623" s="1721" t="s">
        <v>2558</v>
      </c>
      <c r="AA623" s="1722"/>
      <c r="AB623" s="1723"/>
      <c r="AC623" s="1427">
        <v>1</v>
      </c>
      <c r="AD623" s="1428"/>
      <c r="AE623" s="1429"/>
      <c r="AF623" s="1594">
        <v>698492</v>
      </c>
      <c r="AG623" s="1595"/>
      <c r="AH623" s="1595"/>
      <c r="AI623" s="1595"/>
      <c r="AJ623" s="1596"/>
      <c r="AK623" s="1713"/>
      <c r="AL623" s="1714"/>
      <c r="AM623" s="1714"/>
      <c r="AN623" s="1715"/>
      <c r="AO623" s="1621">
        <v>10783311</v>
      </c>
      <c r="AP623" s="1621"/>
      <c r="AQ623" s="1621"/>
      <c r="AR623" s="1621"/>
      <c r="AS623" s="1621"/>
      <c r="AT623" s="3"/>
      <c r="AU623" s="3"/>
      <c r="AV623" s="3"/>
      <c r="AW623" s="3"/>
      <c r="AX623" s="3"/>
      <c r="AY623" s="3"/>
      <c r="AZ623" s="3"/>
      <c r="BA623" s="3" t="s">
        <v>1328</v>
      </c>
      <c r="BB623" s="3"/>
      <c r="BC623" s="3"/>
      <c r="BD623" s="3"/>
      <c r="BE623" s="3"/>
      <c r="BF623" s="3"/>
      <c r="BG623" s="3"/>
      <c r="BH623" s="3"/>
      <c r="BI623" s="3"/>
      <c r="BJ623" s="3"/>
      <c r="BK623" s="3"/>
      <c r="BL623" s="3"/>
      <c r="BM623" s="3"/>
      <c r="BR623" s="897">
        <f>BN621*1</f>
        <v>21</v>
      </c>
      <c r="BS623" s="3"/>
      <c r="BT623" s="3"/>
      <c r="BU623" s="3"/>
      <c r="BV623" s="3"/>
      <c r="BW623" s="897">
        <f>BS621*1</f>
        <v>82</v>
      </c>
      <c r="BX623" s="3"/>
      <c r="BY623" s="3"/>
      <c r="BZ623" s="3"/>
      <c r="CA623" s="3"/>
      <c r="CB623" s="897">
        <f>BX621*2</f>
        <v>60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163</v>
      </c>
      <c r="CT623" s="57" t="s">
        <v>2128</v>
      </c>
      <c r="CU623" s="3"/>
      <c r="CV623" s="3"/>
      <c r="CW623" s="3"/>
      <c r="CX623" s="3"/>
      <c r="CY623" s="3"/>
      <c r="CZ623" s="3"/>
      <c r="DA623" s="3"/>
      <c r="DB623" s="3"/>
      <c r="DC623" s="3"/>
      <c r="DD623" s="3"/>
      <c r="DE623" s="3"/>
      <c r="DF623" s="3"/>
    </row>
    <row r="624" spans="1:157" ht="12.95" customHeight="1">
      <c r="B624" s="52" t="s">
        <v>114</v>
      </c>
      <c r="C624" s="1719" t="s">
        <v>2635</v>
      </c>
      <c r="D624" s="1719"/>
      <c r="E624" s="1719"/>
      <c r="F624" s="1719"/>
      <c r="G624" s="1719"/>
      <c r="H624" s="1719"/>
      <c r="I624" s="1719"/>
      <c r="J624" s="1719"/>
      <c r="K624" s="1719"/>
      <c r="L624" s="1719"/>
      <c r="M624" s="1870" t="s">
        <v>1328</v>
      </c>
      <c r="N624" s="1870"/>
      <c r="O624" s="1870"/>
      <c r="P624" s="1870"/>
      <c r="Q624" s="1872">
        <v>660</v>
      </c>
      <c r="R624" s="1555"/>
      <c r="S624" s="1873"/>
      <c r="T624" s="1872">
        <v>480</v>
      </c>
      <c r="U624" s="1555"/>
      <c r="V624" s="1873"/>
      <c r="W624" s="1608">
        <v>0.01</v>
      </c>
      <c r="X624" s="1609"/>
      <c r="Y624" s="1610"/>
      <c r="Z624" s="1721" t="s">
        <v>467</v>
      </c>
      <c r="AA624" s="1722"/>
      <c r="AB624" s="1723"/>
      <c r="AC624" s="1427">
        <v>4</v>
      </c>
      <c r="AD624" s="1428"/>
      <c r="AE624" s="1429"/>
      <c r="AF624" s="1594"/>
      <c r="AG624" s="1595"/>
      <c r="AH624" s="1595"/>
      <c r="AI624" s="1595"/>
      <c r="AJ624" s="1596"/>
      <c r="AK624" s="1713"/>
      <c r="AL624" s="1714"/>
      <c r="AM624" s="1714"/>
      <c r="AN624" s="1715"/>
      <c r="AO624" s="1615">
        <v>2100000</v>
      </c>
      <c r="AP624" s="1616"/>
      <c r="AQ624" s="1616"/>
      <c r="AR624" s="1616"/>
      <c r="AS624" s="1617"/>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9">
        <f t="shared" ref="DX624:DX648" si="23">DX596*(BN596/$BN$621)</f>
        <v>48.38095238095238</v>
      </c>
      <c r="DY624" s="1869"/>
      <c r="DZ624" s="1869"/>
      <c r="EA624" s="1869"/>
      <c r="EB624" s="1869"/>
      <c r="EC624" s="1869" t="e">
        <f t="shared" ref="EC624:EC648" si="24">EC596*(BS596/$BS$621)</f>
        <v>#VALUE!</v>
      </c>
      <c r="ED624" s="1869"/>
      <c r="EE624" s="1869"/>
      <c r="EF624" s="1869"/>
      <c r="EG624" s="1869"/>
      <c r="EH624" s="1869" t="e">
        <f t="shared" ref="EH624:EH648" si="25">EH596*(BX596/$BX$621)</f>
        <v>#VALUE!</v>
      </c>
      <c r="EI624" s="1869"/>
      <c r="EJ624" s="1869"/>
      <c r="EK624" s="1869"/>
      <c r="EL624" s="1869"/>
      <c r="EM624" s="1869" t="e">
        <f t="shared" ref="EM624:EM648" si="26">EM596*(CC596/$CC$621)</f>
        <v>#VALUE!</v>
      </c>
      <c r="EN624" s="1869"/>
      <c r="EO624" s="1869"/>
      <c r="EP624" s="1869"/>
      <c r="EQ624" s="1869"/>
      <c r="ER624" s="1869" t="e">
        <f t="shared" ref="ER624:ER648" si="27">ER596*(CH596/$CH$621)</f>
        <v>#VALUE!</v>
      </c>
      <c r="ES624" s="1869"/>
      <c r="ET624" s="1869"/>
      <c r="EU624" s="1869"/>
      <c r="EV624" s="1869"/>
      <c r="EW624" s="1869" t="e">
        <f t="shared" ref="EW624:EW648" si="28">EW596*(CM596/$CM$621)</f>
        <v>#VALUE!</v>
      </c>
      <c r="EX624" s="1869"/>
      <c r="EY624" s="1869"/>
      <c r="EZ624" s="1869"/>
      <c r="FA624" s="1869"/>
    </row>
    <row r="625" spans="1:157" ht="12.95" customHeight="1">
      <c r="B625" s="52" t="s">
        <v>120</v>
      </c>
      <c r="C625" s="1719" t="s">
        <v>2636</v>
      </c>
      <c r="D625" s="1719"/>
      <c r="E625" s="1719"/>
      <c r="F625" s="1719"/>
      <c r="G625" s="1719"/>
      <c r="H625" s="1719"/>
      <c r="I625" s="1719"/>
      <c r="J625" s="1719"/>
      <c r="K625" s="1719"/>
      <c r="L625" s="1719"/>
      <c r="M625" s="1870" t="s">
        <v>1328</v>
      </c>
      <c r="N625" s="1870"/>
      <c r="O625" s="1870"/>
      <c r="P625" s="1870"/>
      <c r="Q625" s="1872">
        <v>660</v>
      </c>
      <c r="R625" s="1555"/>
      <c r="S625" s="1873"/>
      <c r="T625" s="1872">
        <v>660</v>
      </c>
      <c r="U625" s="1555"/>
      <c r="V625" s="1873"/>
      <c r="W625" s="1608">
        <v>0.01</v>
      </c>
      <c r="X625" s="1609"/>
      <c r="Y625" s="1610"/>
      <c r="Z625" s="1721" t="s">
        <v>467</v>
      </c>
      <c r="AA625" s="1722"/>
      <c r="AB625" s="1723"/>
      <c r="AC625" s="1427">
        <v>3</v>
      </c>
      <c r="AD625" s="1428"/>
      <c r="AE625" s="1429"/>
      <c r="AF625" s="1594"/>
      <c r="AG625" s="1595"/>
      <c r="AH625" s="1595"/>
      <c r="AI625" s="1595"/>
      <c r="AJ625" s="1596"/>
      <c r="AK625" s="1713"/>
      <c r="AL625" s="1714"/>
      <c r="AM625" s="1714"/>
      <c r="AN625" s="1715"/>
      <c r="AO625" s="1615">
        <v>4900000</v>
      </c>
      <c r="AP625" s="1616"/>
      <c r="AQ625" s="1616"/>
      <c r="AR625" s="1616"/>
      <c r="AS625" s="1617"/>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9">
        <f t="shared" si="23"/>
        <v>48.38095238095238</v>
      </c>
      <c r="DY625" s="1869"/>
      <c r="DZ625" s="1869"/>
      <c r="EA625" s="1869"/>
      <c r="EB625" s="1869"/>
      <c r="EC625" s="1869" t="e">
        <f t="shared" si="24"/>
        <v>#VALUE!</v>
      </c>
      <c r="ED625" s="1869"/>
      <c r="EE625" s="1869"/>
      <c r="EF625" s="1869"/>
      <c r="EG625" s="1869"/>
      <c r="EH625" s="1869" t="e">
        <f t="shared" si="25"/>
        <v>#VALUE!</v>
      </c>
      <c r="EI625" s="1869"/>
      <c r="EJ625" s="1869"/>
      <c r="EK625" s="1869"/>
      <c r="EL625" s="1869"/>
      <c r="EM625" s="1869" t="e">
        <f t="shared" si="26"/>
        <v>#VALUE!</v>
      </c>
      <c r="EN625" s="1869"/>
      <c r="EO625" s="1869"/>
      <c r="EP625" s="1869"/>
      <c r="EQ625" s="1869"/>
      <c r="ER625" s="1869" t="e">
        <f t="shared" si="27"/>
        <v>#VALUE!</v>
      </c>
      <c r="ES625" s="1869"/>
      <c r="ET625" s="1869"/>
      <c r="EU625" s="1869"/>
      <c r="EV625" s="1869"/>
      <c r="EW625" s="1869" t="e">
        <f t="shared" si="28"/>
        <v>#VALUE!</v>
      </c>
      <c r="EX625" s="1869"/>
      <c r="EY625" s="1869"/>
      <c r="EZ625" s="1869"/>
      <c r="FA625" s="1869"/>
    </row>
    <row r="626" spans="1:157" ht="12.95" customHeight="1">
      <c r="B626" s="52" t="s">
        <v>591</v>
      </c>
      <c r="C626" s="1719" t="s">
        <v>1924</v>
      </c>
      <c r="D626" s="1719"/>
      <c r="E626" s="1719"/>
      <c r="F626" s="1719"/>
      <c r="G626" s="1719"/>
      <c r="H626" s="1719"/>
      <c r="I626" s="1719"/>
      <c r="J626" s="1719"/>
      <c r="K626" s="1719"/>
      <c r="L626" s="1719"/>
      <c r="M626" s="1870" t="s">
        <v>1328</v>
      </c>
      <c r="N626" s="1870"/>
      <c r="O626" s="1870"/>
      <c r="P626" s="1870"/>
      <c r="Q626" s="1872"/>
      <c r="R626" s="1555"/>
      <c r="S626" s="1873"/>
      <c r="T626" s="1872"/>
      <c r="U626" s="1555"/>
      <c r="V626" s="1873"/>
      <c r="W626" s="1608"/>
      <c r="X626" s="1609"/>
      <c r="Y626" s="1610"/>
      <c r="Z626" s="1721" t="s">
        <v>1328</v>
      </c>
      <c r="AA626" s="1722"/>
      <c r="AB626" s="1723"/>
      <c r="AC626" s="1427"/>
      <c r="AD626" s="1428"/>
      <c r="AE626" s="1429"/>
      <c r="AF626" s="1594"/>
      <c r="AG626" s="1595"/>
      <c r="AH626" s="1595"/>
      <c r="AI626" s="1595"/>
      <c r="AJ626" s="1596"/>
      <c r="AK626" s="1713"/>
      <c r="AL626" s="1714"/>
      <c r="AM626" s="1714"/>
      <c r="AN626" s="1715"/>
      <c r="AO626" s="1615">
        <v>4520335</v>
      </c>
      <c r="AP626" s="1616"/>
      <c r="AQ626" s="1616"/>
      <c r="AR626" s="1616"/>
      <c r="AS626" s="1617"/>
      <c r="AT626" s="1201" t="str">
        <f t="shared" si="29"/>
        <v/>
      </c>
      <c r="AU626" s="3"/>
      <c r="AV626" s="3"/>
      <c r="AW626" s="3"/>
      <c r="AX626" s="3"/>
      <c r="AY626" s="3"/>
      <c r="AZ626" s="34"/>
      <c r="BA626" s="3" t="s">
        <v>2558</v>
      </c>
      <c r="BB626" s="34"/>
      <c r="BC626" s="34"/>
      <c r="BD626" s="34"/>
      <c r="BE626" s="34"/>
      <c r="BF626" s="34"/>
      <c r="BG626" s="34"/>
      <c r="BH626" s="34"/>
      <c r="BI626" s="34"/>
      <c r="BJ626" s="34"/>
      <c r="BK626" s="34"/>
      <c r="BL626" s="34"/>
      <c r="BM626" s="34"/>
      <c r="BN626" s="1478">
        <f>IF(J758="SRO/Studio",O758,0)</f>
        <v>0</v>
      </c>
      <c r="BO626" s="1479"/>
      <c r="BP626" s="1479"/>
      <c r="BQ626" s="1479"/>
      <c r="BR626" s="1480"/>
      <c r="BS626" s="1393">
        <f>IF(J758="1 Bedroom",O758,0)</f>
        <v>0</v>
      </c>
      <c r="BT626" s="1393"/>
      <c r="BU626" s="1393"/>
      <c r="BV626" s="1393"/>
      <c r="BW626" s="1393"/>
      <c r="BX626" s="1393">
        <f>IF(J758="2 Bedrooms",O758,0)</f>
        <v>2</v>
      </c>
      <c r="BY626" s="1393"/>
      <c r="BZ626" s="1393"/>
      <c r="CA626" s="1393"/>
      <c r="CB626" s="1393"/>
      <c r="CC626" s="1393">
        <f>IF(J758="3 Bedrooms",O758,0)</f>
        <v>0</v>
      </c>
      <c r="CD626" s="1393"/>
      <c r="CE626" s="1393"/>
      <c r="CF626" s="1393"/>
      <c r="CG626" s="1393"/>
      <c r="CH626" s="1393">
        <f>IF(J758="4 Bedrooms",O758,0)</f>
        <v>0</v>
      </c>
      <c r="CI626" s="1393"/>
      <c r="CJ626" s="1393"/>
      <c r="CK626" s="1393"/>
      <c r="CL626" s="1393"/>
      <c r="CM626" s="1393">
        <f>IF(J758="5 Bedrooms",O758,0)</f>
        <v>0</v>
      </c>
      <c r="CN626" s="1393"/>
      <c r="CO626" s="1393"/>
      <c r="CP626" s="1393"/>
      <c r="CQ626" s="1393"/>
      <c r="CR626" s="6"/>
      <c r="CS626" s="3"/>
      <c r="CT626" s="3"/>
      <c r="CU626" s="3"/>
      <c r="CV626" s="3"/>
      <c r="CW626" s="3"/>
      <c r="CX626" s="3"/>
      <c r="CY626" s="3"/>
      <c r="CZ626" s="3"/>
      <c r="DA626" s="3"/>
      <c r="DB626" s="3"/>
      <c r="DC626" s="3"/>
      <c r="DD626" s="3"/>
      <c r="DE626" s="3"/>
      <c r="DF626" s="3"/>
      <c r="DX626" s="1869">
        <f t="shared" si="23"/>
        <v>873.47619047619048</v>
      </c>
      <c r="DY626" s="1869"/>
      <c r="DZ626" s="1869"/>
      <c r="EA626" s="1869"/>
      <c r="EB626" s="1869"/>
      <c r="EC626" s="1869" t="e">
        <f t="shared" si="24"/>
        <v>#VALUE!</v>
      </c>
      <c r="ED626" s="1869"/>
      <c r="EE626" s="1869"/>
      <c r="EF626" s="1869"/>
      <c r="EG626" s="1869"/>
      <c r="EH626" s="1869" t="e">
        <f t="shared" si="25"/>
        <v>#VALUE!</v>
      </c>
      <c r="EI626" s="1869"/>
      <c r="EJ626" s="1869"/>
      <c r="EK626" s="1869"/>
      <c r="EL626" s="1869"/>
      <c r="EM626" s="1869" t="e">
        <f t="shared" si="26"/>
        <v>#VALUE!</v>
      </c>
      <c r="EN626" s="1869"/>
      <c r="EO626" s="1869"/>
      <c r="EP626" s="1869"/>
      <c r="EQ626" s="1869"/>
      <c r="ER626" s="1869" t="e">
        <f t="shared" si="27"/>
        <v>#VALUE!</v>
      </c>
      <c r="ES626" s="1869"/>
      <c r="ET626" s="1869"/>
      <c r="EU626" s="1869"/>
      <c r="EV626" s="1869"/>
      <c r="EW626" s="1869" t="e">
        <f t="shared" si="28"/>
        <v>#VALUE!</v>
      </c>
      <c r="EX626" s="1869"/>
      <c r="EY626" s="1869"/>
      <c r="EZ626" s="1869"/>
      <c r="FA626" s="1869"/>
    </row>
    <row r="627" spans="1:157" ht="12.95" customHeight="1">
      <c r="B627" s="52" t="s">
        <v>788</v>
      </c>
      <c r="C627" s="1720"/>
      <c r="D627" s="1720"/>
      <c r="E627" s="1720"/>
      <c r="F627" s="1720"/>
      <c r="G627" s="1720"/>
      <c r="H627" s="1720"/>
      <c r="I627" s="1720"/>
      <c r="J627" s="1720"/>
      <c r="K627" s="1720"/>
      <c r="L627" s="1720"/>
      <c r="M627" s="1870" t="s">
        <v>1328</v>
      </c>
      <c r="N627" s="1870"/>
      <c r="O627" s="1870"/>
      <c r="P627" s="1870"/>
      <c r="Q627" s="1872"/>
      <c r="R627" s="1555"/>
      <c r="S627" s="1873"/>
      <c r="T627" s="1872"/>
      <c r="U627" s="1555"/>
      <c r="V627" s="1873"/>
      <c r="W627" s="1608"/>
      <c r="X627" s="1609"/>
      <c r="Y627" s="1610"/>
      <c r="Z627" s="1721" t="s">
        <v>1328</v>
      </c>
      <c r="AA627" s="1722"/>
      <c r="AB627" s="1723"/>
      <c r="AC627" s="1427"/>
      <c r="AD627" s="1428"/>
      <c r="AE627" s="1429"/>
      <c r="AF627" s="1594"/>
      <c r="AG627" s="1595"/>
      <c r="AH627" s="1595"/>
      <c r="AI627" s="1595"/>
      <c r="AJ627" s="1596"/>
      <c r="AK627" s="1713"/>
      <c r="AL627" s="1714"/>
      <c r="AM627" s="1714"/>
      <c r="AN627" s="1715"/>
      <c r="AO627" s="1615"/>
      <c r="AP627" s="1616"/>
      <c r="AQ627" s="1616"/>
      <c r="AR627" s="1616"/>
      <c r="AS627" s="1617"/>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78">
        <f>IF(J759="SRO/Studio",O759,0)</f>
        <v>0</v>
      </c>
      <c r="BO627" s="1479"/>
      <c r="BP627" s="1479"/>
      <c r="BQ627" s="1479"/>
      <c r="BR627" s="1480"/>
      <c r="BS627" s="1393">
        <f>IF(J759="1 Bedroom",O759,0)</f>
        <v>0</v>
      </c>
      <c r="BT627" s="1393"/>
      <c r="BU627" s="1393"/>
      <c r="BV627" s="1393"/>
      <c r="BW627" s="1393"/>
      <c r="BX627" s="1393">
        <f>IF(J759="2 Bedrooms",O759,0)</f>
        <v>0</v>
      </c>
      <c r="BY627" s="1393"/>
      <c r="BZ627" s="1393"/>
      <c r="CA627" s="1393"/>
      <c r="CB627" s="1393"/>
      <c r="CC627" s="1393">
        <f>IF(J759="3 Bedrooms",O759,0)</f>
        <v>0</v>
      </c>
      <c r="CD627" s="1393"/>
      <c r="CE627" s="1393"/>
      <c r="CF627" s="1393"/>
      <c r="CG627" s="1393"/>
      <c r="CH627" s="1393">
        <f>IF(J759="4 Bedrooms",O759,0)</f>
        <v>0</v>
      </c>
      <c r="CI627" s="1393"/>
      <c r="CJ627" s="1393"/>
      <c r="CK627" s="1393"/>
      <c r="CL627" s="1393"/>
      <c r="CM627" s="1393">
        <f>IF(J759="5 Bedrooms",O759,0)</f>
        <v>0</v>
      </c>
      <c r="CN627" s="1393"/>
      <c r="CO627" s="1393"/>
      <c r="CP627" s="1393"/>
      <c r="CQ627" s="1393"/>
      <c r="CR627" s="6"/>
      <c r="CS627" s="3"/>
      <c r="CT627" s="3"/>
      <c r="CU627" s="3"/>
      <c r="CV627" s="3"/>
      <c r="CW627" s="3"/>
      <c r="CX627" s="3"/>
      <c r="CY627" s="3"/>
      <c r="CZ627" s="3"/>
      <c r="DA627" s="3"/>
      <c r="DB627" s="3"/>
      <c r="DC627" s="3"/>
      <c r="DD627" s="3"/>
      <c r="DE627" s="3"/>
      <c r="DF627" s="3"/>
      <c r="DX627" s="1869" t="e">
        <f t="shared" si="23"/>
        <v>#VALUE!</v>
      </c>
      <c r="DY627" s="1869"/>
      <c r="DZ627" s="1869"/>
      <c r="EA627" s="1869"/>
      <c r="EB627" s="1869"/>
      <c r="EC627" s="1869" t="e">
        <f t="shared" si="24"/>
        <v>#VALUE!</v>
      </c>
      <c r="ED627" s="1869"/>
      <c r="EE627" s="1869"/>
      <c r="EF627" s="1869"/>
      <c r="EG627" s="1869"/>
      <c r="EH627" s="1869" t="e">
        <f t="shared" si="25"/>
        <v>#VALUE!</v>
      </c>
      <c r="EI627" s="1869"/>
      <c r="EJ627" s="1869"/>
      <c r="EK627" s="1869"/>
      <c r="EL627" s="1869"/>
      <c r="EM627" s="1869" t="e">
        <f t="shared" si="26"/>
        <v>#VALUE!</v>
      </c>
      <c r="EN627" s="1869"/>
      <c r="EO627" s="1869"/>
      <c r="EP627" s="1869"/>
      <c r="EQ627" s="1869"/>
      <c r="ER627" s="1869" t="e">
        <f t="shared" si="27"/>
        <v>#VALUE!</v>
      </c>
      <c r="ES627" s="1869"/>
      <c r="ET627" s="1869"/>
      <c r="EU627" s="1869"/>
      <c r="EV627" s="1869"/>
      <c r="EW627" s="1869" t="e">
        <f t="shared" si="28"/>
        <v>#VALUE!</v>
      </c>
      <c r="EX627" s="1869"/>
      <c r="EY627" s="1869"/>
      <c r="EZ627" s="1869"/>
      <c r="FA627" s="1869"/>
    </row>
    <row r="628" spans="1:157" ht="12.95" customHeight="1">
      <c r="B628" s="52" t="s">
        <v>594</v>
      </c>
      <c r="C628" s="1720"/>
      <c r="D628" s="1720"/>
      <c r="E628" s="1720"/>
      <c r="F628" s="1720"/>
      <c r="G628" s="1720"/>
      <c r="H628" s="1720"/>
      <c r="I628" s="1720"/>
      <c r="J628" s="1720"/>
      <c r="K628" s="1720"/>
      <c r="L628" s="1720"/>
      <c r="M628" s="1870" t="s">
        <v>1328</v>
      </c>
      <c r="N628" s="1870"/>
      <c r="O628" s="1870"/>
      <c r="P628" s="1870"/>
      <c r="Q628" s="1872"/>
      <c r="R628" s="1555"/>
      <c r="S628" s="1873"/>
      <c r="T628" s="1872"/>
      <c r="U628" s="1555"/>
      <c r="V628" s="1873"/>
      <c r="W628" s="1608"/>
      <c r="X628" s="1609"/>
      <c r="Y628" s="1610"/>
      <c r="Z628" s="1721" t="s">
        <v>1328</v>
      </c>
      <c r="AA628" s="1722"/>
      <c r="AB628" s="1723"/>
      <c r="AC628" s="1427"/>
      <c r="AD628" s="1428"/>
      <c r="AE628" s="1429"/>
      <c r="AF628" s="1594"/>
      <c r="AG628" s="1595"/>
      <c r="AH628" s="1595"/>
      <c r="AI628" s="1595"/>
      <c r="AJ628" s="1596"/>
      <c r="AK628" s="1713"/>
      <c r="AL628" s="1714"/>
      <c r="AM628" s="1714"/>
      <c r="AN628" s="1715"/>
      <c r="AO628" s="1615"/>
      <c r="AP628" s="1616"/>
      <c r="AQ628" s="1616"/>
      <c r="AR628" s="1616"/>
      <c r="AS628" s="1617"/>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78">
        <f>IF(J760="SRO/Studio",O760,0)</f>
        <v>0</v>
      </c>
      <c r="BO628" s="1479"/>
      <c r="BP628" s="1479"/>
      <c r="BQ628" s="1479"/>
      <c r="BR628" s="1480"/>
      <c r="BS628" s="1393">
        <f>IF(J760="1 Bedroom",O760,0)</f>
        <v>0</v>
      </c>
      <c r="BT628" s="1393"/>
      <c r="BU628" s="1393"/>
      <c r="BV628" s="1393"/>
      <c r="BW628" s="1393"/>
      <c r="BX628" s="1393">
        <f>IF(J760="2 Bedrooms",O760,0)</f>
        <v>0</v>
      </c>
      <c r="BY628" s="1393"/>
      <c r="BZ628" s="1393"/>
      <c r="CA628" s="1393"/>
      <c r="CB628" s="1393"/>
      <c r="CC628" s="1393">
        <f>IF(J760="3 Bedrooms",O760,0)</f>
        <v>0</v>
      </c>
      <c r="CD628" s="1393"/>
      <c r="CE628" s="1393"/>
      <c r="CF628" s="1393"/>
      <c r="CG628" s="1393"/>
      <c r="CH628" s="1393">
        <f>IF(J760="4 Bedrooms",O760,0)</f>
        <v>0</v>
      </c>
      <c r="CI628" s="1393"/>
      <c r="CJ628" s="1393"/>
      <c r="CK628" s="1393"/>
      <c r="CL628" s="1393"/>
      <c r="CM628" s="1393">
        <f>IF(J760="5 Bedrooms",O760,0)</f>
        <v>0</v>
      </c>
      <c r="CN628" s="1393"/>
      <c r="CO628" s="1393"/>
      <c r="CP628" s="1393"/>
      <c r="CQ628" s="1393"/>
      <c r="CR628" s="1049"/>
      <c r="CV628" s="3"/>
      <c r="CW628" s="3"/>
      <c r="CX628" s="3"/>
      <c r="CY628" s="3"/>
      <c r="CZ628" s="3"/>
      <c r="DA628" s="3"/>
      <c r="DB628" s="3"/>
      <c r="DC628" s="3"/>
      <c r="DD628" s="3"/>
      <c r="DE628" s="3"/>
      <c r="DF628" s="3"/>
      <c r="DX628" s="1869" t="e">
        <f t="shared" si="23"/>
        <v>#VALUE!</v>
      </c>
      <c r="DY628" s="1869"/>
      <c r="DZ628" s="1869"/>
      <c r="EA628" s="1869"/>
      <c r="EB628" s="1869"/>
      <c r="EC628" s="1869">
        <f t="shared" si="24"/>
        <v>78.439024390243901</v>
      </c>
      <c r="ED628" s="1869"/>
      <c r="EE628" s="1869"/>
      <c r="EF628" s="1869"/>
      <c r="EG628" s="1869"/>
      <c r="EH628" s="1869" t="e">
        <f t="shared" si="25"/>
        <v>#VALUE!</v>
      </c>
      <c r="EI628" s="1869"/>
      <c r="EJ628" s="1869"/>
      <c r="EK628" s="1869"/>
      <c r="EL628" s="1869"/>
      <c r="EM628" s="1869" t="e">
        <f t="shared" si="26"/>
        <v>#VALUE!</v>
      </c>
      <c r="EN628" s="1869"/>
      <c r="EO628" s="1869"/>
      <c r="EP628" s="1869"/>
      <c r="EQ628" s="1869"/>
      <c r="ER628" s="1869" t="e">
        <f t="shared" si="27"/>
        <v>#VALUE!</v>
      </c>
      <c r="ES628" s="1869"/>
      <c r="ET628" s="1869"/>
      <c r="EU628" s="1869"/>
      <c r="EV628" s="1869"/>
      <c r="EW628" s="1869" t="e">
        <f t="shared" si="28"/>
        <v>#VALUE!</v>
      </c>
      <c r="EX628" s="1869"/>
      <c r="EY628" s="1869"/>
      <c r="EZ628" s="1869"/>
      <c r="FA628" s="1869"/>
    </row>
    <row r="629" spans="1:157" ht="12.95" customHeight="1">
      <c r="B629" s="52" t="s">
        <v>465</v>
      </c>
      <c r="C629" s="1720"/>
      <c r="D629" s="1720"/>
      <c r="E629" s="1720"/>
      <c r="F629" s="1720"/>
      <c r="G629" s="1720"/>
      <c r="H629" s="1720"/>
      <c r="I629" s="1720"/>
      <c r="J629" s="1720"/>
      <c r="K629" s="1720"/>
      <c r="L629" s="1720"/>
      <c r="M629" s="1870" t="s">
        <v>1328</v>
      </c>
      <c r="N629" s="1870"/>
      <c r="O629" s="1870"/>
      <c r="P629" s="1870"/>
      <c r="Q629" s="1872"/>
      <c r="R629" s="1555"/>
      <c r="S629" s="1873"/>
      <c r="T629" s="1872"/>
      <c r="U629" s="1555"/>
      <c r="V629" s="1873"/>
      <c r="W629" s="1608"/>
      <c r="X629" s="1609"/>
      <c r="Y629" s="1610"/>
      <c r="Z629" s="1721" t="s">
        <v>1328</v>
      </c>
      <c r="AA629" s="1722"/>
      <c r="AB629" s="1723"/>
      <c r="AC629" s="1427"/>
      <c r="AD629" s="1428"/>
      <c r="AE629" s="1429"/>
      <c r="AF629" s="1594"/>
      <c r="AG629" s="1595"/>
      <c r="AH629" s="1595"/>
      <c r="AI629" s="1595"/>
      <c r="AJ629" s="1596"/>
      <c r="AK629" s="1713"/>
      <c r="AL629" s="1714"/>
      <c r="AM629" s="1714"/>
      <c r="AN629" s="1715"/>
      <c r="AO629" s="1615"/>
      <c r="AP629" s="1616"/>
      <c r="AQ629" s="1616"/>
      <c r="AR629" s="1616"/>
      <c r="AS629" s="1617"/>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78">
        <f>IF(J761="SRO/Studio",O761,0)</f>
        <v>0</v>
      </c>
      <c r="BO629" s="1479"/>
      <c r="BP629" s="1479"/>
      <c r="BQ629" s="1479"/>
      <c r="BR629" s="1480"/>
      <c r="BS629" s="1393">
        <f>IF(J761="1 Bedroom",O761,0)</f>
        <v>0</v>
      </c>
      <c r="BT629" s="1393"/>
      <c r="BU629" s="1393"/>
      <c r="BV629" s="1393"/>
      <c r="BW629" s="1393"/>
      <c r="BX629" s="1393">
        <f>IF(J761="2 Bedrooms",O761,0)</f>
        <v>0</v>
      </c>
      <c r="BY629" s="1393"/>
      <c r="BZ629" s="1393"/>
      <c r="CA629" s="1393"/>
      <c r="CB629" s="1393"/>
      <c r="CC629" s="1393">
        <f>IF(J761="3 Bedrooms",O761,0)</f>
        <v>0</v>
      </c>
      <c r="CD629" s="1393"/>
      <c r="CE629" s="1393"/>
      <c r="CF629" s="1393"/>
      <c r="CG629" s="1393"/>
      <c r="CH629" s="1393">
        <f>IF(J761="4 Bedrooms",O761,0)</f>
        <v>0</v>
      </c>
      <c r="CI629" s="1393"/>
      <c r="CJ629" s="1393"/>
      <c r="CK629" s="1393"/>
      <c r="CL629" s="1393"/>
      <c r="CM629" s="1393">
        <f>IF(J761="5 Bedrooms",O761,0)</f>
        <v>0</v>
      </c>
      <c r="CN629" s="1393"/>
      <c r="CO629" s="1393"/>
      <c r="CP629" s="1393"/>
      <c r="CQ629" s="1393"/>
      <c r="CV629" s="3"/>
      <c r="CW629" s="3"/>
      <c r="CX629" s="3"/>
      <c r="CY629" s="3"/>
      <c r="CZ629" s="3"/>
      <c r="DA629" s="3"/>
      <c r="DB629" s="3"/>
      <c r="DC629" s="3"/>
      <c r="DD629" s="3"/>
      <c r="DE629" s="3"/>
      <c r="DF629" s="3"/>
      <c r="DX629" s="1869" t="e">
        <f t="shared" si="23"/>
        <v>#VALUE!</v>
      </c>
      <c r="DY629" s="1869"/>
      <c r="DZ629" s="1869"/>
      <c r="EA629" s="1869"/>
      <c r="EB629" s="1869"/>
      <c r="EC629" s="1869">
        <f t="shared" si="24"/>
        <v>26.146341463414636</v>
      </c>
      <c r="ED629" s="1869"/>
      <c r="EE629" s="1869"/>
      <c r="EF629" s="1869"/>
      <c r="EG629" s="1869"/>
      <c r="EH629" s="1869" t="e">
        <f t="shared" si="25"/>
        <v>#VALUE!</v>
      </c>
      <c r="EI629" s="1869"/>
      <c r="EJ629" s="1869"/>
      <c r="EK629" s="1869"/>
      <c r="EL629" s="1869"/>
      <c r="EM629" s="1869" t="e">
        <f t="shared" si="26"/>
        <v>#VALUE!</v>
      </c>
      <c r="EN629" s="1869"/>
      <c r="EO629" s="1869"/>
      <c r="EP629" s="1869"/>
      <c r="EQ629" s="1869"/>
      <c r="ER629" s="1869" t="e">
        <f t="shared" si="27"/>
        <v>#VALUE!</v>
      </c>
      <c r="ES629" s="1869"/>
      <c r="ET629" s="1869"/>
      <c r="EU629" s="1869"/>
      <c r="EV629" s="1869"/>
      <c r="EW629" s="1869" t="e">
        <f t="shared" si="28"/>
        <v>#VALUE!</v>
      </c>
      <c r="EX629" s="1869"/>
      <c r="EY629" s="1869"/>
      <c r="EZ629" s="1869"/>
      <c r="FA629" s="1869"/>
    </row>
    <row r="630" spans="1:157" ht="12.95" customHeight="1">
      <c r="B630" s="52" t="s">
        <v>466</v>
      </c>
      <c r="C630" s="1720"/>
      <c r="D630" s="1720"/>
      <c r="E630" s="1720"/>
      <c r="F630" s="1720"/>
      <c r="G630" s="1720"/>
      <c r="H630" s="1720"/>
      <c r="I630" s="1720"/>
      <c r="J630" s="1720"/>
      <c r="K630" s="1720"/>
      <c r="L630" s="1720"/>
      <c r="M630" s="1870" t="s">
        <v>1328</v>
      </c>
      <c r="N630" s="1870"/>
      <c r="O630" s="1870"/>
      <c r="P630" s="1870"/>
      <c r="Q630" s="1872"/>
      <c r="R630" s="1555"/>
      <c r="S630" s="1873"/>
      <c r="T630" s="1872"/>
      <c r="U630" s="1555"/>
      <c r="V630" s="1873"/>
      <c r="W630" s="1608"/>
      <c r="X630" s="1609"/>
      <c r="Y630" s="1610"/>
      <c r="Z630" s="1721" t="s">
        <v>1328</v>
      </c>
      <c r="AA630" s="1722"/>
      <c r="AB630" s="1723"/>
      <c r="AC630" s="1427"/>
      <c r="AD630" s="1428"/>
      <c r="AE630" s="1429"/>
      <c r="AF630" s="1594"/>
      <c r="AG630" s="1595"/>
      <c r="AH630" s="1595"/>
      <c r="AI630" s="1595"/>
      <c r="AJ630" s="1596"/>
      <c r="AK630" s="1713"/>
      <c r="AL630" s="1714"/>
      <c r="AM630" s="1714"/>
      <c r="AN630" s="1715"/>
      <c r="AO630" s="1615"/>
      <c r="AP630" s="1616"/>
      <c r="AQ630" s="1616"/>
      <c r="AR630" s="1616"/>
      <c r="AS630" s="1617"/>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76">
        <f>SUM(BN626:BR629)</f>
        <v>0</v>
      </c>
      <c r="BO630" s="1515"/>
      <c r="BP630" s="1515"/>
      <c r="BQ630" s="1515"/>
      <c r="BR630" s="1477"/>
      <c r="BS630" s="1710">
        <f>SUM(BS626:BW629)</f>
        <v>0</v>
      </c>
      <c r="BT630" s="1711"/>
      <c r="BU630" s="1711"/>
      <c r="BV630" s="1711"/>
      <c r="BW630" s="1712"/>
      <c r="BX630" s="1710">
        <f>SUM(BX626:CB629)</f>
        <v>2</v>
      </c>
      <c r="BY630" s="1711"/>
      <c r="BZ630" s="1711"/>
      <c r="CA630" s="1711"/>
      <c r="CB630" s="1712"/>
      <c r="CC630" s="1710">
        <f>SUM(CC626:CG629)</f>
        <v>0</v>
      </c>
      <c r="CD630" s="1711"/>
      <c r="CE630" s="1711"/>
      <c r="CF630" s="1711"/>
      <c r="CG630" s="1712"/>
      <c r="CH630" s="1710">
        <f>SUM(CH626:CL629)</f>
        <v>0</v>
      </c>
      <c r="CI630" s="1711"/>
      <c r="CJ630" s="1711"/>
      <c r="CK630" s="1711"/>
      <c r="CL630" s="1712"/>
      <c r="CM630" s="1710">
        <f>SUM(CM626:CQ629)</f>
        <v>0</v>
      </c>
      <c r="CN630" s="1711"/>
      <c r="CO630" s="1711"/>
      <c r="CP630" s="1711"/>
      <c r="CQ630" s="1712"/>
      <c r="CS630" s="897">
        <f>BN630+BS630+BX630+CC630+CH630+CM630</f>
        <v>2</v>
      </c>
      <c r="CT630" s="57" t="s">
        <v>2125</v>
      </c>
      <c r="CU630" s="3"/>
      <c r="CV630" s="3"/>
      <c r="CW630" s="3"/>
      <c r="CX630" s="3"/>
      <c r="CY630" s="3"/>
      <c r="CZ630" s="3"/>
      <c r="DA630" s="3"/>
      <c r="DB630" s="3"/>
      <c r="DC630" s="3"/>
      <c r="DD630" s="3"/>
      <c r="DE630" s="3"/>
      <c r="DF630" s="3"/>
      <c r="DX630" s="1869" t="e">
        <f t="shared" si="23"/>
        <v>#VALUE!</v>
      </c>
      <c r="DY630" s="1869"/>
      <c r="DZ630" s="1869"/>
      <c r="EA630" s="1869"/>
      <c r="EB630" s="1869"/>
      <c r="EC630" s="1869">
        <f t="shared" si="24"/>
        <v>923.19512195121956</v>
      </c>
      <c r="ED630" s="1869"/>
      <c r="EE630" s="1869"/>
      <c r="EF630" s="1869"/>
      <c r="EG630" s="1869"/>
      <c r="EH630" s="1869" t="e">
        <f t="shared" si="25"/>
        <v>#VALUE!</v>
      </c>
      <c r="EI630" s="1869"/>
      <c r="EJ630" s="1869"/>
      <c r="EK630" s="1869"/>
      <c r="EL630" s="1869"/>
      <c r="EM630" s="1869" t="e">
        <f t="shared" si="26"/>
        <v>#VALUE!</v>
      </c>
      <c r="EN630" s="1869"/>
      <c r="EO630" s="1869"/>
      <c r="EP630" s="1869"/>
      <c r="EQ630" s="1869"/>
      <c r="ER630" s="1869" t="e">
        <f t="shared" si="27"/>
        <v>#VALUE!</v>
      </c>
      <c r="ES630" s="1869"/>
      <c r="ET630" s="1869"/>
      <c r="EU630" s="1869"/>
      <c r="EV630" s="1869"/>
      <c r="EW630" s="1869" t="e">
        <f t="shared" si="28"/>
        <v>#VALUE!</v>
      </c>
      <c r="EX630" s="1869"/>
      <c r="EY630" s="1869"/>
      <c r="EZ630" s="1869"/>
      <c r="FA630" s="1869"/>
    </row>
    <row r="631" spans="1:157" ht="12.95" customHeight="1">
      <c r="B631" s="52" t="s">
        <v>471</v>
      </c>
      <c r="C631" s="1720"/>
      <c r="D631" s="1720"/>
      <c r="E631" s="1720"/>
      <c r="F631" s="1720"/>
      <c r="G631" s="1720"/>
      <c r="H631" s="1720"/>
      <c r="I631" s="1720"/>
      <c r="J631" s="1720"/>
      <c r="K631" s="1720"/>
      <c r="L631" s="1720"/>
      <c r="M631" s="1870" t="s">
        <v>1328</v>
      </c>
      <c r="N631" s="1870"/>
      <c r="O631" s="1870"/>
      <c r="P631" s="1870"/>
      <c r="Q631" s="1872"/>
      <c r="R631" s="1555"/>
      <c r="S631" s="1873"/>
      <c r="T631" s="1872"/>
      <c r="U631" s="1555"/>
      <c r="V631" s="1873"/>
      <c r="W631" s="1608"/>
      <c r="X631" s="1609"/>
      <c r="Y631" s="1610"/>
      <c r="Z631" s="1721" t="s">
        <v>1328</v>
      </c>
      <c r="AA631" s="1722"/>
      <c r="AB631" s="1723"/>
      <c r="AC631" s="1427"/>
      <c r="AD631" s="1428"/>
      <c r="AE631" s="1429"/>
      <c r="AF631" s="1594"/>
      <c r="AG631" s="1595"/>
      <c r="AH631" s="1595"/>
      <c r="AI631" s="1595"/>
      <c r="AJ631" s="1596"/>
      <c r="AK631" s="1713"/>
      <c r="AL631" s="1714"/>
      <c r="AM631" s="1714"/>
      <c r="AN631" s="1715"/>
      <c r="AO631" s="1615"/>
      <c r="AP631" s="1616"/>
      <c r="AQ631" s="1616"/>
      <c r="AR631" s="1616"/>
      <c r="AS631" s="1617"/>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2127</v>
      </c>
      <c r="CU631" s="3"/>
      <c r="CV631" s="3"/>
      <c r="CW631" s="3"/>
      <c r="CX631" s="3"/>
      <c r="CY631" s="3"/>
      <c r="CZ631" s="3"/>
      <c r="DA631" s="3"/>
      <c r="DB631" s="3"/>
      <c r="DC631" s="3"/>
      <c r="DD631" s="3"/>
      <c r="DE631" s="3"/>
      <c r="DF631" s="3"/>
      <c r="DX631" s="1869" t="e">
        <f t="shared" si="23"/>
        <v>#VALUE!</v>
      </c>
      <c r="DY631" s="1869"/>
      <c r="DZ631" s="1869"/>
      <c r="EA631" s="1869"/>
      <c r="EB631" s="1869"/>
      <c r="EC631" s="1869" t="e">
        <f t="shared" si="24"/>
        <v>#VALUE!</v>
      </c>
      <c r="ED631" s="1869"/>
      <c r="EE631" s="1869"/>
      <c r="EF631" s="1869"/>
      <c r="EG631" s="1869"/>
      <c r="EH631" s="1869">
        <f t="shared" si="25"/>
        <v>105.16666666666666</v>
      </c>
      <c r="EI631" s="1869"/>
      <c r="EJ631" s="1869"/>
      <c r="EK631" s="1869"/>
      <c r="EL631" s="1869"/>
      <c r="EM631" s="1869" t="e">
        <f t="shared" si="26"/>
        <v>#VALUE!</v>
      </c>
      <c r="EN631" s="1869"/>
      <c r="EO631" s="1869"/>
      <c r="EP631" s="1869"/>
      <c r="EQ631" s="1869"/>
      <c r="ER631" s="1869" t="e">
        <f t="shared" si="27"/>
        <v>#VALUE!</v>
      </c>
      <c r="ES631" s="1869"/>
      <c r="ET631" s="1869"/>
      <c r="EU631" s="1869"/>
      <c r="EV631" s="1869"/>
      <c r="EW631" s="1869" t="e">
        <f t="shared" si="28"/>
        <v>#VALUE!</v>
      </c>
      <c r="EX631" s="1869"/>
      <c r="EY631" s="1869"/>
      <c r="EZ631" s="1869"/>
      <c r="FA631" s="1869"/>
    </row>
    <row r="632" spans="1:157" ht="12.95" customHeight="1">
      <c r="B632" s="52" t="s">
        <v>656</v>
      </c>
      <c r="C632" s="1720"/>
      <c r="D632" s="1720"/>
      <c r="E632" s="1720"/>
      <c r="F632" s="1720"/>
      <c r="G632" s="1720"/>
      <c r="H632" s="1720"/>
      <c r="I632" s="1720"/>
      <c r="J632" s="1720"/>
      <c r="K632" s="1720"/>
      <c r="L632" s="1720"/>
      <c r="M632" s="1870" t="s">
        <v>1328</v>
      </c>
      <c r="N632" s="1870"/>
      <c r="O632" s="1870"/>
      <c r="P632" s="1870"/>
      <c r="Q632" s="1872"/>
      <c r="R632" s="1555"/>
      <c r="S632" s="1873"/>
      <c r="T632" s="1872"/>
      <c r="U632" s="1555"/>
      <c r="V632" s="1873"/>
      <c r="W632" s="1608"/>
      <c r="X632" s="1609"/>
      <c r="Y632" s="1610"/>
      <c r="Z632" s="1721" t="s">
        <v>1328</v>
      </c>
      <c r="AA632" s="1722"/>
      <c r="AB632" s="1723"/>
      <c r="AC632" s="1427"/>
      <c r="AD632" s="1428"/>
      <c r="AE632" s="1429"/>
      <c r="AF632" s="1594"/>
      <c r="AG632" s="1595"/>
      <c r="AH632" s="1595"/>
      <c r="AI632" s="1595"/>
      <c r="AJ632" s="1596"/>
      <c r="AK632" s="1713"/>
      <c r="AL632" s="1714"/>
      <c r="AM632" s="1714"/>
      <c r="AN632" s="1715"/>
      <c r="AO632" s="1615"/>
      <c r="AP632" s="1616"/>
      <c r="AQ632" s="1616"/>
      <c r="AR632" s="1616"/>
      <c r="AS632" s="1617"/>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9" t="e">
        <f t="shared" si="23"/>
        <v>#VALUE!</v>
      </c>
      <c r="DY632" s="1869"/>
      <c r="DZ632" s="1869"/>
      <c r="EA632" s="1869"/>
      <c r="EB632" s="1869"/>
      <c r="EC632" s="1869" t="e">
        <f t="shared" si="24"/>
        <v>#VALUE!</v>
      </c>
      <c r="ED632" s="1869"/>
      <c r="EE632" s="1869"/>
      <c r="EF632" s="1869"/>
      <c r="EG632" s="1869"/>
      <c r="EH632" s="1869">
        <f t="shared" si="25"/>
        <v>42.066666666666663</v>
      </c>
      <c r="EI632" s="1869"/>
      <c r="EJ632" s="1869"/>
      <c r="EK632" s="1869"/>
      <c r="EL632" s="1869"/>
      <c r="EM632" s="1869" t="e">
        <f t="shared" si="26"/>
        <v>#VALUE!</v>
      </c>
      <c r="EN632" s="1869"/>
      <c r="EO632" s="1869"/>
      <c r="EP632" s="1869"/>
      <c r="EQ632" s="1869"/>
      <c r="ER632" s="1869" t="e">
        <f t="shared" si="27"/>
        <v>#VALUE!</v>
      </c>
      <c r="ES632" s="1869"/>
      <c r="ET632" s="1869"/>
      <c r="EU632" s="1869"/>
      <c r="EV632" s="1869"/>
      <c r="EW632" s="1869" t="e">
        <f t="shared" si="28"/>
        <v>#VALUE!</v>
      </c>
      <c r="EX632" s="1869"/>
      <c r="EY632" s="1869"/>
      <c r="EZ632" s="1869"/>
      <c r="FA632" s="1869"/>
    </row>
    <row r="633" spans="1:157" ht="12.95" customHeight="1">
      <c r="B633" s="52" t="s">
        <v>364</v>
      </c>
      <c r="C633" s="1720"/>
      <c r="D633" s="1720"/>
      <c r="E633" s="1720"/>
      <c r="F633" s="1720"/>
      <c r="G633" s="1720"/>
      <c r="H633" s="1720"/>
      <c r="I633" s="1720"/>
      <c r="J633" s="1720"/>
      <c r="K633" s="1720"/>
      <c r="L633" s="1720"/>
      <c r="M633" s="1870" t="s">
        <v>1328</v>
      </c>
      <c r="N633" s="1870"/>
      <c r="O633" s="1870"/>
      <c r="P633" s="1870"/>
      <c r="Q633" s="1872"/>
      <c r="R633" s="1555"/>
      <c r="S633" s="1873"/>
      <c r="T633" s="1872"/>
      <c r="U633" s="1555"/>
      <c r="V633" s="1873"/>
      <c r="W633" s="1608"/>
      <c r="X633" s="1609"/>
      <c r="Y633" s="1610"/>
      <c r="Z633" s="1721" t="s">
        <v>1328</v>
      </c>
      <c r="AA633" s="1722"/>
      <c r="AB633" s="1723"/>
      <c r="AC633" s="1427"/>
      <c r="AD633" s="1428"/>
      <c r="AE633" s="1429"/>
      <c r="AF633" s="1594"/>
      <c r="AG633" s="1595"/>
      <c r="AH633" s="1595"/>
      <c r="AI633" s="1595"/>
      <c r="AJ633" s="1596"/>
      <c r="AK633" s="1713"/>
      <c r="AL633" s="1714"/>
      <c r="AM633" s="1714"/>
      <c r="AN633" s="1715"/>
      <c r="AO633" s="1615"/>
      <c r="AP633" s="1616"/>
      <c r="AQ633" s="1616"/>
      <c r="AR633" s="1616"/>
      <c r="AS633" s="1617"/>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2135</v>
      </c>
      <c r="CT633" s="3"/>
      <c r="CU633" s="3"/>
      <c r="CV633" s="3"/>
      <c r="CW633" s="3"/>
      <c r="CX633" s="3"/>
      <c r="CY633" s="3"/>
      <c r="CZ633" s="3"/>
      <c r="DA633" s="3"/>
      <c r="DB633" s="3"/>
      <c r="DC633" s="3"/>
      <c r="DD633" s="3"/>
      <c r="DE633" s="3"/>
      <c r="DF633" s="3"/>
      <c r="DX633" s="1869" t="e">
        <f t="shared" si="23"/>
        <v>#VALUE!</v>
      </c>
      <c r="DY633" s="1869"/>
      <c r="DZ633" s="1869"/>
      <c r="EA633" s="1869"/>
      <c r="EB633" s="1869"/>
      <c r="EC633" s="1869" t="e">
        <f t="shared" si="24"/>
        <v>#VALUE!</v>
      </c>
      <c r="ED633" s="1869"/>
      <c r="EE633" s="1869"/>
      <c r="EF633" s="1869"/>
      <c r="EG633" s="1869"/>
      <c r="EH633" s="1869">
        <f t="shared" si="25"/>
        <v>1046.5</v>
      </c>
      <c r="EI633" s="1869"/>
      <c r="EJ633" s="1869"/>
      <c r="EK633" s="1869"/>
      <c r="EL633" s="1869"/>
      <c r="EM633" s="1869" t="e">
        <f t="shared" si="26"/>
        <v>#VALUE!</v>
      </c>
      <c r="EN633" s="1869"/>
      <c r="EO633" s="1869"/>
      <c r="EP633" s="1869"/>
      <c r="EQ633" s="1869"/>
      <c r="ER633" s="1869" t="e">
        <f t="shared" si="27"/>
        <v>#VALUE!</v>
      </c>
      <c r="ES633" s="1869"/>
      <c r="ET633" s="1869"/>
      <c r="EU633" s="1869"/>
      <c r="EV633" s="1869"/>
      <c r="EW633" s="1869" t="e">
        <f t="shared" si="28"/>
        <v>#VALUE!</v>
      </c>
      <c r="EX633" s="1869"/>
      <c r="EY633" s="1869"/>
      <c r="EZ633" s="1869"/>
      <c r="FA633" s="1869"/>
    </row>
    <row r="634" spans="1:157" ht="12.95" customHeight="1">
      <c r="B634" s="52" t="s">
        <v>365</v>
      </c>
      <c r="C634" s="1720"/>
      <c r="D634" s="1720"/>
      <c r="E634" s="1720"/>
      <c r="F634" s="1720"/>
      <c r="G634" s="1720"/>
      <c r="H634" s="1720"/>
      <c r="I634" s="1720"/>
      <c r="J634" s="1720"/>
      <c r="K634" s="1720"/>
      <c r="L634" s="1720"/>
      <c r="M634" s="1870" t="s">
        <v>1328</v>
      </c>
      <c r="N634" s="1870"/>
      <c r="O634" s="1870"/>
      <c r="P634" s="1870"/>
      <c r="Q634" s="1872"/>
      <c r="R634" s="1555"/>
      <c r="S634" s="1873"/>
      <c r="T634" s="1872"/>
      <c r="U634" s="1555"/>
      <c r="V634" s="1873"/>
      <c r="W634" s="1608"/>
      <c r="X634" s="1609"/>
      <c r="Y634" s="1610"/>
      <c r="Z634" s="1721" t="s">
        <v>1328</v>
      </c>
      <c r="AA634" s="1722"/>
      <c r="AB634" s="1723"/>
      <c r="AC634" s="1427"/>
      <c r="AD634" s="1428"/>
      <c r="AE634" s="1429"/>
      <c r="AF634" s="1594"/>
      <c r="AG634" s="1595"/>
      <c r="AH634" s="1595"/>
      <c r="AI634" s="1595"/>
      <c r="AJ634" s="1596"/>
      <c r="AK634" s="1713"/>
      <c r="AL634" s="1714"/>
      <c r="AM634" s="1714"/>
      <c r="AN634" s="1715"/>
      <c r="AO634" s="1615"/>
      <c r="AP634" s="1616"/>
      <c r="AQ634" s="1616"/>
      <c r="AR634" s="1616"/>
      <c r="AS634" s="1617"/>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78">
        <f t="shared" ref="BN634:BN643" si="30">IF(J772="SRO/Studio",O772,0)</f>
        <v>0</v>
      </c>
      <c r="BO634" s="1479"/>
      <c r="BP634" s="1479"/>
      <c r="BQ634" s="1479"/>
      <c r="BR634" s="1480"/>
      <c r="BS634" s="1393">
        <f t="shared" ref="BS634:BS643" si="31">IF(J772="1 Bedroom",O772,0)</f>
        <v>0</v>
      </c>
      <c r="BT634" s="1393"/>
      <c r="BU634" s="1393"/>
      <c r="BV634" s="1393"/>
      <c r="BW634" s="1393"/>
      <c r="BX634" s="1393">
        <f t="shared" ref="BX634:BX643" si="32">IF(J772="2 Bedrooms",O772,0)</f>
        <v>0</v>
      </c>
      <c r="BY634" s="1393"/>
      <c r="BZ634" s="1393"/>
      <c r="CA634" s="1393"/>
      <c r="CB634" s="1393"/>
      <c r="CC634" s="1393">
        <f t="shared" ref="CC634:CC643" si="33">IF(J772="3 Bedrooms",O772,0)</f>
        <v>0</v>
      </c>
      <c r="CD634" s="1393"/>
      <c r="CE634" s="1393"/>
      <c r="CF634" s="1393"/>
      <c r="CG634" s="1393"/>
      <c r="CH634" s="1393">
        <f t="shared" ref="CH634:CH643" si="34">IF(J772="4 Bedrooms",O772,0)</f>
        <v>0</v>
      </c>
      <c r="CI634" s="1393"/>
      <c r="CJ634" s="1393"/>
      <c r="CK634" s="1393"/>
      <c r="CL634" s="1393"/>
      <c r="CM634" s="1393">
        <f t="shared" ref="CM634:CM643" si="35">IF(J772="5 Bedrooms",O772,0)</f>
        <v>0</v>
      </c>
      <c r="CN634" s="1393"/>
      <c r="CO634" s="1393"/>
      <c r="CP634" s="1393"/>
      <c r="CQ634" s="1393"/>
      <c r="CR634" s="6"/>
      <c r="CS634" s="1478">
        <f>IF(AND(BN634&gt;=1,AH772&gt;=0.1,AH772&lt;=1),O772,0)</f>
        <v>0</v>
      </c>
      <c r="CT634" s="1479"/>
      <c r="CU634" s="1479"/>
      <c r="CV634" s="1479"/>
      <c r="CW634" s="1480"/>
      <c r="CX634" s="1478">
        <f>IF(AND(BS634&gt;=1,AH772&gt;=0.1,AH772&lt;=1),O772,0)</f>
        <v>0</v>
      </c>
      <c r="CY634" s="1479"/>
      <c r="CZ634" s="1479"/>
      <c r="DA634" s="1479"/>
      <c r="DB634" s="1480"/>
      <c r="DC634" s="1478">
        <f>IF(AND(BX634&gt;=1,AH772&gt;=0.1,AH772&lt;=1),O772,0)</f>
        <v>0</v>
      </c>
      <c r="DD634" s="1479"/>
      <c r="DE634" s="1479"/>
      <c r="DF634" s="1479"/>
      <c r="DG634" s="1480"/>
      <c r="DH634" s="1478">
        <f>IF(AND(CC634&gt;=1,AH772&gt;=0.1,AH772&lt;=1),O772,0)</f>
        <v>0</v>
      </c>
      <c r="DI634" s="1479"/>
      <c r="DJ634" s="1479"/>
      <c r="DK634" s="1479"/>
      <c r="DL634" s="1480"/>
      <c r="DM634" s="1478">
        <f>IF(AND(CH634&gt;=1,AH772&gt;=0.1,AH772&lt;=1),O772,0)</f>
        <v>0</v>
      </c>
      <c r="DN634" s="1479"/>
      <c r="DO634" s="1479"/>
      <c r="DP634" s="1479"/>
      <c r="DQ634" s="1480"/>
      <c r="DR634" s="1478">
        <f>IF(AND(CM634&gt;=1,AH772&gt;=0.1,AH772&lt;=1),O772,0)</f>
        <v>0</v>
      </c>
      <c r="DS634" s="1479"/>
      <c r="DT634" s="1479"/>
      <c r="DU634" s="1479"/>
      <c r="DV634" s="1480"/>
      <c r="DX634" s="1869" t="e">
        <f t="shared" si="23"/>
        <v>#VALUE!</v>
      </c>
      <c r="DY634" s="1869"/>
      <c r="DZ634" s="1869"/>
      <c r="EA634" s="1869"/>
      <c r="EB634" s="1869"/>
      <c r="EC634" s="1869" t="e">
        <f t="shared" si="24"/>
        <v>#VALUE!</v>
      </c>
      <c r="ED634" s="1869"/>
      <c r="EE634" s="1869"/>
      <c r="EF634" s="1869"/>
      <c r="EG634" s="1869"/>
      <c r="EH634" s="1869" t="e">
        <f t="shared" si="25"/>
        <v>#VALUE!</v>
      </c>
      <c r="EI634" s="1869"/>
      <c r="EJ634" s="1869"/>
      <c r="EK634" s="1869"/>
      <c r="EL634" s="1869"/>
      <c r="EM634" s="1869" t="e">
        <f t="shared" si="26"/>
        <v>#VALUE!</v>
      </c>
      <c r="EN634" s="1869"/>
      <c r="EO634" s="1869"/>
      <c r="EP634" s="1869"/>
      <c r="EQ634" s="1869"/>
      <c r="ER634" s="1869" t="e">
        <f t="shared" si="27"/>
        <v>#VALUE!</v>
      </c>
      <c r="ES634" s="1869"/>
      <c r="ET634" s="1869"/>
      <c r="EU634" s="1869"/>
      <c r="EV634" s="1869"/>
      <c r="EW634" s="1869" t="e">
        <f t="shared" si="28"/>
        <v>#VALUE!</v>
      </c>
      <c r="EX634" s="1869"/>
      <c r="EY634" s="1869"/>
      <c r="EZ634" s="1869"/>
      <c r="FA634" s="1869"/>
    </row>
    <row r="635" spans="1:157" ht="12.95" customHeight="1">
      <c r="B635" s="1524" t="s">
        <v>129</v>
      </c>
      <c r="C635" s="1525"/>
      <c r="D635" s="1525"/>
      <c r="E635" s="1525"/>
      <c r="F635" s="1525"/>
      <c r="G635" s="1525"/>
      <c r="H635" s="1525"/>
      <c r="I635" s="1525"/>
      <c r="J635" s="1525"/>
      <c r="K635" s="1525"/>
      <c r="L635" s="1525"/>
      <c r="M635" s="1525"/>
      <c r="N635" s="1525"/>
      <c r="O635" s="1525"/>
      <c r="P635" s="1525"/>
      <c r="Q635" s="1525"/>
      <c r="R635" s="1525"/>
      <c r="S635" s="1525"/>
      <c r="T635" s="1525"/>
      <c r="U635" s="1525"/>
      <c r="V635" s="1525"/>
      <c r="W635" s="1525"/>
      <c r="X635" s="1525"/>
      <c r="Y635" s="1525"/>
      <c r="Z635" s="1525"/>
      <c r="AA635" s="1525"/>
      <c r="AB635" s="1525"/>
      <c r="AC635" s="1525"/>
      <c r="AD635" s="1525"/>
      <c r="AE635" s="1525"/>
      <c r="AF635" s="1525"/>
      <c r="AG635" s="1525"/>
      <c r="AH635" s="1525"/>
      <c r="AI635" s="1525"/>
      <c r="AJ635" s="1525"/>
      <c r="AK635" s="1525"/>
      <c r="AL635" s="1525"/>
      <c r="AM635" s="1525"/>
      <c r="AN635" s="1527"/>
      <c r="AO635" s="1521">
        <f>SUM(AO623:AR634)</f>
        <v>22303646</v>
      </c>
      <c r="AP635" s="1522"/>
      <c r="AQ635" s="1522"/>
      <c r="AR635" s="1522"/>
      <c r="AS635" s="1523"/>
      <c r="AZ635" s="3"/>
      <c r="BA635" s="3"/>
      <c r="BB635" s="3"/>
      <c r="BC635" s="3"/>
      <c r="BD635" s="3"/>
      <c r="BE635" s="3"/>
      <c r="BF635" s="3"/>
      <c r="BG635" s="3"/>
      <c r="BH635" s="3"/>
      <c r="BI635" s="3"/>
      <c r="BJ635" s="3"/>
      <c r="BK635" s="3"/>
      <c r="BL635" s="3"/>
      <c r="BM635" s="3"/>
      <c r="BN635" s="1478">
        <f t="shared" si="30"/>
        <v>0</v>
      </c>
      <c r="BO635" s="1479"/>
      <c r="BP635" s="1479"/>
      <c r="BQ635" s="1479"/>
      <c r="BR635" s="1480"/>
      <c r="BS635" s="1393">
        <f t="shared" si="31"/>
        <v>0</v>
      </c>
      <c r="BT635" s="1393"/>
      <c r="BU635" s="1393"/>
      <c r="BV635" s="1393"/>
      <c r="BW635" s="1393"/>
      <c r="BX635" s="1393">
        <f t="shared" si="32"/>
        <v>0</v>
      </c>
      <c r="BY635" s="1393"/>
      <c r="BZ635" s="1393"/>
      <c r="CA635" s="1393"/>
      <c r="CB635" s="1393"/>
      <c r="CC635" s="1393">
        <f t="shared" si="33"/>
        <v>0</v>
      </c>
      <c r="CD635" s="1393"/>
      <c r="CE635" s="1393"/>
      <c r="CF635" s="1393"/>
      <c r="CG635" s="1393"/>
      <c r="CH635" s="1393">
        <f t="shared" si="34"/>
        <v>0</v>
      </c>
      <c r="CI635" s="1393"/>
      <c r="CJ635" s="1393"/>
      <c r="CK635" s="1393"/>
      <c r="CL635" s="1393"/>
      <c r="CM635" s="1393">
        <f t="shared" si="35"/>
        <v>0</v>
      </c>
      <c r="CN635" s="1393"/>
      <c r="CO635" s="1393"/>
      <c r="CP635" s="1393"/>
      <c r="CQ635" s="1393"/>
      <c r="CR635" s="6"/>
      <c r="CS635" s="1478">
        <f t="shared" ref="CS635:CS643" si="36">IF(AND(BN635&gt;=1,AH773&gt;=0.1,AH773&lt;=1),O773,0)</f>
        <v>0</v>
      </c>
      <c r="CT635" s="1479"/>
      <c r="CU635" s="1479"/>
      <c r="CV635" s="1479"/>
      <c r="CW635" s="1480"/>
      <c r="CX635" s="1478">
        <f t="shared" ref="CX635:CX643" si="37">IF(AND(BS635&gt;=1,AH773&gt;=0.1,AH773&lt;=1),O773,0)</f>
        <v>0</v>
      </c>
      <c r="CY635" s="1479"/>
      <c r="CZ635" s="1479"/>
      <c r="DA635" s="1479"/>
      <c r="DB635" s="1480"/>
      <c r="DC635" s="1478">
        <f t="shared" ref="DC635:DC643" si="38">IF(AND(BX635&gt;=1,AH773&gt;=0.1,AH773&lt;=1),O773,0)</f>
        <v>0</v>
      </c>
      <c r="DD635" s="1479"/>
      <c r="DE635" s="1479"/>
      <c r="DF635" s="1479"/>
      <c r="DG635" s="1480"/>
      <c r="DH635" s="1478">
        <f t="shared" ref="DH635:DH643" si="39">IF(AND(CC635&gt;=1,AH773&gt;=0.1,AH773&lt;=1),O773,0)</f>
        <v>0</v>
      </c>
      <c r="DI635" s="1479"/>
      <c r="DJ635" s="1479"/>
      <c r="DK635" s="1479"/>
      <c r="DL635" s="1480"/>
      <c r="DM635" s="1478">
        <f t="shared" ref="DM635:DM643" si="40">IF(AND(CH635&gt;=1,AH773&gt;=0.1,AH773&lt;=1),O773,0)</f>
        <v>0</v>
      </c>
      <c r="DN635" s="1479"/>
      <c r="DO635" s="1479"/>
      <c r="DP635" s="1479"/>
      <c r="DQ635" s="1480"/>
      <c r="DR635" s="1478">
        <f t="shared" ref="DR635:DR643" si="41">IF(AND(CM635&gt;=1,AH773&gt;=0.1,AH773&lt;=1),O773,0)</f>
        <v>0</v>
      </c>
      <c r="DS635" s="1479"/>
      <c r="DT635" s="1479"/>
      <c r="DU635" s="1479"/>
      <c r="DV635" s="1480"/>
      <c r="DX635" s="1869" t="e">
        <f t="shared" si="23"/>
        <v>#VALUE!</v>
      </c>
      <c r="DY635" s="1869"/>
      <c r="DZ635" s="1869"/>
      <c r="EA635" s="1869"/>
      <c r="EB635" s="1869"/>
      <c r="EC635" s="1869" t="e">
        <f t="shared" si="24"/>
        <v>#VALUE!</v>
      </c>
      <c r="ED635" s="1869"/>
      <c r="EE635" s="1869"/>
      <c r="EF635" s="1869"/>
      <c r="EG635" s="1869"/>
      <c r="EH635" s="1869" t="e">
        <f t="shared" si="25"/>
        <v>#VALUE!</v>
      </c>
      <c r="EI635" s="1869"/>
      <c r="EJ635" s="1869"/>
      <c r="EK635" s="1869"/>
      <c r="EL635" s="1869"/>
      <c r="EM635" s="1869" t="e">
        <f t="shared" si="26"/>
        <v>#VALUE!</v>
      </c>
      <c r="EN635" s="1869"/>
      <c r="EO635" s="1869"/>
      <c r="EP635" s="1869"/>
      <c r="EQ635" s="1869"/>
      <c r="ER635" s="1869" t="e">
        <f t="shared" si="27"/>
        <v>#VALUE!</v>
      </c>
      <c r="ES635" s="1869"/>
      <c r="ET635" s="1869"/>
      <c r="EU635" s="1869"/>
      <c r="EV635" s="1869"/>
      <c r="EW635" s="1869" t="e">
        <f t="shared" si="28"/>
        <v>#VALUE!</v>
      </c>
      <c r="EX635" s="1869"/>
      <c r="EY635" s="1869"/>
      <c r="EZ635" s="1869"/>
      <c r="FA635" s="1869"/>
    </row>
    <row r="636" spans="1:157" ht="12.95" customHeight="1">
      <c r="B636" s="1524" t="s">
        <v>269</v>
      </c>
      <c r="C636" s="1525"/>
      <c r="D636" s="1525"/>
      <c r="E636" s="1525"/>
      <c r="F636" s="1525"/>
      <c r="G636" s="1525"/>
      <c r="H636" s="1525"/>
      <c r="I636" s="1525"/>
      <c r="J636" s="1525"/>
      <c r="K636" s="1525"/>
      <c r="L636" s="1525"/>
      <c r="M636" s="1525"/>
      <c r="N636" s="1525"/>
      <c r="O636" s="1525"/>
      <c r="P636" s="1525"/>
      <c r="Q636" s="1525"/>
      <c r="R636" s="1525"/>
      <c r="S636" s="1525"/>
      <c r="T636" s="1525"/>
      <c r="U636" s="1525"/>
      <c r="V636" s="1525"/>
      <c r="W636" s="1525"/>
      <c r="X636" s="1525"/>
      <c r="Y636" s="1525"/>
      <c r="Z636" s="1525"/>
      <c r="AA636" s="1525"/>
      <c r="AB636" s="1525"/>
      <c r="AC636" s="1525"/>
      <c r="AD636" s="1525"/>
      <c r="AE636" s="1525"/>
      <c r="AF636" s="1525"/>
      <c r="AG636" s="1525"/>
      <c r="AH636" s="1525"/>
      <c r="AI636" s="1525"/>
      <c r="AJ636" s="1525"/>
      <c r="AK636" s="1525"/>
      <c r="AL636" s="1525"/>
      <c r="AM636" s="1525"/>
      <c r="AN636" s="1527"/>
      <c r="AO636" s="1615">
        <v>43983724</v>
      </c>
      <c r="AP636" s="1616"/>
      <c r="AQ636" s="1616"/>
      <c r="AR636" s="1616"/>
      <c r="AS636" s="1617"/>
      <c r="AZ636" s="34"/>
      <c r="BA636" s="34"/>
      <c r="BB636" s="34"/>
      <c r="BC636" s="34"/>
      <c r="BD636" s="34"/>
      <c r="BE636" s="34"/>
      <c r="BF636" s="34"/>
      <c r="BG636" s="34"/>
      <c r="BH636" s="34"/>
      <c r="BI636" s="34"/>
      <c r="BJ636" s="34"/>
      <c r="BK636" s="34"/>
      <c r="BL636" s="34"/>
      <c r="BM636" s="34"/>
      <c r="BN636" s="1478">
        <f t="shared" si="30"/>
        <v>0</v>
      </c>
      <c r="BO636" s="1479"/>
      <c r="BP636" s="1479"/>
      <c r="BQ636" s="1479"/>
      <c r="BR636" s="1480"/>
      <c r="BS636" s="1393">
        <f t="shared" si="31"/>
        <v>0</v>
      </c>
      <c r="BT636" s="1393"/>
      <c r="BU636" s="1393"/>
      <c r="BV636" s="1393"/>
      <c r="BW636" s="1393"/>
      <c r="BX636" s="1393">
        <f t="shared" si="32"/>
        <v>0</v>
      </c>
      <c r="BY636" s="1393"/>
      <c r="BZ636" s="1393"/>
      <c r="CA636" s="1393"/>
      <c r="CB636" s="1393"/>
      <c r="CC636" s="1393">
        <f t="shared" si="33"/>
        <v>0</v>
      </c>
      <c r="CD636" s="1393"/>
      <c r="CE636" s="1393"/>
      <c r="CF636" s="1393"/>
      <c r="CG636" s="1393"/>
      <c r="CH636" s="1393">
        <f t="shared" si="34"/>
        <v>0</v>
      </c>
      <c r="CI636" s="1393"/>
      <c r="CJ636" s="1393"/>
      <c r="CK636" s="1393"/>
      <c r="CL636" s="1393"/>
      <c r="CM636" s="1393">
        <f t="shared" si="35"/>
        <v>0</v>
      </c>
      <c r="CN636" s="1393"/>
      <c r="CO636" s="1393"/>
      <c r="CP636" s="1393"/>
      <c r="CQ636" s="1393"/>
      <c r="CR636" s="6"/>
      <c r="CS636" s="1478">
        <f t="shared" si="36"/>
        <v>0</v>
      </c>
      <c r="CT636" s="1479"/>
      <c r="CU636" s="1479"/>
      <c r="CV636" s="1479"/>
      <c r="CW636" s="1480"/>
      <c r="CX636" s="1478">
        <f t="shared" si="37"/>
        <v>0</v>
      </c>
      <c r="CY636" s="1479"/>
      <c r="CZ636" s="1479"/>
      <c r="DA636" s="1479"/>
      <c r="DB636" s="1480"/>
      <c r="DC636" s="1478">
        <f t="shared" si="38"/>
        <v>0</v>
      </c>
      <c r="DD636" s="1479"/>
      <c r="DE636" s="1479"/>
      <c r="DF636" s="1479"/>
      <c r="DG636" s="1480"/>
      <c r="DH636" s="1478">
        <f t="shared" si="39"/>
        <v>0</v>
      </c>
      <c r="DI636" s="1479"/>
      <c r="DJ636" s="1479"/>
      <c r="DK636" s="1479"/>
      <c r="DL636" s="1480"/>
      <c r="DM636" s="1478">
        <f t="shared" si="40"/>
        <v>0</v>
      </c>
      <c r="DN636" s="1479"/>
      <c r="DO636" s="1479"/>
      <c r="DP636" s="1479"/>
      <c r="DQ636" s="1480"/>
      <c r="DR636" s="1478">
        <f t="shared" si="41"/>
        <v>0</v>
      </c>
      <c r="DS636" s="1479"/>
      <c r="DT636" s="1479"/>
      <c r="DU636" s="1479"/>
      <c r="DV636" s="1480"/>
      <c r="DX636" s="1869" t="e">
        <f t="shared" si="23"/>
        <v>#VALUE!</v>
      </c>
      <c r="DY636" s="1869"/>
      <c r="DZ636" s="1869"/>
      <c r="EA636" s="1869"/>
      <c r="EB636" s="1869"/>
      <c r="EC636" s="1869" t="e">
        <f t="shared" si="24"/>
        <v>#VALUE!</v>
      </c>
      <c r="ED636" s="1869"/>
      <c r="EE636" s="1869"/>
      <c r="EF636" s="1869"/>
      <c r="EG636" s="1869"/>
      <c r="EH636" s="1869" t="e">
        <f t="shared" si="25"/>
        <v>#VALUE!</v>
      </c>
      <c r="EI636" s="1869"/>
      <c r="EJ636" s="1869"/>
      <c r="EK636" s="1869"/>
      <c r="EL636" s="1869"/>
      <c r="EM636" s="1869" t="e">
        <f t="shared" si="26"/>
        <v>#VALUE!</v>
      </c>
      <c r="EN636" s="1869"/>
      <c r="EO636" s="1869"/>
      <c r="EP636" s="1869"/>
      <c r="EQ636" s="1869"/>
      <c r="ER636" s="1869" t="e">
        <f t="shared" si="27"/>
        <v>#VALUE!</v>
      </c>
      <c r="ES636" s="1869"/>
      <c r="ET636" s="1869"/>
      <c r="EU636" s="1869"/>
      <c r="EV636" s="1869"/>
      <c r="EW636" s="1869" t="e">
        <f t="shared" si="28"/>
        <v>#VALUE!</v>
      </c>
      <c r="EX636" s="1869"/>
      <c r="EY636" s="1869"/>
      <c r="EZ636" s="1869"/>
      <c r="FA636" s="1869"/>
    </row>
    <row r="637" spans="1:157" ht="12.95" customHeight="1">
      <c r="B637" s="1592" t="s">
        <v>270</v>
      </c>
      <c r="C637" s="1526"/>
      <c r="D637" s="1526"/>
      <c r="E637" s="1526"/>
      <c r="F637" s="1526"/>
      <c r="G637" s="1526"/>
      <c r="H637" s="1526"/>
      <c r="I637" s="1526"/>
      <c r="J637" s="1526"/>
      <c r="K637" s="1526"/>
      <c r="L637" s="1526"/>
      <c r="M637" s="1526"/>
      <c r="N637" s="1526"/>
      <c r="O637" s="1526"/>
      <c r="P637" s="1526"/>
      <c r="Q637" s="1526"/>
      <c r="R637" s="1526"/>
      <c r="S637" s="1526"/>
      <c r="T637" s="1526"/>
      <c r="U637" s="1526"/>
      <c r="V637" s="1526"/>
      <c r="W637" s="1526"/>
      <c r="X637" s="1526"/>
      <c r="Y637" s="1526"/>
      <c r="Z637" s="1526"/>
      <c r="AA637" s="1526"/>
      <c r="AB637" s="1526"/>
      <c r="AC637" s="1526"/>
      <c r="AD637" s="1526"/>
      <c r="AE637" s="1526"/>
      <c r="AF637" s="1526"/>
      <c r="AG637" s="1526"/>
      <c r="AH637" s="1526"/>
      <c r="AI637" s="1526"/>
      <c r="AJ637" s="1526"/>
      <c r="AK637" s="1526"/>
      <c r="AL637" s="1526"/>
      <c r="AM637" s="1526"/>
      <c r="AN637" s="1593"/>
      <c r="AO637" s="1521">
        <f>AO635+AO636</f>
        <v>66287370</v>
      </c>
      <c r="AP637" s="1522"/>
      <c r="AQ637" s="1522"/>
      <c r="AR637" s="1522"/>
      <c r="AS637" s="1523"/>
      <c r="AZ637" s="34"/>
      <c r="BA637" s="34"/>
      <c r="BB637" s="34"/>
      <c r="BC637" s="34"/>
      <c r="BD637" s="34"/>
      <c r="BE637" s="34"/>
      <c r="BF637" s="34"/>
      <c r="BG637" s="34"/>
      <c r="BH637" s="34"/>
      <c r="BI637" s="34"/>
      <c r="BJ637" s="34"/>
      <c r="BK637" s="34"/>
      <c r="BL637" s="34"/>
      <c r="BM637" s="34"/>
      <c r="BN637" s="1478">
        <f t="shared" si="30"/>
        <v>0</v>
      </c>
      <c r="BO637" s="1479"/>
      <c r="BP637" s="1479"/>
      <c r="BQ637" s="1479"/>
      <c r="BR637" s="1480"/>
      <c r="BS637" s="1393">
        <f t="shared" si="31"/>
        <v>0</v>
      </c>
      <c r="BT637" s="1393"/>
      <c r="BU637" s="1393"/>
      <c r="BV637" s="1393"/>
      <c r="BW637" s="1393"/>
      <c r="BX637" s="1393">
        <f t="shared" si="32"/>
        <v>0</v>
      </c>
      <c r="BY637" s="1393"/>
      <c r="BZ637" s="1393"/>
      <c r="CA637" s="1393"/>
      <c r="CB637" s="1393"/>
      <c r="CC637" s="1393">
        <f t="shared" si="33"/>
        <v>0</v>
      </c>
      <c r="CD637" s="1393"/>
      <c r="CE637" s="1393"/>
      <c r="CF637" s="1393"/>
      <c r="CG637" s="1393"/>
      <c r="CH637" s="1393">
        <f t="shared" si="34"/>
        <v>0</v>
      </c>
      <c r="CI637" s="1393"/>
      <c r="CJ637" s="1393"/>
      <c r="CK637" s="1393"/>
      <c r="CL637" s="1393"/>
      <c r="CM637" s="1393">
        <f t="shared" si="35"/>
        <v>0</v>
      </c>
      <c r="CN637" s="1393"/>
      <c r="CO637" s="1393"/>
      <c r="CP637" s="1393"/>
      <c r="CQ637" s="1393"/>
      <c r="CR637" s="6"/>
      <c r="CS637" s="1478">
        <f t="shared" si="36"/>
        <v>0</v>
      </c>
      <c r="CT637" s="1479"/>
      <c r="CU637" s="1479"/>
      <c r="CV637" s="1479"/>
      <c r="CW637" s="1480"/>
      <c r="CX637" s="1478">
        <f t="shared" si="37"/>
        <v>0</v>
      </c>
      <c r="CY637" s="1479"/>
      <c r="CZ637" s="1479"/>
      <c r="DA637" s="1479"/>
      <c r="DB637" s="1480"/>
      <c r="DC637" s="1478">
        <f t="shared" si="38"/>
        <v>0</v>
      </c>
      <c r="DD637" s="1479"/>
      <c r="DE637" s="1479"/>
      <c r="DF637" s="1479"/>
      <c r="DG637" s="1480"/>
      <c r="DH637" s="1478">
        <f t="shared" si="39"/>
        <v>0</v>
      </c>
      <c r="DI637" s="1479"/>
      <c r="DJ637" s="1479"/>
      <c r="DK637" s="1479"/>
      <c r="DL637" s="1480"/>
      <c r="DM637" s="1478">
        <f t="shared" si="40"/>
        <v>0</v>
      </c>
      <c r="DN637" s="1479"/>
      <c r="DO637" s="1479"/>
      <c r="DP637" s="1479"/>
      <c r="DQ637" s="1480"/>
      <c r="DR637" s="1478">
        <f t="shared" si="41"/>
        <v>0</v>
      </c>
      <c r="DS637" s="1479"/>
      <c r="DT637" s="1479"/>
      <c r="DU637" s="1479"/>
      <c r="DV637" s="1480"/>
      <c r="DX637" s="1869" t="e">
        <f t="shared" si="23"/>
        <v>#VALUE!</v>
      </c>
      <c r="DY637" s="1869"/>
      <c r="DZ637" s="1869"/>
      <c r="EA637" s="1869"/>
      <c r="EB637" s="1869"/>
      <c r="EC637" s="1869" t="e">
        <f t="shared" si="24"/>
        <v>#VALUE!</v>
      </c>
      <c r="ED637" s="1869"/>
      <c r="EE637" s="1869"/>
      <c r="EF637" s="1869"/>
      <c r="EG637" s="1869"/>
      <c r="EH637" s="1869" t="e">
        <f t="shared" si="25"/>
        <v>#VALUE!</v>
      </c>
      <c r="EI637" s="1869"/>
      <c r="EJ637" s="1869"/>
      <c r="EK637" s="1869"/>
      <c r="EL637" s="1869"/>
      <c r="EM637" s="1869" t="e">
        <f t="shared" si="26"/>
        <v>#VALUE!</v>
      </c>
      <c r="EN637" s="1869"/>
      <c r="EO637" s="1869"/>
      <c r="EP637" s="1869"/>
      <c r="EQ637" s="1869"/>
      <c r="ER637" s="1869" t="e">
        <f t="shared" si="27"/>
        <v>#VALUE!</v>
      </c>
      <c r="ES637" s="1869"/>
      <c r="ET637" s="1869"/>
      <c r="EU637" s="1869"/>
      <c r="EV637" s="1869"/>
      <c r="EW637" s="1869" t="e">
        <f t="shared" si="28"/>
        <v>#VALUE!</v>
      </c>
      <c r="EX637" s="1869"/>
      <c r="EY637" s="1869"/>
      <c r="EZ637" s="1869"/>
      <c r="FA637" s="186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78">
        <f t="shared" si="30"/>
        <v>0</v>
      </c>
      <c r="BO638" s="1479"/>
      <c r="BP638" s="1479"/>
      <c r="BQ638" s="1479"/>
      <c r="BR638" s="1480"/>
      <c r="BS638" s="1393">
        <f t="shared" si="31"/>
        <v>0</v>
      </c>
      <c r="BT638" s="1393"/>
      <c r="BU638" s="1393"/>
      <c r="BV638" s="1393"/>
      <c r="BW638" s="1393"/>
      <c r="BX638" s="1393">
        <f t="shared" si="32"/>
        <v>0</v>
      </c>
      <c r="BY638" s="1393"/>
      <c r="BZ638" s="1393"/>
      <c r="CA638" s="1393"/>
      <c r="CB638" s="1393"/>
      <c r="CC638" s="1393">
        <f t="shared" si="33"/>
        <v>0</v>
      </c>
      <c r="CD638" s="1393"/>
      <c r="CE638" s="1393"/>
      <c r="CF638" s="1393"/>
      <c r="CG638" s="1393"/>
      <c r="CH638" s="1393">
        <f t="shared" si="34"/>
        <v>0</v>
      </c>
      <c r="CI638" s="1393"/>
      <c r="CJ638" s="1393"/>
      <c r="CK638" s="1393"/>
      <c r="CL638" s="1393"/>
      <c r="CM638" s="1393">
        <f t="shared" si="35"/>
        <v>0</v>
      </c>
      <c r="CN638" s="1393"/>
      <c r="CO638" s="1393"/>
      <c r="CP638" s="1393"/>
      <c r="CQ638" s="1393"/>
      <c r="CR638" s="6"/>
      <c r="CS638" s="1478">
        <f t="shared" si="36"/>
        <v>0</v>
      </c>
      <c r="CT638" s="1479"/>
      <c r="CU638" s="1479"/>
      <c r="CV638" s="1479"/>
      <c r="CW638" s="1480"/>
      <c r="CX638" s="1478">
        <f t="shared" si="37"/>
        <v>0</v>
      </c>
      <c r="CY638" s="1479"/>
      <c r="CZ638" s="1479"/>
      <c r="DA638" s="1479"/>
      <c r="DB638" s="1480"/>
      <c r="DC638" s="1478">
        <f t="shared" si="38"/>
        <v>0</v>
      </c>
      <c r="DD638" s="1479"/>
      <c r="DE638" s="1479"/>
      <c r="DF638" s="1479"/>
      <c r="DG638" s="1480"/>
      <c r="DH638" s="1478">
        <f t="shared" si="39"/>
        <v>0</v>
      </c>
      <c r="DI638" s="1479"/>
      <c r="DJ638" s="1479"/>
      <c r="DK638" s="1479"/>
      <c r="DL638" s="1480"/>
      <c r="DM638" s="1478">
        <f t="shared" si="40"/>
        <v>0</v>
      </c>
      <c r="DN638" s="1479"/>
      <c r="DO638" s="1479"/>
      <c r="DP638" s="1479"/>
      <c r="DQ638" s="1480"/>
      <c r="DR638" s="1478">
        <f t="shared" si="41"/>
        <v>0</v>
      </c>
      <c r="DS638" s="1479"/>
      <c r="DT638" s="1479"/>
      <c r="DU638" s="1479"/>
      <c r="DV638" s="1480"/>
      <c r="DX638" s="1869" t="e">
        <f t="shared" si="23"/>
        <v>#VALUE!</v>
      </c>
      <c r="DY638" s="1869"/>
      <c r="DZ638" s="1869"/>
      <c r="EA638" s="1869"/>
      <c r="EB638" s="1869"/>
      <c r="EC638" s="1869" t="e">
        <f t="shared" si="24"/>
        <v>#VALUE!</v>
      </c>
      <c r="ED638" s="1869"/>
      <c r="EE638" s="1869"/>
      <c r="EF638" s="1869"/>
      <c r="EG638" s="1869"/>
      <c r="EH638" s="1869" t="e">
        <f t="shared" si="25"/>
        <v>#VALUE!</v>
      </c>
      <c r="EI638" s="1869"/>
      <c r="EJ638" s="1869"/>
      <c r="EK638" s="1869"/>
      <c r="EL638" s="1869"/>
      <c r="EM638" s="1869" t="e">
        <f t="shared" si="26"/>
        <v>#VALUE!</v>
      </c>
      <c r="EN638" s="1869"/>
      <c r="EO638" s="1869"/>
      <c r="EP638" s="1869"/>
      <c r="EQ638" s="1869"/>
      <c r="ER638" s="1869" t="e">
        <f t="shared" si="27"/>
        <v>#VALUE!</v>
      </c>
      <c r="ES638" s="1869"/>
      <c r="ET638" s="1869"/>
      <c r="EU638" s="1869"/>
      <c r="EV638" s="1869"/>
      <c r="EW638" s="1869" t="e">
        <f t="shared" si="28"/>
        <v>#VALUE!</v>
      </c>
      <c r="EX638" s="1869"/>
      <c r="EY638" s="1869"/>
      <c r="EZ638" s="1869"/>
      <c r="FA638" s="1869"/>
    </row>
    <row r="639" spans="1:157" ht="12.95" customHeight="1">
      <c r="A639" s="55" t="s">
        <v>113</v>
      </c>
      <c r="B639" t="s">
        <v>473</v>
      </c>
      <c r="G639" s="1517" t="str">
        <f>C623</f>
        <v>Perm Loan</v>
      </c>
      <c r="H639" s="1517"/>
      <c r="I639" s="1517"/>
      <c r="J639" s="1517"/>
      <c r="K639" s="1517"/>
      <c r="L639" s="1517"/>
      <c r="M639" s="1517"/>
      <c r="N639" s="1517"/>
      <c r="O639" s="1517"/>
      <c r="P639" s="1517"/>
      <c r="Q639" s="1517"/>
      <c r="R639" s="1517"/>
      <c r="S639" s="8"/>
      <c r="T639" s="55" t="s">
        <v>114</v>
      </c>
      <c r="U639" t="s">
        <v>473</v>
      </c>
      <c r="Z639" s="1517" t="str">
        <f>C624</f>
        <v>City of Vacaille Land Loan</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478">
        <f t="shared" si="30"/>
        <v>0</v>
      </c>
      <c r="BO639" s="1479"/>
      <c r="BP639" s="1479"/>
      <c r="BQ639" s="1479"/>
      <c r="BR639" s="1480"/>
      <c r="BS639" s="1393">
        <f t="shared" si="31"/>
        <v>0</v>
      </c>
      <c r="BT639" s="1393"/>
      <c r="BU639" s="1393"/>
      <c r="BV639" s="1393"/>
      <c r="BW639" s="1393"/>
      <c r="BX639" s="1393">
        <f t="shared" si="32"/>
        <v>0</v>
      </c>
      <c r="BY639" s="1393"/>
      <c r="BZ639" s="1393"/>
      <c r="CA639" s="1393"/>
      <c r="CB639" s="1393"/>
      <c r="CC639" s="1393">
        <f t="shared" si="33"/>
        <v>0</v>
      </c>
      <c r="CD639" s="1393"/>
      <c r="CE639" s="1393"/>
      <c r="CF639" s="1393"/>
      <c r="CG639" s="1393"/>
      <c r="CH639" s="1393">
        <f t="shared" si="34"/>
        <v>0</v>
      </c>
      <c r="CI639" s="1393"/>
      <c r="CJ639" s="1393"/>
      <c r="CK639" s="1393"/>
      <c r="CL639" s="1393"/>
      <c r="CM639" s="1393">
        <f t="shared" si="35"/>
        <v>0</v>
      </c>
      <c r="CN639" s="1393"/>
      <c r="CO639" s="1393"/>
      <c r="CP639" s="1393"/>
      <c r="CQ639" s="1393"/>
      <c r="CR639" s="6"/>
      <c r="CS639" s="1478">
        <f t="shared" si="36"/>
        <v>0</v>
      </c>
      <c r="CT639" s="1479"/>
      <c r="CU639" s="1479"/>
      <c r="CV639" s="1479"/>
      <c r="CW639" s="1480"/>
      <c r="CX639" s="1478">
        <f t="shared" si="37"/>
        <v>0</v>
      </c>
      <c r="CY639" s="1479"/>
      <c r="CZ639" s="1479"/>
      <c r="DA639" s="1479"/>
      <c r="DB639" s="1480"/>
      <c r="DC639" s="1478">
        <f t="shared" si="38"/>
        <v>0</v>
      </c>
      <c r="DD639" s="1479"/>
      <c r="DE639" s="1479"/>
      <c r="DF639" s="1479"/>
      <c r="DG639" s="1480"/>
      <c r="DH639" s="1478">
        <f t="shared" si="39"/>
        <v>0</v>
      </c>
      <c r="DI639" s="1479"/>
      <c r="DJ639" s="1479"/>
      <c r="DK639" s="1479"/>
      <c r="DL639" s="1480"/>
      <c r="DM639" s="1478">
        <f t="shared" si="40"/>
        <v>0</v>
      </c>
      <c r="DN639" s="1479"/>
      <c r="DO639" s="1479"/>
      <c r="DP639" s="1479"/>
      <c r="DQ639" s="1480"/>
      <c r="DR639" s="1478">
        <f t="shared" si="41"/>
        <v>0</v>
      </c>
      <c r="DS639" s="1479"/>
      <c r="DT639" s="1479"/>
      <c r="DU639" s="1479"/>
      <c r="DV639" s="1480"/>
      <c r="DX639" s="1869" t="e">
        <f t="shared" si="23"/>
        <v>#VALUE!</v>
      </c>
      <c r="DY639" s="1869"/>
      <c r="DZ639" s="1869"/>
      <c r="EA639" s="1869"/>
      <c r="EB639" s="1869"/>
      <c r="EC639" s="1869" t="e">
        <f t="shared" si="24"/>
        <v>#VALUE!</v>
      </c>
      <c r="ED639" s="1869"/>
      <c r="EE639" s="1869"/>
      <c r="EF639" s="1869"/>
      <c r="EG639" s="1869"/>
      <c r="EH639" s="1869" t="e">
        <f t="shared" si="25"/>
        <v>#VALUE!</v>
      </c>
      <c r="EI639" s="1869"/>
      <c r="EJ639" s="1869"/>
      <c r="EK639" s="1869"/>
      <c r="EL639" s="1869"/>
      <c r="EM639" s="1869" t="e">
        <f t="shared" si="26"/>
        <v>#VALUE!</v>
      </c>
      <c r="EN639" s="1869"/>
      <c r="EO639" s="1869"/>
      <c r="EP639" s="1869"/>
      <c r="EQ639" s="1869"/>
      <c r="ER639" s="1869" t="e">
        <f t="shared" si="27"/>
        <v>#VALUE!</v>
      </c>
      <c r="ES639" s="1869"/>
      <c r="ET639" s="1869"/>
      <c r="EU639" s="1869"/>
      <c r="EV639" s="1869"/>
      <c r="EW639" s="1869" t="e">
        <f t="shared" si="28"/>
        <v>#VALUE!</v>
      </c>
      <c r="EX639" s="1869"/>
      <c r="EY639" s="1869"/>
      <c r="EZ639" s="1869"/>
      <c r="FA639" s="1869"/>
    </row>
    <row r="640" spans="1:157" ht="12.95" customHeight="1">
      <c r="A640" s="22"/>
      <c r="B640" t="s">
        <v>86</v>
      </c>
      <c r="G640" s="1475" t="s">
        <v>2637</v>
      </c>
      <c r="H640" s="1392"/>
      <c r="I640" s="1392"/>
      <c r="J640" s="1392"/>
      <c r="K640" s="1392"/>
      <c r="L640" s="1392"/>
      <c r="M640" s="1392"/>
      <c r="N640" s="1392"/>
      <c r="O640" s="1392"/>
      <c r="P640" s="1392"/>
      <c r="Q640" s="1392"/>
      <c r="R640" s="1392"/>
      <c r="S640" s="8"/>
      <c r="T640" s="22"/>
      <c r="U640" t="s">
        <v>86</v>
      </c>
      <c r="Z640" s="1392" t="s">
        <v>2746</v>
      </c>
      <c r="AA640" s="1392"/>
      <c r="AB640" s="1392"/>
      <c r="AC640" s="1392"/>
      <c r="AD640" s="1392"/>
      <c r="AE640" s="1392"/>
      <c r="AF640" s="1392"/>
      <c r="AG640" s="1392"/>
      <c r="AH640" s="1392"/>
      <c r="AI640" s="1392"/>
      <c r="AJ640" s="1392"/>
      <c r="AK640" s="1392"/>
      <c r="AZ640" s="34"/>
      <c r="BA640" s="34"/>
      <c r="BB640" s="34"/>
      <c r="BC640" s="34"/>
      <c r="BD640" s="34"/>
      <c r="BE640" s="34"/>
      <c r="BF640" s="34"/>
      <c r="BG640" s="34"/>
      <c r="BH640" s="34"/>
      <c r="BI640" s="34"/>
      <c r="BJ640" s="34"/>
      <c r="BK640" s="34"/>
      <c r="BL640" s="34"/>
      <c r="BM640" s="34"/>
      <c r="BN640" s="1478">
        <f t="shared" si="30"/>
        <v>0</v>
      </c>
      <c r="BO640" s="1479"/>
      <c r="BP640" s="1479"/>
      <c r="BQ640" s="1479"/>
      <c r="BR640" s="1480"/>
      <c r="BS640" s="1393">
        <f t="shared" si="31"/>
        <v>0</v>
      </c>
      <c r="BT640" s="1393"/>
      <c r="BU640" s="1393"/>
      <c r="BV640" s="1393"/>
      <c r="BW640" s="1393"/>
      <c r="BX640" s="1393">
        <f t="shared" si="32"/>
        <v>0</v>
      </c>
      <c r="BY640" s="1393"/>
      <c r="BZ640" s="1393"/>
      <c r="CA640" s="1393"/>
      <c r="CB640" s="1393"/>
      <c r="CC640" s="1393">
        <f t="shared" si="33"/>
        <v>0</v>
      </c>
      <c r="CD640" s="1393"/>
      <c r="CE640" s="1393"/>
      <c r="CF640" s="1393"/>
      <c r="CG640" s="1393"/>
      <c r="CH640" s="1393">
        <f t="shared" si="34"/>
        <v>0</v>
      </c>
      <c r="CI640" s="1393"/>
      <c r="CJ640" s="1393"/>
      <c r="CK640" s="1393"/>
      <c r="CL640" s="1393"/>
      <c r="CM640" s="1393">
        <f t="shared" si="35"/>
        <v>0</v>
      </c>
      <c r="CN640" s="1393"/>
      <c r="CO640" s="1393"/>
      <c r="CP640" s="1393"/>
      <c r="CQ640" s="1393"/>
      <c r="CR640" s="6"/>
      <c r="CS640" s="1478">
        <f t="shared" si="36"/>
        <v>0</v>
      </c>
      <c r="CT640" s="1479"/>
      <c r="CU640" s="1479"/>
      <c r="CV640" s="1479"/>
      <c r="CW640" s="1480"/>
      <c r="CX640" s="1478">
        <f t="shared" si="37"/>
        <v>0</v>
      </c>
      <c r="CY640" s="1479"/>
      <c r="CZ640" s="1479"/>
      <c r="DA640" s="1479"/>
      <c r="DB640" s="1480"/>
      <c r="DC640" s="1478">
        <f t="shared" si="38"/>
        <v>0</v>
      </c>
      <c r="DD640" s="1479"/>
      <c r="DE640" s="1479"/>
      <c r="DF640" s="1479"/>
      <c r="DG640" s="1480"/>
      <c r="DH640" s="1478">
        <f t="shared" si="39"/>
        <v>0</v>
      </c>
      <c r="DI640" s="1479"/>
      <c r="DJ640" s="1479"/>
      <c r="DK640" s="1479"/>
      <c r="DL640" s="1480"/>
      <c r="DM640" s="1478">
        <f t="shared" si="40"/>
        <v>0</v>
      </c>
      <c r="DN640" s="1479"/>
      <c r="DO640" s="1479"/>
      <c r="DP640" s="1479"/>
      <c r="DQ640" s="1480"/>
      <c r="DR640" s="1478">
        <f t="shared" si="41"/>
        <v>0</v>
      </c>
      <c r="DS640" s="1479"/>
      <c r="DT640" s="1479"/>
      <c r="DU640" s="1479"/>
      <c r="DV640" s="1480"/>
      <c r="DX640" s="1869" t="e">
        <f t="shared" si="23"/>
        <v>#VALUE!</v>
      </c>
      <c r="DY640" s="1869"/>
      <c r="DZ640" s="1869"/>
      <c r="EA640" s="1869"/>
      <c r="EB640" s="1869"/>
      <c r="EC640" s="1869" t="e">
        <f t="shared" si="24"/>
        <v>#VALUE!</v>
      </c>
      <c r="ED640" s="1869"/>
      <c r="EE640" s="1869"/>
      <c r="EF640" s="1869"/>
      <c r="EG640" s="1869"/>
      <c r="EH640" s="1869" t="e">
        <f t="shared" si="25"/>
        <v>#VALUE!</v>
      </c>
      <c r="EI640" s="1869"/>
      <c r="EJ640" s="1869"/>
      <c r="EK640" s="1869"/>
      <c r="EL640" s="1869"/>
      <c r="EM640" s="1869" t="e">
        <f t="shared" si="26"/>
        <v>#VALUE!</v>
      </c>
      <c r="EN640" s="1869"/>
      <c r="EO640" s="1869"/>
      <c r="EP640" s="1869"/>
      <c r="EQ640" s="1869"/>
      <c r="ER640" s="1869" t="e">
        <f t="shared" si="27"/>
        <v>#VALUE!</v>
      </c>
      <c r="ES640" s="1869"/>
      <c r="ET640" s="1869"/>
      <c r="EU640" s="1869"/>
      <c r="EV640" s="1869"/>
      <c r="EW640" s="1869" t="e">
        <f t="shared" si="28"/>
        <v>#VALUE!</v>
      </c>
      <c r="EX640" s="1869"/>
      <c r="EY640" s="1869"/>
      <c r="EZ640" s="1869"/>
      <c r="FA640" s="1869"/>
    </row>
    <row r="641" spans="1:157" ht="12.95" customHeight="1">
      <c r="A641" s="22"/>
      <c r="B641" t="s">
        <v>590</v>
      </c>
      <c r="G641" s="1475" t="s">
        <v>2638</v>
      </c>
      <c r="H641" s="1392"/>
      <c r="I641" s="1392"/>
      <c r="J641" s="1392"/>
      <c r="K641" s="1392"/>
      <c r="L641" s="1392"/>
      <c r="M641" s="1392"/>
      <c r="N641" s="1392"/>
      <c r="O641" s="1392"/>
      <c r="P641" s="1392"/>
      <c r="Q641" s="1392"/>
      <c r="R641" s="1392"/>
      <c r="T641" s="22"/>
      <c r="U641" t="s">
        <v>590</v>
      </c>
      <c r="Z641" s="1463" t="s">
        <v>2741</v>
      </c>
      <c r="AA641" s="1463"/>
      <c r="AB641" s="1463"/>
      <c r="AC641" s="1463"/>
      <c r="AD641" s="1463"/>
      <c r="AE641" s="1463"/>
      <c r="AF641" s="1463"/>
      <c r="AG641" s="1463"/>
      <c r="AH641" s="1463"/>
      <c r="AI641" s="1463"/>
      <c r="AJ641" s="1463"/>
      <c r="AK641" s="1463"/>
      <c r="AZ641" s="34"/>
      <c r="BA641" s="34"/>
      <c r="BB641" s="34"/>
      <c r="BC641" s="34"/>
      <c r="BD641" s="34"/>
      <c r="BE641" s="34"/>
      <c r="BF641" s="34"/>
      <c r="BG641" s="34"/>
      <c r="BH641" s="34"/>
      <c r="BI641" s="34"/>
      <c r="BJ641" s="34"/>
      <c r="BK641" s="34"/>
      <c r="BL641" s="34"/>
      <c r="BM641" s="34"/>
      <c r="BN641" s="1478">
        <f t="shared" si="30"/>
        <v>0</v>
      </c>
      <c r="BO641" s="1479"/>
      <c r="BP641" s="1479"/>
      <c r="BQ641" s="1479"/>
      <c r="BR641" s="1480"/>
      <c r="BS641" s="1393">
        <f t="shared" si="31"/>
        <v>0</v>
      </c>
      <c r="BT641" s="1393"/>
      <c r="BU641" s="1393"/>
      <c r="BV641" s="1393"/>
      <c r="BW641" s="1393"/>
      <c r="BX641" s="1393">
        <f t="shared" si="32"/>
        <v>0</v>
      </c>
      <c r="BY641" s="1393"/>
      <c r="BZ641" s="1393"/>
      <c r="CA641" s="1393"/>
      <c r="CB641" s="1393"/>
      <c r="CC641" s="1393">
        <f t="shared" si="33"/>
        <v>0</v>
      </c>
      <c r="CD641" s="1393"/>
      <c r="CE641" s="1393"/>
      <c r="CF641" s="1393"/>
      <c r="CG641" s="1393"/>
      <c r="CH641" s="1393">
        <f t="shared" si="34"/>
        <v>0</v>
      </c>
      <c r="CI641" s="1393"/>
      <c r="CJ641" s="1393"/>
      <c r="CK641" s="1393"/>
      <c r="CL641" s="1393"/>
      <c r="CM641" s="1393">
        <f t="shared" si="35"/>
        <v>0</v>
      </c>
      <c r="CN641" s="1393"/>
      <c r="CO641" s="1393"/>
      <c r="CP641" s="1393"/>
      <c r="CQ641" s="1393"/>
      <c r="CR641" s="6"/>
      <c r="CS641" s="1478">
        <f t="shared" si="36"/>
        <v>0</v>
      </c>
      <c r="CT641" s="1479"/>
      <c r="CU641" s="1479"/>
      <c r="CV641" s="1479"/>
      <c r="CW641" s="1480"/>
      <c r="CX641" s="1478">
        <f t="shared" si="37"/>
        <v>0</v>
      </c>
      <c r="CY641" s="1479"/>
      <c r="CZ641" s="1479"/>
      <c r="DA641" s="1479"/>
      <c r="DB641" s="1480"/>
      <c r="DC641" s="1478">
        <f t="shared" si="38"/>
        <v>0</v>
      </c>
      <c r="DD641" s="1479"/>
      <c r="DE641" s="1479"/>
      <c r="DF641" s="1479"/>
      <c r="DG641" s="1480"/>
      <c r="DH641" s="1478">
        <f t="shared" si="39"/>
        <v>0</v>
      </c>
      <c r="DI641" s="1479"/>
      <c r="DJ641" s="1479"/>
      <c r="DK641" s="1479"/>
      <c r="DL641" s="1480"/>
      <c r="DM641" s="1478">
        <f t="shared" si="40"/>
        <v>0</v>
      </c>
      <c r="DN641" s="1479"/>
      <c r="DO641" s="1479"/>
      <c r="DP641" s="1479"/>
      <c r="DQ641" s="1480"/>
      <c r="DR641" s="1478">
        <f t="shared" si="41"/>
        <v>0</v>
      </c>
      <c r="DS641" s="1479"/>
      <c r="DT641" s="1479"/>
      <c r="DU641" s="1479"/>
      <c r="DV641" s="1480"/>
      <c r="DX641" s="1869" t="e">
        <f t="shared" si="23"/>
        <v>#VALUE!</v>
      </c>
      <c r="DY641" s="1869"/>
      <c r="DZ641" s="1869"/>
      <c r="EA641" s="1869"/>
      <c r="EB641" s="1869"/>
      <c r="EC641" s="1869" t="e">
        <f t="shared" si="24"/>
        <v>#VALUE!</v>
      </c>
      <c r="ED641" s="1869"/>
      <c r="EE641" s="1869"/>
      <c r="EF641" s="1869"/>
      <c r="EG641" s="1869"/>
      <c r="EH641" s="1869" t="e">
        <f t="shared" si="25"/>
        <v>#VALUE!</v>
      </c>
      <c r="EI641" s="1869"/>
      <c r="EJ641" s="1869"/>
      <c r="EK641" s="1869"/>
      <c r="EL641" s="1869"/>
      <c r="EM641" s="1869" t="e">
        <f t="shared" si="26"/>
        <v>#VALUE!</v>
      </c>
      <c r="EN641" s="1869"/>
      <c r="EO641" s="1869"/>
      <c r="EP641" s="1869"/>
      <c r="EQ641" s="1869"/>
      <c r="ER641" s="1869" t="e">
        <f t="shared" si="27"/>
        <v>#VALUE!</v>
      </c>
      <c r="ES641" s="1869"/>
      <c r="ET641" s="1869"/>
      <c r="EU641" s="1869"/>
      <c r="EV641" s="1869"/>
      <c r="EW641" s="1869" t="e">
        <f t="shared" si="28"/>
        <v>#VALUE!</v>
      </c>
      <c r="EX641" s="1869"/>
      <c r="EY641" s="1869"/>
      <c r="EZ641" s="1869"/>
      <c r="FA641" s="1869"/>
    </row>
    <row r="642" spans="1:157" ht="12.95" customHeight="1">
      <c r="A642" s="22"/>
      <c r="B642" t="s">
        <v>17</v>
      </c>
      <c r="G642" s="1475" t="s">
        <v>2639</v>
      </c>
      <c r="H642" s="1392"/>
      <c r="I642" s="1392"/>
      <c r="J642" s="1392"/>
      <c r="K642" s="1392"/>
      <c r="L642" s="1392"/>
      <c r="M642" s="1392"/>
      <c r="N642" s="1392"/>
      <c r="O642" s="1392"/>
      <c r="P642" s="1392"/>
      <c r="Q642" s="1392"/>
      <c r="R642" s="1392"/>
      <c r="S642" s="8"/>
      <c r="T642" s="22"/>
      <c r="U642" t="s">
        <v>17</v>
      </c>
      <c r="Z642" s="1463" t="s">
        <v>2742</v>
      </c>
      <c r="AA642" s="1372"/>
      <c r="AB642" s="1372"/>
      <c r="AC642" s="1372"/>
      <c r="AD642" s="1372"/>
      <c r="AE642" s="1372"/>
      <c r="AF642" s="1372"/>
      <c r="AG642" s="1372"/>
      <c r="AH642" s="1372"/>
      <c r="AI642" s="1372"/>
      <c r="AJ642" s="1372"/>
      <c r="AK642" s="1372"/>
      <c r="AZ642" s="34"/>
      <c r="BA642" s="34"/>
      <c r="BB642" s="34"/>
      <c r="BC642" s="34"/>
      <c r="BD642" s="34"/>
      <c r="BE642" s="34"/>
      <c r="BF642" s="34"/>
      <c r="BG642" s="34"/>
      <c r="BH642" s="34"/>
      <c r="BI642" s="34"/>
      <c r="BJ642" s="34"/>
      <c r="BK642" s="34"/>
      <c r="BL642" s="34"/>
      <c r="BM642" s="34"/>
      <c r="BN642" s="1478">
        <f t="shared" si="30"/>
        <v>0</v>
      </c>
      <c r="BO642" s="1479"/>
      <c r="BP642" s="1479"/>
      <c r="BQ642" s="1479"/>
      <c r="BR642" s="1480"/>
      <c r="BS642" s="1393">
        <f t="shared" si="31"/>
        <v>0</v>
      </c>
      <c r="BT642" s="1393"/>
      <c r="BU642" s="1393"/>
      <c r="BV642" s="1393"/>
      <c r="BW642" s="1393"/>
      <c r="BX642" s="1393">
        <f t="shared" si="32"/>
        <v>0</v>
      </c>
      <c r="BY642" s="1393"/>
      <c r="BZ642" s="1393"/>
      <c r="CA642" s="1393"/>
      <c r="CB642" s="1393"/>
      <c r="CC642" s="1393">
        <f t="shared" si="33"/>
        <v>0</v>
      </c>
      <c r="CD642" s="1393"/>
      <c r="CE642" s="1393"/>
      <c r="CF642" s="1393"/>
      <c r="CG642" s="1393"/>
      <c r="CH642" s="1393">
        <f t="shared" si="34"/>
        <v>0</v>
      </c>
      <c r="CI642" s="1393"/>
      <c r="CJ642" s="1393"/>
      <c r="CK642" s="1393"/>
      <c r="CL642" s="1393"/>
      <c r="CM642" s="1393">
        <f t="shared" si="35"/>
        <v>0</v>
      </c>
      <c r="CN642" s="1393"/>
      <c r="CO642" s="1393"/>
      <c r="CP642" s="1393"/>
      <c r="CQ642" s="1393"/>
      <c r="CR642" s="6"/>
      <c r="CS642" s="1478">
        <f t="shared" si="36"/>
        <v>0</v>
      </c>
      <c r="CT642" s="1479"/>
      <c r="CU642" s="1479"/>
      <c r="CV642" s="1479"/>
      <c r="CW642" s="1480"/>
      <c r="CX642" s="1478">
        <f t="shared" si="37"/>
        <v>0</v>
      </c>
      <c r="CY642" s="1479"/>
      <c r="CZ642" s="1479"/>
      <c r="DA642" s="1479"/>
      <c r="DB642" s="1480"/>
      <c r="DC642" s="1478">
        <f t="shared" si="38"/>
        <v>0</v>
      </c>
      <c r="DD642" s="1479"/>
      <c r="DE642" s="1479"/>
      <c r="DF642" s="1479"/>
      <c r="DG642" s="1480"/>
      <c r="DH642" s="1478">
        <f t="shared" si="39"/>
        <v>0</v>
      </c>
      <c r="DI642" s="1479"/>
      <c r="DJ642" s="1479"/>
      <c r="DK642" s="1479"/>
      <c r="DL642" s="1480"/>
      <c r="DM642" s="1478">
        <f t="shared" si="40"/>
        <v>0</v>
      </c>
      <c r="DN642" s="1479"/>
      <c r="DO642" s="1479"/>
      <c r="DP642" s="1479"/>
      <c r="DQ642" s="1480"/>
      <c r="DR642" s="1478">
        <f t="shared" si="41"/>
        <v>0</v>
      </c>
      <c r="DS642" s="1479"/>
      <c r="DT642" s="1479"/>
      <c r="DU642" s="1479"/>
      <c r="DV642" s="1480"/>
      <c r="DX642" s="1869" t="e">
        <f t="shared" si="23"/>
        <v>#VALUE!</v>
      </c>
      <c r="DY642" s="1869"/>
      <c r="DZ642" s="1869"/>
      <c r="EA642" s="1869"/>
      <c r="EB642" s="1869"/>
      <c r="EC642" s="1869" t="e">
        <f t="shared" si="24"/>
        <v>#VALUE!</v>
      </c>
      <c r="ED642" s="1869"/>
      <c r="EE642" s="1869"/>
      <c r="EF642" s="1869"/>
      <c r="EG642" s="1869"/>
      <c r="EH642" s="1869" t="e">
        <f t="shared" si="25"/>
        <v>#VALUE!</v>
      </c>
      <c r="EI642" s="1869"/>
      <c r="EJ642" s="1869"/>
      <c r="EK642" s="1869"/>
      <c r="EL642" s="1869"/>
      <c r="EM642" s="1869" t="e">
        <f t="shared" si="26"/>
        <v>#VALUE!</v>
      </c>
      <c r="EN642" s="1869"/>
      <c r="EO642" s="1869"/>
      <c r="EP642" s="1869"/>
      <c r="EQ642" s="1869"/>
      <c r="ER642" s="1869" t="e">
        <f t="shared" si="27"/>
        <v>#VALUE!</v>
      </c>
      <c r="ES642" s="1869"/>
      <c r="ET642" s="1869"/>
      <c r="EU642" s="1869"/>
      <c r="EV642" s="1869"/>
      <c r="EW642" s="1869" t="e">
        <f t="shared" si="28"/>
        <v>#VALUE!</v>
      </c>
      <c r="EX642" s="1869"/>
      <c r="EY642" s="1869"/>
      <c r="EZ642" s="1869"/>
      <c r="FA642" s="1869"/>
    </row>
    <row r="643" spans="1:157" ht="12.95" customHeight="1">
      <c r="A643" s="22"/>
      <c r="B643" t="s">
        <v>318</v>
      </c>
      <c r="G643" s="1518" t="s">
        <v>2640</v>
      </c>
      <c r="H643" s="1437"/>
      <c r="I643" s="1437"/>
      <c r="J643" s="1437"/>
      <c r="K643" s="1437"/>
      <c r="L643" s="1437"/>
      <c r="O643" s="33" t="s">
        <v>208</v>
      </c>
      <c r="P643" s="1464"/>
      <c r="Q643" s="1464"/>
      <c r="R643" s="1464"/>
      <c r="S643" s="10"/>
      <c r="T643" s="22"/>
      <c r="U643" t="s">
        <v>318</v>
      </c>
      <c r="Z643" s="1518" t="s">
        <v>2747</v>
      </c>
      <c r="AA643" s="1518"/>
      <c r="AB643" s="1518"/>
      <c r="AC643" s="1518"/>
      <c r="AD643" s="1518"/>
      <c r="AE643" s="1518"/>
      <c r="AH643" s="33" t="s">
        <v>208</v>
      </c>
      <c r="AI643" s="1464"/>
      <c r="AJ643" s="1464"/>
      <c r="AK643" s="1464"/>
      <c r="AZ643" s="34"/>
      <c r="BA643" s="34"/>
      <c r="BB643" s="34"/>
      <c r="BC643" s="34"/>
      <c r="BD643" s="34"/>
      <c r="BE643" s="34"/>
      <c r="BF643" s="34"/>
      <c r="BG643" s="34"/>
      <c r="BH643" s="34"/>
      <c r="BI643" s="34"/>
      <c r="BJ643" s="34"/>
      <c r="BK643" s="34"/>
      <c r="BL643" s="34"/>
      <c r="BM643" s="34"/>
      <c r="BN643" s="1478">
        <f t="shared" si="30"/>
        <v>0</v>
      </c>
      <c r="BO643" s="1479"/>
      <c r="BP643" s="1479"/>
      <c r="BQ643" s="1479"/>
      <c r="BR643" s="1480"/>
      <c r="BS643" s="1393">
        <f t="shared" si="31"/>
        <v>0</v>
      </c>
      <c r="BT643" s="1393"/>
      <c r="BU643" s="1393"/>
      <c r="BV643" s="1393"/>
      <c r="BW643" s="1393"/>
      <c r="BX643" s="1393">
        <f t="shared" si="32"/>
        <v>0</v>
      </c>
      <c r="BY643" s="1393"/>
      <c r="BZ643" s="1393"/>
      <c r="CA643" s="1393"/>
      <c r="CB643" s="1393"/>
      <c r="CC643" s="1393">
        <f t="shared" si="33"/>
        <v>0</v>
      </c>
      <c r="CD643" s="1393"/>
      <c r="CE643" s="1393"/>
      <c r="CF643" s="1393"/>
      <c r="CG643" s="1393"/>
      <c r="CH643" s="1393">
        <f t="shared" si="34"/>
        <v>0</v>
      </c>
      <c r="CI643" s="1393"/>
      <c r="CJ643" s="1393"/>
      <c r="CK643" s="1393"/>
      <c r="CL643" s="1393"/>
      <c r="CM643" s="1393">
        <f t="shared" si="35"/>
        <v>0</v>
      </c>
      <c r="CN643" s="1393"/>
      <c r="CO643" s="1393"/>
      <c r="CP643" s="1393"/>
      <c r="CQ643" s="1393"/>
      <c r="CR643" s="6"/>
      <c r="CS643" s="1478">
        <f t="shared" si="36"/>
        <v>0</v>
      </c>
      <c r="CT643" s="1479"/>
      <c r="CU643" s="1479"/>
      <c r="CV643" s="1479"/>
      <c r="CW643" s="1480"/>
      <c r="CX643" s="1478">
        <f t="shared" si="37"/>
        <v>0</v>
      </c>
      <c r="CY643" s="1479"/>
      <c r="CZ643" s="1479"/>
      <c r="DA643" s="1479"/>
      <c r="DB643" s="1480"/>
      <c r="DC643" s="1478">
        <f t="shared" si="38"/>
        <v>0</v>
      </c>
      <c r="DD643" s="1479"/>
      <c r="DE643" s="1479"/>
      <c r="DF643" s="1479"/>
      <c r="DG643" s="1480"/>
      <c r="DH643" s="1478">
        <f t="shared" si="39"/>
        <v>0</v>
      </c>
      <c r="DI643" s="1479"/>
      <c r="DJ643" s="1479"/>
      <c r="DK643" s="1479"/>
      <c r="DL643" s="1480"/>
      <c r="DM643" s="1478">
        <f t="shared" si="40"/>
        <v>0</v>
      </c>
      <c r="DN643" s="1479"/>
      <c r="DO643" s="1479"/>
      <c r="DP643" s="1479"/>
      <c r="DQ643" s="1480"/>
      <c r="DR643" s="1478">
        <f t="shared" si="41"/>
        <v>0</v>
      </c>
      <c r="DS643" s="1479"/>
      <c r="DT643" s="1479"/>
      <c r="DU643" s="1479"/>
      <c r="DV643" s="1480"/>
      <c r="DX643" s="1869" t="e">
        <f t="shared" si="23"/>
        <v>#VALUE!</v>
      </c>
      <c r="DY643" s="1869"/>
      <c r="DZ643" s="1869"/>
      <c r="EA643" s="1869"/>
      <c r="EB643" s="1869"/>
      <c r="EC643" s="1869" t="e">
        <f t="shared" si="24"/>
        <v>#VALUE!</v>
      </c>
      <c r="ED643" s="1869"/>
      <c r="EE643" s="1869"/>
      <c r="EF643" s="1869"/>
      <c r="EG643" s="1869"/>
      <c r="EH643" s="1869" t="e">
        <f t="shared" si="25"/>
        <v>#VALUE!</v>
      </c>
      <c r="EI643" s="1869"/>
      <c r="EJ643" s="1869"/>
      <c r="EK643" s="1869"/>
      <c r="EL643" s="1869"/>
      <c r="EM643" s="1869" t="e">
        <f t="shared" si="26"/>
        <v>#VALUE!</v>
      </c>
      <c r="EN643" s="1869"/>
      <c r="EO643" s="1869"/>
      <c r="EP643" s="1869"/>
      <c r="EQ643" s="1869"/>
      <c r="ER643" s="1869" t="e">
        <f t="shared" si="27"/>
        <v>#VALUE!</v>
      </c>
      <c r="ES643" s="1869"/>
      <c r="ET643" s="1869"/>
      <c r="EU643" s="1869"/>
      <c r="EV643" s="1869"/>
      <c r="EW643" s="1869" t="e">
        <f t="shared" si="28"/>
        <v>#VALUE!</v>
      </c>
      <c r="EX643" s="1869"/>
      <c r="EY643" s="1869"/>
      <c r="EZ643" s="1869"/>
      <c r="FA643" s="1869"/>
    </row>
    <row r="644" spans="1:157" ht="12.95" customHeight="1">
      <c r="A644" s="22"/>
      <c r="B644" t="s">
        <v>18</v>
      </c>
      <c r="H644" s="1475" t="s">
        <v>2641</v>
      </c>
      <c r="I644" s="1392"/>
      <c r="J644" s="1392"/>
      <c r="K644" s="1392"/>
      <c r="L644" s="1392"/>
      <c r="M644" s="1392"/>
      <c r="N644" s="1392"/>
      <c r="O644" s="1392"/>
      <c r="P644" s="1392"/>
      <c r="Q644" s="1392"/>
      <c r="R644" s="1392"/>
      <c r="S644" s="8"/>
      <c r="T644" s="22"/>
      <c r="U644" t="s">
        <v>18</v>
      </c>
      <c r="AA644" s="1475" t="s">
        <v>2744</v>
      </c>
      <c r="AB644" s="1392"/>
      <c r="AC644" s="1392"/>
      <c r="AD644" s="1392"/>
      <c r="AE644" s="1392"/>
      <c r="AF644" s="1392"/>
      <c r="AG644" s="1392"/>
      <c r="AH644" s="1392"/>
      <c r="AI644" s="1392"/>
      <c r="AJ644" s="1392"/>
      <c r="AK644" s="1392"/>
      <c r="AZ644" s="34"/>
      <c r="BA644" s="34"/>
      <c r="BB644" s="34"/>
      <c r="BC644" s="34"/>
      <c r="BD644" s="34"/>
      <c r="BE644" s="34"/>
      <c r="BF644" s="34"/>
      <c r="BG644" s="34"/>
      <c r="BH644" s="34"/>
      <c r="BI644" s="34"/>
      <c r="BJ644" s="34"/>
      <c r="BK644" s="34"/>
      <c r="BL644" s="34"/>
      <c r="BM644" s="34"/>
      <c r="BN644" s="1476">
        <f>SUM(BN634:BR643)</f>
        <v>0</v>
      </c>
      <c r="BO644" s="1515"/>
      <c r="BP644" s="1515"/>
      <c r="BQ644" s="1515"/>
      <c r="BR644" s="1477"/>
      <c r="BS644" s="1710">
        <f>SUM(BS634:BW643)</f>
        <v>0</v>
      </c>
      <c r="BT644" s="1711"/>
      <c r="BU644" s="1711"/>
      <c r="BV644" s="1711"/>
      <c r="BW644" s="1712"/>
      <c r="BX644" s="1710">
        <f>SUM(BX634:CB643)</f>
        <v>0</v>
      </c>
      <c r="BY644" s="1711"/>
      <c r="BZ644" s="1711"/>
      <c r="CA644" s="1711"/>
      <c r="CB644" s="1712"/>
      <c r="CC644" s="1710">
        <f>SUM(CC634:CG643)</f>
        <v>0</v>
      </c>
      <c r="CD644" s="1711"/>
      <c r="CE644" s="1711"/>
      <c r="CF644" s="1711"/>
      <c r="CG644" s="1712"/>
      <c r="CH644" s="1710">
        <f>SUM(CH634:CL643)</f>
        <v>0</v>
      </c>
      <c r="CI644" s="1711"/>
      <c r="CJ644" s="1711"/>
      <c r="CK644" s="1711"/>
      <c r="CL644" s="1712"/>
      <c r="CM644" s="1710">
        <f>SUM(CM634:CQ643)</f>
        <v>0</v>
      </c>
      <c r="CN644" s="1711"/>
      <c r="CO644" s="1711"/>
      <c r="CP644" s="1711"/>
      <c r="CQ644" s="1712"/>
      <c r="CR644" s="1049"/>
      <c r="CS644" s="1636">
        <f>SUM(CS634:CW643)</f>
        <v>0</v>
      </c>
      <c r="CT644" s="1636"/>
      <c r="CU644" s="1636"/>
      <c r="CV644" s="1636"/>
      <c r="CW644" s="1636"/>
      <c r="CX644" s="1636">
        <f>SUM(CX634:DB643)</f>
        <v>0</v>
      </c>
      <c r="CY644" s="1636"/>
      <c r="CZ644" s="1636"/>
      <c r="DA644" s="1636"/>
      <c r="DB644" s="1636"/>
      <c r="DC644" s="1636">
        <f>SUM(DC634:DG643)</f>
        <v>0</v>
      </c>
      <c r="DD644" s="1636"/>
      <c r="DE644" s="1636"/>
      <c r="DF644" s="1636"/>
      <c r="DG644" s="1636"/>
      <c r="DH644" s="1636">
        <f>SUM(DH634:DL643)</f>
        <v>0</v>
      </c>
      <c r="DI644" s="1636"/>
      <c r="DJ644" s="1636"/>
      <c r="DK644" s="1636"/>
      <c r="DL644" s="1636"/>
      <c r="DM644" s="1636">
        <f>SUM(DM634:DQ643)</f>
        <v>0</v>
      </c>
      <c r="DN644" s="1636"/>
      <c r="DO644" s="1636"/>
      <c r="DP644" s="1636"/>
      <c r="DQ644" s="1636"/>
      <c r="DR644" s="1636">
        <f>SUM(DR634:DV643)</f>
        <v>0</v>
      </c>
      <c r="DS644" s="1636"/>
      <c r="DT644" s="1636"/>
      <c r="DU644" s="1636"/>
      <c r="DV644" s="1636"/>
      <c r="DX644" s="1869" t="e">
        <f t="shared" si="23"/>
        <v>#VALUE!</v>
      </c>
      <c r="DY644" s="1869"/>
      <c r="DZ644" s="1869"/>
      <c r="EA644" s="1869"/>
      <c r="EB644" s="1869"/>
      <c r="EC644" s="1869" t="e">
        <f t="shared" si="24"/>
        <v>#VALUE!</v>
      </c>
      <c r="ED644" s="1869"/>
      <c r="EE644" s="1869"/>
      <c r="EF644" s="1869"/>
      <c r="EG644" s="1869"/>
      <c r="EH644" s="1869" t="e">
        <f t="shared" si="25"/>
        <v>#VALUE!</v>
      </c>
      <c r="EI644" s="1869"/>
      <c r="EJ644" s="1869"/>
      <c r="EK644" s="1869"/>
      <c r="EL644" s="1869"/>
      <c r="EM644" s="1869" t="e">
        <f t="shared" si="26"/>
        <v>#VALUE!</v>
      </c>
      <c r="EN644" s="1869"/>
      <c r="EO644" s="1869"/>
      <c r="EP644" s="1869"/>
      <c r="EQ644" s="1869"/>
      <c r="ER644" s="1869" t="e">
        <f t="shared" si="27"/>
        <v>#VALUE!</v>
      </c>
      <c r="ES644" s="1869"/>
      <c r="ET644" s="1869"/>
      <c r="EU644" s="1869"/>
      <c r="EV644" s="1869"/>
      <c r="EW644" s="1869" t="e">
        <f t="shared" si="28"/>
        <v>#VALUE!</v>
      </c>
      <c r="EX644" s="1869"/>
      <c r="EY644" s="1869"/>
      <c r="EZ644" s="1869"/>
      <c r="FA644" s="1869"/>
    </row>
    <row r="645" spans="1:157" ht="12.95" customHeight="1">
      <c r="A645" s="22"/>
      <c r="B645" t="s">
        <v>20</v>
      </c>
      <c r="N645" s="1376" t="s">
        <v>555</v>
      </c>
      <c r="O645" s="1376"/>
      <c r="T645" s="22"/>
      <c r="U645" t="s">
        <v>20</v>
      </c>
      <c r="AG645" s="1376" t="s">
        <v>555</v>
      </c>
      <c r="AH645" s="137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9" t="e">
        <f t="shared" si="23"/>
        <v>#VALUE!</v>
      </c>
      <c r="DY645" s="1869"/>
      <c r="DZ645" s="1869"/>
      <c r="EA645" s="1869"/>
      <c r="EB645" s="1869"/>
      <c r="EC645" s="1869" t="e">
        <f t="shared" si="24"/>
        <v>#VALUE!</v>
      </c>
      <c r="ED645" s="1869"/>
      <c r="EE645" s="1869"/>
      <c r="EF645" s="1869"/>
      <c r="EG645" s="1869"/>
      <c r="EH645" s="1869" t="e">
        <f t="shared" si="25"/>
        <v>#VALUE!</v>
      </c>
      <c r="EI645" s="1869"/>
      <c r="EJ645" s="1869"/>
      <c r="EK645" s="1869"/>
      <c r="EL645" s="1869"/>
      <c r="EM645" s="1869" t="e">
        <f t="shared" si="26"/>
        <v>#VALUE!</v>
      </c>
      <c r="EN645" s="1869"/>
      <c r="EO645" s="1869"/>
      <c r="EP645" s="1869"/>
      <c r="EQ645" s="1869"/>
      <c r="ER645" s="1869" t="e">
        <f t="shared" si="27"/>
        <v>#VALUE!</v>
      </c>
      <c r="ES645" s="1869"/>
      <c r="ET645" s="1869"/>
      <c r="EU645" s="1869"/>
      <c r="EV645" s="1869"/>
      <c r="EW645" s="1869" t="e">
        <f t="shared" si="28"/>
        <v>#VALUE!</v>
      </c>
      <c r="EX645" s="1869"/>
      <c r="EY645" s="1869"/>
      <c r="EZ645" s="1869"/>
      <c r="FA645" s="186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2124</v>
      </c>
      <c r="CU646" s="3"/>
      <c r="CV646" s="3"/>
      <c r="CW646" s="3"/>
      <c r="CX646" s="3"/>
      <c r="CY646" s="3"/>
      <c r="CZ646" s="3"/>
      <c r="DA646" s="3"/>
      <c r="DB646" s="3"/>
      <c r="DC646" s="3"/>
      <c r="DD646" s="3"/>
      <c r="DE646" s="3"/>
      <c r="DF646" s="3"/>
      <c r="DQ646" s="56" t="s">
        <v>2136</v>
      </c>
      <c r="DR646" s="1869">
        <f>SUM(CS644:DV644)</f>
        <v>0</v>
      </c>
      <c r="DS646" s="1869"/>
      <c r="DT646" s="1869"/>
      <c r="DU646" s="1869"/>
      <c r="DV646" s="1869"/>
      <c r="DX646" s="1869" t="e">
        <f t="shared" si="23"/>
        <v>#VALUE!</v>
      </c>
      <c r="DY646" s="1869"/>
      <c r="DZ646" s="1869"/>
      <c r="EA646" s="1869"/>
      <c r="EB646" s="1869"/>
      <c r="EC646" s="1869" t="e">
        <f t="shared" si="24"/>
        <v>#VALUE!</v>
      </c>
      <c r="ED646" s="1869"/>
      <c r="EE646" s="1869"/>
      <c r="EF646" s="1869"/>
      <c r="EG646" s="1869"/>
      <c r="EH646" s="1869" t="e">
        <f t="shared" si="25"/>
        <v>#VALUE!</v>
      </c>
      <c r="EI646" s="1869"/>
      <c r="EJ646" s="1869"/>
      <c r="EK646" s="1869"/>
      <c r="EL646" s="1869"/>
      <c r="EM646" s="1869" t="e">
        <f t="shared" si="26"/>
        <v>#VALUE!</v>
      </c>
      <c r="EN646" s="1869"/>
      <c r="EO646" s="1869"/>
      <c r="EP646" s="1869"/>
      <c r="EQ646" s="1869"/>
      <c r="ER646" s="1869" t="e">
        <f t="shared" si="27"/>
        <v>#VALUE!</v>
      </c>
      <c r="ES646" s="1869"/>
      <c r="ET646" s="1869"/>
      <c r="EU646" s="1869"/>
      <c r="EV646" s="1869"/>
      <c r="EW646" s="1869" t="e">
        <f t="shared" si="28"/>
        <v>#VALUE!</v>
      </c>
      <c r="EX646" s="1869"/>
      <c r="EY646" s="1869"/>
      <c r="EZ646" s="1869"/>
      <c r="FA646" s="1869"/>
    </row>
    <row r="647" spans="1:157" ht="12.95" customHeight="1">
      <c r="A647" s="55" t="s">
        <v>120</v>
      </c>
      <c r="B647" t="s">
        <v>473</v>
      </c>
      <c r="G647" s="1517" t="str">
        <f>C625</f>
        <v>City of Vacavile Cash Loan</v>
      </c>
      <c r="H647" s="1517"/>
      <c r="I647" s="1517"/>
      <c r="J647" s="1517"/>
      <c r="K647" s="1517"/>
      <c r="L647" s="1517"/>
      <c r="M647" s="1517"/>
      <c r="N647" s="1517"/>
      <c r="O647" s="1517"/>
      <c r="P647" s="1517"/>
      <c r="Q647" s="1517"/>
      <c r="R647" s="1517"/>
      <c r="T647" s="55" t="s">
        <v>591</v>
      </c>
      <c r="U647" t="s">
        <v>473</v>
      </c>
      <c r="Z647" s="1517" t="str">
        <f>C626</f>
        <v>Deferred Developer Fee</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7">
        <f>BR645+BW645+CB645+CG645+CL645+CQ645</f>
        <v>0</v>
      </c>
      <c r="CT647" s="57" t="s">
        <v>1812</v>
      </c>
      <c r="CU647" s="3"/>
      <c r="CV647" s="3"/>
      <c r="CW647" s="3"/>
      <c r="CX647" s="3"/>
      <c r="CY647" s="3"/>
      <c r="CZ647" s="3"/>
      <c r="DA647" s="3"/>
      <c r="DB647" s="3"/>
      <c r="DC647" s="3"/>
      <c r="DD647" s="3"/>
      <c r="DE647" s="3"/>
      <c r="DF647" s="3"/>
      <c r="DX647" s="1869" t="e">
        <f t="shared" si="23"/>
        <v>#VALUE!</v>
      </c>
      <c r="DY647" s="1869"/>
      <c r="DZ647" s="1869"/>
      <c r="EA647" s="1869"/>
      <c r="EB647" s="1869"/>
      <c r="EC647" s="1869" t="e">
        <f t="shared" si="24"/>
        <v>#VALUE!</v>
      </c>
      <c r="ED647" s="1869"/>
      <c r="EE647" s="1869"/>
      <c r="EF647" s="1869"/>
      <c r="EG647" s="1869"/>
      <c r="EH647" s="1869" t="e">
        <f t="shared" si="25"/>
        <v>#VALUE!</v>
      </c>
      <c r="EI647" s="1869"/>
      <c r="EJ647" s="1869"/>
      <c r="EK647" s="1869"/>
      <c r="EL647" s="1869"/>
      <c r="EM647" s="1869" t="e">
        <f t="shared" si="26"/>
        <v>#VALUE!</v>
      </c>
      <c r="EN647" s="1869"/>
      <c r="EO647" s="1869"/>
      <c r="EP647" s="1869"/>
      <c r="EQ647" s="1869"/>
      <c r="ER647" s="1869" t="e">
        <f t="shared" si="27"/>
        <v>#VALUE!</v>
      </c>
      <c r="ES647" s="1869"/>
      <c r="ET647" s="1869"/>
      <c r="EU647" s="1869"/>
      <c r="EV647" s="1869"/>
      <c r="EW647" s="1869" t="e">
        <f t="shared" si="28"/>
        <v>#VALUE!</v>
      </c>
      <c r="EX647" s="1869"/>
      <c r="EY647" s="1869"/>
      <c r="EZ647" s="1869"/>
      <c r="FA647" s="1869"/>
    </row>
    <row r="648" spans="1:157" ht="12.95" customHeight="1">
      <c r="A648" s="22"/>
      <c r="B648" t="s">
        <v>86</v>
      </c>
      <c r="G648" s="1392" t="s">
        <v>2746</v>
      </c>
      <c r="H648" s="1392"/>
      <c r="I648" s="1392"/>
      <c r="J648" s="1392"/>
      <c r="K648" s="1392"/>
      <c r="L648" s="1392"/>
      <c r="M648" s="1392"/>
      <c r="N648" s="1392"/>
      <c r="O648" s="1392"/>
      <c r="P648" s="1392"/>
      <c r="Q648" s="1392"/>
      <c r="R648" s="1392"/>
      <c r="T648" s="22"/>
      <c r="U648" t="s">
        <v>86</v>
      </c>
      <c r="Z648" s="1475" t="s">
        <v>2735</v>
      </c>
      <c r="AA648" s="1392"/>
      <c r="AB648" s="1392"/>
      <c r="AC648" s="1392"/>
      <c r="AD648" s="1392"/>
      <c r="AE648" s="1392"/>
      <c r="AF648" s="1392"/>
      <c r="AG648" s="1392"/>
      <c r="AH648" s="1392"/>
      <c r="AI648" s="1392"/>
      <c r="AJ648" s="1392"/>
      <c r="AK648" s="139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9" t="e">
        <f t="shared" si="23"/>
        <v>#VALUE!</v>
      </c>
      <c r="DY648" s="1869"/>
      <c r="DZ648" s="1869"/>
      <c r="EA648" s="1869"/>
      <c r="EB648" s="1869"/>
      <c r="EC648" s="1869" t="e">
        <f t="shared" si="24"/>
        <v>#VALUE!</v>
      </c>
      <c r="ED648" s="1869"/>
      <c r="EE648" s="1869"/>
      <c r="EF648" s="1869"/>
      <c r="EG648" s="1869"/>
      <c r="EH648" s="1869" t="e">
        <f t="shared" si="25"/>
        <v>#VALUE!</v>
      </c>
      <c r="EI648" s="1869"/>
      <c r="EJ648" s="1869"/>
      <c r="EK648" s="1869"/>
      <c r="EL648" s="1869"/>
      <c r="EM648" s="1869" t="e">
        <f t="shared" si="26"/>
        <v>#VALUE!</v>
      </c>
      <c r="EN648" s="1869"/>
      <c r="EO648" s="1869"/>
      <c r="EP648" s="1869"/>
      <c r="EQ648" s="1869"/>
      <c r="ER648" s="1869" t="e">
        <f t="shared" si="27"/>
        <v>#VALUE!</v>
      </c>
      <c r="ES648" s="1869"/>
      <c r="ET648" s="1869"/>
      <c r="EU648" s="1869"/>
      <c r="EV648" s="1869"/>
      <c r="EW648" s="1869" t="e">
        <f t="shared" si="28"/>
        <v>#VALUE!</v>
      </c>
      <c r="EX648" s="1869"/>
      <c r="EY648" s="1869"/>
      <c r="EZ648" s="1869"/>
      <c r="FA648" s="1869"/>
    </row>
    <row r="649" spans="1:157" ht="12.95" customHeight="1">
      <c r="A649" s="22"/>
      <c r="B649" t="s">
        <v>590</v>
      </c>
      <c r="G649" s="1463" t="s">
        <v>2741</v>
      </c>
      <c r="H649" s="1372"/>
      <c r="I649" s="1372"/>
      <c r="J649" s="1372"/>
      <c r="K649" s="1372"/>
      <c r="L649" s="1372"/>
      <c r="M649" s="1372"/>
      <c r="N649" s="1372"/>
      <c r="O649" s="1372"/>
      <c r="P649" s="1372"/>
      <c r="Q649" s="1372"/>
      <c r="R649" s="1372"/>
      <c r="T649" s="22"/>
      <c r="U649" t="s">
        <v>590</v>
      </c>
      <c r="Z649" s="1463" t="s">
        <v>2748</v>
      </c>
      <c r="AA649" s="1372"/>
      <c r="AB649" s="1372"/>
      <c r="AC649" s="1372"/>
      <c r="AD649" s="1372"/>
      <c r="AE649" s="1372"/>
      <c r="AF649" s="1372"/>
      <c r="AG649" s="1372"/>
      <c r="AH649" s="1372"/>
      <c r="AI649" s="1372"/>
      <c r="AJ649" s="1372"/>
      <c r="AK649" s="1372"/>
      <c r="AZ649" s="34"/>
      <c r="BA649" s="34"/>
      <c r="BB649" s="34"/>
      <c r="BC649" s="34"/>
      <c r="BD649" s="34"/>
      <c r="BE649" s="34"/>
      <c r="BF649" s="34"/>
      <c r="BG649" s="34"/>
      <c r="BH649" s="34"/>
      <c r="BI649" s="34"/>
      <c r="BJ649" s="34"/>
      <c r="BK649" s="34"/>
      <c r="BL649" s="34"/>
      <c r="BM649" s="34"/>
      <c r="BN649" s="1710">
        <f>BN621+BN630+BN644</f>
        <v>21</v>
      </c>
      <c r="BO649" s="1711"/>
      <c r="BP649" s="1711"/>
      <c r="BQ649" s="1711"/>
      <c r="BR649" s="1712"/>
      <c r="BS649" s="1710">
        <f>BS621+BS630+BS644</f>
        <v>82</v>
      </c>
      <c r="BT649" s="1711"/>
      <c r="BU649" s="1711"/>
      <c r="BV649" s="1711"/>
      <c r="BW649" s="1712"/>
      <c r="BX649" s="1710">
        <f>BX621+BX630+BX644</f>
        <v>32</v>
      </c>
      <c r="BY649" s="1711"/>
      <c r="BZ649" s="1711"/>
      <c r="CA649" s="1711"/>
      <c r="CB649" s="1712"/>
      <c r="CC649" s="1710">
        <f>CC621+CC630+CC644</f>
        <v>0</v>
      </c>
      <c r="CD649" s="1711"/>
      <c r="CE649" s="1711"/>
      <c r="CF649" s="1711"/>
      <c r="CG649" s="1712"/>
      <c r="CH649" s="1710">
        <f>CH621+CH630+CH644</f>
        <v>0</v>
      </c>
      <c r="CI649" s="1711"/>
      <c r="CJ649" s="1711"/>
      <c r="CK649" s="1711"/>
      <c r="CL649" s="1712"/>
      <c r="CM649" s="1418">
        <f>CM644+CM630+CM621</f>
        <v>0</v>
      </c>
      <c r="CN649" s="1865"/>
      <c r="CO649" s="1865"/>
      <c r="CP649" s="1865"/>
      <c r="CQ649" s="1419"/>
      <c r="CR649" s="3"/>
      <c r="CS649" s="897">
        <f>CS623+CS647</f>
        <v>163</v>
      </c>
      <c r="CT649" s="57" t="s">
        <v>2129</v>
      </c>
      <c r="CU649" s="3"/>
      <c r="CV649" s="3"/>
      <c r="CW649" s="3"/>
      <c r="CX649" s="3"/>
      <c r="CY649" s="3"/>
      <c r="CZ649" s="3"/>
      <c r="DA649" s="3"/>
      <c r="DB649" s="3"/>
      <c r="DC649" s="3"/>
      <c r="DD649" s="3"/>
      <c r="DE649" s="3"/>
      <c r="DF649" s="3"/>
      <c r="DX649" s="1869">
        <f>SUMIF(DX624:EB648,"&gt;0")</f>
        <v>970.23809523809518</v>
      </c>
      <c r="DY649" s="1869"/>
      <c r="DZ649" s="1869"/>
      <c r="EA649" s="1869"/>
      <c r="EB649" s="1869"/>
      <c r="EC649" s="1869">
        <f>SUMIF(EC624:EG648,"&gt;0")</f>
        <v>1027.780487804878</v>
      </c>
      <c r="ED649" s="1869"/>
      <c r="EE649" s="1869"/>
      <c r="EF649" s="1869"/>
      <c r="EG649" s="1869"/>
      <c r="EH649" s="1869">
        <f>SUMIF(EH624:EL648,"&gt;0")</f>
        <v>1193.7333333333333</v>
      </c>
      <c r="EI649" s="1869"/>
      <c r="EJ649" s="1869"/>
      <c r="EK649" s="1869"/>
      <c r="EL649" s="1869"/>
      <c r="EM649" s="1869">
        <f>SUMIF(EM624:EQ648,"&gt;0")</f>
        <v>0</v>
      </c>
      <c r="EN649" s="1869"/>
      <c r="EO649" s="1869"/>
      <c r="EP649" s="1869"/>
      <c r="EQ649" s="1869"/>
      <c r="ER649" s="1869">
        <f>SUMIF(ER624:EV648,"&gt;0")</f>
        <v>0</v>
      </c>
      <c r="ES649" s="1869"/>
      <c r="ET649" s="1869"/>
      <c r="EU649" s="1869"/>
      <c r="EV649" s="1869"/>
      <c r="EW649" s="1869">
        <f>SUMIF(EW624:FA648,"&gt;0")</f>
        <v>0</v>
      </c>
      <c r="EX649" s="1869"/>
      <c r="EY649" s="1869"/>
      <c r="EZ649" s="1869"/>
      <c r="FA649" s="1869"/>
    </row>
    <row r="650" spans="1:157" ht="12.95" customHeight="1">
      <c r="A650" s="22"/>
      <c r="B650" t="s">
        <v>17</v>
      </c>
      <c r="G650" s="1463" t="s">
        <v>2742</v>
      </c>
      <c r="H650" s="1372"/>
      <c r="I650" s="1372"/>
      <c r="J650" s="1372"/>
      <c r="K650" s="1372"/>
      <c r="L650" s="1372"/>
      <c r="M650" s="1372"/>
      <c r="N650" s="1372"/>
      <c r="O650" s="1372"/>
      <c r="P650" s="1372"/>
      <c r="Q650" s="1372"/>
      <c r="R650" s="1372"/>
      <c r="T650" s="22"/>
      <c r="U650" t="s">
        <v>17</v>
      </c>
      <c r="Z650" s="1463" t="s">
        <v>2737</v>
      </c>
      <c r="AA650" s="1372"/>
      <c r="AB650" s="1372"/>
      <c r="AC650" s="1372"/>
      <c r="AD650" s="1372"/>
      <c r="AE650" s="1372"/>
      <c r="AF650" s="1372"/>
      <c r="AG650" s="1372"/>
      <c r="AH650" s="1372"/>
      <c r="AI650" s="1372"/>
      <c r="AJ650" s="1372"/>
      <c r="AK650" s="137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8" t="s">
        <v>2747</v>
      </c>
      <c r="H651" s="1518"/>
      <c r="I651" s="1518"/>
      <c r="J651" s="1518"/>
      <c r="K651" s="1518"/>
      <c r="L651" s="1518"/>
      <c r="O651" s="33" t="s">
        <v>208</v>
      </c>
      <c r="P651" s="1464"/>
      <c r="Q651" s="1464"/>
      <c r="R651" s="1464"/>
      <c r="T651" s="22"/>
      <c r="U651" t="s">
        <v>318</v>
      </c>
      <c r="Z651" s="1518" t="s">
        <v>2713</v>
      </c>
      <c r="AA651" s="1518"/>
      <c r="AB651" s="1518"/>
      <c r="AC651" s="1518"/>
      <c r="AD651" s="1518"/>
      <c r="AE651" s="1518"/>
      <c r="AH651" s="33" t="s">
        <v>208</v>
      </c>
      <c r="AI651" s="1464"/>
      <c r="AJ651" s="1464"/>
      <c r="AK651" s="146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75" t="s">
        <v>2745</v>
      </c>
      <c r="I652" s="1392"/>
      <c r="J652" s="1392"/>
      <c r="K652" s="1392"/>
      <c r="L652" s="1392"/>
      <c r="M652" s="1392"/>
      <c r="N652" s="1392"/>
      <c r="O652" s="1392"/>
      <c r="P652" s="1392"/>
      <c r="Q652" s="1392"/>
      <c r="R652" s="1392"/>
      <c r="T652" s="22"/>
      <c r="U652" t="s">
        <v>18</v>
      </c>
      <c r="AA652" s="1475" t="s">
        <v>2738</v>
      </c>
      <c r="AB652" s="1392"/>
      <c r="AC652" s="1392"/>
      <c r="AD652" s="1392"/>
      <c r="AE652" s="1392"/>
      <c r="AF652" s="1392"/>
      <c r="AG652" s="1392"/>
      <c r="AH652" s="1392"/>
      <c r="AI652" s="1392"/>
      <c r="AJ652" s="1392"/>
      <c r="AK652" s="1392"/>
      <c r="AZ652" s="3"/>
      <c r="BA652" s="3"/>
      <c r="BB652" s="3"/>
      <c r="BC652" s="3"/>
      <c r="BD652" s="3"/>
      <c r="BE652" s="3"/>
      <c r="BF652" s="3"/>
      <c r="BG652" s="3"/>
      <c r="BH652" s="3"/>
      <c r="BI652" s="3"/>
      <c r="BJ652" s="3"/>
      <c r="BK652" s="3"/>
      <c r="BL652" s="3"/>
      <c r="BM652" s="3"/>
      <c r="BN652" s="3"/>
      <c r="BO652" s="3"/>
      <c r="BP652" s="207" t="s">
        <v>2315</v>
      </c>
      <c r="BQ652" s="208"/>
      <c r="BR652" s="208"/>
      <c r="BS652" s="208"/>
      <c r="BT652" s="208"/>
      <c r="BU652" s="208"/>
      <c r="BV652" s="208"/>
      <c r="BW652" s="3"/>
      <c r="BX652" s="207" t="s">
        <v>2318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555</v>
      </c>
      <c r="O653" s="1376"/>
      <c r="T653" s="22"/>
      <c r="U653" t="s">
        <v>20</v>
      </c>
      <c r="AG653" s="1376" t="s">
        <v>555</v>
      </c>
      <c r="AH653" s="1376"/>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2319</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7">
        <f>C627</f>
        <v>0</v>
      </c>
      <c r="H655" s="1517"/>
      <c r="I655" s="1517"/>
      <c r="J655" s="1517"/>
      <c r="K655" s="1517"/>
      <c r="L655" s="1517"/>
      <c r="M655" s="1517"/>
      <c r="N655" s="1517"/>
      <c r="O655" s="1517"/>
      <c r="P655" s="1517"/>
      <c r="Q655" s="1517"/>
      <c r="R655" s="1517"/>
      <c r="T655" s="55" t="s">
        <v>594</v>
      </c>
      <c r="U655" t="s">
        <v>473</v>
      </c>
      <c r="Z655" s="1517">
        <f>C628</f>
        <v>0</v>
      </c>
      <c r="AA655" s="1517"/>
      <c r="AB655" s="1517"/>
      <c r="AC655" s="1517"/>
      <c r="AD655" s="1517"/>
      <c r="AE655" s="1517"/>
      <c r="AF655" s="1517"/>
      <c r="AG655" s="1517"/>
      <c r="AH655" s="1517"/>
      <c r="AI655" s="1517"/>
      <c r="AJ655" s="1517"/>
      <c r="AK655" s="1517"/>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2"/>
      <c r="H656" s="1392"/>
      <c r="I656" s="1392"/>
      <c r="J656" s="1392"/>
      <c r="K656" s="1392"/>
      <c r="L656" s="1392"/>
      <c r="M656" s="1392"/>
      <c r="N656" s="1392"/>
      <c r="O656" s="1392"/>
      <c r="P656" s="1392"/>
      <c r="Q656" s="1392"/>
      <c r="R656" s="1392"/>
      <c r="T656" s="22"/>
      <c r="U656" t="s">
        <v>86</v>
      </c>
      <c r="Z656" s="1392"/>
      <c r="AA656" s="1392"/>
      <c r="AB656" s="1392"/>
      <c r="AC656" s="1392"/>
      <c r="AD656" s="1392"/>
      <c r="AE656" s="1392"/>
      <c r="AF656" s="1392"/>
      <c r="AG656" s="1392"/>
      <c r="AH656" s="1392"/>
      <c r="AI656" s="1392"/>
      <c r="AJ656" s="1392"/>
      <c r="AK656" s="1392"/>
      <c r="AZ656" s="3"/>
      <c r="BA656" s="118">
        <f t="shared" ref="BA656:BA680" si="42">IF($G714=0,"N/A",VLOOKUP($T$189,TC_Rent,(MATCH($B714,bedrooms,FALSE))))</f>
        <v>1902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2"/>
      <c r="H657" s="1392"/>
      <c r="I657" s="1392"/>
      <c r="J657" s="1392"/>
      <c r="K657" s="1392"/>
      <c r="L657" s="1392"/>
      <c r="M657" s="1392"/>
      <c r="N657" s="1392"/>
      <c r="O657" s="1392"/>
      <c r="P657" s="1392"/>
      <c r="Q657" s="1392"/>
      <c r="R657" s="1392"/>
      <c r="T657" s="22"/>
      <c r="U657" t="s">
        <v>590</v>
      </c>
      <c r="Z657" s="1372"/>
      <c r="AA657" s="1372"/>
      <c r="AB657" s="1372"/>
      <c r="AC657" s="1372"/>
      <c r="AD657" s="1372"/>
      <c r="AE657" s="1372"/>
      <c r="AF657" s="1372"/>
      <c r="AG657" s="1372"/>
      <c r="AH657" s="1372"/>
      <c r="AI657" s="1372"/>
      <c r="AJ657" s="1372"/>
      <c r="AK657" s="1372"/>
      <c r="AZ657" s="3"/>
      <c r="BA657" s="118">
        <f t="shared" si="42"/>
        <v>1902</v>
      </c>
      <c r="BB657" s="3"/>
      <c r="BC657" s="3"/>
      <c r="BD657" s="3"/>
      <c r="BE657" s="3"/>
      <c r="BF657" s="218"/>
      <c r="BG657" s="315">
        <f t="shared" ref="BG657:BG681" si="43">G714</f>
        <v>2</v>
      </c>
      <c r="BH657" s="319">
        <f>BG657/$BG$682</f>
        <v>1.5037593984962405E-2</v>
      </c>
      <c r="BI657" s="320">
        <f t="shared" ref="BI657:BI681" si="44">IF(BH657=0," ",BH657*AC714)</f>
        <v>4.5112781954887212E-3</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2"/>
      <c r="H658" s="1392"/>
      <c r="I658" s="1392"/>
      <c r="J658" s="1392"/>
      <c r="K658" s="1392"/>
      <c r="L658" s="1392"/>
      <c r="M658" s="1392"/>
      <c r="N658" s="1392"/>
      <c r="O658" s="1392"/>
      <c r="P658" s="1392"/>
      <c r="Q658" s="1392"/>
      <c r="R658" s="1392"/>
      <c r="T658" s="22"/>
      <c r="U658" t="s">
        <v>17</v>
      </c>
      <c r="Z658" s="1372"/>
      <c r="AA658" s="1372"/>
      <c r="AB658" s="1372"/>
      <c r="AC658" s="1372"/>
      <c r="AD658" s="1372"/>
      <c r="AE658" s="1372"/>
      <c r="AF658" s="1372"/>
      <c r="AG658" s="1372"/>
      <c r="AH658" s="1372"/>
      <c r="AI658" s="1372"/>
      <c r="AJ658" s="1372"/>
      <c r="AK658" s="1372"/>
      <c r="AZ658" s="3"/>
      <c r="BA658" s="118">
        <f t="shared" si="42"/>
        <v>1902</v>
      </c>
      <c r="BB658" s="3"/>
      <c r="BC658" s="3"/>
      <c r="BD658" s="3"/>
      <c r="BE658" s="3"/>
      <c r="BF658" s="218"/>
      <c r="BG658" s="316">
        <f t="shared" si="43"/>
        <v>2</v>
      </c>
      <c r="BH658" s="319">
        <f t="shared" ref="BH658:BH681" si="45">BG658/$BG$682</f>
        <v>1.5037593984962405E-2</v>
      </c>
      <c r="BI658" s="320">
        <f t="shared" si="44"/>
        <v>4.5112781954887212E-3</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7"/>
      <c r="H659" s="1437"/>
      <c r="I659" s="1437"/>
      <c r="J659" s="1437"/>
      <c r="K659" s="1437"/>
      <c r="L659" s="1437"/>
      <c r="O659" s="33" t="s">
        <v>208</v>
      </c>
      <c r="P659" s="1464"/>
      <c r="Q659" s="1464"/>
      <c r="R659" s="1464"/>
      <c r="T659" s="22"/>
      <c r="U659" t="s">
        <v>318</v>
      </c>
      <c r="Z659" s="1437"/>
      <c r="AA659" s="1437"/>
      <c r="AB659" s="1437"/>
      <c r="AC659" s="1437"/>
      <c r="AD659" s="1437"/>
      <c r="AE659" s="1437"/>
      <c r="AH659" s="33" t="s">
        <v>208</v>
      </c>
      <c r="AI659" s="1464"/>
      <c r="AJ659" s="1464"/>
      <c r="AK659" s="1464"/>
      <c r="AZ659" s="3"/>
      <c r="BA659" s="118" t="str">
        <f t="shared" si="42"/>
        <v>N/A</v>
      </c>
      <c r="BB659" s="3"/>
      <c r="BC659" s="3"/>
      <c r="BD659" s="3"/>
      <c r="BE659" s="3"/>
      <c r="BF659" s="218"/>
      <c r="BG659" s="316">
        <f t="shared" si="43"/>
        <v>17</v>
      </c>
      <c r="BH659" s="319">
        <f t="shared" si="45"/>
        <v>0.12781954887218044</v>
      </c>
      <c r="BI659" s="320">
        <f t="shared" si="44"/>
        <v>7.6691729323308269E-2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2"/>
      <c r="I660" s="1392"/>
      <c r="J660" s="1392"/>
      <c r="K660" s="1392"/>
      <c r="L660" s="1392"/>
      <c r="M660" s="1392"/>
      <c r="N660" s="1392"/>
      <c r="O660" s="1392"/>
      <c r="P660" s="1392"/>
      <c r="Q660" s="1392"/>
      <c r="R660" s="1392"/>
      <c r="T660" s="22"/>
      <c r="U660" t="s">
        <v>18</v>
      </c>
      <c r="AA660" s="1392"/>
      <c r="AB660" s="1392"/>
      <c r="AC660" s="1392"/>
      <c r="AD660" s="1392"/>
      <c r="AE660" s="1392"/>
      <c r="AF660" s="1392"/>
      <c r="AG660" s="1392"/>
      <c r="AH660" s="1392"/>
      <c r="AI660" s="1392"/>
      <c r="AJ660" s="1392"/>
      <c r="AK660" s="1392"/>
      <c r="AZ660" s="3"/>
      <c r="BA660" s="118">
        <f t="shared" si="42"/>
        <v>2036</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679</v>
      </c>
      <c r="O661" s="1376"/>
      <c r="T661" s="22"/>
      <c r="U661" t="s">
        <v>20</v>
      </c>
      <c r="AG661" s="1376" t="s">
        <v>679</v>
      </c>
      <c r="AH661" s="1376"/>
      <c r="AZ661" s="3"/>
      <c r="BA661" s="118">
        <f t="shared" si="42"/>
        <v>2036</v>
      </c>
      <c r="BB661" s="3"/>
      <c r="BC661" s="3"/>
      <c r="BD661" s="3"/>
      <c r="BE661" s="3"/>
      <c r="BF661" s="218"/>
      <c r="BG661" s="316">
        <f t="shared" si="43"/>
        <v>12</v>
      </c>
      <c r="BH661" s="319">
        <f t="shared" si="45"/>
        <v>9.0225563909774431E-2</v>
      </c>
      <c r="BI661" s="320">
        <f t="shared" si="44"/>
        <v>2.7067669172932327E-2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2036</v>
      </c>
      <c r="BB662" s="3"/>
      <c r="BC662" s="3"/>
      <c r="BD662" s="3"/>
      <c r="BE662" s="3"/>
      <c r="BF662" s="218"/>
      <c r="BG662" s="316">
        <f t="shared" si="43"/>
        <v>4</v>
      </c>
      <c r="BH662" s="319">
        <f t="shared" si="45"/>
        <v>3.007518796992481E-2</v>
      </c>
      <c r="BI662" s="320">
        <f t="shared" si="44"/>
        <v>9.0225563909774424E-3</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7">
        <f>C629</f>
        <v>0</v>
      </c>
      <c r="H663" s="1517"/>
      <c r="I663" s="1517"/>
      <c r="J663" s="1517"/>
      <c r="K663" s="1517"/>
      <c r="L663" s="1517"/>
      <c r="M663" s="1517"/>
      <c r="N663" s="1517"/>
      <c r="O663" s="1517"/>
      <c r="P663" s="1517"/>
      <c r="Q663" s="1517"/>
      <c r="R663" s="1517"/>
      <c r="T663" s="55" t="s">
        <v>466</v>
      </c>
      <c r="U663" t="s">
        <v>473</v>
      </c>
      <c r="Z663" s="1517">
        <f>C630</f>
        <v>0</v>
      </c>
      <c r="AA663" s="1517"/>
      <c r="AB663" s="1517"/>
      <c r="AC663" s="1517"/>
      <c r="AD663" s="1517"/>
      <c r="AE663" s="1517"/>
      <c r="AF663" s="1517"/>
      <c r="AG663" s="1517"/>
      <c r="AH663" s="1517"/>
      <c r="AI663" s="1517"/>
      <c r="AJ663" s="1517"/>
      <c r="AK663" s="1517"/>
      <c r="AZ663" s="3"/>
      <c r="BA663" s="118">
        <f t="shared" si="42"/>
        <v>2444</v>
      </c>
      <c r="BB663" s="3"/>
      <c r="BC663" s="3"/>
      <c r="BD663" s="3"/>
      <c r="BE663" s="3"/>
      <c r="BF663" s="218"/>
      <c r="BG663" s="316">
        <f t="shared" si="43"/>
        <v>66</v>
      </c>
      <c r="BH663" s="319">
        <f t="shared" si="45"/>
        <v>0.49624060150375937</v>
      </c>
      <c r="BI663" s="320">
        <f t="shared" si="44"/>
        <v>0.29774436090225559</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2"/>
      <c r="H664" s="1392"/>
      <c r="I664" s="1392"/>
      <c r="J664" s="1392"/>
      <c r="K664" s="1392"/>
      <c r="L664" s="1392"/>
      <c r="M664" s="1392"/>
      <c r="N664" s="1392"/>
      <c r="O664" s="1392"/>
      <c r="P664" s="1392"/>
      <c r="Q664" s="1392"/>
      <c r="R664" s="1392"/>
      <c r="T664" s="22"/>
      <c r="U664" t="s">
        <v>86</v>
      </c>
      <c r="Z664" s="1392"/>
      <c r="AA664" s="1392"/>
      <c r="AB664" s="1392"/>
      <c r="AC664" s="1392"/>
      <c r="AD664" s="1392"/>
      <c r="AE664" s="1392"/>
      <c r="AF664" s="1392"/>
      <c r="AG664" s="1392"/>
      <c r="AH664" s="1392"/>
      <c r="AI664" s="1392"/>
      <c r="AJ664" s="1392"/>
      <c r="AK664" s="1392"/>
      <c r="AZ664" s="3"/>
      <c r="BA664" s="118">
        <f t="shared" si="42"/>
        <v>2444</v>
      </c>
      <c r="BB664" s="3"/>
      <c r="BC664" s="3"/>
      <c r="BD664" s="3"/>
      <c r="BE664" s="3"/>
      <c r="BF664" s="218"/>
      <c r="BG664" s="316">
        <f t="shared" si="43"/>
        <v>5</v>
      </c>
      <c r="BH664" s="319">
        <f t="shared" si="45"/>
        <v>3.7593984962406013E-2</v>
      </c>
      <c r="BI664" s="320">
        <f t="shared" si="44"/>
        <v>1.1278195488721804E-2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2"/>
      <c r="H665" s="1392"/>
      <c r="I665" s="1392"/>
      <c r="J665" s="1392"/>
      <c r="K665" s="1392"/>
      <c r="L665" s="1392"/>
      <c r="M665" s="1392"/>
      <c r="N665" s="1392"/>
      <c r="O665" s="1392"/>
      <c r="P665" s="1392"/>
      <c r="Q665" s="1392"/>
      <c r="R665" s="1392"/>
      <c r="T665" s="22"/>
      <c r="U665" t="s">
        <v>590</v>
      </c>
      <c r="Z665" s="1372"/>
      <c r="AA665" s="1372"/>
      <c r="AB665" s="1372"/>
      <c r="AC665" s="1372"/>
      <c r="AD665" s="1372"/>
      <c r="AE665" s="1372"/>
      <c r="AF665" s="1372"/>
      <c r="AG665" s="1372"/>
      <c r="AH665" s="1372"/>
      <c r="AI665" s="1372"/>
      <c r="AJ665" s="1372"/>
      <c r="AK665" s="1372"/>
      <c r="AZ665" s="3"/>
      <c r="BA665" s="118">
        <f t="shared" si="42"/>
        <v>2444</v>
      </c>
      <c r="BB665" s="3"/>
      <c r="BC665" s="3"/>
      <c r="BD665" s="3"/>
      <c r="BE665" s="3"/>
      <c r="BF665" s="218"/>
      <c r="BG665" s="316">
        <f t="shared" si="43"/>
        <v>2</v>
      </c>
      <c r="BH665" s="319">
        <f t="shared" si="45"/>
        <v>1.5037593984962405E-2</v>
      </c>
      <c r="BI665" s="320">
        <f t="shared" si="44"/>
        <v>4.5112781954887212E-3</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2"/>
      <c r="H666" s="1392"/>
      <c r="I666" s="1392"/>
      <c r="J666" s="1392"/>
      <c r="K666" s="1392"/>
      <c r="L666" s="1392"/>
      <c r="M666" s="1392"/>
      <c r="N666" s="1392"/>
      <c r="O666" s="1392"/>
      <c r="P666" s="1392"/>
      <c r="Q666" s="1392"/>
      <c r="R666" s="1392"/>
      <c r="T666" s="22"/>
      <c r="U666" t="s">
        <v>17</v>
      </c>
      <c r="Z666" s="1372"/>
      <c r="AA666" s="1372"/>
      <c r="AB666" s="1372"/>
      <c r="AC666" s="1372"/>
      <c r="AD666" s="1372"/>
      <c r="AE666" s="1372"/>
      <c r="AF666" s="1372"/>
      <c r="AG666" s="1372"/>
      <c r="AH666" s="1372"/>
      <c r="AI666" s="1372"/>
      <c r="AJ666" s="1372"/>
      <c r="AK666" s="1372"/>
      <c r="AZ666" s="3"/>
      <c r="BA666" s="118" t="str">
        <f t="shared" si="42"/>
        <v>N/A</v>
      </c>
      <c r="BB666" s="3"/>
      <c r="BC666" s="3"/>
      <c r="BD666" s="3"/>
      <c r="BE666" s="3"/>
      <c r="BF666" s="218"/>
      <c r="BG666" s="316">
        <f t="shared" si="43"/>
        <v>23</v>
      </c>
      <c r="BH666" s="319">
        <f t="shared" si="45"/>
        <v>0.17293233082706766</v>
      </c>
      <c r="BI666" s="320">
        <f t="shared" si="44"/>
        <v>0.10375939849624059</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7"/>
      <c r="H667" s="1437"/>
      <c r="I667" s="1437"/>
      <c r="J667" s="1437"/>
      <c r="K667" s="1437"/>
      <c r="L667" s="1437"/>
      <c r="O667" s="33" t="s">
        <v>208</v>
      </c>
      <c r="P667" s="1464"/>
      <c r="Q667" s="1464"/>
      <c r="R667" s="1464"/>
      <c r="T667" s="22"/>
      <c r="U667" t="s">
        <v>318</v>
      </c>
      <c r="Z667" s="1437"/>
      <c r="AA667" s="1437"/>
      <c r="AB667" s="1437"/>
      <c r="AC667" s="1437"/>
      <c r="AD667" s="1437"/>
      <c r="AE667" s="1437"/>
      <c r="AH667" s="33" t="s">
        <v>208</v>
      </c>
      <c r="AI667" s="1464"/>
      <c r="AJ667" s="1464"/>
      <c r="AK667" s="1464"/>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2"/>
      <c r="I668" s="1392"/>
      <c r="J668" s="1392"/>
      <c r="K668" s="1392"/>
      <c r="L668" s="1392"/>
      <c r="M668" s="1392"/>
      <c r="N668" s="1392"/>
      <c r="O668" s="1392"/>
      <c r="P668" s="1392"/>
      <c r="Q668" s="1392"/>
      <c r="R668" s="1392"/>
      <c r="T668" s="22"/>
      <c r="U668" t="s">
        <v>18</v>
      </c>
      <c r="AA668" s="1392"/>
      <c r="AB668" s="1392"/>
      <c r="AC668" s="1392"/>
      <c r="AD668" s="1392"/>
      <c r="AE668" s="1392"/>
      <c r="AF668" s="1392"/>
      <c r="AG668" s="1392"/>
      <c r="AH668" s="1392"/>
      <c r="AI668" s="1392"/>
      <c r="AJ668" s="1392"/>
      <c r="AK668" s="139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679</v>
      </c>
      <c r="O669" s="1376"/>
      <c r="T669" s="22"/>
      <c r="U669" t="s">
        <v>20</v>
      </c>
      <c r="AG669" s="1376" t="s">
        <v>679</v>
      </c>
      <c r="AH669" s="1376"/>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7">
        <f>C631</f>
        <v>0</v>
      </c>
      <c r="H671" s="1517"/>
      <c r="I671" s="1517"/>
      <c r="J671" s="1517"/>
      <c r="K671" s="1517"/>
      <c r="L671" s="1517"/>
      <c r="M671" s="1517"/>
      <c r="N671" s="1517"/>
      <c r="O671" s="1517"/>
      <c r="P671" s="1517"/>
      <c r="Q671" s="1517"/>
      <c r="R671" s="1517"/>
      <c r="T671" s="55" t="s">
        <v>656</v>
      </c>
      <c r="U671" t="s">
        <v>473</v>
      </c>
      <c r="Z671" s="1517">
        <f>C632</f>
        <v>0</v>
      </c>
      <c r="AA671" s="1517"/>
      <c r="AB671" s="1517"/>
      <c r="AC671" s="1517"/>
      <c r="AD671" s="1517"/>
      <c r="AE671" s="1517"/>
      <c r="AF671" s="1517"/>
      <c r="AG671" s="1517"/>
      <c r="AH671" s="1517"/>
      <c r="AI671" s="1517"/>
      <c r="AJ671" s="1517"/>
      <c r="AK671" s="1517"/>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2"/>
      <c r="H672" s="1392"/>
      <c r="I672" s="1392"/>
      <c r="J672" s="1392"/>
      <c r="K672" s="1392"/>
      <c r="L672" s="1392"/>
      <c r="M672" s="1392"/>
      <c r="N672" s="1392"/>
      <c r="O672" s="1392"/>
      <c r="P672" s="1392"/>
      <c r="Q672" s="1392"/>
      <c r="R672" s="1392"/>
      <c r="T672" s="22"/>
      <c r="U672" t="s">
        <v>86</v>
      </c>
      <c r="Z672" s="1392"/>
      <c r="AA672" s="1392"/>
      <c r="AB672" s="1392"/>
      <c r="AC672" s="1392"/>
      <c r="AD672" s="1392"/>
      <c r="AE672" s="1392"/>
      <c r="AF672" s="1392"/>
      <c r="AG672" s="1392"/>
      <c r="AH672" s="1392"/>
      <c r="AI672" s="1392"/>
      <c r="AJ672" s="1392"/>
      <c r="AK672" s="139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2"/>
      <c r="H673" s="1392"/>
      <c r="I673" s="1392"/>
      <c r="J673" s="1392"/>
      <c r="K673" s="1392"/>
      <c r="L673" s="1392"/>
      <c r="M673" s="1392"/>
      <c r="N673" s="1392"/>
      <c r="O673" s="1392"/>
      <c r="P673" s="1392"/>
      <c r="Q673" s="1392"/>
      <c r="R673" s="1392"/>
      <c r="T673" s="22"/>
      <c r="U673" t="s">
        <v>590</v>
      </c>
      <c r="Z673" s="1372"/>
      <c r="AA673" s="1372"/>
      <c r="AB673" s="1372"/>
      <c r="AC673" s="1372"/>
      <c r="AD673" s="1372"/>
      <c r="AE673" s="1372"/>
      <c r="AF673" s="1372"/>
      <c r="AG673" s="1372"/>
      <c r="AH673" s="1372"/>
      <c r="AI673" s="1372"/>
      <c r="AJ673" s="1372"/>
      <c r="AK673" s="137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2"/>
      <c r="H674" s="1392"/>
      <c r="I674" s="1392"/>
      <c r="J674" s="1392"/>
      <c r="K674" s="1392"/>
      <c r="L674" s="1392"/>
      <c r="M674" s="1392"/>
      <c r="N674" s="1392"/>
      <c r="O674" s="1392"/>
      <c r="P674" s="1392"/>
      <c r="Q674" s="1392"/>
      <c r="R674" s="1392"/>
      <c r="T674" s="22"/>
      <c r="U674" t="s">
        <v>17</v>
      </c>
      <c r="Z674" s="1372"/>
      <c r="AA674" s="1372"/>
      <c r="AB674" s="1372"/>
      <c r="AC674" s="1372"/>
      <c r="AD674" s="1372"/>
      <c r="AE674" s="1372"/>
      <c r="AF674" s="1372"/>
      <c r="AG674" s="1372"/>
      <c r="AH674" s="1372"/>
      <c r="AI674" s="1372"/>
      <c r="AJ674" s="1372"/>
      <c r="AK674" s="137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7"/>
      <c r="H675" s="1437"/>
      <c r="I675" s="1437"/>
      <c r="J675" s="1437"/>
      <c r="K675" s="1437"/>
      <c r="L675" s="1437"/>
      <c r="O675" s="33" t="s">
        <v>208</v>
      </c>
      <c r="P675" s="1464"/>
      <c r="Q675" s="1464"/>
      <c r="R675" s="1464"/>
      <c r="T675" s="22"/>
      <c r="U675" t="s">
        <v>318</v>
      </c>
      <c r="Z675" s="1437"/>
      <c r="AA675" s="1437"/>
      <c r="AB675" s="1437"/>
      <c r="AC675" s="1437"/>
      <c r="AD675" s="1437"/>
      <c r="AE675" s="1437"/>
      <c r="AH675" s="33" t="s">
        <v>208</v>
      </c>
      <c r="AI675" s="1464"/>
      <c r="AJ675" s="1464"/>
      <c r="AK675" s="1464"/>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2"/>
      <c r="I676" s="1392"/>
      <c r="J676" s="1392"/>
      <c r="K676" s="1392"/>
      <c r="L676" s="1392"/>
      <c r="M676" s="1392"/>
      <c r="N676" s="1392"/>
      <c r="O676" s="1392"/>
      <c r="P676" s="1392"/>
      <c r="Q676" s="1392"/>
      <c r="R676" s="1392"/>
      <c r="T676" s="22"/>
      <c r="U676" t="s">
        <v>18</v>
      </c>
      <c r="AA676" s="1392"/>
      <c r="AB676" s="1392"/>
      <c r="AC676" s="1392"/>
      <c r="AD676" s="1392"/>
      <c r="AE676" s="1392"/>
      <c r="AF676" s="1392"/>
      <c r="AG676" s="1392"/>
      <c r="AH676" s="1392"/>
      <c r="AI676" s="1392"/>
      <c r="AJ676" s="1392"/>
      <c r="AK676" s="139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679</v>
      </c>
      <c r="O677" s="1376"/>
      <c r="T677" s="22"/>
      <c r="U677" t="s">
        <v>20</v>
      </c>
      <c r="AG677" s="1376" t="s">
        <v>679</v>
      </c>
      <c r="AH677" s="137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7">
        <f>C633</f>
        <v>0</v>
      </c>
      <c r="H679" s="1517"/>
      <c r="I679" s="1517"/>
      <c r="J679" s="1517"/>
      <c r="K679" s="1517"/>
      <c r="L679" s="1517"/>
      <c r="M679" s="1517"/>
      <c r="N679" s="1517"/>
      <c r="O679" s="1517"/>
      <c r="P679" s="1517"/>
      <c r="Q679" s="1517"/>
      <c r="R679" s="1517"/>
      <c r="T679" s="55" t="s">
        <v>365</v>
      </c>
      <c r="U679" t="s">
        <v>473</v>
      </c>
      <c r="Z679" s="1517">
        <f>C634</f>
        <v>0</v>
      </c>
      <c r="AA679" s="1517"/>
      <c r="AB679" s="1517"/>
      <c r="AC679" s="1517"/>
      <c r="AD679" s="1517"/>
      <c r="AE679" s="1517"/>
      <c r="AF679" s="1517"/>
      <c r="AG679" s="1517"/>
      <c r="AH679" s="1517"/>
      <c r="AI679" s="1517"/>
      <c r="AJ679" s="1517"/>
      <c r="AK679" s="1517"/>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2"/>
      <c r="H680" s="1392"/>
      <c r="I680" s="1392"/>
      <c r="J680" s="1392"/>
      <c r="K680" s="1392"/>
      <c r="L680" s="1392"/>
      <c r="M680" s="1392"/>
      <c r="N680" s="1392"/>
      <c r="O680" s="1392"/>
      <c r="P680" s="1392"/>
      <c r="Q680" s="1392"/>
      <c r="R680" s="1392"/>
      <c r="T680" s="22"/>
      <c r="U680" t="s">
        <v>86</v>
      </c>
      <c r="Z680" s="1392"/>
      <c r="AA680" s="1392"/>
      <c r="AB680" s="1392"/>
      <c r="AC680" s="1392"/>
      <c r="AD680" s="1392"/>
      <c r="AE680" s="1392"/>
      <c r="AF680" s="1392"/>
      <c r="AG680" s="1392"/>
      <c r="AH680" s="1392"/>
      <c r="AI680" s="1392"/>
      <c r="AJ680" s="1392"/>
      <c r="AK680" s="139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2"/>
      <c r="H681" s="1392"/>
      <c r="I681" s="1392"/>
      <c r="J681" s="1392"/>
      <c r="K681" s="1392"/>
      <c r="L681" s="1392"/>
      <c r="M681" s="1392"/>
      <c r="N681" s="1392"/>
      <c r="O681" s="1392"/>
      <c r="P681" s="1392"/>
      <c r="Q681" s="1392"/>
      <c r="R681" s="1392"/>
      <c r="U681" t="s">
        <v>590</v>
      </c>
      <c r="Z681" s="1372"/>
      <c r="AA681" s="1372"/>
      <c r="AB681" s="1372"/>
      <c r="AC681" s="1372"/>
      <c r="AD681" s="1372"/>
      <c r="AE681" s="1372"/>
      <c r="AF681" s="1372"/>
      <c r="AG681" s="1372"/>
      <c r="AH681" s="1372"/>
      <c r="AI681" s="1372"/>
      <c r="AJ681" s="1372"/>
      <c r="AK681" s="1372"/>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2"/>
      <c r="H682" s="1392"/>
      <c r="I682" s="1392"/>
      <c r="J682" s="1392"/>
      <c r="K682" s="1392"/>
      <c r="L682" s="1392"/>
      <c r="M682" s="1392"/>
      <c r="N682" s="1392"/>
      <c r="O682" s="1392"/>
      <c r="P682" s="1392"/>
      <c r="Q682" s="1392"/>
      <c r="R682" s="1392"/>
      <c r="U682" t="s">
        <v>17</v>
      </c>
      <c r="Z682" s="1372"/>
      <c r="AA682" s="1372"/>
      <c r="AB682" s="1372"/>
      <c r="AC682" s="1372"/>
      <c r="AD682" s="1372"/>
      <c r="AE682" s="1372"/>
      <c r="AF682" s="1372"/>
      <c r="AG682" s="1372"/>
      <c r="AH682" s="1372"/>
      <c r="AI682" s="1372"/>
      <c r="AJ682" s="1372"/>
      <c r="AK682" s="1372"/>
      <c r="AZ682" s="3"/>
      <c r="BA682" s="3"/>
      <c r="BB682" s="3"/>
      <c r="BC682" s="3"/>
      <c r="BD682" s="3"/>
      <c r="BF682" s="312" t="s">
        <v>933</v>
      </c>
      <c r="BG682" s="321">
        <f>SUM(BG657:BG681)</f>
        <v>133</v>
      </c>
      <c r="BH682" s="322">
        <f>SUM(BH657:BH681)</f>
        <v>1</v>
      </c>
      <c r="BI682" s="322">
        <f>SUM(BI657:BI681)</f>
        <v>0.53909774436090219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7"/>
      <c r="H683" s="1437"/>
      <c r="I683" s="1437"/>
      <c r="J683" s="1437"/>
      <c r="K683" s="1437"/>
      <c r="L683" s="1437"/>
      <c r="O683" s="33" t="s">
        <v>208</v>
      </c>
      <c r="P683" s="1464"/>
      <c r="Q683" s="1464"/>
      <c r="R683" s="1464"/>
      <c r="U683" t="s">
        <v>318</v>
      </c>
      <c r="Z683" s="1437"/>
      <c r="AA683" s="1437"/>
      <c r="AB683" s="1437"/>
      <c r="AC683" s="1437"/>
      <c r="AD683" s="1437"/>
      <c r="AE683" s="1437"/>
      <c r="AH683" s="33" t="s">
        <v>208</v>
      </c>
      <c r="AI683" s="1464"/>
      <c r="AJ683" s="1464"/>
      <c r="AK683" s="1464"/>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2"/>
      <c r="I684" s="1392"/>
      <c r="J684" s="1392"/>
      <c r="K684" s="1392"/>
      <c r="L684" s="1392"/>
      <c r="M684" s="1392"/>
      <c r="N684" s="1392"/>
      <c r="O684" s="1392"/>
      <c r="P684" s="1392"/>
      <c r="Q684" s="1392"/>
      <c r="R684" s="1392"/>
      <c r="U684" t="s">
        <v>18</v>
      </c>
      <c r="AA684" s="1392"/>
      <c r="AB684" s="1392"/>
      <c r="AC684" s="1392"/>
      <c r="AD684" s="1392"/>
      <c r="AE684" s="1392"/>
      <c r="AF684" s="1392"/>
      <c r="AG684" s="1392"/>
      <c r="AH684" s="1392"/>
      <c r="AI684" s="1392"/>
      <c r="AJ684" s="1392"/>
      <c r="AK684" s="139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679</v>
      </c>
      <c r="O685" s="1376"/>
      <c r="U685" t="s">
        <v>20</v>
      </c>
      <c r="AG685" s="1376" t="s">
        <v>679</v>
      </c>
      <c r="AH685" s="1376"/>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1808</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6" t="s">
        <v>555</v>
      </c>
      <c r="AF689" s="1376"/>
      <c r="AZ689" s="34"/>
      <c r="BA689" s="34"/>
      <c r="BB689" s="34"/>
      <c r="BC689" s="34"/>
      <c r="BD689" s="34"/>
      <c r="BE689" s="34"/>
      <c r="BF689" s="34"/>
      <c r="BG689" s="315">
        <f t="shared" ref="BG689:BG713" si="46">G714</f>
        <v>2</v>
      </c>
      <c r="BH689" s="319">
        <f>BG689/$BG$714</f>
        <v>1.5037593984962405E-2</v>
      </c>
      <c r="BI689" s="320">
        <f t="shared" ref="BI689:BI713" si="47">IF(BH689=0," ",BH689*AH714)</f>
        <v>4.5065344749887336E-3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6" t="s">
        <v>679</v>
      </c>
      <c r="AF690" s="1376"/>
      <c r="AZ690" s="34"/>
      <c r="BA690" s="34"/>
      <c r="BB690" s="34"/>
      <c r="BC690" s="34"/>
      <c r="BD690" s="34"/>
      <c r="BE690" s="34"/>
      <c r="BF690" s="34"/>
      <c r="BG690" s="316">
        <f t="shared" si="46"/>
        <v>2</v>
      </c>
      <c r="BH690" s="319">
        <f t="shared" ref="BH690:BH713" si="48">BG690/$BG$714</f>
        <v>1.5037593984962405E-2</v>
      </c>
      <c r="BI690" s="320">
        <f t="shared" si="47"/>
        <v>4.5065344749887336E-3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6"/>
      <c r="AF691" s="1546"/>
      <c r="AG691" s="1546"/>
      <c r="AH691" s="1546"/>
      <c r="AI691" s="1546"/>
      <c r="AZ691" s="34"/>
      <c r="BA691" s="34"/>
      <c r="BB691" s="34"/>
      <c r="BC691" s="34"/>
      <c r="BD691" s="34"/>
      <c r="BE691" s="3"/>
      <c r="BF691" s="3"/>
      <c r="BG691" s="316">
        <f t="shared" si="46"/>
        <v>17</v>
      </c>
      <c r="BH691" s="319">
        <f t="shared" si="48"/>
        <v>0.12781954887218044</v>
      </c>
      <c r="BI691" s="320">
        <f t="shared" si="47"/>
        <v>7.6678288781891646E-2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35">
        <v>45161</v>
      </c>
      <c r="AF692" s="1735"/>
      <c r="AG692" s="1735"/>
      <c r="AH692" s="1735"/>
      <c r="AI692" s="1735"/>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12</v>
      </c>
      <c r="BH693" s="319">
        <f t="shared" si="48"/>
        <v>9.0225563909774431E-2</v>
      </c>
      <c r="BI693" s="320">
        <f t="shared" si="47"/>
        <v>2.7076532194927394E-2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6">
        <v>45337</v>
      </c>
      <c r="AF694" s="1546"/>
      <c r="AG694" s="1546"/>
      <c r="AH694" s="1546"/>
      <c r="AI694" s="1546"/>
      <c r="AZ694" s="3"/>
      <c r="BA694" s="3"/>
      <c r="BB694" s="3"/>
      <c r="BC694" s="3"/>
      <c r="BD694" s="3"/>
      <c r="BE694" s="3"/>
      <c r="BF694" s="3"/>
      <c r="BG694" s="316">
        <f t="shared" si="46"/>
        <v>4</v>
      </c>
      <c r="BH694" s="319">
        <f t="shared" si="48"/>
        <v>3.007518796992481E-2</v>
      </c>
      <c r="BI694" s="320">
        <f t="shared" si="47"/>
        <v>9.0255107316424658E-3</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9">
        <v>0.55000000000000004</v>
      </c>
      <c r="AF695" s="1709"/>
      <c r="AG695" s="1709"/>
      <c r="AH695" s="1709"/>
      <c r="AI695" s="1709"/>
      <c r="AZ695" s="3"/>
      <c r="BA695" s="3"/>
      <c r="BB695" s="3"/>
      <c r="BC695" s="3"/>
      <c r="BD695" s="3"/>
      <c r="BE695" s="3"/>
      <c r="BF695" s="3"/>
      <c r="BG695" s="316">
        <f t="shared" si="46"/>
        <v>66</v>
      </c>
      <c r="BH695" s="319">
        <f t="shared" si="48"/>
        <v>0.49624060150375937</v>
      </c>
      <c r="BI695" s="320">
        <f t="shared" si="47"/>
        <v>0.29784185414420133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7" t="str">
        <f>H334</f>
        <v>Califonia Municipal Finance Authority</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6"/>
        <v>5</v>
      </c>
      <c r="BH696" s="319">
        <f t="shared" si="48"/>
        <v>3.7593984962406013E-2</v>
      </c>
      <c r="BI696" s="320">
        <f t="shared" si="47"/>
        <v>1.1275119057873815E-2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2</v>
      </c>
      <c r="BH697" s="319">
        <f t="shared" si="48"/>
        <v>1.5037593984962405E-2</v>
      </c>
      <c r="BI697" s="320">
        <f t="shared" si="47"/>
        <v>4.5100476231495264E-3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6" t="s">
        <v>679</v>
      </c>
      <c r="AF698" s="1376"/>
      <c r="AZ698" s="3"/>
      <c r="BA698" s="3"/>
      <c r="BB698" s="3"/>
      <c r="BC698" s="3"/>
      <c r="BD698" s="3"/>
      <c r="BE698" s="3"/>
      <c r="BF698" s="3"/>
      <c r="BG698" s="316">
        <f t="shared" si="46"/>
        <v>23</v>
      </c>
      <c r="BH698" s="319">
        <f t="shared" si="48"/>
        <v>0.17293233082706766</v>
      </c>
      <c r="BI698" s="320">
        <f t="shared" si="47"/>
        <v>0.10380185324194281</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2"/>
      <c r="X699" s="1392"/>
      <c r="Y699" s="1392"/>
      <c r="Z699" s="1392"/>
      <c r="AA699" s="1392"/>
      <c r="AB699" s="1392"/>
      <c r="AC699" s="1392"/>
      <c r="AD699" s="1392"/>
      <c r="AE699" s="1392"/>
      <c r="AF699" s="1392"/>
      <c r="AG699" s="1392"/>
      <c r="AH699" s="1392"/>
      <c r="AI699" s="1392"/>
      <c r="AJ699" s="1392"/>
      <c r="AK699" s="139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2"/>
      <c r="K700" s="1392"/>
      <c r="L700" s="1392"/>
      <c r="M700" s="1392"/>
      <c r="N700" s="1392"/>
      <c r="O700" s="1392"/>
      <c r="P700" s="1392"/>
      <c r="Q700" s="1392"/>
      <c r="R700" s="1392"/>
      <c r="S700" s="1392"/>
      <c r="T700" s="1392"/>
      <c r="U700" s="1392"/>
      <c r="V700" s="1392"/>
      <c r="W700" s="1392"/>
      <c r="X700" s="139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7"/>
      <c r="K701" s="1437"/>
      <c r="L701" s="1437"/>
      <c r="M701" s="1437"/>
      <c r="N701" s="1437"/>
      <c r="O701" s="1437"/>
      <c r="P701" s="4" t="s">
        <v>208</v>
      </c>
      <c r="Q701" s="4"/>
      <c r="R701" s="1464"/>
      <c r="S701" s="1464"/>
      <c r="T701" s="1464"/>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2" t="s">
        <v>309</v>
      </c>
      <c r="X702" s="1392"/>
      <c r="Y702" s="1392"/>
      <c r="Z702" s="1392"/>
      <c r="AA702" s="1392"/>
      <c r="AB702" s="1392"/>
      <c r="AC702" s="1392"/>
      <c r="AD702" s="1392"/>
      <c r="AE702" s="1392"/>
      <c r="AF702" s="1392"/>
      <c r="AG702" s="1392"/>
      <c r="AH702" s="1392"/>
      <c r="AI702" s="1392"/>
      <c r="AJ702" s="1392"/>
      <c r="AK702" s="139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2" t="s">
        <v>336</v>
      </c>
      <c r="F703" s="1392"/>
      <c r="G703" s="1392"/>
      <c r="H703" s="1392"/>
      <c r="I703" s="1392"/>
      <c r="J703" s="1392"/>
      <c r="K703" s="1392"/>
      <c r="L703" s="1392"/>
      <c r="M703" s="1392"/>
      <c r="N703" s="1392"/>
      <c r="O703" s="1392"/>
      <c r="P703" s="1392"/>
      <c r="Q703" s="1392"/>
      <c r="R703" s="1392"/>
      <c r="S703" s="1392"/>
      <c r="T703" s="1392"/>
      <c r="U703" s="1392"/>
      <c r="V703" s="1392"/>
      <c r="W703" s="1392"/>
      <c r="X703" s="1392"/>
      <c r="Y703" s="1392"/>
      <c r="Z703" s="1392"/>
      <c r="AA703" s="1392"/>
      <c r="AB703" s="1392"/>
      <c r="AC703" s="1392"/>
      <c r="AD703" s="1392"/>
      <c r="AE703" s="1392"/>
      <c r="AF703" s="1392"/>
      <c r="AG703" s="1392"/>
      <c r="AH703" s="1392"/>
      <c r="AI703" s="1392"/>
      <c r="AJ703" s="1392"/>
      <c r="AK703" s="139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3" t="s">
        <v>96</v>
      </c>
      <c r="B705" s="1273"/>
      <c r="C705" s="1273"/>
      <c r="D705" s="1273"/>
      <c r="E705" s="1273"/>
      <c r="F705" s="1273"/>
      <c r="G705" s="1273"/>
      <c r="H705" s="1273"/>
      <c r="I705" s="1273"/>
      <c r="J705" s="1273"/>
      <c r="K705" s="1273"/>
      <c r="L705" s="1273"/>
      <c r="M705" s="1273"/>
      <c r="N705" s="1273"/>
      <c r="O705" s="1273"/>
      <c r="P705" s="1273"/>
      <c r="Q705" s="1273"/>
      <c r="R705" s="1273"/>
      <c r="S705" s="1273"/>
      <c r="T705" s="1273"/>
      <c r="U705" s="1273"/>
      <c r="V705" s="1273"/>
      <c r="W705" s="1273"/>
      <c r="X705" s="1273"/>
      <c r="Y705" s="1273"/>
      <c r="Z705" s="1273"/>
      <c r="AA705" s="1273"/>
      <c r="AB705" s="1273"/>
      <c r="AC705" s="1273"/>
      <c r="AD705" s="1273"/>
      <c r="AE705" s="1273"/>
      <c r="AF705" s="1273"/>
      <c r="AG705" s="1273"/>
      <c r="AH705" s="1273"/>
      <c r="AI705" s="1273"/>
      <c r="AJ705" s="1273"/>
      <c r="AK705" s="1273"/>
      <c r="AL705" s="1273"/>
      <c r="AM705" s="1273"/>
      <c r="AN705" s="1273"/>
      <c r="AO705" s="1273"/>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3"/>
      <c r="B706" s="1273"/>
      <c r="C706" s="1273"/>
      <c r="D706" s="1273"/>
      <c r="E706" s="1273"/>
      <c r="F706" s="1273"/>
      <c r="G706" s="1273"/>
      <c r="H706" s="1273"/>
      <c r="I706" s="1273"/>
      <c r="J706" s="1273"/>
      <c r="K706" s="1273"/>
      <c r="L706" s="1273"/>
      <c r="M706" s="1273"/>
      <c r="N706" s="1273"/>
      <c r="O706" s="1273"/>
      <c r="P706" s="1273"/>
      <c r="Q706" s="1273"/>
      <c r="R706" s="1273"/>
      <c r="S706" s="1273"/>
      <c r="T706" s="1273"/>
      <c r="U706" s="1273"/>
      <c r="V706" s="1273"/>
      <c r="W706" s="1273"/>
      <c r="X706" s="1273"/>
      <c r="Y706" s="1273"/>
      <c r="Z706" s="1273"/>
      <c r="AA706" s="1273"/>
      <c r="AB706" s="1273"/>
      <c r="AC706" s="1273"/>
      <c r="AD706" s="1273"/>
      <c r="AE706" s="1273"/>
      <c r="AF706" s="1273"/>
      <c r="AG706" s="1273"/>
      <c r="AH706" s="1273"/>
      <c r="AI706" s="1273"/>
      <c r="AJ706" s="1273"/>
      <c r="AK706" s="1273"/>
      <c r="AL706" s="1273"/>
      <c r="AM706" s="1273"/>
      <c r="AN706" s="1273"/>
      <c r="AO706" s="1273"/>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3"/>
      <c r="B707" s="1273"/>
      <c r="C707" s="1273"/>
      <c r="D707" s="1273"/>
      <c r="E707" s="1273"/>
      <c r="F707" s="1273"/>
      <c r="G707" s="1273"/>
      <c r="H707" s="1273"/>
      <c r="I707" s="1273"/>
      <c r="J707" s="1273"/>
      <c r="K707" s="1273"/>
      <c r="L707" s="1273"/>
      <c r="M707" s="1273"/>
      <c r="N707" s="1273"/>
      <c r="O707" s="1273"/>
      <c r="P707" s="1273"/>
      <c r="Q707" s="1273"/>
      <c r="R707" s="1273"/>
      <c r="S707" s="1273"/>
      <c r="T707" s="1273"/>
      <c r="U707" s="1273"/>
      <c r="V707" s="1273"/>
      <c r="W707" s="1273"/>
      <c r="X707" s="1273"/>
      <c r="Y707" s="1273"/>
      <c r="Z707" s="1273"/>
      <c r="AA707" s="1273"/>
      <c r="AB707" s="1273"/>
      <c r="AC707" s="1273"/>
      <c r="AD707" s="1273"/>
      <c r="AE707" s="1273"/>
      <c r="AF707" s="1273"/>
      <c r="AG707" s="1273"/>
      <c r="AH707" s="1273"/>
      <c r="AI707" s="1273"/>
      <c r="AJ707" s="1273"/>
      <c r="AK707" s="1273"/>
      <c r="AL707" s="1273"/>
      <c r="AM707" s="1273"/>
      <c r="AN707" s="1273"/>
      <c r="AO707" s="1273"/>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3" t="s">
        <v>391</v>
      </c>
      <c r="C710" s="1494"/>
      <c r="D710" s="1494"/>
      <c r="E710" s="1494"/>
      <c r="F710" s="1495"/>
      <c r="G710" s="1493" t="s">
        <v>287</v>
      </c>
      <c r="H710" s="1494"/>
      <c r="I710" s="1494"/>
      <c r="J710" s="1495"/>
      <c r="K710" s="1506" t="s">
        <v>1941</v>
      </c>
      <c r="L710" s="1507"/>
      <c r="M710" s="1507"/>
      <c r="N710" s="1508"/>
      <c r="O710" s="1493" t="s">
        <v>457</v>
      </c>
      <c r="P710" s="1494"/>
      <c r="Q710" s="1494"/>
      <c r="R710" s="1494"/>
      <c r="S710" s="1495"/>
      <c r="T710" s="1585" t="s">
        <v>2338</v>
      </c>
      <c r="U710" s="1494"/>
      <c r="V710" s="1494"/>
      <c r="W710" s="1495"/>
      <c r="X710" s="1585" t="s">
        <v>2340</v>
      </c>
      <c r="Y710" s="1494"/>
      <c r="Z710" s="1494"/>
      <c r="AA710" s="1494"/>
      <c r="AB710" s="1495"/>
      <c r="AC710" s="1585" t="s">
        <v>2339</v>
      </c>
      <c r="AD710" s="1494"/>
      <c r="AE710" s="1494"/>
      <c r="AF710" s="1494"/>
      <c r="AG710" s="1495"/>
      <c r="AH710" s="1585" t="s">
        <v>2341</v>
      </c>
      <c r="AI710" s="1494"/>
      <c r="AJ710" s="1495"/>
      <c r="AK710" s="1585" t="s">
        <v>2375</v>
      </c>
      <c r="AL710" s="1494"/>
      <c r="AM710" s="1494"/>
      <c r="AN710" s="1494"/>
      <c r="AO710" s="149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6"/>
      <c r="C711" s="1497"/>
      <c r="D711" s="1497"/>
      <c r="E711" s="1497"/>
      <c r="F711" s="1498"/>
      <c r="G711" s="1496"/>
      <c r="H711" s="1497"/>
      <c r="I711" s="1497"/>
      <c r="J711" s="1498"/>
      <c r="K711" s="1509"/>
      <c r="L711" s="1510"/>
      <c r="M711" s="1510"/>
      <c r="N711" s="1511"/>
      <c r="O711" s="1496"/>
      <c r="P711" s="1497"/>
      <c r="Q711" s="1497"/>
      <c r="R711" s="1497"/>
      <c r="S711" s="1498"/>
      <c r="T711" s="1496"/>
      <c r="U711" s="1497"/>
      <c r="V711" s="1497"/>
      <c r="W711" s="1498"/>
      <c r="X711" s="1496"/>
      <c r="Y711" s="1497"/>
      <c r="Z711" s="1497"/>
      <c r="AA711" s="1497"/>
      <c r="AB711" s="1498"/>
      <c r="AC711" s="1496"/>
      <c r="AD711" s="1497"/>
      <c r="AE711" s="1497"/>
      <c r="AF711" s="1497"/>
      <c r="AG711" s="1498"/>
      <c r="AH711" s="1496"/>
      <c r="AI711" s="1497"/>
      <c r="AJ711" s="1498"/>
      <c r="AK711" s="1496"/>
      <c r="AL711" s="1497"/>
      <c r="AM711" s="1497"/>
      <c r="AN711" s="1497"/>
      <c r="AO711" s="149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6"/>
      <c r="C712" s="1497"/>
      <c r="D712" s="1497"/>
      <c r="E712" s="1497"/>
      <c r="F712" s="1498"/>
      <c r="G712" s="1496"/>
      <c r="H712" s="1497"/>
      <c r="I712" s="1497"/>
      <c r="J712" s="1498"/>
      <c r="K712" s="1509"/>
      <c r="L712" s="1510"/>
      <c r="M712" s="1510"/>
      <c r="N712" s="1511"/>
      <c r="O712" s="1496"/>
      <c r="P712" s="1497"/>
      <c r="Q712" s="1497"/>
      <c r="R712" s="1497"/>
      <c r="S712" s="1498"/>
      <c r="T712" s="1496"/>
      <c r="U712" s="1497"/>
      <c r="V712" s="1497"/>
      <c r="W712" s="1498"/>
      <c r="X712" s="1496"/>
      <c r="Y712" s="1497"/>
      <c r="Z712" s="1497"/>
      <c r="AA712" s="1497"/>
      <c r="AB712" s="1498"/>
      <c r="AC712" s="1496"/>
      <c r="AD712" s="1497"/>
      <c r="AE712" s="1497"/>
      <c r="AF712" s="1497"/>
      <c r="AG712" s="1498"/>
      <c r="AH712" s="1496"/>
      <c r="AI712" s="1497"/>
      <c r="AJ712" s="1498"/>
      <c r="AK712" s="1496"/>
      <c r="AL712" s="1497"/>
      <c r="AM712" s="1497"/>
      <c r="AN712" s="1497"/>
      <c r="AO712" s="149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9"/>
      <c r="C713" s="1500"/>
      <c r="D713" s="1500"/>
      <c r="E713" s="1500"/>
      <c r="F713" s="1501"/>
      <c r="G713" s="1499"/>
      <c r="H713" s="1500"/>
      <c r="I713" s="1500"/>
      <c r="J713" s="1501"/>
      <c r="K713" s="1509"/>
      <c r="L713" s="1510"/>
      <c r="M713" s="1510"/>
      <c r="N713" s="1511"/>
      <c r="O713" s="1499"/>
      <c r="P713" s="1500"/>
      <c r="Q713" s="1500"/>
      <c r="R713" s="1500"/>
      <c r="S713" s="1501"/>
      <c r="T713" s="1499"/>
      <c r="U713" s="1500"/>
      <c r="V713" s="1500"/>
      <c r="W713" s="1501"/>
      <c r="X713" s="1499"/>
      <c r="Y713" s="1500"/>
      <c r="Z713" s="1500"/>
      <c r="AA713" s="1500"/>
      <c r="AB713" s="1501"/>
      <c r="AC713" s="1499"/>
      <c r="AD713" s="1500"/>
      <c r="AE713" s="1500"/>
      <c r="AF713" s="1500"/>
      <c r="AG713" s="1501"/>
      <c r="AH713" s="1499"/>
      <c r="AI713" s="1500"/>
      <c r="AJ713" s="1501"/>
      <c r="AK713" s="1499"/>
      <c r="AL713" s="1500"/>
      <c r="AM713" s="1500"/>
      <c r="AN713" s="1500"/>
      <c r="AO713" s="150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582" t="s">
        <v>326</v>
      </c>
      <c r="C714" s="1583"/>
      <c r="D714" s="1583"/>
      <c r="E714" s="1583"/>
      <c r="F714" s="1584"/>
      <c r="G714" s="1691">
        <v>2</v>
      </c>
      <c r="H714" s="1692"/>
      <c r="I714" s="1692"/>
      <c r="J714" s="1693"/>
      <c r="K714" s="1487">
        <v>460</v>
      </c>
      <c r="L714" s="1488"/>
      <c r="M714" s="1488"/>
      <c r="N714" s="1489"/>
      <c r="O714" s="1586">
        <v>508</v>
      </c>
      <c r="P714" s="1587"/>
      <c r="Q714" s="1587"/>
      <c r="R714" s="1587"/>
      <c r="S714" s="1588"/>
      <c r="T714" s="1586">
        <v>62</v>
      </c>
      <c r="U714" s="1587"/>
      <c r="V714" s="1587"/>
      <c r="W714" s="1588"/>
      <c r="X714" s="1502">
        <f t="shared" ref="X714:X738" si="49">O714+T714</f>
        <v>570</v>
      </c>
      <c r="Y714" s="1503"/>
      <c r="Z714" s="1503"/>
      <c r="AA714" s="1503"/>
      <c r="AB714" s="1504"/>
      <c r="AC714" s="1589">
        <v>0.3</v>
      </c>
      <c r="AD714" s="1590"/>
      <c r="AE714" s="1590"/>
      <c r="AF714" s="1590"/>
      <c r="AG714" s="1591"/>
      <c r="AH714" s="1579">
        <f t="shared" ref="AH714:AH738" si="50">IF($AC714&gt;0,($X714/$BA656), " ")</f>
        <v>0.29968454258675081</v>
      </c>
      <c r="AI714" s="1580"/>
      <c r="AJ714" s="1581"/>
      <c r="AK714" s="1383" t="s">
        <v>601</v>
      </c>
      <c r="AL714" s="1384"/>
      <c r="AM714" s="1384"/>
      <c r="AN714" s="1384"/>
      <c r="AO714" s="1385"/>
      <c r="AP714" s="3"/>
      <c r="AQ714" s="3"/>
      <c r="AR714" s="3"/>
      <c r="AS714" s="3"/>
      <c r="AY714" s="1134"/>
      <c r="AZ714" s="1134"/>
      <c r="BA714" s="1134"/>
      <c r="BB714" s="1134"/>
      <c r="BC714" s="1134"/>
      <c r="BD714" s="3"/>
      <c r="BE714" s="3"/>
      <c r="BF714" s="3"/>
      <c r="BG714" s="895">
        <f>SUM(BG689:BG713)</f>
        <v>133</v>
      </c>
      <c r="BH714" s="322">
        <f>SUM(BH689:BH713)</f>
        <v>1</v>
      </c>
      <c r="BI714" s="322">
        <f>SUM(BI689:BI713)</f>
        <v>0.53922227472560647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582" t="s">
        <v>326</v>
      </c>
      <c r="C715" s="1583"/>
      <c r="D715" s="1583"/>
      <c r="E715" s="1583"/>
      <c r="F715" s="1584"/>
      <c r="G715" s="1691">
        <v>2</v>
      </c>
      <c r="H715" s="1692"/>
      <c r="I715" s="1692"/>
      <c r="J715" s="1693"/>
      <c r="K715" s="1487">
        <v>460</v>
      </c>
      <c r="L715" s="1488"/>
      <c r="M715" s="1488"/>
      <c r="N715" s="1489"/>
      <c r="O715" s="1586">
        <v>508</v>
      </c>
      <c r="P715" s="1587"/>
      <c r="Q715" s="1587"/>
      <c r="R715" s="1587"/>
      <c r="S715" s="1588"/>
      <c r="T715" s="1586">
        <v>62</v>
      </c>
      <c r="U715" s="1587"/>
      <c r="V715" s="1587"/>
      <c r="W715" s="1588"/>
      <c r="X715" s="1502">
        <f t="shared" si="49"/>
        <v>570</v>
      </c>
      <c r="Y715" s="1503"/>
      <c r="Z715" s="1503"/>
      <c r="AA715" s="1503"/>
      <c r="AB715" s="1504"/>
      <c r="AC715" s="1589">
        <v>0.3</v>
      </c>
      <c r="AD715" s="1590"/>
      <c r="AE715" s="1590"/>
      <c r="AF715" s="1590"/>
      <c r="AG715" s="1591"/>
      <c r="AH715" s="1579">
        <f t="shared" si="50"/>
        <v>0.29968454258675081</v>
      </c>
      <c r="AI715" s="1580"/>
      <c r="AJ715" s="1581"/>
      <c r="AK715" s="1383" t="s">
        <v>601</v>
      </c>
      <c r="AL715" s="1384"/>
      <c r="AM715" s="1384"/>
      <c r="AN715" s="1384"/>
      <c r="AO715" s="138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82" t="s">
        <v>326</v>
      </c>
      <c r="C716" s="1583"/>
      <c r="D716" s="1583"/>
      <c r="E716" s="1583"/>
      <c r="F716" s="1584"/>
      <c r="G716" s="1691">
        <v>17</v>
      </c>
      <c r="H716" s="1692"/>
      <c r="I716" s="1692"/>
      <c r="J716" s="1693"/>
      <c r="K716" s="1487">
        <v>460</v>
      </c>
      <c r="L716" s="1488"/>
      <c r="M716" s="1488"/>
      <c r="N716" s="1489"/>
      <c r="O716" s="1586">
        <v>1079</v>
      </c>
      <c r="P716" s="1587"/>
      <c r="Q716" s="1587"/>
      <c r="R716" s="1587"/>
      <c r="S716" s="1588"/>
      <c r="T716" s="1586">
        <v>62</v>
      </c>
      <c r="U716" s="1587"/>
      <c r="V716" s="1587"/>
      <c r="W716" s="1588"/>
      <c r="X716" s="1502">
        <f t="shared" si="49"/>
        <v>1141</v>
      </c>
      <c r="Y716" s="1503"/>
      <c r="Z716" s="1503"/>
      <c r="AA716" s="1503"/>
      <c r="AB716" s="1504"/>
      <c r="AC716" s="1589">
        <v>0.6</v>
      </c>
      <c r="AD716" s="1590"/>
      <c r="AE716" s="1590"/>
      <c r="AF716" s="1590"/>
      <c r="AG716" s="1591"/>
      <c r="AH716" s="1579">
        <f t="shared" si="50"/>
        <v>0.59989484752891697</v>
      </c>
      <c r="AI716" s="1580"/>
      <c r="AJ716" s="1581"/>
      <c r="AK716" s="1383" t="s">
        <v>601</v>
      </c>
      <c r="AL716" s="1384"/>
      <c r="AM716" s="1384"/>
      <c r="AN716" s="1384"/>
      <c r="AO716" s="138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3"/>
      <c r="C717" s="1384"/>
      <c r="D717" s="1384"/>
      <c r="E717" s="1384"/>
      <c r="F717" s="1385"/>
      <c r="G717" s="1691"/>
      <c r="H717" s="1692"/>
      <c r="I717" s="1692"/>
      <c r="J717" s="1693"/>
      <c r="K717" s="1487"/>
      <c r="L717" s="1488"/>
      <c r="M717" s="1488"/>
      <c r="N717" s="1489"/>
      <c r="O717" s="1481"/>
      <c r="P717" s="1482"/>
      <c r="Q717" s="1482"/>
      <c r="R717" s="1482"/>
      <c r="S717" s="1483"/>
      <c r="T717" s="1481"/>
      <c r="U717" s="1482"/>
      <c r="V717" s="1482"/>
      <c r="W717" s="1483"/>
      <c r="X717" s="1502">
        <f t="shared" si="49"/>
        <v>0</v>
      </c>
      <c r="Y717" s="1503"/>
      <c r="Z717" s="1503"/>
      <c r="AA717" s="1503"/>
      <c r="AB717" s="1504"/>
      <c r="AC717" s="1484"/>
      <c r="AD717" s="1485"/>
      <c r="AE717" s="1485"/>
      <c r="AF717" s="1485"/>
      <c r="AG717" s="1486"/>
      <c r="AH717" s="1579" t="str">
        <f t="shared" si="50"/>
        <v xml:space="preserve"> </v>
      </c>
      <c r="AI717" s="1580"/>
      <c r="AJ717" s="1581"/>
      <c r="AK717" s="1383" t="s">
        <v>601</v>
      </c>
      <c r="AL717" s="1384"/>
      <c r="AM717" s="1384"/>
      <c r="AN717" s="1384"/>
      <c r="AO717" s="138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582" t="s">
        <v>327</v>
      </c>
      <c r="C718" s="1583"/>
      <c r="D718" s="1583"/>
      <c r="E718" s="1583"/>
      <c r="F718" s="1584"/>
      <c r="G718" s="1691">
        <v>12</v>
      </c>
      <c r="H718" s="1692"/>
      <c r="I718" s="1692"/>
      <c r="J718" s="1693"/>
      <c r="K718" s="1487">
        <v>619</v>
      </c>
      <c r="L718" s="1488"/>
      <c r="M718" s="1488"/>
      <c r="N718" s="1489"/>
      <c r="O718" s="1586">
        <v>536</v>
      </c>
      <c r="P718" s="1587"/>
      <c r="Q718" s="1587"/>
      <c r="R718" s="1587"/>
      <c r="S718" s="1588"/>
      <c r="T718" s="1586">
        <v>75</v>
      </c>
      <c r="U718" s="1587"/>
      <c r="V718" s="1587"/>
      <c r="W718" s="1588"/>
      <c r="X718" s="1502">
        <f t="shared" si="49"/>
        <v>611</v>
      </c>
      <c r="Y718" s="1503"/>
      <c r="Z718" s="1503"/>
      <c r="AA718" s="1503"/>
      <c r="AB718" s="1504"/>
      <c r="AC718" s="1589">
        <v>0.3</v>
      </c>
      <c r="AD718" s="1590"/>
      <c r="AE718" s="1590"/>
      <c r="AF718" s="1590"/>
      <c r="AG718" s="1591"/>
      <c r="AH718" s="1579">
        <f t="shared" si="50"/>
        <v>0.30009823182711198</v>
      </c>
      <c r="AI718" s="1580"/>
      <c r="AJ718" s="1581"/>
      <c r="AK718" s="1383" t="s">
        <v>601</v>
      </c>
      <c r="AL718" s="1384"/>
      <c r="AM718" s="1384"/>
      <c r="AN718" s="1384"/>
      <c r="AO718" s="138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582" t="s">
        <v>327</v>
      </c>
      <c r="C719" s="1583"/>
      <c r="D719" s="1583"/>
      <c r="E719" s="1583"/>
      <c r="F719" s="1584"/>
      <c r="G719" s="1691">
        <v>4</v>
      </c>
      <c r="H719" s="1692"/>
      <c r="I719" s="1692"/>
      <c r="J719" s="1693"/>
      <c r="K719" s="1487">
        <v>619</v>
      </c>
      <c r="L719" s="1488"/>
      <c r="M719" s="1488"/>
      <c r="N719" s="1489"/>
      <c r="O719" s="1586">
        <v>536</v>
      </c>
      <c r="P719" s="1587"/>
      <c r="Q719" s="1587"/>
      <c r="R719" s="1587"/>
      <c r="S719" s="1588"/>
      <c r="T719" s="1586">
        <v>75</v>
      </c>
      <c r="U719" s="1587"/>
      <c r="V719" s="1587"/>
      <c r="W719" s="1588"/>
      <c r="X719" s="1502">
        <f t="shared" si="49"/>
        <v>611</v>
      </c>
      <c r="Y719" s="1503"/>
      <c r="Z719" s="1503"/>
      <c r="AA719" s="1503"/>
      <c r="AB719" s="1504"/>
      <c r="AC719" s="1589">
        <v>0.3</v>
      </c>
      <c r="AD719" s="1590"/>
      <c r="AE719" s="1590"/>
      <c r="AF719" s="1590"/>
      <c r="AG719" s="1591"/>
      <c r="AH719" s="1579">
        <f t="shared" si="50"/>
        <v>0.30009823182711198</v>
      </c>
      <c r="AI719" s="1580"/>
      <c r="AJ719" s="1581"/>
      <c r="AK719" s="1383" t="s">
        <v>601</v>
      </c>
      <c r="AL719" s="1384"/>
      <c r="AM719" s="1384"/>
      <c r="AN719" s="1384"/>
      <c r="AO719" s="138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582" t="s">
        <v>327</v>
      </c>
      <c r="C720" s="1583"/>
      <c r="D720" s="1583"/>
      <c r="E720" s="1583"/>
      <c r="F720" s="1584"/>
      <c r="G720" s="1691">
        <v>66</v>
      </c>
      <c r="H720" s="1692"/>
      <c r="I720" s="1692"/>
      <c r="J720" s="1693"/>
      <c r="K720" s="1487">
        <v>619</v>
      </c>
      <c r="L720" s="1488"/>
      <c r="M720" s="1488"/>
      <c r="N720" s="1489"/>
      <c r="O720" s="1586">
        <v>1147</v>
      </c>
      <c r="P720" s="1587"/>
      <c r="Q720" s="1587"/>
      <c r="R720" s="1587"/>
      <c r="S720" s="1588"/>
      <c r="T720" s="1586">
        <v>75</v>
      </c>
      <c r="U720" s="1587"/>
      <c r="V720" s="1587"/>
      <c r="W720" s="1588"/>
      <c r="X720" s="1502">
        <f t="shared" si="49"/>
        <v>1222</v>
      </c>
      <c r="Y720" s="1503"/>
      <c r="Z720" s="1503"/>
      <c r="AA720" s="1503"/>
      <c r="AB720" s="1504"/>
      <c r="AC720" s="1589">
        <v>0.6</v>
      </c>
      <c r="AD720" s="1590"/>
      <c r="AE720" s="1590"/>
      <c r="AF720" s="1590"/>
      <c r="AG720" s="1591"/>
      <c r="AH720" s="1579">
        <f t="shared" si="50"/>
        <v>0.60019646365422397</v>
      </c>
      <c r="AI720" s="1580"/>
      <c r="AJ720" s="1581"/>
      <c r="AK720" s="1383" t="s">
        <v>601</v>
      </c>
      <c r="AL720" s="1384"/>
      <c r="AM720" s="1384"/>
      <c r="AN720" s="1384"/>
      <c r="AO720" s="138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582" t="s">
        <v>164</v>
      </c>
      <c r="C721" s="1583"/>
      <c r="D721" s="1583"/>
      <c r="E721" s="1583"/>
      <c r="F721" s="1584"/>
      <c r="G721" s="1691">
        <v>5</v>
      </c>
      <c r="H721" s="1692"/>
      <c r="I721" s="1692"/>
      <c r="J721" s="1693"/>
      <c r="K721" s="1487">
        <v>850</v>
      </c>
      <c r="L721" s="1488"/>
      <c r="M721" s="1488"/>
      <c r="N721" s="1489"/>
      <c r="O721" s="1586">
        <v>631</v>
      </c>
      <c r="P721" s="1587"/>
      <c r="Q721" s="1587"/>
      <c r="R721" s="1587"/>
      <c r="S721" s="1588"/>
      <c r="T721" s="1586">
        <v>102</v>
      </c>
      <c r="U721" s="1587"/>
      <c r="V721" s="1587"/>
      <c r="W721" s="1588"/>
      <c r="X721" s="1502">
        <f t="shared" si="49"/>
        <v>733</v>
      </c>
      <c r="Y721" s="1503"/>
      <c r="Z721" s="1503"/>
      <c r="AA721" s="1503"/>
      <c r="AB721" s="1504"/>
      <c r="AC721" s="1589">
        <v>0.3</v>
      </c>
      <c r="AD721" s="1590"/>
      <c r="AE721" s="1590"/>
      <c r="AF721" s="1590"/>
      <c r="AG721" s="1591"/>
      <c r="AH721" s="1579">
        <f t="shared" si="50"/>
        <v>0.29991816693944351</v>
      </c>
      <c r="AI721" s="1580"/>
      <c r="AJ721" s="1581"/>
      <c r="AK721" s="1383" t="s">
        <v>601</v>
      </c>
      <c r="AL721" s="1384"/>
      <c r="AM721" s="1384"/>
      <c r="AN721" s="1384"/>
      <c r="AO721" s="138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582" t="s">
        <v>164</v>
      </c>
      <c r="C722" s="1583"/>
      <c r="D722" s="1583"/>
      <c r="E722" s="1583"/>
      <c r="F722" s="1584"/>
      <c r="G722" s="1691">
        <v>2</v>
      </c>
      <c r="H722" s="1692"/>
      <c r="I722" s="1692"/>
      <c r="J722" s="1693"/>
      <c r="K722" s="1487">
        <v>850</v>
      </c>
      <c r="L722" s="1488"/>
      <c r="M722" s="1488"/>
      <c r="N722" s="1489"/>
      <c r="O722" s="1586">
        <v>631</v>
      </c>
      <c r="P722" s="1587"/>
      <c r="Q722" s="1587"/>
      <c r="R722" s="1587"/>
      <c r="S722" s="1588"/>
      <c r="T722" s="1586">
        <v>102</v>
      </c>
      <c r="U722" s="1587"/>
      <c r="V722" s="1587"/>
      <c r="W722" s="1588"/>
      <c r="X722" s="1502">
        <f t="shared" si="49"/>
        <v>733</v>
      </c>
      <c r="Y722" s="1503"/>
      <c r="Z722" s="1503"/>
      <c r="AA722" s="1503"/>
      <c r="AB722" s="1504"/>
      <c r="AC722" s="1589">
        <v>0.3</v>
      </c>
      <c r="AD722" s="1590"/>
      <c r="AE722" s="1590"/>
      <c r="AF722" s="1590"/>
      <c r="AG722" s="1591"/>
      <c r="AH722" s="1579">
        <f t="shared" si="50"/>
        <v>0.29991816693944351</v>
      </c>
      <c r="AI722" s="1580"/>
      <c r="AJ722" s="1581"/>
      <c r="AK722" s="1383" t="s">
        <v>601</v>
      </c>
      <c r="AL722" s="1384"/>
      <c r="AM722" s="1384"/>
      <c r="AN722" s="1384"/>
      <c r="AO722" s="138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582" t="s">
        <v>164</v>
      </c>
      <c r="C723" s="1583"/>
      <c r="D723" s="1583"/>
      <c r="E723" s="1583"/>
      <c r="F723" s="1584"/>
      <c r="G723" s="1691">
        <v>23</v>
      </c>
      <c r="H723" s="1692"/>
      <c r="I723" s="1692"/>
      <c r="J723" s="1693"/>
      <c r="K723" s="1487">
        <v>850</v>
      </c>
      <c r="L723" s="1488"/>
      <c r="M723" s="1488"/>
      <c r="N723" s="1489"/>
      <c r="O723" s="1586">
        <v>1365</v>
      </c>
      <c r="P723" s="1587"/>
      <c r="Q723" s="1587"/>
      <c r="R723" s="1587"/>
      <c r="S723" s="1588"/>
      <c r="T723" s="1586">
        <v>102</v>
      </c>
      <c r="U723" s="1587"/>
      <c r="V723" s="1587"/>
      <c r="W723" s="1588"/>
      <c r="X723" s="1502">
        <f t="shared" si="49"/>
        <v>1467</v>
      </c>
      <c r="Y723" s="1503"/>
      <c r="Z723" s="1503"/>
      <c r="AA723" s="1503"/>
      <c r="AB723" s="1504"/>
      <c r="AC723" s="1589">
        <v>0.6</v>
      </c>
      <c r="AD723" s="1590"/>
      <c r="AE723" s="1590"/>
      <c r="AF723" s="1590"/>
      <c r="AG723" s="1591"/>
      <c r="AH723" s="1579">
        <f t="shared" si="50"/>
        <v>0.60024549918166936</v>
      </c>
      <c r="AI723" s="1580"/>
      <c r="AJ723" s="1581"/>
      <c r="AK723" s="1383" t="s">
        <v>601</v>
      </c>
      <c r="AL723" s="1384"/>
      <c r="AM723" s="1384"/>
      <c r="AN723" s="1384"/>
      <c r="AO723" s="138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3"/>
      <c r="C724" s="1384"/>
      <c r="D724" s="1384"/>
      <c r="E724" s="1384"/>
      <c r="F724" s="1385"/>
      <c r="G724" s="1490"/>
      <c r="H724" s="1491"/>
      <c r="I724" s="1491"/>
      <c r="J724" s="1492"/>
      <c r="K724" s="1487"/>
      <c r="L724" s="1488"/>
      <c r="M724" s="1488"/>
      <c r="N724" s="1489"/>
      <c r="O724" s="1481"/>
      <c r="P724" s="1482"/>
      <c r="Q724" s="1482"/>
      <c r="R724" s="1482"/>
      <c r="S724" s="1483"/>
      <c r="T724" s="1481"/>
      <c r="U724" s="1482"/>
      <c r="V724" s="1482"/>
      <c r="W724" s="1483"/>
      <c r="X724" s="1502">
        <f t="shared" si="49"/>
        <v>0</v>
      </c>
      <c r="Y724" s="1503"/>
      <c r="Z724" s="1503"/>
      <c r="AA724" s="1503"/>
      <c r="AB724" s="1504"/>
      <c r="AC724" s="1484"/>
      <c r="AD724" s="1485"/>
      <c r="AE724" s="1485"/>
      <c r="AF724" s="1485"/>
      <c r="AG724" s="1486"/>
      <c r="AH724" s="1579" t="str">
        <f t="shared" si="50"/>
        <v xml:space="preserve"> </v>
      </c>
      <c r="AI724" s="1580"/>
      <c r="AJ724" s="1581"/>
      <c r="AK724" s="1383" t="s">
        <v>601</v>
      </c>
      <c r="AL724" s="1384"/>
      <c r="AM724" s="1384"/>
      <c r="AN724" s="1384"/>
      <c r="AO724" s="138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3"/>
      <c r="C725" s="1384"/>
      <c r="D725" s="1384"/>
      <c r="E725" s="1384"/>
      <c r="F725" s="1385"/>
      <c r="G725" s="1490"/>
      <c r="H725" s="1491"/>
      <c r="I725" s="1491"/>
      <c r="J725" s="1492"/>
      <c r="K725" s="1487"/>
      <c r="L725" s="1488"/>
      <c r="M725" s="1488"/>
      <c r="N725" s="1489"/>
      <c r="O725" s="1481"/>
      <c r="P725" s="1482"/>
      <c r="Q725" s="1482"/>
      <c r="R725" s="1482"/>
      <c r="S725" s="1483"/>
      <c r="T725" s="1481"/>
      <c r="U725" s="1482"/>
      <c r="V725" s="1482"/>
      <c r="W725" s="1483"/>
      <c r="X725" s="1502">
        <f t="shared" si="49"/>
        <v>0</v>
      </c>
      <c r="Y725" s="1503"/>
      <c r="Z725" s="1503"/>
      <c r="AA725" s="1503"/>
      <c r="AB725" s="1504"/>
      <c r="AC725" s="1484"/>
      <c r="AD725" s="1485"/>
      <c r="AE725" s="1485"/>
      <c r="AF725" s="1485"/>
      <c r="AG725" s="1486"/>
      <c r="AH725" s="1579" t="str">
        <f t="shared" si="50"/>
        <v xml:space="preserve"> </v>
      </c>
      <c r="AI725" s="1580"/>
      <c r="AJ725" s="1581"/>
      <c r="AK725" s="1383" t="s">
        <v>601</v>
      </c>
      <c r="AL725" s="1384"/>
      <c r="AM725" s="1384"/>
      <c r="AN725" s="1384"/>
      <c r="AO725" s="138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3"/>
      <c r="C726" s="1384"/>
      <c r="D726" s="1384"/>
      <c r="E726" s="1384"/>
      <c r="F726" s="1385"/>
      <c r="G726" s="1490"/>
      <c r="H726" s="1491"/>
      <c r="I726" s="1491"/>
      <c r="J726" s="1492"/>
      <c r="K726" s="1487"/>
      <c r="L726" s="1488"/>
      <c r="M726" s="1488"/>
      <c r="N726" s="1489"/>
      <c r="O726" s="1481"/>
      <c r="P726" s="1482"/>
      <c r="Q726" s="1482"/>
      <c r="R726" s="1482"/>
      <c r="S726" s="1483"/>
      <c r="T726" s="1481"/>
      <c r="U726" s="1482"/>
      <c r="V726" s="1482"/>
      <c r="W726" s="1483"/>
      <c r="X726" s="1502">
        <f t="shared" si="49"/>
        <v>0</v>
      </c>
      <c r="Y726" s="1503"/>
      <c r="Z726" s="1503"/>
      <c r="AA726" s="1503"/>
      <c r="AB726" s="1504"/>
      <c r="AC726" s="1484"/>
      <c r="AD726" s="1485"/>
      <c r="AE726" s="1485"/>
      <c r="AF726" s="1485"/>
      <c r="AG726" s="1486"/>
      <c r="AH726" s="1579" t="str">
        <f t="shared" si="50"/>
        <v xml:space="preserve"> </v>
      </c>
      <c r="AI726" s="1580"/>
      <c r="AJ726" s="1581"/>
      <c r="AK726" s="1383" t="s">
        <v>601</v>
      </c>
      <c r="AL726" s="1384"/>
      <c r="AM726" s="1384"/>
      <c r="AN726" s="1384"/>
      <c r="AO726" s="138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3"/>
      <c r="C727" s="1384"/>
      <c r="D727" s="1384"/>
      <c r="E727" s="1384"/>
      <c r="F727" s="1385"/>
      <c r="G727" s="1490"/>
      <c r="H727" s="1491"/>
      <c r="I727" s="1491"/>
      <c r="J727" s="1492"/>
      <c r="K727" s="1487"/>
      <c r="L727" s="1488"/>
      <c r="M727" s="1488"/>
      <c r="N727" s="1489"/>
      <c r="O727" s="1481"/>
      <c r="P727" s="1482"/>
      <c r="Q727" s="1482"/>
      <c r="R727" s="1482"/>
      <c r="S727" s="1483"/>
      <c r="T727" s="1481"/>
      <c r="U727" s="1482"/>
      <c r="V727" s="1482"/>
      <c r="W727" s="1483"/>
      <c r="X727" s="1502">
        <f t="shared" si="49"/>
        <v>0</v>
      </c>
      <c r="Y727" s="1503"/>
      <c r="Z727" s="1503"/>
      <c r="AA727" s="1503"/>
      <c r="AB727" s="1504"/>
      <c r="AC727" s="1484">
        <v>0</v>
      </c>
      <c r="AD727" s="1485"/>
      <c r="AE727" s="1485"/>
      <c r="AF727" s="1485"/>
      <c r="AG727" s="1486"/>
      <c r="AH727" s="1579" t="str">
        <f t="shared" si="50"/>
        <v xml:space="preserve"> </v>
      </c>
      <c r="AI727" s="1580"/>
      <c r="AJ727" s="1581"/>
      <c r="AK727" s="1383" t="s">
        <v>601</v>
      </c>
      <c r="AL727" s="1384"/>
      <c r="AM727" s="1384"/>
      <c r="AN727" s="1384"/>
      <c r="AO727" s="138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3"/>
      <c r="C728" s="1384"/>
      <c r="D728" s="1384"/>
      <c r="E728" s="1384"/>
      <c r="F728" s="1385"/>
      <c r="G728" s="1490"/>
      <c r="H728" s="1491"/>
      <c r="I728" s="1491"/>
      <c r="J728" s="1492"/>
      <c r="K728" s="1487"/>
      <c r="L728" s="1488"/>
      <c r="M728" s="1488"/>
      <c r="N728" s="1489"/>
      <c r="O728" s="1481"/>
      <c r="P728" s="1482"/>
      <c r="Q728" s="1482"/>
      <c r="R728" s="1482"/>
      <c r="S728" s="1483"/>
      <c r="T728" s="1481"/>
      <c r="U728" s="1482"/>
      <c r="V728" s="1482"/>
      <c r="W728" s="1483"/>
      <c r="X728" s="1502">
        <f t="shared" si="49"/>
        <v>0</v>
      </c>
      <c r="Y728" s="1503"/>
      <c r="Z728" s="1503"/>
      <c r="AA728" s="1503"/>
      <c r="AB728" s="1504"/>
      <c r="AC728" s="1484">
        <v>0</v>
      </c>
      <c r="AD728" s="1485"/>
      <c r="AE728" s="1485"/>
      <c r="AF728" s="1485"/>
      <c r="AG728" s="1486"/>
      <c r="AH728" s="1579" t="str">
        <f t="shared" si="50"/>
        <v xml:space="preserve"> </v>
      </c>
      <c r="AI728" s="1580"/>
      <c r="AJ728" s="1581"/>
      <c r="AK728" s="1383" t="s">
        <v>601</v>
      </c>
      <c r="AL728" s="1384"/>
      <c r="AM728" s="1384"/>
      <c r="AN728" s="1384"/>
      <c r="AO728" s="138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3"/>
      <c r="C729" s="1384"/>
      <c r="D729" s="1384"/>
      <c r="E729" s="1384"/>
      <c r="F729" s="1385"/>
      <c r="G729" s="1490"/>
      <c r="H729" s="1491"/>
      <c r="I729" s="1491"/>
      <c r="J729" s="1492"/>
      <c r="K729" s="1487"/>
      <c r="L729" s="1488"/>
      <c r="M729" s="1488"/>
      <c r="N729" s="1489"/>
      <c r="O729" s="1481"/>
      <c r="P729" s="1482"/>
      <c r="Q729" s="1482"/>
      <c r="R729" s="1482"/>
      <c r="S729" s="1483"/>
      <c r="T729" s="1481"/>
      <c r="U729" s="1482"/>
      <c r="V729" s="1482"/>
      <c r="W729" s="1483"/>
      <c r="X729" s="1502">
        <f t="shared" si="49"/>
        <v>0</v>
      </c>
      <c r="Y729" s="1503"/>
      <c r="Z729" s="1503"/>
      <c r="AA729" s="1503"/>
      <c r="AB729" s="1504"/>
      <c r="AC729" s="1484">
        <v>0</v>
      </c>
      <c r="AD729" s="1485"/>
      <c r="AE729" s="1485"/>
      <c r="AF729" s="1485"/>
      <c r="AG729" s="1486"/>
      <c r="AH729" s="1579" t="str">
        <f t="shared" si="50"/>
        <v xml:space="preserve"> </v>
      </c>
      <c r="AI729" s="1580"/>
      <c r="AJ729" s="1581"/>
      <c r="AK729" s="1383" t="s">
        <v>601</v>
      </c>
      <c r="AL729" s="1384"/>
      <c r="AM729" s="1384"/>
      <c r="AN729" s="1384"/>
      <c r="AO729" s="138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3"/>
      <c r="C730" s="1384"/>
      <c r="D730" s="1384"/>
      <c r="E730" s="1384"/>
      <c r="F730" s="1385"/>
      <c r="G730" s="1490"/>
      <c r="H730" s="1491"/>
      <c r="I730" s="1491"/>
      <c r="J730" s="1492"/>
      <c r="K730" s="1487"/>
      <c r="L730" s="1488"/>
      <c r="M730" s="1488"/>
      <c r="N730" s="1489"/>
      <c r="O730" s="1481"/>
      <c r="P730" s="1482"/>
      <c r="Q730" s="1482"/>
      <c r="R730" s="1482"/>
      <c r="S730" s="1483"/>
      <c r="T730" s="1481"/>
      <c r="U730" s="1482"/>
      <c r="V730" s="1482"/>
      <c r="W730" s="1483"/>
      <c r="X730" s="1502">
        <f t="shared" si="49"/>
        <v>0</v>
      </c>
      <c r="Y730" s="1503"/>
      <c r="Z730" s="1503"/>
      <c r="AA730" s="1503"/>
      <c r="AB730" s="1504"/>
      <c r="AC730" s="1484">
        <v>0</v>
      </c>
      <c r="AD730" s="1485"/>
      <c r="AE730" s="1485"/>
      <c r="AF730" s="1485"/>
      <c r="AG730" s="1486"/>
      <c r="AH730" s="1579" t="str">
        <f t="shared" si="50"/>
        <v xml:space="preserve"> </v>
      </c>
      <c r="AI730" s="1580"/>
      <c r="AJ730" s="1581"/>
      <c r="AK730" s="1383" t="s">
        <v>601</v>
      </c>
      <c r="AL730" s="1384"/>
      <c r="AM730" s="1384"/>
      <c r="AN730" s="1384"/>
      <c r="AO730" s="138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3"/>
      <c r="C731" s="1384"/>
      <c r="D731" s="1384"/>
      <c r="E731" s="1384"/>
      <c r="F731" s="1385"/>
      <c r="G731" s="1490"/>
      <c r="H731" s="1491"/>
      <c r="I731" s="1491"/>
      <c r="J731" s="1492"/>
      <c r="K731" s="1487"/>
      <c r="L731" s="1488"/>
      <c r="M731" s="1488"/>
      <c r="N731" s="1489"/>
      <c r="O731" s="1481"/>
      <c r="P731" s="1482"/>
      <c r="Q731" s="1482"/>
      <c r="R731" s="1482"/>
      <c r="S731" s="1483"/>
      <c r="T731" s="1481"/>
      <c r="U731" s="1482"/>
      <c r="V731" s="1482"/>
      <c r="W731" s="1483"/>
      <c r="X731" s="1502">
        <f t="shared" si="49"/>
        <v>0</v>
      </c>
      <c r="Y731" s="1503"/>
      <c r="Z731" s="1503"/>
      <c r="AA731" s="1503"/>
      <c r="AB731" s="1504"/>
      <c r="AC731" s="1484">
        <v>0</v>
      </c>
      <c r="AD731" s="1485"/>
      <c r="AE731" s="1485"/>
      <c r="AF731" s="1485"/>
      <c r="AG731" s="1486"/>
      <c r="AH731" s="1579" t="str">
        <f t="shared" si="50"/>
        <v xml:space="preserve"> </v>
      </c>
      <c r="AI731" s="1580"/>
      <c r="AJ731" s="1581"/>
      <c r="AK731" s="1383" t="s">
        <v>601</v>
      </c>
      <c r="AL731" s="1384"/>
      <c r="AM731" s="1384"/>
      <c r="AN731" s="1384"/>
      <c r="AO731" s="138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3"/>
      <c r="C732" s="1384"/>
      <c r="D732" s="1384"/>
      <c r="E732" s="1384"/>
      <c r="F732" s="1385"/>
      <c r="G732" s="1490"/>
      <c r="H732" s="1491"/>
      <c r="I732" s="1491"/>
      <c r="J732" s="1492"/>
      <c r="K732" s="1487"/>
      <c r="L732" s="1488"/>
      <c r="M732" s="1488"/>
      <c r="N732" s="1489"/>
      <c r="O732" s="1481"/>
      <c r="P732" s="1482"/>
      <c r="Q732" s="1482"/>
      <c r="R732" s="1482"/>
      <c r="S732" s="1483"/>
      <c r="T732" s="1481"/>
      <c r="U732" s="1482"/>
      <c r="V732" s="1482"/>
      <c r="W732" s="1483"/>
      <c r="X732" s="1502">
        <f t="shared" si="49"/>
        <v>0</v>
      </c>
      <c r="Y732" s="1503"/>
      <c r="Z732" s="1503"/>
      <c r="AA732" s="1503"/>
      <c r="AB732" s="1504"/>
      <c r="AC732" s="1484">
        <v>0</v>
      </c>
      <c r="AD732" s="1485"/>
      <c r="AE732" s="1485"/>
      <c r="AF732" s="1485"/>
      <c r="AG732" s="1486"/>
      <c r="AH732" s="1579" t="str">
        <f t="shared" si="50"/>
        <v xml:space="preserve"> </v>
      </c>
      <c r="AI732" s="1580"/>
      <c r="AJ732" s="1581"/>
      <c r="AK732" s="1383" t="s">
        <v>601</v>
      </c>
      <c r="AL732" s="1384"/>
      <c r="AM732" s="1384"/>
      <c r="AN732" s="1384"/>
      <c r="AO732" s="138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3"/>
      <c r="C733" s="1384"/>
      <c r="D733" s="1384"/>
      <c r="E733" s="1384"/>
      <c r="F733" s="1385"/>
      <c r="G733" s="1490"/>
      <c r="H733" s="1491"/>
      <c r="I733" s="1491"/>
      <c r="J733" s="1492"/>
      <c r="K733" s="1487"/>
      <c r="L733" s="1488"/>
      <c r="M733" s="1488"/>
      <c r="N733" s="1489"/>
      <c r="O733" s="1481"/>
      <c r="P733" s="1482"/>
      <c r="Q733" s="1482"/>
      <c r="R733" s="1482"/>
      <c r="S733" s="1483"/>
      <c r="T733" s="1481"/>
      <c r="U733" s="1482"/>
      <c r="V733" s="1482"/>
      <c r="W733" s="1483"/>
      <c r="X733" s="1502">
        <f t="shared" si="49"/>
        <v>0</v>
      </c>
      <c r="Y733" s="1503"/>
      <c r="Z733" s="1503"/>
      <c r="AA733" s="1503"/>
      <c r="AB733" s="1504"/>
      <c r="AC733" s="1484">
        <v>0</v>
      </c>
      <c r="AD733" s="1485"/>
      <c r="AE733" s="1485"/>
      <c r="AF733" s="1485"/>
      <c r="AG733" s="1486"/>
      <c r="AH733" s="1579" t="str">
        <f t="shared" si="50"/>
        <v xml:space="preserve"> </v>
      </c>
      <c r="AI733" s="1580"/>
      <c r="AJ733" s="1581"/>
      <c r="AK733" s="1383" t="s">
        <v>601</v>
      </c>
      <c r="AL733" s="1384"/>
      <c r="AM733" s="1384"/>
      <c r="AN733" s="1384"/>
      <c r="AO733" s="138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3"/>
      <c r="C734" s="1384"/>
      <c r="D734" s="1384"/>
      <c r="E734" s="1384"/>
      <c r="F734" s="1385"/>
      <c r="G734" s="1490"/>
      <c r="H734" s="1491"/>
      <c r="I734" s="1491"/>
      <c r="J734" s="1492"/>
      <c r="K734" s="1487"/>
      <c r="L734" s="1488"/>
      <c r="M734" s="1488"/>
      <c r="N734" s="1489"/>
      <c r="O734" s="1481"/>
      <c r="P734" s="1482"/>
      <c r="Q734" s="1482"/>
      <c r="R734" s="1482"/>
      <c r="S734" s="1483"/>
      <c r="T734" s="1481"/>
      <c r="U734" s="1482"/>
      <c r="V734" s="1482"/>
      <c r="W734" s="1483"/>
      <c r="X734" s="1502">
        <f t="shared" si="49"/>
        <v>0</v>
      </c>
      <c r="Y734" s="1503"/>
      <c r="Z734" s="1503"/>
      <c r="AA734" s="1503"/>
      <c r="AB734" s="1504"/>
      <c r="AC734" s="1484">
        <v>0</v>
      </c>
      <c r="AD734" s="1485"/>
      <c r="AE734" s="1485"/>
      <c r="AF734" s="1485"/>
      <c r="AG734" s="1486"/>
      <c r="AH734" s="1579" t="str">
        <f t="shared" si="50"/>
        <v xml:space="preserve"> </v>
      </c>
      <c r="AI734" s="1580"/>
      <c r="AJ734" s="1581"/>
      <c r="AK734" s="1383" t="s">
        <v>601</v>
      </c>
      <c r="AL734" s="1384"/>
      <c r="AM734" s="1384"/>
      <c r="AN734" s="1384"/>
      <c r="AO734" s="138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3"/>
      <c r="C735" s="1384"/>
      <c r="D735" s="1384"/>
      <c r="E735" s="1384"/>
      <c r="F735" s="1385"/>
      <c r="G735" s="1490"/>
      <c r="H735" s="1491"/>
      <c r="I735" s="1491"/>
      <c r="J735" s="1492"/>
      <c r="K735" s="1487"/>
      <c r="L735" s="1488"/>
      <c r="M735" s="1488"/>
      <c r="N735" s="1489"/>
      <c r="O735" s="1481"/>
      <c r="P735" s="1482"/>
      <c r="Q735" s="1482"/>
      <c r="R735" s="1482"/>
      <c r="S735" s="1483"/>
      <c r="T735" s="1481"/>
      <c r="U735" s="1482"/>
      <c r="V735" s="1482"/>
      <c r="W735" s="1483"/>
      <c r="X735" s="1502">
        <f t="shared" si="49"/>
        <v>0</v>
      </c>
      <c r="Y735" s="1503"/>
      <c r="Z735" s="1503"/>
      <c r="AA735" s="1503"/>
      <c r="AB735" s="1504"/>
      <c r="AC735" s="1484">
        <v>0</v>
      </c>
      <c r="AD735" s="1485"/>
      <c r="AE735" s="1485"/>
      <c r="AF735" s="1485"/>
      <c r="AG735" s="1486"/>
      <c r="AH735" s="1579" t="str">
        <f t="shared" si="50"/>
        <v xml:space="preserve"> </v>
      </c>
      <c r="AI735" s="1580"/>
      <c r="AJ735" s="1581"/>
      <c r="AK735" s="1383" t="s">
        <v>601</v>
      </c>
      <c r="AL735" s="1384"/>
      <c r="AM735" s="1384"/>
      <c r="AN735" s="1384"/>
      <c r="AO735" s="138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3"/>
      <c r="C736" s="1384"/>
      <c r="D736" s="1384"/>
      <c r="E736" s="1384"/>
      <c r="F736" s="1385"/>
      <c r="G736" s="1490"/>
      <c r="H736" s="1491"/>
      <c r="I736" s="1491"/>
      <c r="J736" s="1492"/>
      <c r="K736" s="1487"/>
      <c r="L736" s="1488"/>
      <c r="M736" s="1488"/>
      <c r="N736" s="1489"/>
      <c r="O736" s="1481"/>
      <c r="P736" s="1482"/>
      <c r="Q736" s="1482"/>
      <c r="R736" s="1482"/>
      <c r="S736" s="1483"/>
      <c r="T736" s="1481"/>
      <c r="U736" s="1482"/>
      <c r="V736" s="1482"/>
      <c r="W736" s="1483"/>
      <c r="X736" s="1502">
        <f t="shared" si="49"/>
        <v>0</v>
      </c>
      <c r="Y736" s="1503"/>
      <c r="Z736" s="1503"/>
      <c r="AA736" s="1503"/>
      <c r="AB736" s="1504"/>
      <c r="AC736" s="1484">
        <v>0</v>
      </c>
      <c r="AD736" s="1485"/>
      <c r="AE736" s="1485"/>
      <c r="AF736" s="1485"/>
      <c r="AG736" s="1486"/>
      <c r="AH736" s="1579" t="str">
        <f t="shared" si="50"/>
        <v xml:space="preserve"> </v>
      </c>
      <c r="AI736" s="1580"/>
      <c r="AJ736" s="1581"/>
      <c r="AK736" s="1383" t="s">
        <v>601</v>
      </c>
      <c r="AL736" s="1384"/>
      <c r="AM736" s="1384"/>
      <c r="AN736" s="1384"/>
      <c r="AO736" s="138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3"/>
      <c r="C737" s="1384"/>
      <c r="D737" s="1384"/>
      <c r="E737" s="1384"/>
      <c r="F737" s="1385"/>
      <c r="G737" s="1490"/>
      <c r="H737" s="1491"/>
      <c r="I737" s="1491"/>
      <c r="J737" s="1492"/>
      <c r="K737" s="1487"/>
      <c r="L737" s="1488"/>
      <c r="M737" s="1488"/>
      <c r="N737" s="1489"/>
      <c r="O737" s="1481"/>
      <c r="P737" s="1482"/>
      <c r="Q737" s="1482"/>
      <c r="R737" s="1482"/>
      <c r="S737" s="1483"/>
      <c r="T737" s="1481"/>
      <c r="U737" s="1482"/>
      <c r="V737" s="1482"/>
      <c r="W737" s="1483"/>
      <c r="X737" s="1502">
        <f t="shared" si="49"/>
        <v>0</v>
      </c>
      <c r="Y737" s="1503"/>
      <c r="Z737" s="1503"/>
      <c r="AA737" s="1503"/>
      <c r="AB737" s="1504"/>
      <c r="AC737" s="1484">
        <v>0</v>
      </c>
      <c r="AD737" s="1485"/>
      <c r="AE737" s="1485"/>
      <c r="AF737" s="1485"/>
      <c r="AG737" s="1486"/>
      <c r="AH737" s="1579" t="str">
        <f t="shared" si="50"/>
        <v xml:space="preserve"> </v>
      </c>
      <c r="AI737" s="1580"/>
      <c r="AJ737" s="1581"/>
      <c r="AK737" s="1383" t="s">
        <v>601</v>
      </c>
      <c r="AL737" s="1384"/>
      <c r="AM737" s="1384"/>
      <c r="AN737" s="1384"/>
      <c r="AO737" s="138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3"/>
      <c r="C738" s="1384"/>
      <c r="D738" s="1384"/>
      <c r="E738" s="1384"/>
      <c r="F738" s="1385"/>
      <c r="G738" s="1490"/>
      <c r="H738" s="1491"/>
      <c r="I738" s="1491"/>
      <c r="J738" s="1492"/>
      <c r="K738" s="1487"/>
      <c r="L738" s="1488"/>
      <c r="M738" s="1488"/>
      <c r="N738" s="1489"/>
      <c r="O738" s="1481"/>
      <c r="P738" s="1482"/>
      <c r="Q738" s="1482"/>
      <c r="R738" s="1482"/>
      <c r="S738" s="1483"/>
      <c r="T738" s="1481"/>
      <c r="U738" s="1482"/>
      <c r="V738" s="1482"/>
      <c r="W738" s="1483"/>
      <c r="X738" s="1502">
        <f t="shared" si="49"/>
        <v>0</v>
      </c>
      <c r="Y738" s="1503"/>
      <c r="Z738" s="1503"/>
      <c r="AA738" s="1503"/>
      <c r="AB738" s="1504"/>
      <c r="AC738" s="1484">
        <v>0</v>
      </c>
      <c r="AD738" s="1485"/>
      <c r="AE738" s="1485"/>
      <c r="AF738" s="1485"/>
      <c r="AG738" s="1486"/>
      <c r="AH738" s="1579" t="str">
        <f t="shared" si="50"/>
        <v xml:space="preserve"> </v>
      </c>
      <c r="AI738" s="1580"/>
      <c r="AJ738" s="1581"/>
      <c r="AK738" s="1383" t="s">
        <v>601</v>
      </c>
      <c r="AL738" s="1384"/>
      <c r="AM738" s="1384"/>
      <c r="AN738" s="1384"/>
      <c r="AO738" s="138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4" t="s">
        <v>126</v>
      </c>
      <c r="C739" s="1525"/>
      <c r="D739" s="1525"/>
      <c r="E739" s="1525"/>
      <c r="F739" s="1527"/>
      <c r="G739" s="1768">
        <f>SUM(G714:J738)</f>
        <v>133</v>
      </c>
      <c r="H739" s="1769"/>
      <c r="I739" s="1769"/>
      <c r="J739" s="1770"/>
      <c r="K739" s="939" t="s">
        <v>125</v>
      </c>
      <c r="L739" s="5"/>
      <c r="M739" s="5"/>
      <c r="N739" s="46"/>
      <c r="O739" s="1502">
        <f>SUMPRODUCT(G714:G738,O714:O738)</f>
        <v>140465</v>
      </c>
      <c r="P739" s="1503"/>
      <c r="Q739" s="1503"/>
      <c r="R739" s="1503"/>
      <c r="S739" s="1504"/>
      <c r="X739" s="941" t="s">
        <v>934</v>
      </c>
      <c r="Y739" s="940"/>
      <c r="Z739" s="940"/>
      <c r="AA739" s="940"/>
      <c r="AB739" s="942"/>
      <c r="AC739" s="1704">
        <f>BI682</f>
        <v>0.53909774436090219</v>
      </c>
      <c r="AD739" s="1705"/>
      <c r="AE739" s="1705"/>
      <c r="AF739" s="1705"/>
      <c r="AG739" s="1706"/>
      <c r="AH739" s="1704">
        <f>BI714</f>
        <v>0.53922227472560647</v>
      </c>
      <c r="AI739" s="1705"/>
      <c r="AJ739" s="170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5" t="s">
        <v>2260</v>
      </c>
      <c r="C740" s="1505"/>
      <c r="D740" s="1505"/>
      <c r="E740" s="1505"/>
      <c r="F740" s="1505"/>
      <c r="G740" s="1505"/>
      <c r="H740" s="1505"/>
      <c r="I740" s="1505"/>
      <c r="J740" s="1505"/>
      <c r="K740" s="1505"/>
      <c r="L740" s="1505"/>
      <c r="M740" s="1505"/>
      <c r="N740" s="1505"/>
      <c r="O740" s="1505"/>
      <c r="P740" s="1505"/>
      <c r="Q740" s="1505"/>
      <c r="R740" s="1505"/>
      <c r="S740" s="1505"/>
      <c r="T740" s="1505"/>
      <c r="U740" s="1505"/>
      <c r="V740" s="1505"/>
      <c r="W740" s="1505"/>
      <c r="X740" s="1505"/>
      <c r="Y740" s="1505"/>
      <c r="Z740" s="1505"/>
      <c r="AA740" s="1505"/>
      <c r="AB740" s="1505"/>
      <c r="AC740" s="1505"/>
      <c r="AD740" s="1505"/>
      <c r="AE740" s="1505"/>
      <c r="AF740" s="1505"/>
      <c r="AG740" s="1505"/>
      <c r="AH740" s="150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5"/>
      <c r="C741" s="1505"/>
      <c r="D741" s="1505"/>
      <c r="E741" s="1505"/>
      <c r="F741" s="1505"/>
      <c r="G741" s="1505"/>
      <c r="H741" s="1505"/>
      <c r="I741" s="1505"/>
      <c r="J741" s="1505"/>
      <c r="K741" s="1505"/>
      <c r="L741" s="1505"/>
      <c r="M741" s="1505"/>
      <c r="N741" s="1505"/>
      <c r="O741" s="1505"/>
      <c r="P741" s="1505"/>
      <c r="Q741" s="1505"/>
      <c r="R741" s="1505"/>
      <c r="S741" s="1505"/>
      <c r="T741" s="1505"/>
      <c r="U741" s="1505"/>
      <c r="V741" s="1505"/>
      <c r="W741" s="1505"/>
      <c r="X741" s="1505"/>
      <c r="Y741" s="1505"/>
      <c r="Z741" s="1505"/>
      <c r="AA741" s="1505"/>
      <c r="AB741" s="1505"/>
      <c r="AC741" s="1505"/>
      <c r="AD741" s="1505"/>
      <c r="AE741" s="1505"/>
      <c r="AF741" s="1505"/>
      <c r="AG741" s="1505"/>
      <c r="AH741" s="150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2258</v>
      </c>
      <c r="D742" s="1076"/>
      <c r="E742" s="1076"/>
      <c r="F742" s="1076"/>
      <c r="G742" s="1077"/>
      <c r="H742" s="1077"/>
      <c r="I742" s="1077"/>
      <c r="J742" s="1077"/>
      <c r="K742" s="1076"/>
      <c r="L742" s="1076"/>
      <c r="M742" s="1076"/>
      <c r="N742" s="1076"/>
      <c r="O742" s="1707">
        <f>CS623</f>
        <v>163</v>
      </c>
      <c r="P742" s="1707"/>
      <c r="Q742" s="1707"/>
      <c r="R742" s="1707"/>
      <c r="S742" s="1006"/>
      <c r="T742" s="1006"/>
      <c r="U742" s="118" t="s">
        <v>2259</v>
      </c>
      <c r="V742" s="1076"/>
      <c r="W742" s="1076"/>
      <c r="X742" s="1076"/>
      <c r="Y742" s="1077"/>
      <c r="Z742" s="1077"/>
      <c r="AA742" s="1077"/>
      <c r="AB742" s="1077"/>
      <c r="AC742" s="1076"/>
      <c r="AD742" s="1076"/>
      <c r="AE742" s="1076"/>
      <c r="AF742" s="1076"/>
      <c r="AG742" s="1708"/>
      <c r="AH742" s="1708"/>
      <c r="AI742" s="1708"/>
      <c r="AJ742" s="1708"/>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2257</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8" t="s">
        <v>601</v>
      </c>
      <c r="AE744" s="1578"/>
      <c r="AF744" s="157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9" t="s">
        <v>2512</v>
      </c>
      <c r="D748" s="1269"/>
      <c r="E748" s="1269"/>
      <c r="F748" s="1269"/>
      <c r="G748" s="1269"/>
      <c r="H748" s="1269"/>
      <c r="I748" s="1269"/>
      <c r="J748" s="1269"/>
      <c r="K748" s="1269"/>
      <c r="L748" s="1269"/>
      <c r="M748" s="1269"/>
      <c r="N748" s="1269"/>
      <c r="O748" s="1269"/>
      <c r="P748" s="1269"/>
      <c r="Q748" s="1269"/>
      <c r="R748" s="1269"/>
      <c r="S748" s="1269"/>
      <c r="T748" s="1269"/>
      <c r="U748" s="1269"/>
      <c r="V748" s="1269"/>
      <c r="W748" s="1269"/>
      <c r="X748" s="1269"/>
      <c r="Y748" s="1269"/>
      <c r="Z748" s="1269"/>
      <c r="AA748" s="1269"/>
      <c r="AB748" s="1269"/>
      <c r="AC748" s="1269"/>
      <c r="AD748" s="1269"/>
      <c r="AE748" s="1269"/>
      <c r="AF748" s="1269"/>
      <c r="AG748" s="1269"/>
      <c r="AH748" s="1269"/>
      <c r="AI748" s="1269"/>
      <c r="AJ748" s="1269"/>
      <c r="AK748" s="1269"/>
      <c r="AL748" s="1269"/>
      <c r="AM748" s="1269"/>
      <c r="AN748" s="1269"/>
      <c r="AO748" s="1269"/>
      <c r="AP748" s="1269"/>
      <c r="AQ748" s="1269"/>
      <c r="AR748" s="1269"/>
      <c r="AT748"/>
      <c r="AU748"/>
      <c r="AV748"/>
      <c r="AW748"/>
      <c r="AX748"/>
      <c r="AY748"/>
    </row>
    <row r="749" spans="1:16383" s="3" customFormat="1" ht="12.95" customHeight="1">
      <c r="B749" s="1076"/>
      <c r="C749" s="1269"/>
      <c r="D749" s="1269"/>
      <c r="E749" s="1269"/>
      <c r="F749" s="1269"/>
      <c r="G749" s="1269"/>
      <c r="H749" s="1269"/>
      <c r="I749" s="1269"/>
      <c r="J749" s="1269"/>
      <c r="K749" s="1269"/>
      <c r="L749" s="1269"/>
      <c r="M749" s="1269"/>
      <c r="N749" s="1269"/>
      <c r="O749" s="1269"/>
      <c r="P749" s="1269"/>
      <c r="Q749" s="1269"/>
      <c r="R749" s="1269"/>
      <c r="S749" s="1269"/>
      <c r="T749" s="1269"/>
      <c r="U749" s="1269"/>
      <c r="V749" s="1269"/>
      <c r="W749" s="1269"/>
      <c r="X749" s="1269"/>
      <c r="Y749" s="1269"/>
      <c r="Z749" s="1269"/>
      <c r="AA749" s="1269"/>
      <c r="AB749" s="1269"/>
      <c r="AC749" s="1269"/>
      <c r="AD749" s="1269"/>
      <c r="AE749" s="1269"/>
      <c r="AF749" s="1269"/>
      <c r="AG749" s="1269"/>
      <c r="AH749" s="1269"/>
      <c r="AI749" s="1269"/>
      <c r="AJ749" s="1269"/>
      <c r="AK749" s="1269"/>
      <c r="AL749" s="1269"/>
      <c r="AM749" s="1269"/>
      <c r="AN749" s="1269"/>
      <c r="AO749" s="1269"/>
      <c r="AP749" s="1269"/>
      <c r="AQ749" s="1269"/>
      <c r="AR749" s="1269"/>
      <c r="AT749"/>
      <c r="AU749"/>
      <c r="AV749"/>
      <c r="AW749"/>
      <c r="AX749"/>
      <c r="AY749"/>
    </row>
    <row r="750" spans="1:16383" s="3" customFormat="1" ht="12.95" customHeight="1">
      <c r="B750" s="1076"/>
      <c r="C750" s="1269"/>
      <c r="D750" s="1269"/>
      <c r="E750" s="1269"/>
      <c r="F750" s="1269"/>
      <c r="G750" s="1269"/>
      <c r="H750" s="1269"/>
      <c r="I750" s="1269"/>
      <c r="J750" s="1269"/>
      <c r="K750" s="1269"/>
      <c r="L750" s="1269"/>
      <c r="M750" s="1269"/>
      <c r="N750" s="1269"/>
      <c r="O750" s="1269"/>
      <c r="P750" s="1269"/>
      <c r="Q750" s="1269"/>
      <c r="R750" s="1269"/>
      <c r="S750" s="1269"/>
      <c r="T750" s="1269"/>
      <c r="U750" s="1269"/>
      <c r="V750" s="1269"/>
      <c r="W750" s="1269"/>
      <c r="X750" s="1269"/>
      <c r="Y750" s="1269"/>
      <c r="Z750" s="1269"/>
      <c r="AA750" s="1269"/>
      <c r="AB750" s="1269"/>
      <c r="AC750" s="1269"/>
      <c r="AD750" s="1269"/>
      <c r="AE750" s="1269"/>
      <c r="AF750" s="1269"/>
      <c r="AG750" s="1269"/>
      <c r="AH750" s="1269"/>
      <c r="AI750" s="1269"/>
      <c r="AJ750" s="1269"/>
      <c r="AK750" s="1269"/>
      <c r="AL750" s="1269"/>
      <c r="AM750" s="1269"/>
      <c r="AN750" s="1269"/>
      <c r="AO750" s="1269"/>
      <c r="AP750" s="1269"/>
      <c r="AQ750" s="1269"/>
      <c r="AR750" s="1269"/>
      <c r="AT750"/>
      <c r="AU750"/>
      <c r="AV750"/>
      <c r="AW750"/>
      <c r="AX750"/>
      <c r="AY750"/>
    </row>
    <row r="751" spans="1:16383" s="3" customFormat="1" ht="12.95" customHeight="1">
      <c r="B751" s="1076"/>
      <c r="C751" s="1269" t="s">
        <v>2513</v>
      </c>
      <c r="D751" s="1269"/>
      <c r="E751" s="1269"/>
      <c r="F751" s="1269"/>
      <c r="G751" s="1269"/>
      <c r="H751" s="1269"/>
      <c r="I751" s="1269"/>
      <c r="J751" s="1269"/>
      <c r="K751" s="1269"/>
      <c r="L751" s="1269"/>
      <c r="M751" s="1269"/>
      <c r="N751" s="1269"/>
      <c r="O751" s="1269"/>
      <c r="P751" s="1269"/>
      <c r="Q751" s="1269"/>
      <c r="R751" s="1269"/>
      <c r="S751" s="1269"/>
      <c r="T751" s="1269"/>
      <c r="U751" s="1269"/>
      <c r="V751" s="1269"/>
      <c r="W751" s="1269"/>
      <c r="X751" s="1269"/>
      <c r="Y751" s="1269"/>
      <c r="Z751" s="1269"/>
      <c r="AA751" s="1269"/>
      <c r="AB751" s="1269"/>
      <c r="AC751" s="1269"/>
      <c r="AD751" s="1269"/>
      <c r="AE751" s="1269"/>
      <c r="AF751" s="1269"/>
      <c r="AG751" s="1269"/>
      <c r="AH751" s="1269"/>
      <c r="AI751" s="1269"/>
      <c r="AJ751" s="1269"/>
      <c r="AK751" s="1269"/>
      <c r="AL751" s="1269"/>
      <c r="AM751" s="1269"/>
      <c r="AN751" s="1269"/>
      <c r="AO751" s="1269"/>
      <c r="AP751" s="1269"/>
      <c r="AQ751" s="1269"/>
      <c r="AR751" s="1269"/>
      <c r="AT751"/>
      <c r="AU751"/>
      <c r="AV751"/>
      <c r="AW751"/>
      <c r="AX751"/>
      <c r="AY751"/>
    </row>
    <row r="752" spans="1:16383" s="3" customFormat="1" ht="12.95" customHeight="1">
      <c r="B752" s="1076"/>
      <c r="C752" s="1269"/>
      <c r="D752" s="1269"/>
      <c r="E752" s="1269"/>
      <c r="F752" s="1269"/>
      <c r="G752" s="1269"/>
      <c r="H752" s="1269"/>
      <c r="I752" s="1269"/>
      <c r="J752" s="1269"/>
      <c r="K752" s="1269"/>
      <c r="L752" s="1269"/>
      <c r="M752" s="1269"/>
      <c r="N752" s="1269"/>
      <c r="O752" s="1269"/>
      <c r="P752" s="1269"/>
      <c r="Q752" s="1269"/>
      <c r="R752" s="1269"/>
      <c r="S752" s="1269"/>
      <c r="T752" s="1269"/>
      <c r="U752" s="1269"/>
      <c r="V752" s="1269"/>
      <c r="W752" s="1269"/>
      <c r="X752" s="1269"/>
      <c r="Y752" s="1269"/>
      <c r="Z752" s="1269"/>
      <c r="AA752" s="1269"/>
      <c r="AB752" s="1269"/>
      <c r="AC752" s="1269"/>
      <c r="AD752" s="1269"/>
      <c r="AE752" s="1269"/>
      <c r="AF752" s="1269"/>
      <c r="AG752" s="1269"/>
      <c r="AH752" s="1269"/>
      <c r="AI752" s="1269"/>
      <c r="AJ752" s="1269"/>
      <c r="AK752" s="1269"/>
      <c r="AL752" s="1269"/>
      <c r="AM752" s="1269"/>
      <c r="AN752" s="1269"/>
      <c r="AO752" s="1269"/>
      <c r="AP752" s="1269"/>
      <c r="AQ752" s="1269"/>
      <c r="AR752" s="1269"/>
      <c r="AT752"/>
      <c r="AU752"/>
      <c r="AV752"/>
      <c r="AW752"/>
      <c r="AX752"/>
      <c r="AY752"/>
    </row>
    <row r="753" spans="1:110" s="3" customFormat="1" ht="12.95" customHeight="1">
      <c r="B753" s="1076"/>
      <c r="C753" s="1269"/>
      <c r="D753" s="1269"/>
      <c r="E753" s="1269"/>
      <c r="F753" s="1269"/>
      <c r="G753" s="1269"/>
      <c r="H753" s="1269"/>
      <c r="I753" s="1269"/>
      <c r="J753" s="1269"/>
      <c r="K753" s="1269"/>
      <c r="L753" s="1269"/>
      <c r="M753" s="1269"/>
      <c r="N753" s="1269"/>
      <c r="O753" s="1269"/>
      <c r="P753" s="1269"/>
      <c r="Q753" s="1269"/>
      <c r="R753" s="1269"/>
      <c r="S753" s="1269"/>
      <c r="T753" s="1269"/>
      <c r="U753" s="1269"/>
      <c r="V753" s="1269"/>
      <c r="W753" s="1269"/>
      <c r="X753" s="1269"/>
      <c r="Y753" s="1269"/>
      <c r="Z753" s="1269"/>
      <c r="AA753" s="1269"/>
      <c r="AB753" s="1269"/>
      <c r="AC753" s="1269"/>
      <c r="AD753" s="1269"/>
      <c r="AE753" s="1269"/>
      <c r="AF753" s="1269"/>
      <c r="AG753" s="1269"/>
      <c r="AH753" s="1269"/>
      <c r="AI753" s="1269"/>
      <c r="AJ753" s="1269"/>
      <c r="AK753" s="1269"/>
      <c r="AL753" s="1269"/>
      <c r="AM753" s="1269"/>
      <c r="AN753" s="1269"/>
      <c r="AO753" s="1269"/>
      <c r="AP753" s="1269"/>
      <c r="AQ753" s="1269"/>
      <c r="AR753" s="1269"/>
      <c r="AT753"/>
      <c r="AU753"/>
      <c r="AV753"/>
      <c r="AW753"/>
      <c r="AX753"/>
      <c r="AY753"/>
    </row>
    <row r="754" spans="1:110" ht="12.95" customHeight="1">
      <c r="J754" s="1493" t="s">
        <v>391</v>
      </c>
      <c r="K754" s="1494"/>
      <c r="L754" s="1494"/>
      <c r="M754" s="1494"/>
      <c r="N754" s="1495"/>
      <c r="O754" s="1703" t="s">
        <v>287</v>
      </c>
      <c r="P754" s="1703"/>
      <c r="Q754" s="1703"/>
      <c r="R754" s="1703"/>
      <c r="S754" s="1703"/>
      <c r="T754" s="1506" t="s">
        <v>1941</v>
      </c>
      <c r="U754" s="1507"/>
      <c r="V754" s="1507"/>
      <c r="W754" s="1508"/>
      <c r="X754" s="1493" t="s">
        <v>457</v>
      </c>
      <c r="Y754" s="1494"/>
      <c r="Z754" s="1494"/>
      <c r="AA754" s="1494"/>
      <c r="AB754" s="1495"/>
      <c r="AC754" s="1493" t="s">
        <v>288</v>
      </c>
      <c r="AD754" s="1494"/>
      <c r="AE754" s="1494"/>
      <c r="AF754" s="1494"/>
      <c r="AG754" s="149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6"/>
      <c r="K755" s="1497"/>
      <c r="L755" s="1497"/>
      <c r="M755" s="1497"/>
      <c r="N755" s="1498"/>
      <c r="O755" s="1703"/>
      <c r="P755" s="1703"/>
      <c r="Q755" s="1703"/>
      <c r="R755" s="1703"/>
      <c r="S755" s="1703"/>
      <c r="T755" s="1509"/>
      <c r="U755" s="1510"/>
      <c r="V755" s="1510"/>
      <c r="W755" s="1511"/>
      <c r="X755" s="1496"/>
      <c r="Y755" s="1497"/>
      <c r="Z755" s="1497"/>
      <c r="AA755" s="1497"/>
      <c r="AB755" s="1498"/>
      <c r="AC755" s="1496"/>
      <c r="AD755" s="1497"/>
      <c r="AE755" s="1497"/>
      <c r="AF755" s="1497"/>
      <c r="AG755" s="149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6"/>
      <c r="K756" s="1497"/>
      <c r="L756" s="1497"/>
      <c r="M756" s="1497"/>
      <c r="N756" s="1498"/>
      <c r="O756" s="1703"/>
      <c r="P756" s="1703"/>
      <c r="Q756" s="1703"/>
      <c r="R756" s="1703"/>
      <c r="S756" s="1703"/>
      <c r="T756" s="1509"/>
      <c r="U756" s="1510"/>
      <c r="V756" s="1510"/>
      <c r="W756" s="1511"/>
      <c r="X756" s="1496"/>
      <c r="Y756" s="1497"/>
      <c r="Z756" s="1497"/>
      <c r="AA756" s="1497"/>
      <c r="AB756" s="1498"/>
      <c r="AC756" s="1496"/>
      <c r="AD756" s="1497"/>
      <c r="AE756" s="1497"/>
      <c r="AF756" s="1497"/>
      <c r="AG756" s="149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9"/>
      <c r="K757" s="1500"/>
      <c r="L757" s="1500"/>
      <c r="M757" s="1500"/>
      <c r="N757" s="1501"/>
      <c r="O757" s="1703"/>
      <c r="P757" s="1703"/>
      <c r="Q757" s="1703"/>
      <c r="R757" s="1703"/>
      <c r="S757" s="1703"/>
      <c r="T757" s="1512"/>
      <c r="U757" s="1513"/>
      <c r="V757" s="1513"/>
      <c r="W757" s="1514"/>
      <c r="X757" s="1499"/>
      <c r="Y757" s="1500"/>
      <c r="Z757" s="1500"/>
      <c r="AA757" s="1500"/>
      <c r="AB757" s="1501"/>
      <c r="AC757" s="1499"/>
      <c r="AD757" s="1500"/>
      <c r="AE757" s="1500"/>
      <c r="AF757" s="1500"/>
      <c r="AG757" s="150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3" t="s">
        <v>164</v>
      </c>
      <c r="K758" s="1384"/>
      <c r="L758" s="1384"/>
      <c r="M758" s="1384"/>
      <c r="N758" s="1385"/>
      <c r="O758" s="1375">
        <v>2</v>
      </c>
      <c r="P758" s="1375"/>
      <c r="Q758" s="1375"/>
      <c r="R758" s="1375"/>
      <c r="S758" s="1375"/>
      <c r="T758" s="1487">
        <v>850</v>
      </c>
      <c r="U758" s="1488"/>
      <c r="V758" s="1488"/>
      <c r="W758" s="1489"/>
      <c r="X758" s="1481"/>
      <c r="Y758" s="1482"/>
      <c r="Z758" s="1482"/>
      <c r="AA758" s="1482"/>
      <c r="AB758" s="1483"/>
      <c r="AC758" s="1502">
        <f>X758*O758</f>
        <v>0</v>
      </c>
      <c r="AD758" s="1503"/>
      <c r="AE758" s="1503"/>
      <c r="AF758" s="1503"/>
      <c r="AG758" s="150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3"/>
      <c r="K759" s="1384"/>
      <c r="L759" s="1384"/>
      <c r="M759" s="1384"/>
      <c r="N759" s="1385"/>
      <c r="O759" s="1375"/>
      <c r="P759" s="1375"/>
      <c r="Q759" s="1375"/>
      <c r="R759" s="1375"/>
      <c r="S759" s="1375"/>
      <c r="T759" s="1487"/>
      <c r="U759" s="1488"/>
      <c r="V759" s="1488"/>
      <c r="W759" s="1489"/>
      <c r="X759" s="1481"/>
      <c r="Y759" s="1482"/>
      <c r="Z759" s="1482"/>
      <c r="AA759" s="1482"/>
      <c r="AB759" s="1483"/>
      <c r="AC759" s="1502">
        <f>X759*O759</f>
        <v>0</v>
      </c>
      <c r="AD759" s="1503"/>
      <c r="AE759" s="1503"/>
      <c r="AF759" s="1503"/>
      <c r="AG759" s="150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3"/>
      <c r="K760" s="1384"/>
      <c r="L760" s="1384"/>
      <c r="M760" s="1384"/>
      <c r="N760" s="1385"/>
      <c r="O760" s="1375"/>
      <c r="P760" s="1375"/>
      <c r="Q760" s="1375"/>
      <c r="R760" s="1375"/>
      <c r="S760" s="1375"/>
      <c r="T760" s="1487"/>
      <c r="U760" s="1488"/>
      <c r="V760" s="1488"/>
      <c r="W760" s="1489"/>
      <c r="X760" s="1481"/>
      <c r="Y760" s="1482"/>
      <c r="Z760" s="1482"/>
      <c r="AA760" s="1482"/>
      <c r="AB760" s="1483"/>
      <c r="AC760" s="1502">
        <f>X760*O760</f>
        <v>0</v>
      </c>
      <c r="AD760" s="1503"/>
      <c r="AE760" s="1503"/>
      <c r="AF760" s="1503"/>
      <c r="AG760" s="150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3"/>
      <c r="K761" s="1384"/>
      <c r="L761" s="1384"/>
      <c r="M761" s="1384"/>
      <c r="N761" s="1385"/>
      <c r="O761" s="1375"/>
      <c r="P761" s="1375"/>
      <c r="Q761" s="1375"/>
      <c r="R761" s="1375"/>
      <c r="S761" s="1375"/>
      <c r="T761" s="1487"/>
      <c r="U761" s="1488"/>
      <c r="V761" s="1488"/>
      <c r="W761" s="1489"/>
      <c r="X761" s="1481"/>
      <c r="Y761" s="1482"/>
      <c r="Z761" s="1482"/>
      <c r="AA761" s="1482"/>
      <c r="AB761" s="1483"/>
      <c r="AC761" s="1502">
        <f>X761*O761</f>
        <v>0</v>
      </c>
      <c r="AD761" s="1503"/>
      <c r="AE761" s="1503"/>
      <c r="AF761" s="1503"/>
      <c r="AG761" s="150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4" t="s">
        <v>126</v>
      </c>
      <c r="K762" s="1525"/>
      <c r="L762" s="1525"/>
      <c r="M762" s="1525"/>
      <c r="N762" s="1527"/>
      <c r="O762" s="1476">
        <f>SUM(O758:S761)</f>
        <v>2</v>
      </c>
      <c r="P762" s="1515"/>
      <c r="Q762" s="1515"/>
      <c r="R762" s="1515"/>
      <c r="S762" s="1477"/>
      <c r="X762" s="1524" t="s">
        <v>125</v>
      </c>
      <c r="Y762" s="1525"/>
      <c r="Z762" s="1525"/>
      <c r="AA762" s="1525"/>
      <c r="AB762" s="1527"/>
      <c r="AC762" s="1502">
        <f>SUM(AC758:AG761)</f>
        <v>0</v>
      </c>
      <c r="AD762" s="1503"/>
      <c r="AE762" s="1503"/>
      <c r="AF762" s="1503"/>
      <c r="AG762" s="150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1" t="s">
        <v>679</v>
      </c>
      <c r="K764" s="1381"/>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3" t="s">
        <v>391</v>
      </c>
      <c r="K768" s="1494"/>
      <c r="L768" s="1494"/>
      <c r="M768" s="1494"/>
      <c r="N768" s="1495"/>
      <c r="O768" s="1703" t="s">
        <v>287</v>
      </c>
      <c r="P768" s="1703"/>
      <c r="Q768" s="1703"/>
      <c r="R768" s="1703"/>
      <c r="S768" s="1703"/>
      <c r="T768" s="1506" t="s">
        <v>1941</v>
      </c>
      <c r="U768" s="1507"/>
      <c r="V768" s="1507"/>
      <c r="W768" s="1508"/>
      <c r="X768" s="1493" t="s">
        <v>457</v>
      </c>
      <c r="Y768" s="1494"/>
      <c r="Z768" s="1494"/>
      <c r="AA768" s="1494"/>
      <c r="AB768" s="1495"/>
      <c r="AC768" s="1493" t="s">
        <v>288</v>
      </c>
      <c r="AD768" s="1494"/>
      <c r="AE768" s="1494"/>
      <c r="AF768" s="1494"/>
      <c r="AG768" s="1495"/>
      <c r="AH768" s="1622" t="s">
        <v>2134</v>
      </c>
      <c r="AI768" s="1623"/>
      <c r="AJ768" s="1623"/>
      <c r="AK768" s="1623"/>
      <c r="AL768" s="162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6"/>
      <c r="K769" s="1497"/>
      <c r="L769" s="1497"/>
      <c r="M769" s="1497"/>
      <c r="N769" s="1498"/>
      <c r="O769" s="1703"/>
      <c r="P769" s="1703"/>
      <c r="Q769" s="1703"/>
      <c r="R769" s="1703"/>
      <c r="S769" s="1703"/>
      <c r="T769" s="1509"/>
      <c r="U769" s="1510"/>
      <c r="V769" s="1510"/>
      <c r="W769" s="1511"/>
      <c r="X769" s="1496"/>
      <c r="Y769" s="1497"/>
      <c r="Z769" s="1497"/>
      <c r="AA769" s="1497"/>
      <c r="AB769" s="1498"/>
      <c r="AC769" s="1496"/>
      <c r="AD769" s="1497"/>
      <c r="AE769" s="1497"/>
      <c r="AF769" s="1497"/>
      <c r="AG769" s="1498"/>
      <c r="AH769" s="1622"/>
      <c r="AI769" s="1623"/>
      <c r="AJ769" s="1623"/>
      <c r="AK769" s="1623"/>
      <c r="AL769" s="162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6"/>
      <c r="K770" s="1497"/>
      <c r="L770" s="1497"/>
      <c r="M770" s="1497"/>
      <c r="N770" s="1498"/>
      <c r="O770" s="1703"/>
      <c r="P770" s="1703"/>
      <c r="Q770" s="1703"/>
      <c r="R770" s="1703"/>
      <c r="S770" s="1703"/>
      <c r="T770" s="1509"/>
      <c r="U770" s="1510"/>
      <c r="V770" s="1510"/>
      <c r="W770" s="1511"/>
      <c r="X770" s="1496"/>
      <c r="Y770" s="1497"/>
      <c r="Z770" s="1497"/>
      <c r="AA770" s="1497"/>
      <c r="AB770" s="1498"/>
      <c r="AC770" s="1496"/>
      <c r="AD770" s="1497"/>
      <c r="AE770" s="1497"/>
      <c r="AF770" s="1497"/>
      <c r="AG770" s="1498"/>
      <c r="AH770" s="1622"/>
      <c r="AI770" s="1623"/>
      <c r="AJ770" s="1623"/>
      <c r="AK770" s="1623"/>
      <c r="AL770" s="162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9"/>
      <c r="K771" s="1500"/>
      <c r="L771" s="1500"/>
      <c r="M771" s="1500"/>
      <c r="N771" s="1501"/>
      <c r="O771" s="1703"/>
      <c r="P771" s="1703"/>
      <c r="Q771" s="1703"/>
      <c r="R771" s="1703"/>
      <c r="S771" s="1703"/>
      <c r="T771" s="1512"/>
      <c r="U771" s="1513"/>
      <c r="V771" s="1513"/>
      <c r="W771" s="1514"/>
      <c r="X771" s="1499"/>
      <c r="Y771" s="1500"/>
      <c r="Z771" s="1500"/>
      <c r="AA771" s="1500"/>
      <c r="AB771" s="1501"/>
      <c r="AC771" s="1499"/>
      <c r="AD771" s="1500"/>
      <c r="AE771" s="1500"/>
      <c r="AF771" s="1500"/>
      <c r="AG771" s="1501"/>
      <c r="AH771" s="1622"/>
      <c r="AI771" s="1623"/>
      <c r="AJ771" s="1623"/>
      <c r="AK771" s="1623"/>
      <c r="AL771" s="162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3"/>
      <c r="K772" s="1384"/>
      <c r="L772" s="1384"/>
      <c r="M772" s="1384"/>
      <c r="N772" s="1385"/>
      <c r="O772" s="1375"/>
      <c r="P772" s="1375"/>
      <c r="Q772" s="1375"/>
      <c r="R772" s="1375"/>
      <c r="S772" s="1375"/>
      <c r="T772" s="1487"/>
      <c r="U772" s="1488"/>
      <c r="V772" s="1488"/>
      <c r="W772" s="1489"/>
      <c r="X772" s="1481"/>
      <c r="Y772" s="1482"/>
      <c r="Z772" s="1482"/>
      <c r="AA772" s="1482"/>
      <c r="AB772" s="1483"/>
      <c r="AC772" s="1502">
        <f t="shared" ref="AC772:AC781" si="51">X772*O772</f>
        <v>0</v>
      </c>
      <c r="AD772" s="1503"/>
      <c r="AE772" s="1503"/>
      <c r="AF772" s="1503"/>
      <c r="AG772" s="1504"/>
      <c r="AH772" s="1624"/>
      <c r="AI772" s="1625"/>
      <c r="AJ772" s="1625"/>
      <c r="AK772" s="1625"/>
      <c r="AL772" s="162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3"/>
      <c r="K773" s="1384"/>
      <c r="L773" s="1384"/>
      <c r="M773" s="1384"/>
      <c r="N773" s="1385"/>
      <c r="O773" s="1375"/>
      <c r="P773" s="1375"/>
      <c r="Q773" s="1375"/>
      <c r="R773" s="1375"/>
      <c r="S773" s="1375"/>
      <c r="T773" s="1487"/>
      <c r="U773" s="1488"/>
      <c r="V773" s="1488"/>
      <c r="W773" s="1489"/>
      <c r="X773" s="1481"/>
      <c r="Y773" s="1482"/>
      <c r="Z773" s="1482"/>
      <c r="AA773" s="1482"/>
      <c r="AB773" s="1483"/>
      <c r="AC773" s="1502">
        <f t="shared" si="51"/>
        <v>0</v>
      </c>
      <c r="AD773" s="1503"/>
      <c r="AE773" s="1503"/>
      <c r="AF773" s="1503"/>
      <c r="AG773" s="1504"/>
      <c r="AH773" s="1624"/>
      <c r="AI773" s="1625"/>
      <c r="AJ773" s="1625"/>
      <c r="AK773" s="1625"/>
      <c r="AL773" s="162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3"/>
      <c r="K774" s="1384"/>
      <c r="L774" s="1384"/>
      <c r="M774" s="1384"/>
      <c r="N774" s="1385"/>
      <c r="O774" s="1375"/>
      <c r="P774" s="1375"/>
      <c r="Q774" s="1375"/>
      <c r="R774" s="1375"/>
      <c r="S774" s="1375"/>
      <c r="T774" s="1487"/>
      <c r="U774" s="1488"/>
      <c r="V774" s="1488"/>
      <c r="W774" s="1489"/>
      <c r="X774" s="1481"/>
      <c r="Y774" s="1482"/>
      <c r="Z774" s="1482"/>
      <c r="AA774" s="1482"/>
      <c r="AB774" s="1483"/>
      <c r="AC774" s="1502">
        <f t="shared" si="51"/>
        <v>0</v>
      </c>
      <c r="AD774" s="1503"/>
      <c r="AE774" s="1503"/>
      <c r="AF774" s="1503"/>
      <c r="AG774" s="1504"/>
      <c r="AH774" s="1624"/>
      <c r="AI774" s="1625"/>
      <c r="AJ774" s="1625"/>
      <c r="AK774" s="1625"/>
      <c r="AL774" s="162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3"/>
      <c r="K775" s="1384"/>
      <c r="L775" s="1384"/>
      <c r="M775" s="1384"/>
      <c r="N775" s="1385"/>
      <c r="O775" s="1375"/>
      <c r="P775" s="1375"/>
      <c r="Q775" s="1375"/>
      <c r="R775" s="1375"/>
      <c r="S775" s="1375"/>
      <c r="T775" s="1487"/>
      <c r="U775" s="1488"/>
      <c r="V775" s="1488"/>
      <c r="W775" s="1489"/>
      <c r="X775" s="1481"/>
      <c r="Y775" s="1482"/>
      <c r="Z775" s="1482"/>
      <c r="AA775" s="1482"/>
      <c r="AB775" s="1483"/>
      <c r="AC775" s="1502">
        <f t="shared" si="51"/>
        <v>0</v>
      </c>
      <c r="AD775" s="1503"/>
      <c r="AE775" s="1503"/>
      <c r="AF775" s="1503"/>
      <c r="AG775" s="1504"/>
      <c r="AH775" s="1624"/>
      <c r="AI775" s="1625"/>
      <c r="AJ775" s="1625"/>
      <c r="AK775" s="1625"/>
      <c r="AL775" s="162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3"/>
      <c r="K776" s="1384"/>
      <c r="L776" s="1384"/>
      <c r="M776" s="1384"/>
      <c r="N776" s="1385"/>
      <c r="O776" s="1375"/>
      <c r="P776" s="1375"/>
      <c r="Q776" s="1375"/>
      <c r="R776" s="1375"/>
      <c r="S776" s="1375"/>
      <c r="T776" s="1487"/>
      <c r="U776" s="1488"/>
      <c r="V776" s="1488"/>
      <c r="W776" s="1489"/>
      <c r="X776" s="1481"/>
      <c r="Y776" s="1482"/>
      <c r="Z776" s="1482"/>
      <c r="AA776" s="1482"/>
      <c r="AB776" s="1483"/>
      <c r="AC776" s="1502">
        <f t="shared" si="51"/>
        <v>0</v>
      </c>
      <c r="AD776" s="1503"/>
      <c r="AE776" s="1503"/>
      <c r="AF776" s="1503"/>
      <c r="AG776" s="1504"/>
      <c r="AH776" s="1624"/>
      <c r="AI776" s="1625"/>
      <c r="AJ776" s="1625"/>
      <c r="AK776" s="1625"/>
      <c r="AL776" s="162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3"/>
      <c r="K777" s="1384"/>
      <c r="L777" s="1384"/>
      <c r="M777" s="1384"/>
      <c r="N777" s="1385"/>
      <c r="O777" s="1375"/>
      <c r="P777" s="1375"/>
      <c r="Q777" s="1375"/>
      <c r="R777" s="1375"/>
      <c r="S777" s="1375"/>
      <c r="T777" s="1487"/>
      <c r="U777" s="1488"/>
      <c r="V777" s="1488"/>
      <c r="W777" s="1489"/>
      <c r="X777" s="1481"/>
      <c r="Y777" s="1482"/>
      <c r="Z777" s="1482"/>
      <c r="AA777" s="1482"/>
      <c r="AB777" s="1483"/>
      <c r="AC777" s="1502">
        <f t="shared" si="51"/>
        <v>0</v>
      </c>
      <c r="AD777" s="1503"/>
      <c r="AE777" s="1503"/>
      <c r="AF777" s="1503"/>
      <c r="AG777" s="1504"/>
      <c r="AH777" s="1624"/>
      <c r="AI777" s="1625"/>
      <c r="AJ777" s="1625"/>
      <c r="AK777" s="1625"/>
      <c r="AL777" s="162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3"/>
      <c r="K778" s="1384"/>
      <c r="L778" s="1384"/>
      <c r="M778" s="1384"/>
      <c r="N778" s="1385"/>
      <c r="O778" s="1375"/>
      <c r="P778" s="1375"/>
      <c r="Q778" s="1375"/>
      <c r="R778" s="1375"/>
      <c r="S778" s="1375"/>
      <c r="T778" s="1487"/>
      <c r="U778" s="1488"/>
      <c r="V778" s="1488"/>
      <c r="W778" s="1489"/>
      <c r="X778" s="1481"/>
      <c r="Y778" s="1482"/>
      <c r="Z778" s="1482"/>
      <c r="AA778" s="1482"/>
      <c r="AB778" s="1483"/>
      <c r="AC778" s="1502">
        <f t="shared" si="51"/>
        <v>0</v>
      </c>
      <c r="AD778" s="1503"/>
      <c r="AE778" s="1503"/>
      <c r="AF778" s="1503"/>
      <c r="AG778" s="1504"/>
      <c r="AH778" s="1624"/>
      <c r="AI778" s="1625"/>
      <c r="AJ778" s="1625"/>
      <c r="AK778" s="1625"/>
      <c r="AL778" s="162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3"/>
      <c r="K779" s="1384"/>
      <c r="L779" s="1384"/>
      <c r="M779" s="1384"/>
      <c r="N779" s="1385"/>
      <c r="O779" s="1375"/>
      <c r="P779" s="1375"/>
      <c r="Q779" s="1375"/>
      <c r="R779" s="1375"/>
      <c r="S779" s="1375"/>
      <c r="T779" s="1487"/>
      <c r="U779" s="1488"/>
      <c r="V779" s="1488"/>
      <c r="W779" s="1489"/>
      <c r="X779" s="1481"/>
      <c r="Y779" s="1482"/>
      <c r="Z779" s="1482"/>
      <c r="AA779" s="1482"/>
      <c r="AB779" s="1483"/>
      <c r="AC779" s="1502">
        <f t="shared" si="51"/>
        <v>0</v>
      </c>
      <c r="AD779" s="1503"/>
      <c r="AE779" s="1503"/>
      <c r="AF779" s="1503"/>
      <c r="AG779" s="1504"/>
      <c r="AH779" s="1624"/>
      <c r="AI779" s="1625"/>
      <c r="AJ779" s="1625"/>
      <c r="AK779" s="1625"/>
      <c r="AL779" s="162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3"/>
      <c r="K780" s="1384"/>
      <c r="L780" s="1384"/>
      <c r="M780" s="1384"/>
      <c r="N780" s="1385"/>
      <c r="O780" s="1375"/>
      <c r="P780" s="1375"/>
      <c r="Q780" s="1375"/>
      <c r="R780" s="1375"/>
      <c r="S780" s="1375"/>
      <c r="T780" s="1487"/>
      <c r="U780" s="1488"/>
      <c r="V780" s="1488"/>
      <c r="W780" s="1489"/>
      <c r="X780" s="1481"/>
      <c r="Y780" s="1482"/>
      <c r="Z780" s="1482"/>
      <c r="AA780" s="1482"/>
      <c r="AB780" s="1483"/>
      <c r="AC780" s="1502">
        <f t="shared" si="51"/>
        <v>0</v>
      </c>
      <c r="AD780" s="1503"/>
      <c r="AE780" s="1503"/>
      <c r="AF780" s="1503"/>
      <c r="AG780" s="1504"/>
      <c r="AH780" s="1624"/>
      <c r="AI780" s="1625"/>
      <c r="AJ780" s="1625"/>
      <c r="AK780" s="1625"/>
      <c r="AL780" s="162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3"/>
      <c r="K781" s="1384"/>
      <c r="L781" s="1384"/>
      <c r="M781" s="1384"/>
      <c r="N781" s="1385"/>
      <c r="O781" s="1375"/>
      <c r="P781" s="1375"/>
      <c r="Q781" s="1375"/>
      <c r="R781" s="1375"/>
      <c r="S781" s="1375"/>
      <c r="T781" s="1487"/>
      <c r="U781" s="1488"/>
      <c r="V781" s="1488"/>
      <c r="W781" s="1489"/>
      <c r="X781" s="1481"/>
      <c r="Y781" s="1482"/>
      <c r="Z781" s="1482"/>
      <c r="AA781" s="1482"/>
      <c r="AB781" s="1483"/>
      <c r="AC781" s="1502">
        <f t="shared" si="51"/>
        <v>0</v>
      </c>
      <c r="AD781" s="1503"/>
      <c r="AE781" s="1503"/>
      <c r="AF781" s="1503"/>
      <c r="AG781" s="1504"/>
      <c r="AH781" s="1624"/>
      <c r="AI781" s="1625"/>
      <c r="AJ781" s="1625"/>
      <c r="AK781" s="1625"/>
      <c r="AL781" s="162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4" t="s">
        <v>126</v>
      </c>
      <c r="K782" s="1525"/>
      <c r="L782" s="1525"/>
      <c r="M782" s="1525"/>
      <c r="N782" s="1527"/>
      <c r="O782" s="1636">
        <f>SUM(O772:S781)</f>
        <v>0</v>
      </c>
      <c r="P782" s="1636"/>
      <c r="Q782" s="1636"/>
      <c r="R782" s="1636"/>
      <c r="S782" s="1636"/>
      <c r="X782" s="939" t="s">
        <v>125</v>
      </c>
      <c r="Y782" s="11"/>
      <c r="Z782" s="11"/>
      <c r="AA782" s="11"/>
      <c r="AB782" s="946"/>
      <c r="AC782" s="1502">
        <f>SUM(AC772:AG781)</f>
        <v>0</v>
      </c>
      <c r="AD782" s="1503"/>
      <c r="AE782" s="1503"/>
      <c r="AF782" s="1503"/>
      <c r="AG782" s="150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49">
        <f>O739+AC762+AC782</f>
        <v>140465</v>
      </c>
      <c r="Z784" s="1649"/>
      <c r="AA784" s="1649"/>
      <c r="AB784" s="1649"/>
      <c r="AC784" s="164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49">
        <f>(O739+AC762+AC782)*12</f>
        <v>1685580</v>
      </c>
      <c r="Z785" s="1649"/>
      <c r="AA785" s="1649"/>
      <c r="AB785" s="1649"/>
      <c r="AC785" s="1649"/>
      <c r="AZ785" s="3"/>
      <c r="BA785" s="14" t="s">
        <v>642</v>
      </c>
      <c r="BB785" s="14"/>
      <c r="BC785" s="14"/>
      <c r="BD785" s="14"/>
      <c r="BE785" s="14"/>
      <c r="BF785" s="14"/>
      <c r="BG785" s="14"/>
      <c r="BH785" s="14"/>
      <c r="BI785" s="14"/>
      <c r="BJ785" s="14"/>
      <c r="BK785" s="14"/>
      <c r="BL785" s="14"/>
      <c r="BM785" s="14"/>
      <c r="BN785" s="1701" t="s">
        <v>479</v>
      </c>
      <c r="BO785" s="1702"/>
      <c r="BP785" s="3"/>
      <c r="BQ785" s="3"/>
      <c r="BR785" s="3"/>
      <c r="BS785" s="14" t="s">
        <v>644</v>
      </c>
      <c r="BT785" s="14"/>
      <c r="BU785" s="14"/>
      <c r="BV785" s="14"/>
      <c r="BW785" s="14"/>
      <c r="BX785" s="14"/>
      <c r="BY785" s="14"/>
      <c r="BZ785" s="14"/>
      <c r="CA785" s="14"/>
      <c r="CB785" s="1698" t="str">
        <f>T189</f>
        <v>Solano</v>
      </c>
      <c r="CC785" s="1699"/>
      <c r="CD785" s="1699"/>
      <c r="CE785" s="1699"/>
      <c r="CF785" s="1699"/>
      <c r="CG785" s="1699"/>
      <c r="CH785" s="170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2617</v>
      </c>
      <c r="BP788" s="32"/>
      <c r="BQ788" s="32"/>
      <c r="BR788" s="32"/>
      <c r="BS788" s="32"/>
      <c r="BT788" s="32"/>
      <c r="BV788" s="31" t="s">
        <v>2618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33">
        <v>8</v>
      </c>
      <c r="AA790" s="1634"/>
      <c r="AB790" s="1634"/>
      <c r="AC790" s="1634"/>
      <c r="AD790" s="1634"/>
      <c r="AE790" s="1635"/>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7">
        <v>20</v>
      </c>
      <c r="AA791" s="1634"/>
      <c r="AB791" s="1634"/>
      <c r="AC791" s="1634"/>
      <c r="AD791" s="1634"/>
      <c r="AE791" s="163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7">
        <v>0</v>
      </c>
      <c r="AA792" s="1603"/>
      <c r="AB792" s="1603"/>
      <c r="AC792" s="1603"/>
      <c r="AD792" s="1603"/>
      <c r="AE792" s="162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1">
        <f>'Subsidy Contract Calculation'!J30</f>
        <v>103272</v>
      </c>
      <c r="AA793" s="1522"/>
      <c r="AB793" s="1522"/>
      <c r="AC793" s="1522"/>
      <c r="AD793" s="1522"/>
      <c r="AE793" s="152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5">
        <v>4455</v>
      </c>
      <c r="AA797" s="1616"/>
      <c r="AB797" s="1616"/>
      <c r="AC797" s="1616"/>
      <c r="AD797" s="1616"/>
      <c r="AE797" s="161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5"/>
      <c r="AA798" s="1616"/>
      <c r="AB798" s="1616"/>
      <c r="AC798" s="1616"/>
      <c r="AD798" s="1616"/>
      <c r="AE798" s="161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5"/>
      <c r="AA799" s="1616"/>
      <c r="AB799" s="1616"/>
      <c r="AC799" s="1616"/>
      <c r="AD799" s="1616"/>
      <c r="AE799" s="161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2" t="s">
        <v>336</v>
      </c>
      <c r="Q800" s="1613"/>
      <c r="R800" s="1613"/>
      <c r="S800" s="1613"/>
      <c r="T800" s="1613"/>
      <c r="U800" s="1613"/>
      <c r="V800" s="1613"/>
      <c r="W800" s="1613"/>
      <c r="X800" s="1613"/>
      <c r="Y800" s="1614"/>
      <c r="Z800" s="1615"/>
      <c r="AA800" s="1616"/>
      <c r="AB800" s="1616"/>
      <c r="AC800" s="1616"/>
      <c r="AD800" s="1616"/>
      <c r="AE800" s="161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1">
        <f>SUM(Z797:AE800)</f>
        <v>4455</v>
      </c>
      <c r="AA801" s="1522"/>
      <c r="AB801" s="1522"/>
      <c r="AC801" s="1522"/>
      <c r="AD801" s="1522"/>
      <c r="AE801" s="152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21">
        <f>Z801+Y785+Z793</f>
        <v>1793307</v>
      </c>
      <c r="AA802" s="1522"/>
      <c r="AB802" s="1522"/>
      <c r="AC802" s="1522"/>
      <c r="AD802" s="1522"/>
      <c r="AE802" s="152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8" t="s">
        <v>127</v>
      </c>
      <c r="N807" s="1598"/>
      <c r="O807" s="1598"/>
      <c r="P807" s="1599"/>
      <c r="Q807" s="1626" t="s">
        <v>292</v>
      </c>
      <c r="R807" s="1626"/>
      <c r="S807" s="1626"/>
      <c r="T807" s="1626"/>
      <c r="U807" s="1626" t="s">
        <v>293</v>
      </c>
      <c r="V807" s="1626"/>
      <c r="W807" s="1626"/>
      <c r="X807" s="1626"/>
      <c r="Y807" s="1626" t="s">
        <v>294</v>
      </c>
      <c r="Z807" s="1626"/>
      <c r="AA807" s="1626"/>
      <c r="AB807" s="1626"/>
      <c r="AC807" s="1626" t="s">
        <v>363</v>
      </c>
      <c r="AD807" s="1626"/>
      <c r="AE807" s="1626"/>
      <c r="AF807" s="1626"/>
      <c r="AG807" s="1763" t="s">
        <v>337</v>
      </c>
      <c r="AH807" s="1763"/>
      <c r="AI807" s="1763"/>
      <c r="AJ807" s="176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600"/>
      <c r="N808" s="1600"/>
      <c r="O808" s="1600"/>
      <c r="P808" s="1601"/>
      <c r="Q808" s="1626"/>
      <c r="R808" s="1626"/>
      <c r="S808" s="1626"/>
      <c r="T808" s="1626"/>
      <c r="U808" s="1626"/>
      <c r="V808" s="1626"/>
      <c r="W808" s="1626"/>
      <c r="X808" s="1626"/>
      <c r="Y808" s="1626"/>
      <c r="Z808" s="1626"/>
      <c r="AA808" s="1626"/>
      <c r="AB808" s="1626"/>
      <c r="AC808" s="1626"/>
      <c r="AD808" s="1626"/>
      <c r="AE808" s="1626"/>
      <c r="AF808" s="1626"/>
      <c r="AG808" s="1763"/>
      <c r="AH808" s="1763"/>
      <c r="AI808" s="1763"/>
      <c r="AJ808" s="176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11" t="s">
        <v>40</v>
      </c>
      <c r="D809" s="1517"/>
      <c r="E809" s="1517"/>
      <c r="F809" s="1517"/>
      <c r="G809" s="1517"/>
      <c r="H809" s="1517"/>
      <c r="I809" s="48"/>
      <c r="J809" s="48"/>
      <c r="K809" s="48"/>
      <c r="L809" s="49"/>
      <c r="M809" s="1597">
        <v>16</v>
      </c>
      <c r="N809" s="1597"/>
      <c r="O809" s="1597"/>
      <c r="P809" s="1597"/>
      <c r="Q809" s="1597">
        <v>19</v>
      </c>
      <c r="R809" s="1597"/>
      <c r="S809" s="1597"/>
      <c r="T809" s="1597"/>
      <c r="U809" s="1597">
        <v>23</v>
      </c>
      <c r="V809" s="1597"/>
      <c r="W809" s="1597"/>
      <c r="X809" s="1597"/>
      <c r="Y809" s="1597"/>
      <c r="Z809" s="1597"/>
      <c r="AA809" s="1597"/>
      <c r="AB809" s="1597"/>
      <c r="AC809" s="1594"/>
      <c r="AD809" s="1595"/>
      <c r="AE809" s="1595"/>
      <c r="AF809" s="1596"/>
      <c r="AG809" s="1594"/>
      <c r="AH809" s="1595"/>
      <c r="AI809" s="1595"/>
      <c r="AJ809" s="159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1" t="s">
        <v>41</v>
      </c>
      <c r="D810" s="1422"/>
      <c r="E810" s="1422"/>
      <c r="F810" s="1422"/>
      <c r="G810" s="1422"/>
      <c r="H810" s="1422"/>
      <c r="I810" s="5"/>
      <c r="J810" s="5"/>
      <c r="K810" s="5"/>
      <c r="L810" s="46"/>
      <c r="M810" s="1597"/>
      <c r="N810" s="1597"/>
      <c r="O810" s="1597"/>
      <c r="P810" s="1597"/>
      <c r="Q810" s="1597"/>
      <c r="R810" s="1597"/>
      <c r="S810" s="1597"/>
      <c r="T810" s="1597"/>
      <c r="U810" s="1597"/>
      <c r="V810" s="1597"/>
      <c r="W810" s="1597"/>
      <c r="X810" s="1597"/>
      <c r="Y810" s="1597"/>
      <c r="Z810" s="1597"/>
      <c r="AA810" s="1597"/>
      <c r="AB810" s="1597"/>
      <c r="AC810" s="1594"/>
      <c r="AD810" s="1595"/>
      <c r="AE810" s="1595"/>
      <c r="AF810" s="1596"/>
      <c r="AG810" s="1594"/>
      <c r="AH810" s="1595"/>
      <c r="AI810" s="1595"/>
      <c r="AJ810" s="159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1" t="s">
        <v>42</v>
      </c>
      <c r="D811" s="1422"/>
      <c r="E811" s="1422"/>
      <c r="F811" s="1422"/>
      <c r="G811" s="1422"/>
      <c r="H811" s="1422"/>
      <c r="I811" s="60"/>
      <c r="J811" s="60"/>
      <c r="K811" s="60"/>
      <c r="L811" s="61"/>
      <c r="M811" s="1597">
        <v>8</v>
      </c>
      <c r="N811" s="1597"/>
      <c r="O811" s="1597"/>
      <c r="P811" s="1597"/>
      <c r="Q811" s="1597">
        <v>10</v>
      </c>
      <c r="R811" s="1597"/>
      <c r="S811" s="1597"/>
      <c r="T811" s="1597"/>
      <c r="U811" s="1597">
        <v>14</v>
      </c>
      <c r="V811" s="1597"/>
      <c r="W811" s="1597"/>
      <c r="X811" s="1597"/>
      <c r="Y811" s="1597"/>
      <c r="Z811" s="1597"/>
      <c r="AA811" s="1597"/>
      <c r="AB811" s="1597"/>
      <c r="AC811" s="1594"/>
      <c r="AD811" s="1595"/>
      <c r="AE811" s="1595"/>
      <c r="AF811" s="1596"/>
      <c r="AG811" s="1594"/>
      <c r="AH811" s="1595"/>
      <c r="AI811" s="1595"/>
      <c r="AJ811" s="159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1" t="s">
        <v>787</v>
      </c>
      <c r="D812" s="1422"/>
      <c r="E812" s="1422"/>
      <c r="F812" s="1422"/>
      <c r="G812" s="1422"/>
      <c r="H812" s="1422"/>
      <c r="I812" s="60"/>
      <c r="J812" s="60"/>
      <c r="K812" s="60"/>
      <c r="L812" s="61"/>
      <c r="M812" s="1597">
        <v>25</v>
      </c>
      <c r="N812" s="1597"/>
      <c r="O812" s="1597"/>
      <c r="P812" s="1597"/>
      <c r="Q812" s="1597">
        <v>31</v>
      </c>
      <c r="R812" s="1597"/>
      <c r="S812" s="1597"/>
      <c r="T812" s="1597"/>
      <c r="U812" s="1597">
        <v>45</v>
      </c>
      <c r="V812" s="1597"/>
      <c r="W812" s="1597"/>
      <c r="X812" s="1597"/>
      <c r="Y812" s="1597"/>
      <c r="Z812" s="1597"/>
      <c r="AA812" s="1597"/>
      <c r="AB812" s="1597"/>
      <c r="AC812" s="1594"/>
      <c r="AD812" s="1595"/>
      <c r="AE812" s="1595"/>
      <c r="AF812" s="1596"/>
      <c r="AG812" s="1594"/>
      <c r="AH812" s="1595"/>
      <c r="AI812" s="1595"/>
      <c r="AJ812" s="159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1" t="s">
        <v>469</v>
      </c>
      <c r="D813" s="1422"/>
      <c r="E813" s="1422"/>
      <c r="F813" s="1422"/>
      <c r="G813" s="1422"/>
      <c r="H813" s="1422"/>
      <c r="I813" s="60"/>
      <c r="J813" s="60"/>
      <c r="K813" s="60"/>
      <c r="L813" s="61"/>
      <c r="M813" s="1597">
        <v>13</v>
      </c>
      <c r="N813" s="1597"/>
      <c r="O813" s="1597"/>
      <c r="P813" s="1597"/>
      <c r="Q813" s="1597">
        <v>15</v>
      </c>
      <c r="R813" s="1597"/>
      <c r="S813" s="1597"/>
      <c r="T813" s="1597"/>
      <c r="U813" s="1597">
        <v>20</v>
      </c>
      <c r="V813" s="1597"/>
      <c r="W813" s="1597"/>
      <c r="X813" s="1597"/>
      <c r="Y813" s="1597"/>
      <c r="Z813" s="1597"/>
      <c r="AA813" s="1597"/>
      <c r="AB813" s="1597"/>
      <c r="AC813" s="1594"/>
      <c r="AD813" s="1595"/>
      <c r="AE813" s="1595"/>
      <c r="AF813" s="1596"/>
      <c r="AG813" s="1594"/>
      <c r="AH813" s="1595"/>
      <c r="AI813" s="1595"/>
      <c r="AJ813" s="159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829" t="s">
        <v>808</v>
      </c>
      <c r="D814" s="1422"/>
      <c r="E814" s="1422"/>
      <c r="F814" s="1422"/>
      <c r="G814" s="1422"/>
      <c r="H814" s="1422"/>
      <c r="I814" s="60"/>
      <c r="J814" s="60"/>
      <c r="K814" s="60"/>
      <c r="L814" s="61"/>
      <c r="M814" s="1597"/>
      <c r="N814" s="1597"/>
      <c r="O814" s="1597"/>
      <c r="P814" s="1597"/>
      <c r="Q814" s="1597"/>
      <c r="R814" s="1597"/>
      <c r="S814" s="1597"/>
      <c r="T814" s="1597"/>
      <c r="U814" s="1597"/>
      <c r="V814" s="1597"/>
      <c r="W814" s="1597"/>
      <c r="X814" s="1597"/>
      <c r="Y814" s="1597"/>
      <c r="Z814" s="1597"/>
      <c r="AA814" s="1597"/>
      <c r="AB814" s="1597"/>
      <c r="AC814" s="1594"/>
      <c r="AD814" s="1595"/>
      <c r="AE814" s="1595"/>
      <c r="AF814" s="1596"/>
      <c r="AG814" s="1594"/>
      <c r="AH814" s="1595"/>
      <c r="AI814" s="1595"/>
      <c r="AJ814" s="159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2" t="s">
        <v>336</v>
      </c>
      <c r="G815" s="1613"/>
      <c r="H815" s="1613"/>
      <c r="I815" s="1613"/>
      <c r="J815" s="1613"/>
      <c r="K815" s="1613"/>
      <c r="L815" s="1613"/>
      <c r="M815" s="1597"/>
      <c r="N815" s="1597"/>
      <c r="O815" s="1597"/>
      <c r="P815" s="1597"/>
      <c r="Q815" s="1597"/>
      <c r="R815" s="1597"/>
      <c r="S815" s="1597"/>
      <c r="T815" s="1597"/>
      <c r="U815" s="1597"/>
      <c r="V815" s="1597"/>
      <c r="W815" s="1597"/>
      <c r="X815" s="1597"/>
      <c r="Y815" s="1597"/>
      <c r="Z815" s="1597"/>
      <c r="AA815" s="1597"/>
      <c r="AB815" s="1597"/>
      <c r="AC815" s="1594"/>
      <c r="AD815" s="1595"/>
      <c r="AE815" s="1595"/>
      <c r="AF815" s="1596"/>
      <c r="AG815" s="1594"/>
      <c r="AH815" s="1595"/>
      <c r="AI815" s="1595"/>
      <c r="AJ815" s="159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4" t="s">
        <v>125</v>
      </c>
      <c r="D816" s="1525"/>
      <c r="E816" s="1525"/>
      <c r="F816" s="1525"/>
      <c r="G816" s="1525"/>
      <c r="H816" s="1525"/>
      <c r="I816" s="1525"/>
      <c r="J816" s="1525"/>
      <c r="K816" s="1525"/>
      <c r="L816" s="1527"/>
      <c r="M816" s="1629">
        <f>SUM(M809:P815)</f>
        <v>62</v>
      </c>
      <c r="N816" s="1629"/>
      <c r="O816" s="1629"/>
      <c r="P816" s="1629"/>
      <c r="Q816" s="1629">
        <f>SUM(Q809:T815)</f>
        <v>75</v>
      </c>
      <c r="R816" s="1629"/>
      <c r="S816" s="1629"/>
      <c r="T816" s="1629"/>
      <c r="U816" s="1629">
        <f>SUM(U809:X815)</f>
        <v>102</v>
      </c>
      <c r="V816" s="1629"/>
      <c r="W816" s="1629"/>
      <c r="X816" s="1629"/>
      <c r="Y816" s="1629">
        <f>SUM(Y809:AB815)</f>
        <v>0</v>
      </c>
      <c r="Z816" s="1629"/>
      <c r="AA816" s="1629"/>
      <c r="AB816" s="1629"/>
      <c r="AC816" s="1629">
        <f>SUM(AC809:AF815)</f>
        <v>0</v>
      </c>
      <c r="AD816" s="1629"/>
      <c r="AE816" s="1629"/>
      <c r="AF816" s="1629"/>
      <c r="AG816" s="1629">
        <f>SUM(AG809:AJ815)</f>
        <v>0</v>
      </c>
      <c r="AH816" s="1629"/>
      <c r="AI816" s="1629"/>
      <c r="AJ816" s="162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1" t="s">
        <v>2749</v>
      </c>
      <c r="D821" s="1682"/>
      <c r="E821" s="1682"/>
      <c r="F821" s="1682"/>
      <c r="G821" s="1682"/>
      <c r="H821" s="1682"/>
      <c r="I821" s="1682"/>
      <c r="J821" s="1682"/>
      <c r="K821" s="1682"/>
      <c r="L821" s="1682"/>
      <c r="M821" s="1682"/>
      <c r="N821" s="1682"/>
      <c r="O821" s="1682"/>
      <c r="P821" s="1682"/>
      <c r="Q821" s="1682"/>
      <c r="R821" s="1682"/>
      <c r="S821" s="1682"/>
      <c r="T821" s="1682"/>
      <c r="U821" s="1682"/>
      <c r="V821" s="1682"/>
      <c r="W821" s="1682"/>
      <c r="X821" s="1682"/>
      <c r="Y821" s="1682"/>
      <c r="Z821" s="1682"/>
      <c r="AA821" s="1682"/>
      <c r="AB821" s="1682"/>
      <c r="AC821" s="1682"/>
      <c r="AD821" s="1682"/>
      <c r="AE821" s="1682"/>
      <c r="AF821" s="1682"/>
      <c r="AG821" s="1682"/>
      <c r="AH821" s="1682"/>
      <c r="AI821" s="1682"/>
      <c r="AJ821" s="168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1">
        <v>10000</v>
      </c>
      <c r="X826" s="1621"/>
      <c r="Y826" s="1621"/>
      <c r="Z826" s="1621"/>
      <c r="AA826" s="1621"/>
      <c r="AB826" s="1621"/>
      <c r="AC826" s="1621"/>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1">
        <v>8000</v>
      </c>
      <c r="X827" s="1621"/>
      <c r="Y827" s="1621"/>
      <c r="Z827" s="1621"/>
      <c r="AA827" s="1621"/>
      <c r="AB827" s="1621"/>
      <c r="AC827" s="1621"/>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1">
        <v>5000</v>
      </c>
      <c r="X828" s="1621"/>
      <c r="Y828" s="1621"/>
      <c r="Z828" s="1621"/>
      <c r="AA828" s="1621"/>
      <c r="AB828" s="1621"/>
      <c r="AC828" s="1621"/>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1">
        <v>5000</v>
      </c>
      <c r="X829" s="1621"/>
      <c r="Y829" s="1621"/>
      <c r="Z829" s="1621"/>
      <c r="AA829" s="1621"/>
      <c r="AB829" s="1621"/>
      <c r="AC829" s="1621"/>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2" t="s">
        <v>2750</v>
      </c>
      <c r="N830" s="1613"/>
      <c r="O830" s="1613"/>
      <c r="P830" s="1613"/>
      <c r="Q830" s="1613"/>
      <c r="R830" s="1613"/>
      <c r="S830" s="1613"/>
      <c r="T830" s="1613"/>
      <c r="U830" s="1613"/>
      <c r="V830" s="1614"/>
      <c r="W830" s="1621">
        <v>3702</v>
      </c>
      <c r="X830" s="1621"/>
      <c r="Y830" s="1621"/>
      <c r="Z830" s="1621"/>
      <c r="AA830" s="1621"/>
      <c r="AB830" s="1621"/>
      <c r="AC830" s="1621"/>
      <c r="AD830"/>
      <c r="AE830"/>
      <c r="AF830"/>
      <c r="AG830"/>
      <c r="AH830"/>
      <c r="AI830"/>
      <c r="AJ830"/>
      <c r="AK830"/>
      <c r="AL830"/>
      <c r="AM830"/>
      <c r="AN830"/>
      <c r="AO830"/>
      <c r="AP830"/>
      <c r="AQ830"/>
      <c r="AR830"/>
      <c r="AS830"/>
      <c r="AT830"/>
      <c r="AU830"/>
      <c r="AV830"/>
      <c r="AW830"/>
      <c r="AX830"/>
      <c r="AY830"/>
      <c r="BI830" s="1648">
        <f>ROUNDDOWN(BC918*2,2)</f>
        <v>0</v>
      </c>
      <c r="BJ830" s="1648"/>
      <c r="BK830" s="1648"/>
      <c r="BL830" s="1648"/>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21">
        <f>SUM(W826:AC830)</f>
        <v>31702</v>
      </c>
      <c r="X831" s="1522"/>
      <c r="Y831" s="1522"/>
      <c r="Z831" s="1522"/>
      <c r="AA831" s="1522"/>
      <c r="AB831" s="1522"/>
      <c r="AC831" s="1523"/>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4" t="s">
        <v>347</v>
      </c>
      <c r="K833" s="1525"/>
      <c r="L833" s="1525"/>
      <c r="M833" s="1525"/>
      <c r="N833" s="1525"/>
      <c r="O833" s="1525"/>
      <c r="P833" s="1525"/>
      <c r="Q833" s="1525"/>
      <c r="R833" s="1525"/>
      <c r="S833" s="1525"/>
      <c r="T833" s="1525"/>
      <c r="U833" s="1525"/>
      <c r="V833" s="1527"/>
      <c r="W833" s="1615">
        <v>85162</v>
      </c>
      <c r="X833" s="1616"/>
      <c r="Y833" s="1616"/>
      <c r="Z833" s="1616"/>
      <c r="AA833" s="1616"/>
      <c r="AB833" s="1616"/>
      <c r="AC833" s="1617"/>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8"/>
      <c r="X835" s="1618"/>
      <c r="Y835" s="1618"/>
      <c r="Z835" s="1618"/>
      <c r="AA835" s="1618"/>
      <c r="AB835" s="1618"/>
      <c r="AC835" s="1618"/>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8">
        <v>64627</v>
      </c>
      <c r="X836" s="1618"/>
      <c r="Y836" s="1618"/>
      <c r="Z836" s="1618"/>
      <c r="AA836" s="1618"/>
      <c r="AB836" s="1618"/>
      <c r="AC836" s="1618"/>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8">
        <v>87000</v>
      </c>
      <c r="X837" s="1618"/>
      <c r="Y837" s="1618"/>
      <c r="Z837" s="1618"/>
      <c r="AA837" s="1618"/>
      <c r="AB837" s="1618"/>
      <c r="AC837" s="1618"/>
      <c r="AD837"/>
      <c r="AE837"/>
      <c r="AF837"/>
      <c r="AG837"/>
      <c r="AH837"/>
      <c r="AI837"/>
      <c r="AJ837"/>
      <c r="AK837"/>
      <c r="AL837"/>
      <c r="AM837"/>
      <c r="AN837"/>
      <c r="AO837"/>
      <c r="AP837"/>
      <c r="AQ837"/>
      <c r="AR837"/>
      <c r="AS837"/>
      <c r="AT837"/>
      <c r="AU837"/>
      <c r="AV837"/>
      <c r="AW837"/>
      <c r="AX837"/>
      <c r="AY837"/>
      <c r="AZ837" s="30"/>
      <c r="BA837" s="30"/>
      <c r="BG837" s="1641"/>
      <c r="BH837" s="1641"/>
      <c r="BI837" s="1641"/>
      <c r="BJ837" s="1641"/>
      <c r="BK837" s="1641"/>
      <c r="BL837" s="1641"/>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8">
        <v>61000</v>
      </c>
      <c r="X838" s="1618"/>
      <c r="Y838" s="1618"/>
      <c r="Z838" s="1618"/>
      <c r="AA838" s="1618"/>
      <c r="AB838" s="1618"/>
      <c r="AC838" s="161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38">
        <f>SUM(W835:AC838)</f>
        <v>212627</v>
      </c>
      <c r="X839" s="1638"/>
      <c r="Y839" s="1638"/>
      <c r="Z839" s="1638"/>
      <c r="AA839" s="1638"/>
      <c r="AB839" s="1638"/>
      <c r="AC839" s="163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0">
        <f>SUM(AZ807:AZ835)</f>
        <v>7.5000000000000011E-2</v>
      </c>
      <c r="BA840" s="165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30">
        <v>88000</v>
      </c>
      <c r="X841" s="1631"/>
      <c r="Y841" s="1631"/>
      <c r="Z841" s="1631"/>
      <c r="AA841" s="1631"/>
      <c r="AB841" s="1631"/>
      <c r="AC841" s="1632"/>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1838</v>
      </c>
      <c r="K842" s="5"/>
      <c r="L842" s="5"/>
      <c r="M842" s="5"/>
      <c r="N842" s="5"/>
      <c r="O842" s="5"/>
      <c r="P842" s="5"/>
      <c r="Q842" s="5"/>
      <c r="R842" s="5"/>
      <c r="S842" s="5"/>
      <c r="T842" s="1688"/>
      <c r="U842" s="1689"/>
      <c r="V842" s="169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30">
        <v>64000</v>
      </c>
      <c r="X843" s="1631"/>
      <c r="Y843" s="1631"/>
      <c r="Z843" s="1631"/>
      <c r="AA843" s="1631"/>
      <c r="AB843" s="1631"/>
      <c r="AC843" s="163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1839</v>
      </c>
      <c r="K844" s="5"/>
      <c r="L844" s="5"/>
      <c r="M844" s="5"/>
      <c r="N844" s="5"/>
      <c r="O844" s="5"/>
      <c r="P844" s="5"/>
      <c r="Q844" s="5"/>
      <c r="R844" s="5"/>
      <c r="S844" s="5"/>
      <c r="T844" s="1688">
        <v>1</v>
      </c>
      <c r="U844" s="1689"/>
      <c r="V844" s="169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2" t="s">
        <v>2751</v>
      </c>
      <c r="N845" s="1613"/>
      <c r="O845" s="1613"/>
      <c r="P845" s="1613"/>
      <c r="Q845" s="1613"/>
      <c r="R845" s="1613"/>
      <c r="S845" s="1613"/>
      <c r="T845" s="1613"/>
      <c r="U845" s="1613"/>
      <c r="V845" s="1614"/>
      <c r="W845" s="1630">
        <v>67144</v>
      </c>
      <c r="X845" s="1631"/>
      <c r="Y845" s="1631"/>
      <c r="Z845" s="1631"/>
      <c r="AA845" s="1631"/>
      <c r="AB845" s="1631"/>
      <c r="AC845" s="163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64">
        <f>SUM(W841:AC845)</f>
        <v>219144</v>
      </c>
      <c r="X846" s="1765"/>
      <c r="Y846" s="1765"/>
      <c r="Z846" s="1765"/>
      <c r="AA846" s="1765"/>
      <c r="AB846" s="1765"/>
      <c r="AC846" s="176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30">
        <v>98692</v>
      </c>
      <c r="X847" s="1631"/>
      <c r="Y847" s="1631"/>
      <c r="Z847" s="1631"/>
      <c r="AA847" s="1631"/>
      <c r="AB847" s="1631"/>
      <c r="AC847" s="163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1">
        <v>20000</v>
      </c>
      <c r="X849" s="1621"/>
      <c r="Y849" s="1621"/>
      <c r="Z849" s="1621"/>
      <c r="AA849" s="1621"/>
      <c r="AB849" s="1621"/>
      <c r="AC849" s="162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1">
        <v>27000</v>
      </c>
      <c r="X850" s="1621"/>
      <c r="Y850" s="1621"/>
      <c r="Z850" s="1621"/>
      <c r="AA850" s="1621"/>
      <c r="AB850" s="1621"/>
      <c r="AC850" s="162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1">
        <v>21000</v>
      </c>
      <c r="X851" s="1621"/>
      <c r="Y851" s="1621"/>
      <c r="Z851" s="1621"/>
      <c r="AA851" s="1621"/>
      <c r="AB851" s="1621"/>
      <c r="AC851" s="162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1">
        <v>13000</v>
      </c>
      <c r="X852" s="1621"/>
      <c r="Y852" s="1621"/>
      <c r="Z852" s="1621"/>
      <c r="AA852" s="1621"/>
      <c r="AB852" s="1621"/>
      <c r="AC852" s="1621"/>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1">
        <v>12000</v>
      </c>
      <c r="X853" s="1621"/>
      <c r="Y853" s="1621"/>
      <c r="Z853" s="1621"/>
      <c r="AA853" s="1621"/>
      <c r="AB853" s="1621"/>
      <c r="AC853" s="162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1">
        <v>15000</v>
      </c>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2" t="s">
        <v>336</v>
      </c>
      <c r="N855" s="1613"/>
      <c r="O855" s="1613"/>
      <c r="P855" s="1613"/>
      <c r="Q855" s="1613"/>
      <c r="R855" s="1613"/>
      <c r="S855" s="1613"/>
      <c r="T855" s="1613"/>
      <c r="U855" s="1613"/>
      <c r="V855" s="1614"/>
      <c r="W855" s="1621">
        <v>13353</v>
      </c>
      <c r="X855" s="1621"/>
      <c r="Y855" s="1621"/>
      <c r="Z855" s="1621"/>
      <c r="AA855" s="1621"/>
      <c r="AB855" s="1621"/>
      <c r="AC855" s="162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49">
        <f>SUM(W849:AC855)</f>
        <v>121353</v>
      </c>
      <c r="X856" s="1649"/>
      <c r="Y856" s="1649"/>
      <c r="Z856" s="1649"/>
      <c r="AA856" s="1649"/>
      <c r="AB856" s="1649"/>
      <c r="AC856" s="164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1393</v>
      </c>
      <c r="J858" s="45" t="s">
        <v>171</v>
      </c>
      <c r="K858" s="5"/>
      <c r="L858" s="5"/>
      <c r="M858" s="1612" t="s">
        <v>2752</v>
      </c>
      <c r="N858" s="1613"/>
      <c r="O858" s="1613"/>
      <c r="P858" s="1613"/>
      <c r="Q858" s="1613"/>
      <c r="R858" s="1613"/>
      <c r="S858" s="1613"/>
      <c r="T858" s="1613"/>
      <c r="U858" s="1613"/>
      <c r="V858" s="1614"/>
      <c r="W858" s="1615">
        <v>15900</v>
      </c>
      <c r="X858" s="1616"/>
      <c r="Y858" s="1616"/>
      <c r="Z858" s="1616"/>
      <c r="AA858" s="1616"/>
      <c r="AB858" s="1616"/>
      <c r="AC858" s="161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1394</v>
      </c>
      <c r="J859" s="45" t="s">
        <v>171</v>
      </c>
      <c r="K859" s="5"/>
      <c r="L859" s="5"/>
      <c r="M859" s="1612" t="s">
        <v>336</v>
      </c>
      <c r="N859" s="1613"/>
      <c r="O859" s="1613"/>
      <c r="P859" s="1613"/>
      <c r="Q859" s="1613"/>
      <c r="R859" s="1613"/>
      <c r="S859" s="1613"/>
      <c r="T859" s="1613"/>
      <c r="U859" s="1613"/>
      <c r="V859" s="1614"/>
      <c r="W859" s="1615"/>
      <c r="X859" s="1616"/>
      <c r="Y859" s="1616"/>
      <c r="Z859" s="1616"/>
      <c r="AA859" s="1616"/>
      <c r="AB859" s="1616"/>
      <c r="AC859" s="161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2" t="s">
        <v>336</v>
      </c>
      <c r="N860" s="1613"/>
      <c r="O860" s="1613"/>
      <c r="P860" s="1613"/>
      <c r="Q860" s="1613"/>
      <c r="R860" s="1613"/>
      <c r="S860" s="1613"/>
      <c r="T860" s="1613"/>
      <c r="U860" s="1613"/>
      <c r="V860" s="1614"/>
      <c r="W860" s="1615"/>
      <c r="X860" s="1616"/>
      <c r="Y860" s="1616"/>
      <c r="Z860" s="1616"/>
      <c r="AA860" s="1616"/>
      <c r="AB860" s="1616"/>
      <c r="AC860" s="161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2" t="s">
        <v>336</v>
      </c>
      <c r="N861" s="1613"/>
      <c r="O861" s="1613"/>
      <c r="P861" s="1613"/>
      <c r="Q861" s="1613"/>
      <c r="R861" s="1613"/>
      <c r="S861" s="1613"/>
      <c r="T861" s="1613"/>
      <c r="U861" s="1613"/>
      <c r="V861" s="1614"/>
      <c r="W861" s="1615"/>
      <c r="X861" s="1616"/>
      <c r="Y861" s="1616"/>
      <c r="Z861" s="1616"/>
      <c r="AA861" s="1616"/>
      <c r="AB861" s="1616"/>
      <c r="AC861" s="161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2" t="s">
        <v>336</v>
      </c>
      <c r="N862" s="1613"/>
      <c r="O862" s="1613"/>
      <c r="P862" s="1613"/>
      <c r="Q862" s="1613"/>
      <c r="R862" s="1613"/>
      <c r="S862" s="1613"/>
      <c r="T862" s="1613"/>
      <c r="U862" s="1613"/>
      <c r="V862" s="1614"/>
      <c r="W862" s="1615"/>
      <c r="X862" s="1616"/>
      <c r="Y862" s="1616"/>
      <c r="Z862" s="1616"/>
      <c r="AA862" s="1616"/>
      <c r="AB862" s="1616"/>
      <c r="AC862" s="161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21">
        <f>SUM(W858:AC862)</f>
        <v>15900</v>
      </c>
      <c r="X863" s="1522"/>
      <c r="Y863" s="1522"/>
      <c r="Z863" s="1522"/>
      <c r="AA863" s="1522"/>
      <c r="AB863" s="1522"/>
      <c r="AC863" s="152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2">
        <f>W831+W839+W846+W847+W856+W863+W833</f>
        <v>784580</v>
      </c>
      <c r="AD867" s="1522"/>
      <c r="AE867" s="1522"/>
      <c r="AF867" s="1522"/>
      <c r="AG867" s="1522"/>
      <c r="AH867" s="152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6">
        <f>O782+O762+G739</f>
        <v>135</v>
      </c>
      <c r="AD868" s="1686"/>
      <c r="AE868" s="1686"/>
      <c r="AF868" s="1686"/>
      <c r="AG868" s="1686"/>
      <c r="AH868" s="168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84" t="s">
        <v>32</v>
      </c>
      <c r="F869" s="1684"/>
      <c r="G869" s="1684"/>
      <c r="H869" s="1684"/>
      <c r="I869" s="1684"/>
      <c r="J869" s="1684"/>
      <c r="K869" s="1684"/>
      <c r="L869" s="1684"/>
      <c r="M869" s="1684"/>
      <c r="N869" s="1684"/>
      <c r="O869" s="1684"/>
      <c r="P869" s="1684"/>
      <c r="Q869" s="1684"/>
      <c r="R869" s="1684"/>
      <c r="S869" s="1684"/>
      <c r="T869" s="1684"/>
      <c r="U869" s="1684"/>
      <c r="V869" s="1684"/>
      <c r="W869" s="1684"/>
      <c r="X869" s="1684"/>
      <c r="Y869" s="1684"/>
      <c r="Z869" s="1684"/>
      <c r="AA869" s="1684"/>
      <c r="AB869" s="1685"/>
      <c r="AC869" s="1649">
        <f>IF(ISERROR((ROUNDDOWN(AC867/AC868,0))),0,(ROUNDDOWN(AC867/AC868,0)))</f>
        <v>5811</v>
      </c>
      <c r="AD869" s="1649"/>
      <c r="AE869" s="1649"/>
      <c r="AF869" s="1649"/>
      <c r="AG869" s="1649"/>
      <c r="AH869" s="164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9">
        <v>379440</v>
      </c>
      <c r="AD870" s="1620"/>
      <c r="AE870" s="1620"/>
      <c r="AF870" s="1620"/>
      <c r="AG870" s="1620"/>
      <c r="AH870" s="16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17"/>
      <c r="AD871" s="1621"/>
      <c r="AE871" s="1621"/>
      <c r="AF871" s="1621"/>
      <c r="AG871" s="1621"/>
      <c r="AH871" s="162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16">
        <v>22998</v>
      </c>
      <c r="AD872" s="1616"/>
      <c r="AE872" s="1616"/>
      <c r="AF872" s="1616"/>
      <c r="AG872" s="1616"/>
      <c r="AH872" s="161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6">
        <v>33750</v>
      </c>
      <c r="AD873" s="1616"/>
      <c r="AE873" s="1616"/>
      <c r="AF873" s="1616"/>
      <c r="AG873" s="1616"/>
      <c r="AH873" s="161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1940</v>
      </c>
      <c r="AC874" s="1594"/>
      <c r="AD874" s="1595"/>
      <c r="AE874" s="1595"/>
      <c r="AF874" s="1595"/>
      <c r="AG874" s="1595"/>
      <c r="AH874" s="159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6">
        <v>27593</v>
      </c>
      <c r="AD875" s="1616"/>
      <c r="AE875" s="1616"/>
      <c r="AF875" s="1616"/>
      <c r="AG875" s="1616"/>
      <c r="AH875" s="161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1840</v>
      </c>
      <c r="AC876" s="1616"/>
      <c r="AD876" s="1616"/>
      <c r="AE876" s="1616"/>
      <c r="AF876" s="1616"/>
      <c r="AG876" s="1616"/>
      <c r="AH876" s="161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42" t="s">
        <v>997</v>
      </c>
      <c r="D877" s="1643"/>
      <c r="E877" s="1643"/>
      <c r="F877" s="1643"/>
      <c r="G877" s="1643"/>
      <c r="H877" s="1643"/>
      <c r="I877" s="1643"/>
      <c r="J877" s="1643"/>
      <c r="K877" s="1643"/>
      <c r="L877" s="1643"/>
      <c r="M877" s="1643"/>
      <c r="N877" s="1643"/>
      <c r="O877" s="1643"/>
      <c r="P877" s="1643"/>
      <c r="Q877" s="1643"/>
      <c r="R877" s="1643"/>
      <c r="S877" s="1643"/>
      <c r="T877" s="1643"/>
      <c r="U877" s="1643"/>
      <c r="V877" s="1643"/>
      <c r="W877" s="1643"/>
      <c r="X877" s="1643"/>
      <c r="Y877" s="1643"/>
      <c r="Z877" s="1643"/>
      <c r="AA877" s="1643"/>
      <c r="AB877" s="1644"/>
      <c r="AC877" s="1621"/>
      <c r="AD877" s="1621"/>
      <c r="AE877" s="1621"/>
      <c r="AF877" s="1621"/>
      <c r="AG877" s="1621"/>
      <c r="AH877" s="162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42" t="s">
        <v>997</v>
      </c>
      <c r="D878" s="1643"/>
      <c r="E878" s="1643"/>
      <c r="F878" s="1643"/>
      <c r="G878" s="1643"/>
      <c r="H878" s="1643"/>
      <c r="I878" s="1643"/>
      <c r="J878" s="1643"/>
      <c r="K878" s="1643"/>
      <c r="L878" s="1643"/>
      <c r="M878" s="1643"/>
      <c r="N878" s="1643"/>
      <c r="O878" s="1643"/>
      <c r="P878" s="1643"/>
      <c r="Q878" s="1643"/>
      <c r="R878" s="1643"/>
      <c r="S878" s="1643"/>
      <c r="T878" s="1643"/>
      <c r="U878" s="1643"/>
      <c r="V878" s="1643"/>
      <c r="W878" s="1643"/>
      <c r="X878" s="1643"/>
      <c r="Y878" s="1643"/>
      <c r="Z878" s="1643"/>
      <c r="AA878" s="1643"/>
      <c r="AB878" s="1644"/>
      <c r="AC878" s="1621"/>
      <c r="AD878" s="1621"/>
      <c r="AE878" s="1621"/>
      <c r="AF878" s="1621"/>
      <c r="AG878" s="1621"/>
      <c r="AH878" s="162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15"/>
      <c r="AA882" s="1616"/>
      <c r="AB882" s="1616"/>
      <c r="AC882" s="1616"/>
      <c r="AD882" s="1616"/>
      <c r="AE882" s="161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15"/>
      <c r="AA883" s="1616"/>
      <c r="AB883" s="1616"/>
      <c r="AC883" s="1616"/>
      <c r="AD883" s="1616"/>
      <c r="AE883" s="161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15"/>
      <c r="AA884" s="1616"/>
      <c r="AB884" s="1616"/>
      <c r="AC884" s="1616"/>
      <c r="AD884" s="1616"/>
      <c r="AE884" s="161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21">
        <f>Z882-(Z883+Z884)</f>
        <v>0</v>
      </c>
      <c r="AA885" s="1522"/>
      <c r="AB885" s="1522"/>
      <c r="AC885" s="1522"/>
      <c r="AD885" s="1522"/>
      <c r="AE885" s="152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40"/>
      <c r="BE887" s="164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40"/>
      <c r="BE888" s="164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1"/>
      <c r="BE889" s="164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1"/>
      <c r="BE890" s="164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1"/>
      <c r="BE891" s="164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40"/>
      <c r="BE892" s="164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39"/>
      <c r="BE893" s="1639"/>
      <c r="BF893" s="163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48"/>
      <c r="BE894" s="1648"/>
      <c r="BF894" s="164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1"/>
      <c r="BE895" s="164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40"/>
      <c r="BE896" s="164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26" t="s">
        <v>817</v>
      </c>
      <c r="G898" s="1827"/>
      <c r="H898" s="1827"/>
      <c r="I898" s="1827"/>
      <c r="J898" s="1827"/>
      <c r="K898" s="1827"/>
      <c r="L898" s="1827"/>
      <c r="M898" s="1827"/>
      <c r="N898" s="1827"/>
      <c r="O898" s="1827"/>
      <c r="P898" s="1827"/>
      <c r="Q898" s="1827"/>
      <c r="R898" s="1827"/>
      <c r="S898" s="1827"/>
      <c r="T898" s="1828"/>
      <c r="U898" s="1822" t="s">
        <v>31</v>
      </c>
      <c r="V898" s="1598"/>
      <c r="W898" s="1598"/>
      <c r="X898" s="1598"/>
      <c r="Y898" s="1598"/>
      <c r="Z898" s="1598"/>
      <c r="AA898" s="43"/>
      <c r="AB898" s="105"/>
      <c r="AC898" s="105"/>
      <c r="AD898" s="105"/>
      <c r="AE898" s="105"/>
      <c r="AF898" s="106"/>
      <c r="AZ898" s="34"/>
      <c r="BA898" s="34"/>
      <c r="BB898" s="30"/>
      <c r="BC898" s="30"/>
      <c r="BD898" s="1640"/>
      <c r="BE898" s="164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65" t="s">
        <v>845</v>
      </c>
      <c r="G899" s="1666"/>
      <c r="H899" s="1666"/>
      <c r="I899" s="1666"/>
      <c r="J899" s="1666"/>
      <c r="K899" s="1666"/>
      <c r="L899" s="1666"/>
      <c r="M899" s="1666"/>
      <c r="N899" s="1666"/>
      <c r="O899" s="1666"/>
      <c r="P899" s="1666"/>
      <c r="Q899" s="1666"/>
      <c r="R899" s="1666"/>
      <c r="S899" s="1666"/>
      <c r="T899" s="1667"/>
      <c r="U899" s="1665"/>
      <c r="V899" s="1666"/>
      <c r="W899" s="1666"/>
      <c r="X899" s="1666"/>
      <c r="Y899" s="1666"/>
      <c r="Z899" s="166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8"/>
      <c r="G900" s="1600"/>
      <c r="H900" s="1600"/>
      <c r="I900" s="1600"/>
      <c r="J900" s="1600"/>
      <c r="K900" s="1600"/>
      <c r="L900" s="1600"/>
      <c r="M900" s="1600"/>
      <c r="N900" s="1600"/>
      <c r="O900" s="1600"/>
      <c r="P900" s="1600"/>
      <c r="Q900" s="1600"/>
      <c r="R900" s="1600"/>
      <c r="S900" s="1600"/>
      <c r="T900" s="1601"/>
      <c r="U900" s="1668"/>
      <c r="V900" s="1600"/>
      <c r="W900" s="1600"/>
      <c r="X900" s="1600"/>
      <c r="Y900" s="1600"/>
      <c r="Z900" s="1600"/>
      <c r="AA900" s="108"/>
      <c r="AB900" s="1451" t="s">
        <v>393</v>
      </c>
      <c r="AC900" s="1451"/>
      <c r="AD900" s="1451"/>
      <c r="AE900" s="14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54" t="s">
        <v>555</v>
      </c>
      <c r="V901" s="1361"/>
      <c r="W901" s="1361"/>
      <c r="X901" s="1361"/>
      <c r="Y901" s="1361"/>
      <c r="Z901" s="1362"/>
      <c r="AA901" s="1651">
        <v>34468094</v>
      </c>
      <c r="AB901" s="1440"/>
      <c r="AC901" s="1440"/>
      <c r="AD901" s="1440"/>
      <c r="AE901" s="1440"/>
      <c r="AF901" s="165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54" t="s">
        <v>555</v>
      </c>
      <c r="V902" s="1361"/>
      <c r="W902" s="1361"/>
      <c r="X902" s="1361"/>
      <c r="Y902" s="1361"/>
      <c r="Z902" s="1362"/>
      <c r="AA902" s="1651">
        <v>11767019</v>
      </c>
      <c r="AB902" s="1440"/>
      <c r="AC902" s="1440"/>
      <c r="AD902" s="1440"/>
      <c r="AE902" s="1440"/>
      <c r="AF902" s="165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54" t="s">
        <v>601</v>
      </c>
      <c r="V903" s="1361"/>
      <c r="W903" s="1361"/>
      <c r="X903" s="1361"/>
      <c r="Y903" s="1361"/>
      <c r="Z903" s="1362"/>
      <c r="AA903" s="1651"/>
      <c r="AB903" s="1440"/>
      <c r="AC903" s="1440"/>
      <c r="AD903" s="1440"/>
      <c r="AE903" s="1440"/>
      <c r="AF903" s="165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54" t="s">
        <v>601</v>
      </c>
      <c r="V904" s="1361"/>
      <c r="W904" s="1361"/>
      <c r="X904" s="1361"/>
      <c r="Y904" s="1361"/>
      <c r="Z904" s="1362"/>
      <c r="AA904" s="1651"/>
      <c r="AB904" s="1440"/>
      <c r="AC904" s="1440"/>
      <c r="AD904" s="1440"/>
      <c r="AE904" s="1440"/>
      <c r="AF904" s="165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54" t="s">
        <v>601</v>
      </c>
      <c r="V905" s="1361"/>
      <c r="W905" s="1361"/>
      <c r="X905" s="1361"/>
      <c r="Y905" s="1361"/>
      <c r="Z905" s="1362"/>
      <c r="AA905" s="1651"/>
      <c r="AB905" s="1440"/>
      <c r="AC905" s="1440"/>
      <c r="AD905" s="1440"/>
      <c r="AE905" s="1440"/>
      <c r="AF905" s="165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54" t="s">
        <v>601</v>
      </c>
      <c r="V906" s="1361"/>
      <c r="W906" s="1361"/>
      <c r="X906" s="1361"/>
      <c r="Y906" s="1361"/>
      <c r="Z906" s="1362"/>
      <c r="AA906" s="1651"/>
      <c r="AB906" s="1440"/>
      <c r="AC906" s="1440"/>
      <c r="AD906" s="1440"/>
      <c r="AE906" s="1440"/>
      <c r="AF906" s="165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54" t="s">
        <v>601</v>
      </c>
      <c r="V907" s="1361"/>
      <c r="W907" s="1361"/>
      <c r="X907" s="1361"/>
      <c r="Y907" s="1361"/>
      <c r="Z907" s="1362"/>
      <c r="AA907" s="1651"/>
      <c r="AB907" s="1440"/>
      <c r="AC907" s="1440"/>
      <c r="AD907" s="1440"/>
      <c r="AE907" s="1440"/>
      <c r="AF907" s="165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54" t="s">
        <v>601</v>
      </c>
      <c r="V908" s="1361"/>
      <c r="W908" s="1361"/>
      <c r="X908" s="1361"/>
      <c r="Y908" s="1361"/>
      <c r="Z908" s="1362"/>
      <c r="AA908" s="1651"/>
      <c r="AB908" s="1440"/>
      <c r="AC908" s="1440"/>
      <c r="AD908" s="1440"/>
      <c r="AE908" s="1440"/>
      <c r="AF908" s="165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54" t="s">
        <v>601</v>
      </c>
      <c r="V909" s="1361"/>
      <c r="W909" s="1361"/>
      <c r="X909" s="1361"/>
      <c r="Y909" s="1361"/>
      <c r="Z909" s="1362"/>
      <c r="AA909" s="1651"/>
      <c r="AB909" s="1440"/>
      <c r="AC909" s="1440"/>
      <c r="AD909" s="1440"/>
      <c r="AE909" s="1440"/>
      <c r="AF909" s="165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54" t="s">
        <v>601</v>
      </c>
      <c r="V910" s="1361"/>
      <c r="W910" s="1361"/>
      <c r="X910" s="1361"/>
      <c r="Y910" s="1361"/>
      <c r="Z910" s="1362"/>
      <c r="AA910" s="1651"/>
      <c r="AB910" s="1440"/>
      <c r="AC910" s="1440"/>
      <c r="AD910" s="1440"/>
      <c r="AE910" s="1440"/>
      <c r="AF910" s="165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1438</v>
      </c>
      <c r="G911" s="5"/>
      <c r="H911" s="5"/>
      <c r="I911" s="5"/>
      <c r="J911" s="5"/>
      <c r="K911" s="5"/>
      <c r="L911" s="5"/>
      <c r="M911" s="5"/>
      <c r="N911" s="5"/>
      <c r="O911" s="5"/>
      <c r="P911" s="5"/>
      <c r="Q911" s="5"/>
      <c r="R911" s="5"/>
      <c r="S911" s="5"/>
      <c r="T911" s="46"/>
      <c r="U911" s="1654" t="s">
        <v>601</v>
      </c>
      <c r="V911" s="1361"/>
      <c r="W911" s="1361"/>
      <c r="X911" s="1361"/>
      <c r="Y911" s="1361"/>
      <c r="Z911" s="1362"/>
      <c r="AA911" s="1651"/>
      <c r="AB911" s="1440"/>
      <c r="AC911" s="1440"/>
      <c r="AD911" s="1440"/>
      <c r="AE911" s="1440"/>
      <c r="AF911" s="165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54" t="s">
        <v>601</v>
      </c>
      <c r="V912" s="1361"/>
      <c r="W912" s="1361"/>
      <c r="X912" s="1361"/>
      <c r="Y912" s="1361"/>
      <c r="Z912" s="1362"/>
      <c r="AA912" s="1651"/>
      <c r="AB912" s="1440"/>
      <c r="AC912" s="1440"/>
      <c r="AD912" s="1440"/>
      <c r="AE912" s="1440"/>
      <c r="AF912" s="165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54" t="s">
        <v>601</v>
      </c>
      <c r="V913" s="1361"/>
      <c r="W913" s="1361"/>
      <c r="X913" s="1361"/>
      <c r="Y913" s="1361"/>
      <c r="Z913" s="1362"/>
      <c r="AA913" s="1651"/>
      <c r="AB913" s="1440"/>
      <c r="AC913" s="1440"/>
      <c r="AD913" s="1440"/>
      <c r="AE913" s="1440"/>
      <c r="AF913" s="165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1421</v>
      </c>
      <c r="G914" s="5"/>
      <c r="H914" s="5"/>
      <c r="I914" s="5"/>
      <c r="J914" s="5"/>
      <c r="K914" s="5"/>
      <c r="L914" s="5"/>
      <c r="M914" s="5"/>
      <c r="N914" s="5"/>
      <c r="O914" s="5"/>
      <c r="P914" s="5"/>
      <c r="Q914" s="5"/>
      <c r="R914" s="5"/>
      <c r="S914" s="5"/>
      <c r="T914" s="46"/>
      <c r="U914" s="1654" t="s">
        <v>601</v>
      </c>
      <c r="V914" s="1361"/>
      <c r="W914" s="1361"/>
      <c r="X914" s="1361"/>
      <c r="Y914" s="1361"/>
      <c r="Z914" s="1362"/>
      <c r="AA914" s="1651"/>
      <c r="AB914" s="1440"/>
      <c r="AC914" s="1440"/>
      <c r="AD914" s="1440"/>
      <c r="AE914" s="1440"/>
      <c r="AF914" s="165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1422</v>
      </c>
      <c r="G915" s="5"/>
      <c r="H915" s="5"/>
      <c r="I915" s="5"/>
      <c r="J915" s="5"/>
      <c r="K915" s="5"/>
      <c r="L915" s="5"/>
      <c r="M915" s="5"/>
      <c r="N915" s="5"/>
      <c r="O915" s="5"/>
      <c r="P915" s="5"/>
      <c r="Q915" s="5"/>
      <c r="R915" s="5"/>
      <c r="S915" s="5"/>
      <c r="T915" s="46"/>
      <c r="U915" s="1654" t="s">
        <v>601</v>
      </c>
      <c r="V915" s="1361"/>
      <c r="W915" s="1361"/>
      <c r="X915" s="1361"/>
      <c r="Y915" s="1361"/>
      <c r="Z915" s="1362"/>
      <c r="AA915" s="1651"/>
      <c r="AB915" s="1440"/>
      <c r="AC915" s="1440"/>
      <c r="AD915" s="1440"/>
      <c r="AE915" s="1440"/>
      <c r="AF915" s="165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54" t="s">
        <v>679</v>
      </c>
      <c r="Q916" s="1361"/>
      <c r="R916" s="1361"/>
      <c r="S916" s="1361"/>
      <c r="T916" s="1362"/>
      <c r="U916" s="1654" t="s">
        <v>601</v>
      </c>
      <c r="V916" s="1361"/>
      <c r="W916" s="1361"/>
      <c r="X916" s="1361"/>
      <c r="Y916" s="1361"/>
      <c r="Z916" s="1362"/>
      <c r="AA916" s="1651"/>
      <c r="AB916" s="1440"/>
      <c r="AC916" s="1440"/>
      <c r="AD916" s="1440"/>
      <c r="AE916" s="1440"/>
      <c r="AF916" s="165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2" t="s">
        <v>336</v>
      </c>
      <c r="J917" s="1613"/>
      <c r="K917" s="1613"/>
      <c r="L917" s="1613"/>
      <c r="M917" s="1613"/>
      <c r="N917" s="1613"/>
      <c r="O917" s="1613"/>
      <c r="P917" s="1613"/>
      <c r="Q917" s="1613"/>
      <c r="R917" s="1613"/>
      <c r="S917" s="1613"/>
      <c r="T917" s="1614"/>
      <c r="U917" s="1654" t="s">
        <v>601</v>
      </c>
      <c r="V917" s="1361"/>
      <c r="W917" s="1361"/>
      <c r="X917" s="1361"/>
      <c r="Y917" s="1361"/>
      <c r="Z917" s="1362"/>
      <c r="AA917" s="1651"/>
      <c r="AB917" s="1440"/>
      <c r="AC917" s="1440"/>
      <c r="AD917" s="1440"/>
      <c r="AE917" s="1440"/>
      <c r="AF917" s="165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12" t="s">
        <v>2745</v>
      </c>
      <c r="J918" s="1613"/>
      <c r="K918" s="1613"/>
      <c r="L918" s="1613"/>
      <c r="M918" s="1613"/>
      <c r="N918" s="1613"/>
      <c r="O918" s="1613"/>
      <c r="P918" s="1613"/>
      <c r="Q918" s="1613"/>
      <c r="R918" s="1613"/>
      <c r="S918" s="1613"/>
      <c r="T918" s="1614"/>
      <c r="U918" s="1654" t="s">
        <v>555</v>
      </c>
      <c r="V918" s="1361"/>
      <c r="W918" s="1361"/>
      <c r="X918" s="1361"/>
      <c r="Y918" s="1361"/>
      <c r="Z918" s="1362"/>
      <c r="AA918" s="1651">
        <v>4900000</v>
      </c>
      <c r="AB918" s="1440"/>
      <c r="AC918" s="1440"/>
      <c r="AD918" s="1440"/>
      <c r="AE918" s="1440"/>
      <c r="AF918" s="165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12" t="s">
        <v>2744</v>
      </c>
      <c r="J919" s="1613"/>
      <c r="K919" s="1613"/>
      <c r="L919" s="1613"/>
      <c r="M919" s="1613"/>
      <c r="N919" s="1613"/>
      <c r="O919" s="1613"/>
      <c r="P919" s="1613"/>
      <c r="Q919" s="1613"/>
      <c r="R919" s="1613"/>
      <c r="S919" s="1613"/>
      <c r="T919" s="1614"/>
      <c r="U919" s="1654" t="s">
        <v>555</v>
      </c>
      <c r="V919" s="1361"/>
      <c r="W919" s="1361"/>
      <c r="X919" s="1361"/>
      <c r="Y919" s="1361"/>
      <c r="Z919" s="1362"/>
      <c r="AA919" s="1651">
        <v>2100000</v>
      </c>
      <c r="AB919" s="1440"/>
      <c r="AC919" s="1440"/>
      <c r="AD919" s="1440"/>
      <c r="AE919" s="1440"/>
      <c r="AF919" s="165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2" t="s">
        <v>336</v>
      </c>
      <c r="J920" s="1663"/>
      <c r="K920" s="1663"/>
      <c r="L920" s="1663"/>
      <c r="M920" s="1663"/>
      <c r="N920" s="1663"/>
      <c r="O920" s="1663"/>
      <c r="P920" s="1663"/>
      <c r="Q920" s="1663"/>
      <c r="R920" s="1663"/>
      <c r="S920" s="1663"/>
      <c r="T920" s="1664"/>
      <c r="U920" s="1654" t="s">
        <v>601</v>
      </c>
      <c r="V920" s="1361"/>
      <c r="W920" s="1361"/>
      <c r="X920" s="1361"/>
      <c r="Y920" s="1361"/>
      <c r="Z920" s="1362"/>
      <c r="AA920" s="1651"/>
      <c r="AB920" s="1440"/>
      <c r="AC920" s="1440"/>
      <c r="AD920" s="1440"/>
      <c r="AE920" s="1440"/>
      <c r="AF920" s="165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1">
        <v>44600</v>
      </c>
      <c r="N925" s="1603"/>
      <c r="O925" s="1603"/>
      <c r="P925" s="1603"/>
      <c r="Q925" s="1603"/>
      <c r="R925" s="1603"/>
      <c r="S925" s="1628"/>
      <c r="U925" s="66" t="s">
        <v>11</v>
      </c>
      <c r="V925" s="5"/>
      <c r="W925" s="5"/>
      <c r="X925" s="5"/>
      <c r="Y925" s="5"/>
      <c r="Z925" s="5"/>
      <c r="AA925" s="5"/>
      <c r="AB925" s="5"/>
      <c r="AC925" s="5"/>
      <c r="AD925" s="46"/>
      <c r="AE925" s="1661"/>
      <c r="AF925" s="1603"/>
      <c r="AG925" s="1603"/>
      <c r="AH925" s="1603"/>
      <c r="AI925" s="1603"/>
      <c r="AJ925" s="1603"/>
      <c r="AK925" s="162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4" t="s">
        <v>2753</v>
      </c>
      <c r="N926" s="1463"/>
      <c r="O926" s="1463"/>
      <c r="P926" s="1463"/>
      <c r="Q926" s="1463"/>
      <c r="R926" s="1463"/>
      <c r="S926" s="1653"/>
      <c r="U926" s="66" t="s">
        <v>12</v>
      </c>
      <c r="V926" s="5"/>
      <c r="W926" s="5"/>
      <c r="X926" s="5"/>
      <c r="Y926" s="5"/>
      <c r="Z926" s="5"/>
      <c r="AA926" s="5"/>
      <c r="AB926" s="5"/>
      <c r="AC926" s="5"/>
      <c r="AD926" s="46"/>
      <c r="AE926" s="1404"/>
      <c r="AF926" s="1463"/>
      <c r="AG926" s="1463"/>
      <c r="AH926" s="1463"/>
      <c r="AI926" s="1463"/>
      <c r="AJ926" s="1463"/>
      <c r="AK926" s="165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55" t="s">
        <v>2754</v>
      </c>
      <c r="K927" s="1656"/>
      <c r="L927" s="1656"/>
      <c r="M927" s="1656"/>
      <c r="N927" s="1656"/>
      <c r="O927" s="1656"/>
      <c r="P927" s="1656"/>
      <c r="Q927" s="1656"/>
      <c r="R927" s="1656"/>
      <c r="S927" s="1657"/>
      <c r="U927" s="66" t="s">
        <v>910</v>
      </c>
      <c r="V927" s="5"/>
      <c r="W927" s="5"/>
      <c r="AB927" s="1655" t="s">
        <v>309</v>
      </c>
      <c r="AC927" s="1656"/>
      <c r="AD927" s="1656"/>
      <c r="AE927" s="1656"/>
      <c r="AF927" s="1656"/>
      <c r="AG927" s="1656"/>
      <c r="AH927" s="1656"/>
      <c r="AI927" s="1656"/>
      <c r="AJ927" s="1656"/>
      <c r="AK927" s="165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5">
        <v>0.06</v>
      </c>
      <c r="N928" s="1673"/>
      <c r="O928" s="1673"/>
      <c r="P928" s="1673"/>
      <c r="Q928" s="1673"/>
      <c r="R928" s="1673"/>
      <c r="S928" s="1674"/>
      <c r="U928" s="66" t="s">
        <v>13</v>
      </c>
      <c r="V928" s="5"/>
      <c r="W928" s="5"/>
      <c r="X928" s="5"/>
      <c r="Y928" s="5"/>
      <c r="Z928" s="5"/>
      <c r="AA928" s="5"/>
      <c r="AB928" s="5"/>
      <c r="AC928" s="5"/>
      <c r="AD928" s="46"/>
      <c r="AE928" s="1672"/>
      <c r="AF928" s="1673"/>
      <c r="AG928" s="1673"/>
      <c r="AH928" s="1673"/>
      <c r="AI928" s="1673"/>
      <c r="AJ928" s="1673"/>
      <c r="AK928" s="167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33">
        <v>8</v>
      </c>
      <c r="N929" s="1634"/>
      <c r="O929" s="1634"/>
      <c r="P929" s="1634"/>
      <c r="Q929" s="1634"/>
      <c r="R929" s="1634"/>
      <c r="S929" s="1635"/>
      <c r="U929" s="66" t="s">
        <v>14</v>
      </c>
      <c r="V929" s="5"/>
      <c r="W929" s="5"/>
      <c r="X929" s="5"/>
      <c r="Y929" s="5"/>
      <c r="Z929" s="5"/>
      <c r="AA929" s="5"/>
      <c r="AB929" s="5"/>
      <c r="AC929" s="5"/>
      <c r="AD929" s="46"/>
      <c r="AE929" s="1633"/>
      <c r="AF929" s="1634"/>
      <c r="AG929" s="1634"/>
      <c r="AH929" s="1634"/>
      <c r="AI929" s="1634"/>
      <c r="AJ929" s="1634"/>
      <c r="AK929" s="163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1">
        <v>88200</v>
      </c>
      <c r="N930" s="1440"/>
      <c r="O930" s="1440"/>
      <c r="P930" s="1440"/>
      <c r="Q930" s="1440"/>
      <c r="R930" s="1440"/>
      <c r="S930" s="1652"/>
      <c r="U930" s="66" t="s">
        <v>15</v>
      </c>
      <c r="V930" s="5"/>
      <c r="W930" s="5"/>
      <c r="X930" s="5"/>
      <c r="Y930" s="5"/>
      <c r="Z930" s="5"/>
      <c r="AA930" s="5"/>
      <c r="AB930" s="5"/>
      <c r="AC930" s="5"/>
      <c r="AD930" s="46"/>
      <c r="AE930" s="1651"/>
      <c r="AF930" s="1440"/>
      <c r="AG930" s="1440"/>
      <c r="AH930" s="1440"/>
      <c r="AI930" s="1440"/>
      <c r="AJ930" s="1440"/>
      <c r="AK930" s="165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1"/>
      <c r="N931" s="1440"/>
      <c r="O931" s="1440"/>
      <c r="P931" s="1440"/>
      <c r="Q931" s="1440"/>
      <c r="R931" s="1440"/>
      <c r="S931" s="1652"/>
      <c r="U931" s="66" t="s">
        <v>16</v>
      </c>
      <c r="V931" s="5"/>
      <c r="W931" s="5"/>
      <c r="X931" s="5"/>
      <c r="Y931" s="5"/>
      <c r="Z931" s="5"/>
      <c r="AA931" s="5"/>
      <c r="AB931" s="5"/>
      <c r="AC931" s="5"/>
      <c r="AD931" s="46"/>
      <c r="AE931" s="1651"/>
      <c r="AF931" s="1440"/>
      <c r="AG931" s="1440"/>
      <c r="AH931" s="1440"/>
      <c r="AI931" s="1440"/>
      <c r="AJ931" s="1440"/>
      <c r="AK931" s="165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1845</v>
      </c>
      <c r="D932" s="5"/>
      <c r="E932" s="5"/>
      <c r="F932" s="5"/>
      <c r="G932" s="5"/>
      <c r="H932" s="5"/>
      <c r="I932" s="5"/>
      <c r="J932" s="5"/>
      <c r="K932" s="5"/>
      <c r="L932" s="46"/>
      <c r="M932" s="1863">
        <v>20</v>
      </c>
      <c r="N932" s="1604"/>
      <c r="O932" s="1604"/>
      <c r="P932" s="1604"/>
      <c r="Q932" s="1604"/>
      <c r="R932" s="1604"/>
      <c r="S932" s="1864"/>
      <c r="U932" s="121" t="s">
        <v>1845</v>
      </c>
      <c r="V932" s="5"/>
      <c r="W932" s="5"/>
      <c r="X932" s="5"/>
      <c r="Y932" s="5"/>
      <c r="Z932" s="5"/>
      <c r="AA932" s="5"/>
      <c r="AB932" s="5"/>
      <c r="AC932" s="5"/>
      <c r="AD932" s="46"/>
      <c r="AE932" s="1669"/>
      <c r="AF932" s="1670"/>
      <c r="AG932" s="1670"/>
      <c r="AH932" s="1670"/>
      <c r="AI932" s="1670"/>
      <c r="AJ932" s="1670"/>
      <c r="AK932" s="167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45"/>
      <c r="N937" s="1646"/>
      <c r="O937" s="1646"/>
      <c r="P937" s="1646"/>
      <c r="Q937" s="1646"/>
      <c r="R937" s="1646"/>
      <c r="S937" s="1647"/>
      <c r="T937" s="66" t="s">
        <v>815</v>
      </c>
      <c r="U937" s="5"/>
      <c r="V937" s="5"/>
      <c r="W937" s="5"/>
      <c r="X937" s="5"/>
      <c r="Y937" s="5"/>
      <c r="Z937" s="46"/>
      <c r="AA937" s="1645"/>
      <c r="AB937" s="1646"/>
      <c r="AC937" s="1646"/>
      <c r="AD937" s="1646"/>
      <c r="AE937" s="1646"/>
      <c r="AF937" s="1646"/>
      <c r="AG937" s="164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45"/>
      <c r="N938" s="1646"/>
      <c r="O938" s="1646"/>
      <c r="P938" s="1646"/>
      <c r="Q938" s="1646"/>
      <c r="R938" s="1646"/>
      <c r="S938" s="1647"/>
      <c r="T938" s="66" t="s">
        <v>814</v>
      </c>
      <c r="U938" s="5"/>
      <c r="V938" s="5"/>
      <c r="W938" s="5"/>
      <c r="X938" s="5"/>
      <c r="Y938" s="5"/>
      <c r="Z938" s="46"/>
      <c r="AA938" s="1645"/>
      <c r="AB938" s="1646"/>
      <c r="AC938" s="1646"/>
      <c r="AD938" s="1646"/>
      <c r="AE938" s="1646"/>
      <c r="AF938" s="1646"/>
      <c r="AG938" s="164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5" t="s">
        <v>601</v>
      </c>
      <c r="N939" s="1696"/>
      <c r="O939" s="1696"/>
      <c r="P939" s="1696"/>
      <c r="Q939" s="1696"/>
      <c r="R939" s="1696"/>
      <c r="S939" s="1697"/>
      <c r="T939" s="45" t="s">
        <v>339</v>
      </c>
      <c r="U939" s="5"/>
      <c r="V939" s="5"/>
      <c r="W939" s="5"/>
      <c r="X939" s="5"/>
      <c r="Y939" s="5"/>
      <c r="Z939" s="46"/>
      <c r="AA939" s="1645"/>
      <c r="AB939" s="1646"/>
      <c r="AC939" s="1646"/>
      <c r="AD939" s="1646"/>
      <c r="AE939" s="1646"/>
      <c r="AF939" s="1646"/>
      <c r="AG939" s="164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45"/>
      <c r="N940" s="1646"/>
      <c r="O940" s="1646"/>
      <c r="P940" s="1646"/>
      <c r="Q940" s="1646"/>
      <c r="R940" s="1646"/>
      <c r="S940" s="1647"/>
      <c r="T940" s="45" t="s">
        <v>340</v>
      </c>
      <c r="U940" s="5"/>
      <c r="V940" s="5"/>
      <c r="W940" s="5"/>
      <c r="X940" s="5"/>
      <c r="Y940" s="5"/>
      <c r="Z940" s="46"/>
      <c r="AA940" s="1645"/>
      <c r="AB940" s="1646"/>
      <c r="AC940" s="1646"/>
      <c r="AD940" s="1646"/>
      <c r="AE940" s="1646"/>
      <c r="AF940" s="1646"/>
      <c r="AG940" s="164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45"/>
      <c r="N941" s="1646"/>
      <c r="O941" s="1646"/>
      <c r="P941" s="1646"/>
      <c r="Q941" s="1646"/>
      <c r="R941" s="1646"/>
      <c r="S941" s="1647"/>
      <c r="T941" s="45" t="s">
        <v>378</v>
      </c>
      <c r="U941" s="5"/>
      <c r="V941" s="5"/>
      <c r="W941" s="5"/>
      <c r="X941" s="5"/>
      <c r="Y941" s="5"/>
      <c r="Z941" s="46"/>
      <c r="AA941" s="1645"/>
      <c r="AB941" s="1646"/>
      <c r="AC941" s="1646"/>
      <c r="AD941" s="1646"/>
      <c r="AE941" s="1646"/>
      <c r="AF941" s="1646"/>
      <c r="AG941" s="164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8" t="s">
        <v>309</v>
      </c>
      <c r="N942" s="1679"/>
      <c r="O942" s="1679"/>
      <c r="P942" s="1679"/>
      <c r="Q942" s="1679"/>
      <c r="R942" s="1679"/>
      <c r="S942" s="1680"/>
      <c r="T942" s="1658"/>
      <c r="U942" s="1659"/>
      <c r="V942" s="1659"/>
      <c r="W942" s="1659"/>
      <c r="X942" s="1659"/>
      <c r="Y942" s="1659"/>
      <c r="Z942" s="1660"/>
      <c r="AA942" s="1645"/>
      <c r="AB942" s="1646"/>
      <c r="AC942" s="1646"/>
      <c r="AD942" s="1646"/>
      <c r="AE942" s="1646"/>
      <c r="AF942" s="1646"/>
      <c r="AG942" s="164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45"/>
      <c r="N943" s="1646"/>
      <c r="O943" s="1646"/>
      <c r="P943" s="1646"/>
      <c r="Q943" s="1646"/>
      <c r="R943" s="1646"/>
      <c r="S943" s="1647"/>
      <c r="T943" s="1658"/>
      <c r="U943" s="1659"/>
      <c r="V943" s="1659"/>
      <c r="W943" s="1659"/>
      <c r="X943" s="1659"/>
      <c r="Y943" s="1659"/>
      <c r="Z943" s="1660"/>
      <c r="AA943" s="1645"/>
      <c r="AB943" s="1646"/>
      <c r="AC943" s="1646"/>
      <c r="AD943" s="1646"/>
      <c r="AE943" s="1646"/>
      <c r="AF943" s="1646"/>
      <c r="AG943" s="164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71" t="s">
        <v>679</v>
      </c>
      <c r="P944" s="1373"/>
      <c r="Q944" s="92"/>
      <c r="R944" s="92"/>
      <c r="S944" s="93"/>
      <c r="T944" s="41" t="s">
        <v>171</v>
      </c>
      <c r="U944" s="42"/>
      <c r="V944" s="42"/>
      <c r="W944" s="1675" t="s">
        <v>336</v>
      </c>
      <c r="X944" s="1676"/>
      <c r="Y944" s="1676"/>
      <c r="Z944" s="1676"/>
      <c r="AA944" s="1676"/>
      <c r="AB944" s="1676"/>
      <c r="AC944" s="1676"/>
      <c r="AD944" s="1676"/>
      <c r="AE944" s="1676"/>
      <c r="AF944" s="1676"/>
      <c r="AG944" s="167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11" t="s">
        <v>33</v>
      </c>
      <c r="G945" s="1517"/>
      <c r="H945" s="1517"/>
      <c r="I945" s="1517"/>
      <c r="J945" s="1517"/>
      <c r="K945" s="1517"/>
      <c r="L945" s="1517"/>
      <c r="M945" s="1645"/>
      <c r="N945" s="1646"/>
      <c r="O945" s="1646"/>
      <c r="P945" s="1646"/>
      <c r="Q945" s="1646"/>
      <c r="R945" s="1646"/>
      <c r="S945" s="1647"/>
      <c r="T945" s="47"/>
      <c r="U945" s="48"/>
      <c r="V945" s="48"/>
      <c r="W945" s="48"/>
      <c r="X945" s="48"/>
      <c r="Y945" s="48"/>
      <c r="Z945" s="124" t="s">
        <v>135</v>
      </c>
      <c r="AA945" s="1823"/>
      <c r="AB945" s="1824"/>
      <c r="AC945" s="1824"/>
      <c r="AD945" s="1824"/>
      <c r="AE945" s="1824"/>
      <c r="AF945" s="1824"/>
      <c r="AG945" s="182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67" t="s">
        <v>558</v>
      </c>
      <c r="B949" s="1767"/>
      <c r="C949" s="1767"/>
      <c r="D949" s="1767"/>
      <c r="E949" s="1767"/>
      <c r="F949" s="1767"/>
      <c r="G949" s="1767"/>
      <c r="H949" s="1767"/>
      <c r="I949" s="1767"/>
      <c r="J949" s="1767"/>
      <c r="K949" s="1767"/>
      <c r="L949" s="1767"/>
      <c r="M949" s="1767"/>
      <c r="N949" s="1767"/>
      <c r="O949" s="1767"/>
      <c r="P949" s="1767"/>
      <c r="Q949" s="1767"/>
      <c r="R949" s="1767"/>
      <c r="S949" s="1767"/>
      <c r="T949" s="1767"/>
      <c r="U949" s="1767"/>
      <c r="V949" s="1767"/>
      <c r="W949" s="1767"/>
      <c r="X949" s="1767"/>
      <c r="Y949" s="1767"/>
      <c r="Z949" s="1767"/>
      <c r="AA949" s="1767"/>
      <c r="AB949" s="1767"/>
      <c r="AC949" s="1767"/>
      <c r="AD949" s="1767"/>
      <c r="AE949" s="1767"/>
      <c r="AF949" s="1767"/>
      <c r="AG949" s="1767"/>
      <c r="AH949" s="1767"/>
      <c r="AI949" s="1767"/>
      <c r="AJ949" s="1767"/>
      <c r="AK949" s="1767"/>
      <c r="AL949" s="1767"/>
      <c r="AM949" s="1767"/>
      <c r="AN949" s="1767"/>
      <c r="AO949" s="1767"/>
      <c r="AP949" s="1767"/>
      <c r="AQ949" s="1767"/>
      <c r="AR949" s="1767"/>
      <c r="AS949" s="176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67"/>
      <c r="B950" s="1767"/>
      <c r="C950" s="1767"/>
      <c r="D950" s="1767"/>
      <c r="E950" s="1767"/>
      <c r="F950" s="1767"/>
      <c r="G950" s="1767"/>
      <c r="H950" s="1767"/>
      <c r="I950" s="1767"/>
      <c r="J950" s="1767"/>
      <c r="K950" s="1767"/>
      <c r="L950" s="1767"/>
      <c r="M950" s="1767"/>
      <c r="N950" s="1767"/>
      <c r="O950" s="1767"/>
      <c r="P950" s="1767"/>
      <c r="Q950" s="1767"/>
      <c r="R950" s="1767"/>
      <c r="S950" s="1767"/>
      <c r="T950" s="1767"/>
      <c r="U950" s="1767"/>
      <c r="V950" s="1767"/>
      <c r="W950" s="1767"/>
      <c r="X950" s="1767"/>
      <c r="Y950" s="1767"/>
      <c r="Z950" s="1767"/>
      <c r="AA950" s="1767"/>
      <c r="AB950" s="1767"/>
      <c r="AC950" s="1767"/>
      <c r="AD950" s="1767"/>
      <c r="AE950" s="1767"/>
      <c r="AF950" s="1767"/>
      <c r="AG950" s="1767"/>
      <c r="AH950" s="1767"/>
      <c r="AI950" s="1767"/>
      <c r="AJ950" s="1767"/>
      <c r="AK950" s="1767"/>
      <c r="AL950" s="1767"/>
      <c r="AM950" s="1767"/>
      <c r="AN950" s="1767"/>
      <c r="AO950" s="1767"/>
      <c r="AP950" s="1767"/>
      <c r="AQ950" s="1767"/>
      <c r="AR950" s="1767"/>
      <c r="AS950" s="176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1"/>
      <c r="BH951" s="1641"/>
      <c r="BI951" s="1641"/>
      <c r="BJ951" s="1641"/>
      <c r="BK951" s="1641"/>
      <c r="BL951" s="164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16" t="s">
        <v>648</v>
      </c>
      <c r="E954" s="1817"/>
      <c r="F954" s="1817"/>
      <c r="G954" s="1817"/>
      <c r="H954" s="1817"/>
      <c r="I954" s="1817"/>
      <c r="J954" s="1817"/>
      <c r="K954" s="1817"/>
      <c r="L954" s="1817"/>
      <c r="M954" s="1817"/>
      <c r="N954" s="1817"/>
      <c r="O954" s="1817"/>
      <c r="P954" s="1817"/>
      <c r="Q954" s="1818"/>
      <c r="R954" s="1816" t="s">
        <v>649</v>
      </c>
      <c r="S954" s="1817"/>
      <c r="T954" s="1817"/>
      <c r="U954" s="1817"/>
      <c r="V954" s="1817"/>
      <c r="W954" s="1817"/>
      <c r="X954" s="1817"/>
      <c r="Y954" s="1817"/>
      <c r="Z954" s="1817"/>
      <c r="AA954" s="1818"/>
      <c r="AB954" s="1816" t="s">
        <v>650</v>
      </c>
      <c r="AC954" s="1817"/>
      <c r="AD954" s="1817"/>
      <c r="AE954" s="1817"/>
      <c r="AF954" s="1817"/>
      <c r="AG954" s="1817"/>
      <c r="AH954" s="1817"/>
      <c r="AI954" s="1818"/>
      <c r="AJ954" s="1816" t="s">
        <v>651</v>
      </c>
      <c r="AK954" s="1817"/>
      <c r="AL954" s="1817"/>
      <c r="AM954" s="1817"/>
      <c r="AN954" s="1817"/>
      <c r="AO954" s="1817"/>
      <c r="AP954" s="1817"/>
      <c r="AQ954" s="1818"/>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24" t="s">
        <v>643</v>
      </c>
      <c r="E955" s="1725"/>
      <c r="F955" s="1725"/>
      <c r="G955" s="1725"/>
      <c r="H955" s="1725"/>
      <c r="I955" s="1725"/>
      <c r="J955" s="1725"/>
      <c r="K955" s="1725"/>
      <c r="L955" s="1725"/>
      <c r="M955" s="1725"/>
      <c r="N955" s="1725"/>
      <c r="O955" s="1725"/>
      <c r="P955" s="1725"/>
      <c r="Q955" s="1726"/>
      <c r="R955" s="1733">
        <f>IF(ISNA(IF($BN$785="4%",(INDEX($BP$795:$BT$852,MATCH($CB$785,$BO$795:$BO$852,0),MATCH(D955,$BP$794:$BT$794,0))),(INDEX($BW$795:$CA$852,MATCH($CB$785,$BV$795:$BV$852,0),MATCH(D955,$BW$794:$CA$794,0))))),0,IF($BN$785="4%",(INDEX($BP$795:$BT$852,MATCH($CB$785,$BO$795:$BO$852,0),MATCH(D955,$BP$794:$BT$794,0))),(INDEX($BW$795:$CA$852,MATCH($CB$785,$BV$795:$BV$852,0),MATCH(D955,$BW$794:$CA$794,0)))))</f>
        <v>384234</v>
      </c>
      <c r="S955" s="1733"/>
      <c r="T955" s="1733"/>
      <c r="U955" s="1733"/>
      <c r="V955" s="1733"/>
      <c r="W955" s="1733"/>
      <c r="X955" s="1733"/>
      <c r="Y955" s="1733"/>
      <c r="Z955" s="1733"/>
      <c r="AA955" s="1733"/>
      <c r="AB955" s="1819">
        <f>BN649</f>
        <v>21</v>
      </c>
      <c r="AC955" s="1820"/>
      <c r="AD955" s="1820"/>
      <c r="AE955" s="1820"/>
      <c r="AF955" s="1820"/>
      <c r="AG955" s="1820"/>
      <c r="AH955" s="1820"/>
      <c r="AI955" s="1821"/>
      <c r="AJ955" s="1730">
        <f>IF(ISERROR((R955*AB955)),0,(R955*AB955))</f>
        <v>8068914</v>
      </c>
      <c r="AK955" s="1731"/>
      <c r="AL955" s="1731"/>
      <c r="AM955" s="1731"/>
      <c r="AN955" s="1731"/>
      <c r="AO955" s="1731"/>
      <c r="AP955" s="1731"/>
      <c r="AQ955" s="173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4" t="s">
        <v>327</v>
      </c>
      <c r="E956" s="1725"/>
      <c r="F956" s="1725"/>
      <c r="G956" s="1725"/>
      <c r="H956" s="1725"/>
      <c r="I956" s="1725"/>
      <c r="J956" s="1725"/>
      <c r="K956" s="1725"/>
      <c r="L956" s="1725"/>
      <c r="M956" s="1725"/>
      <c r="N956" s="1725"/>
      <c r="O956" s="1725"/>
      <c r="P956" s="1725"/>
      <c r="Q956" s="1726"/>
      <c r="R956" s="1733">
        <f>IF(ISNA(IF($BN$785="4%",(INDEX($BP$795:$BT$852,MATCH($CB$785,$BO$795:$BO$852,0),MATCH(D956,$BP$794:$BT$794,0))),(INDEX($BW$795:$CA$852,MATCH($CB$785,$BV$795:$BV$852,0),MATCH(D956,$BW$794:$CA$794,0))))),0,IF($BN$785="4%",(INDEX($BP$795:$BT$852,MATCH($CB$785,$BO$795:$BO$852,0),MATCH(D956,$BP$794:$BT$794,0))),(INDEX($BW$795:$CA$852,MATCH($CB$785,$BV$795:$BV$852,0),MATCH(D956,$BW$794:$CA$794,0)))))</f>
        <v>443018</v>
      </c>
      <c r="S956" s="1733"/>
      <c r="T956" s="1733"/>
      <c r="U956" s="1733"/>
      <c r="V956" s="1733"/>
      <c r="W956" s="1733"/>
      <c r="X956" s="1733"/>
      <c r="Y956" s="1733"/>
      <c r="Z956" s="1733"/>
      <c r="AA956" s="1733"/>
      <c r="AB956" s="1819">
        <f>BS649</f>
        <v>82</v>
      </c>
      <c r="AC956" s="1820"/>
      <c r="AD956" s="1820"/>
      <c r="AE956" s="1820"/>
      <c r="AF956" s="1820"/>
      <c r="AG956" s="1820"/>
      <c r="AH956" s="1820"/>
      <c r="AI956" s="1821"/>
      <c r="AJ956" s="1730">
        <f>IF(ISERROR((R956*AB956)),0,(R956*AB956))</f>
        <v>36327476</v>
      </c>
      <c r="AK956" s="1731"/>
      <c r="AL956" s="1731"/>
      <c r="AM956" s="1731"/>
      <c r="AN956" s="1731"/>
      <c r="AO956" s="1731"/>
      <c r="AP956" s="1731"/>
      <c r="AQ956" s="173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4" t="s">
        <v>164</v>
      </c>
      <c r="E957" s="1725"/>
      <c r="F957" s="1725"/>
      <c r="G957" s="1725"/>
      <c r="H957" s="1725"/>
      <c r="I957" s="1725"/>
      <c r="J957" s="1725"/>
      <c r="K957" s="1725"/>
      <c r="L957" s="1725"/>
      <c r="M957" s="1725"/>
      <c r="N957" s="1725"/>
      <c r="O957" s="1725"/>
      <c r="P957" s="1725"/>
      <c r="Q957" s="1726"/>
      <c r="R957" s="1733">
        <f>IF(ISNA(IF($BN$785="4%",(INDEX($BP$795:$BT$852,MATCH($CB$785,$BO$795:$BO$852,0),MATCH(D957,$BP$794:$BT$794,0))),(INDEX($BW$795:$CA$852,MATCH($CB$785,$BV$795:$BV$852,0),MATCH(D957,$BW$794:$CA$794,0))))),0,IF($BN$785="4%",(INDEX($BP$795:$BT$852,MATCH($CB$785,$BO$795:$BO$852,0),MATCH(D957,$BP$794:$BT$794,0))),(INDEX($BW$795:$CA$852,MATCH($CB$785,$BV$795:$BV$852,0),MATCH(D957,$BW$794:$CA$794,0)))))</f>
        <v>534400</v>
      </c>
      <c r="S957" s="1733"/>
      <c r="T957" s="1733"/>
      <c r="U957" s="1733"/>
      <c r="V957" s="1733"/>
      <c r="W957" s="1733"/>
      <c r="X957" s="1733"/>
      <c r="Y957" s="1733"/>
      <c r="Z957" s="1733"/>
      <c r="AA957" s="1733"/>
      <c r="AB957" s="1819">
        <f>BX649</f>
        <v>32</v>
      </c>
      <c r="AC957" s="1820"/>
      <c r="AD957" s="1820"/>
      <c r="AE957" s="1820"/>
      <c r="AF957" s="1820"/>
      <c r="AG957" s="1820"/>
      <c r="AH957" s="1820"/>
      <c r="AI957" s="1821"/>
      <c r="AJ957" s="1730">
        <f>IF(ISERROR((R957*AB957)),0,(R957*AB957))</f>
        <v>17100800</v>
      </c>
      <c r="AK957" s="1731"/>
      <c r="AL957" s="1731"/>
      <c r="AM957" s="1731"/>
      <c r="AN957" s="1731"/>
      <c r="AO957" s="1731"/>
      <c r="AP957" s="1731"/>
      <c r="AQ957" s="173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4" t="s">
        <v>165</v>
      </c>
      <c r="E958" s="1725"/>
      <c r="F958" s="1725"/>
      <c r="G958" s="1725"/>
      <c r="H958" s="1725"/>
      <c r="I958" s="1725"/>
      <c r="J958" s="1725"/>
      <c r="K958" s="1725"/>
      <c r="L958" s="1725"/>
      <c r="M958" s="1725"/>
      <c r="N958" s="1725"/>
      <c r="O958" s="1725"/>
      <c r="P958" s="1725"/>
      <c r="Q958" s="1726"/>
      <c r="R958" s="1733">
        <f>IF(ISNA(IF($BN$785="4%",(INDEX($BP$795:$BT$852,MATCH($CB$785,$BO$795:$BO$852,0),MATCH(D958,$BP$794:$BT$794,0))),(INDEX($BW$795:$CA$852,MATCH($CB$785,$BV$795:$BV$852,0),MATCH(D958,$BW$794:$CA$794,0))))),0,IF($BN$785="4%",(INDEX($BP$795:$BT$852,MATCH($CB$785,$BO$795:$BO$852,0),MATCH(D958,$BP$794:$BT$794,0))),(INDEX($BW$795:$CA$852,MATCH($CB$785,$BV$795:$BV$852,0),MATCH(D958,$BW$794:$CA$794,0)))))</f>
        <v>684032</v>
      </c>
      <c r="S958" s="1733"/>
      <c r="T958" s="1733"/>
      <c r="U958" s="1733"/>
      <c r="V958" s="1733"/>
      <c r="W958" s="1733"/>
      <c r="X958" s="1733"/>
      <c r="Y958" s="1733"/>
      <c r="Z958" s="1733"/>
      <c r="AA958" s="1733"/>
      <c r="AB958" s="1819">
        <f>CC649</f>
        <v>0</v>
      </c>
      <c r="AC958" s="1820"/>
      <c r="AD958" s="1820"/>
      <c r="AE958" s="1820"/>
      <c r="AF958" s="1820"/>
      <c r="AG958" s="1820"/>
      <c r="AH958" s="1820"/>
      <c r="AI958" s="1821"/>
      <c r="AJ958" s="1730">
        <f>IF(ISERROR((R958*AB958)),0,(R958*AB958))</f>
        <v>0</v>
      </c>
      <c r="AK958" s="1731"/>
      <c r="AL958" s="1731"/>
      <c r="AM958" s="1731"/>
      <c r="AN958" s="1731"/>
      <c r="AO958" s="1731"/>
      <c r="AP958" s="1731"/>
      <c r="AQ958" s="173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4" t="s">
        <v>470</v>
      </c>
      <c r="E959" s="1725"/>
      <c r="F959" s="1725"/>
      <c r="G959" s="1725"/>
      <c r="H959" s="1725"/>
      <c r="I959" s="1725"/>
      <c r="J959" s="1725"/>
      <c r="K959" s="1725"/>
      <c r="L959" s="1725"/>
      <c r="M959" s="1725"/>
      <c r="N959" s="1725"/>
      <c r="O959" s="1725"/>
      <c r="P959" s="1725"/>
      <c r="Q959" s="1726"/>
      <c r="R959" s="1733">
        <f>IF(ISNA(IF($BN$785="4%",(INDEX($BP$795:$BT$852,MATCH($CB$785,$BO$795:$BO$852,0),MATCH(D959,$BP$794:$BT$794,0))),(INDEX($BW$795:$CA$852,MATCH($CB$785,$BV$795:$BV$852,0),MATCH(D959,$BW$794:$CA$794,0))))),0,IF($BN$785="4%",(INDEX($BP$795:$BT$852,MATCH($CB$785,$BO$795:$BO$852,0),MATCH(D959,$BP$794:$BT$794,0))),(INDEX($BW$795:$CA$852,MATCH($CB$785,$BV$795:$BV$852,0),MATCH(D959,$BW$794:$CA$794,0)))))</f>
        <v>762054</v>
      </c>
      <c r="S959" s="1733"/>
      <c r="T959" s="1733"/>
      <c r="U959" s="1733"/>
      <c r="V959" s="1733"/>
      <c r="W959" s="1733"/>
      <c r="X959" s="1733"/>
      <c r="Y959" s="1733"/>
      <c r="Z959" s="1733"/>
      <c r="AA959" s="1733"/>
      <c r="AB959" s="1819">
        <f>CM649+CH649</f>
        <v>0</v>
      </c>
      <c r="AC959" s="1820"/>
      <c r="AD959" s="1820"/>
      <c r="AE959" s="1820"/>
      <c r="AF959" s="1820"/>
      <c r="AG959" s="1820"/>
      <c r="AH959" s="1820"/>
      <c r="AI959" s="1821"/>
      <c r="AJ959" s="1730">
        <f>IF(ISERROR((R959*AB959)),0,(R959*AB959))</f>
        <v>0</v>
      </c>
      <c r="AK959" s="1731"/>
      <c r="AL959" s="1731"/>
      <c r="AM959" s="1731"/>
      <c r="AN959" s="1731"/>
      <c r="AO959" s="1731"/>
      <c r="AP959" s="1731"/>
      <c r="AQ959" s="173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30" t="s">
        <v>816</v>
      </c>
      <c r="C960" s="1831"/>
      <c r="D960" s="1831"/>
      <c r="E960" s="1831"/>
      <c r="F960" s="1831"/>
      <c r="G960" s="1831"/>
      <c r="H960" s="1831"/>
      <c r="I960" s="1831"/>
      <c r="J960" s="1831"/>
      <c r="K960" s="1831"/>
      <c r="L960" s="1831"/>
      <c r="M960" s="1831"/>
      <c r="N960" s="1831"/>
      <c r="O960" s="1831"/>
      <c r="P960" s="1831"/>
      <c r="Q960" s="1831"/>
      <c r="R960" s="1831"/>
      <c r="S960" s="1831"/>
      <c r="T960" s="1831"/>
      <c r="U960" s="1831"/>
      <c r="V960" s="1831"/>
      <c r="W960" s="1831"/>
      <c r="X960" s="1831"/>
      <c r="Y960" s="1831"/>
      <c r="Z960" s="1831"/>
      <c r="AA960" s="1832"/>
      <c r="AB960" s="1819">
        <f>SUM(AB955:AI959)</f>
        <v>135</v>
      </c>
      <c r="AC960" s="1820"/>
      <c r="AD960" s="1820"/>
      <c r="AE960" s="1820"/>
      <c r="AF960" s="1820"/>
      <c r="AG960" s="1820"/>
      <c r="AH960" s="1820"/>
      <c r="AI960" s="1821"/>
      <c r="AJ960" s="1730"/>
      <c r="AK960" s="1731"/>
      <c r="AL960" s="1731"/>
      <c r="AM960" s="1731"/>
      <c r="AN960" s="1731"/>
      <c r="AO960" s="1731"/>
      <c r="AP960" s="1731"/>
      <c r="AQ960" s="173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8" t="s">
        <v>522</v>
      </c>
      <c r="C961" s="1849"/>
      <c r="D961" s="1849"/>
      <c r="E961" s="1849"/>
      <c r="F961" s="1849"/>
      <c r="G961" s="1849"/>
      <c r="H961" s="1849"/>
      <c r="I961" s="1849"/>
      <c r="J961" s="1849"/>
      <c r="K961" s="1849"/>
      <c r="L961" s="1849"/>
      <c r="M961" s="1849"/>
      <c r="N961" s="1849"/>
      <c r="O961" s="1849"/>
      <c r="P961" s="1849"/>
      <c r="Q961" s="1849"/>
      <c r="R961" s="1849"/>
      <c r="S961" s="1849"/>
      <c r="T961" s="1849"/>
      <c r="U961" s="1849"/>
      <c r="V961" s="1849"/>
      <c r="W961" s="1849"/>
      <c r="X961" s="1849"/>
      <c r="Y961" s="1849"/>
      <c r="Z961" s="1849"/>
      <c r="AA961" s="1849"/>
      <c r="AB961" s="1849"/>
      <c r="AC961" s="1849"/>
      <c r="AD961" s="1849"/>
      <c r="AE961" s="1849"/>
      <c r="AF961" s="1849"/>
      <c r="AG961" s="1849"/>
      <c r="AH961" s="1849"/>
      <c r="AI961" s="1850"/>
      <c r="AJ961" s="1730">
        <f>SUM(AJ955:AQ959)</f>
        <v>61497190</v>
      </c>
      <c r="AK961" s="1731"/>
      <c r="AL961" s="1731"/>
      <c r="AM961" s="1731"/>
      <c r="AN961" s="1731"/>
      <c r="AO961" s="1731"/>
      <c r="AP961" s="1731"/>
      <c r="AQ961" s="173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9"/>
      <c r="C962" s="1810"/>
      <c r="D962" s="1810"/>
      <c r="E962" s="1810"/>
      <c r="F962" s="1810"/>
      <c r="G962" s="1810"/>
      <c r="H962" s="1810"/>
      <c r="I962" s="1810"/>
      <c r="J962" s="1810"/>
      <c r="K962" s="1810"/>
      <c r="L962" s="1810"/>
      <c r="M962" s="1810"/>
      <c r="N962" s="1810"/>
      <c r="O962" s="1810"/>
      <c r="P962" s="1810"/>
      <c r="Q962" s="1810"/>
      <c r="R962" s="1810"/>
      <c r="S962" s="1810"/>
      <c r="T962" s="1810"/>
      <c r="U962" s="1810"/>
      <c r="V962" s="1810"/>
      <c r="W962" s="1810"/>
      <c r="X962" s="1810"/>
      <c r="Y962" s="1810"/>
      <c r="Z962" s="1810"/>
      <c r="AA962" s="1810"/>
      <c r="AB962" s="1810"/>
      <c r="AC962" s="1810"/>
      <c r="AD962" s="1810"/>
      <c r="AE962" s="1811"/>
      <c r="AF962" s="1851" t="s">
        <v>676</v>
      </c>
      <c r="AG962" s="1852"/>
      <c r="AH962" s="1852"/>
      <c r="AI962" s="1853"/>
      <c r="AJ962" s="1809"/>
      <c r="AK962" s="1810"/>
      <c r="AL962" s="1810"/>
      <c r="AM962" s="1810"/>
      <c r="AN962" s="1810"/>
      <c r="AO962" s="1810"/>
      <c r="AP962" s="1810"/>
      <c r="AQ962" s="181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812" t="s">
        <v>1365</v>
      </c>
      <c r="E963" s="1813"/>
      <c r="F963" s="1813"/>
      <c r="G963" s="1813"/>
      <c r="H963" s="1813"/>
      <c r="I963" s="1813"/>
      <c r="J963" s="1813"/>
      <c r="K963" s="1813"/>
      <c r="L963" s="1813"/>
      <c r="M963" s="1813"/>
      <c r="N963" s="1813"/>
      <c r="O963" s="1813"/>
      <c r="P963" s="1813"/>
      <c r="Q963" s="1813"/>
      <c r="R963" s="1813"/>
      <c r="S963" s="1813"/>
      <c r="T963" s="1813"/>
      <c r="U963" s="1813"/>
      <c r="V963" s="1813"/>
      <c r="W963" s="1813"/>
      <c r="X963" s="1813"/>
      <c r="Y963" s="1813"/>
      <c r="Z963" s="1813"/>
      <c r="AA963" s="1813"/>
      <c r="AB963" s="1813"/>
      <c r="AC963" s="1813"/>
      <c r="AD963" s="1813"/>
      <c r="AE963" s="1814"/>
      <c r="AF963" s="79"/>
      <c r="AG963" s="1854" t="s">
        <v>679</v>
      </c>
      <c r="AH963" s="1855"/>
      <c r="AI963" s="87"/>
      <c r="AJ963" s="1792">
        <f>ROUND(IF(AND(AG963="yes",D965&gt;0),AJ961*0.2,0),0)</f>
        <v>0</v>
      </c>
      <c r="AK963" s="1793"/>
      <c r="AL963" s="1793"/>
      <c r="AM963" s="1793"/>
      <c r="AN963" s="1793"/>
      <c r="AO963" s="1793"/>
      <c r="AP963" s="1793"/>
      <c r="AQ963" s="17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3" t="s">
        <v>1366</v>
      </c>
      <c r="E964" s="1834"/>
      <c r="F964" s="1834"/>
      <c r="G964" s="1834"/>
      <c r="H964" s="1834"/>
      <c r="I964" s="1834"/>
      <c r="J964" s="1834"/>
      <c r="K964" s="1834"/>
      <c r="L964" s="1834"/>
      <c r="M964" s="1834"/>
      <c r="N964" s="1834"/>
      <c r="O964" s="1834"/>
      <c r="P964" s="1834"/>
      <c r="Q964" s="1834"/>
      <c r="R964" s="1834"/>
      <c r="S964" s="1834"/>
      <c r="T964" s="1834"/>
      <c r="U964" s="1834"/>
      <c r="V964" s="1834"/>
      <c r="W964" s="1834"/>
      <c r="X964" s="1834"/>
      <c r="Y964" s="1834"/>
      <c r="Z964" s="1834"/>
      <c r="AA964" s="1834"/>
      <c r="AB964" s="1834"/>
      <c r="AC964" s="1834"/>
      <c r="AD964" s="1834"/>
      <c r="AE964" s="1835"/>
      <c r="AF964" s="73"/>
      <c r="AG964" s="14"/>
      <c r="AH964" s="14"/>
      <c r="AI964" s="83"/>
      <c r="AJ964" s="1795"/>
      <c r="AK964" s="1796"/>
      <c r="AL964" s="1796"/>
      <c r="AM964" s="1796"/>
      <c r="AN964" s="1796"/>
      <c r="AO964" s="1796"/>
      <c r="AP964" s="1796"/>
      <c r="AQ964" s="17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36"/>
      <c r="E965" s="1837"/>
      <c r="F965" s="1837"/>
      <c r="G965" s="1837"/>
      <c r="H965" s="1837"/>
      <c r="I965" s="1837"/>
      <c r="J965" s="1837"/>
      <c r="K965" s="1837"/>
      <c r="L965" s="1837"/>
      <c r="M965" s="1837"/>
      <c r="N965" s="1837"/>
      <c r="O965" s="1837"/>
      <c r="P965" s="1837"/>
      <c r="Q965" s="1837"/>
      <c r="R965" s="1837"/>
      <c r="S965" s="1837"/>
      <c r="T965" s="1837"/>
      <c r="U965" s="1837"/>
      <c r="V965" s="1837"/>
      <c r="W965" s="1837"/>
      <c r="X965" s="1837"/>
      <c r="Y965" s="1837"/>
      <c r="Z965" s="1837"/>
      <c r="AA965" s="1837"/>
      <c r="AB965" s="1837"/>
      <c r="AC965" s="1837"/>
      <c r="AD965" s="1837"/>
      <c r="AE965" s="1838"/>
      <c r="AF965" s="77"/>
      <c r="AG965" s="7"/>
      <c r="AH965" s="7"/>
      <c r="AI965" s="78"/>
      <c r="AJ965" s="1798"/>
      <c r="AK965" s="1799"/>
      <c r="AL965" s="1799"/>
      <c r="AM965" s="1799"/>
      <c r="AN965" s="1799"/>
      <c r="AO965" s="1799"/>
      <c r="AP965" s="1799"/>
      <c r="AQ965" s="18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73" t="s">
        <v>1453</v>
      </c>
      <c r="E966" s="1774"/>
      <c r="F966" s="1774"/>
      <c r="G966" s="1774"/>
      <c r="H966" s="1774"/>
      <c r="I966" s="1774"/>
      <c r="J966" s="1774"/>
      <c r="K966" s="1774"/>
      <c r="L966" s="1774"/>
      <c r="M966" s="1774"/>
      <c r="N966" s="1774"/>
      <c r="O966" s="1774"/>
      <c r="P966" s="1774"/>
      <c r="Q966" s="1774"/>
      <c r="R966" s="1774"/>
      <c r="S966" s="1774"/>
      <c r="T966" s="1774"/>
      <c r="U966" s="1774"/>
      <c r="V966" s="1774"/>
      <c r="W966" s="1774"/>
      <c r="X966" s="1774"/>
      <c r="Y966" s="1774"/>
      <c r="Z966" s="1774"/>
      <c r="AA966" s="1774"/>
      <c r="AB966" s="1774"/>
      <c r="AC966" s="1774"/>
      <c r="AD966" s="1774"/>
      <c r="AE966" s="1775"/>
      <c r="AF966" s="79"/>
      <c r="AG966" s="1785" t="s">
        <v>679</v>
      </c>
      <c r="AH966" s="1786"/>
      <c r="AI966" s="87"/>
      <c r="AJ966" s="1792">
        <f>ROUND(IF(AG966="yes",AJ961*0.05,0),0)</f>
        <v>0</v>
      </c>
      <c r="AK966" s="1793"/>
      <c r="AL966" s="1793"/>
      <c r="AM966" s="1793"/>
      <c r="AN966" s="1793"/>
      <c r="AO966" s="1793"/>
      <c r="AP966" s="1793"/>
      <c r="AQ966" s="17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33" t="s">
        <v>1451</v>
      </c>
      <c r="E967" s="1834"/>
      <c r="F967" s="1834"/>
      <c r="G967" s="1834"/>
      <c r="H967" s="1834"/>
      <c r="I967" s="1834"/>
      <c r="J967" s="1834"/>
      <c r="K967" s="1834"/>
      <c r="L967" s="1834"/>
      <c r="M967" s="1834"/>
      <c r="N967" s="1834"/>
      <c r="O967" s="1834"/>
      <c r="P967" s="1834"/>
      <c r="Q967" s="1834"/>
      <c r="R967" s="1834"/>
      <c r="S967" s="1834"/>
      <c r="T967" s="1834"/>
      <c r="U967" s="1834"/>
      <c r="V967" s="1834"/>
      <c r="W967" s="1834"/>
      <c r="X967" s="1834"/>
      <c r="Y967" s="1834"/>
      <c r="Z967" s="1834"/>
      <c r="AA967" s="1834"/>
      <c r="AB967" s="1834"/>
      <c r="AC967" s="1834"/>
      <c r="AD967" s="1834"/>
      <c r="AE967" s="1835"/>
      <c r="AF967" s="73"/>
      <c r="AG967" s="14"/>
      <c r="AH967" s="14"/>
      <c r="AI967" s="83"/>
      <c r="AJ967" s="1795"/>
      <c r="AK967" s="1796"/>
      <c r="AL967" s="1796"/>
      <c r="AM967" s="1796"/>
      <c r="AN967" s="1796"/>
      <c r="AO967" s="1796"/>
      <c r="AP967" s="1796"/>
      <c r="AQ967" s="17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33"/>
      <c r="E968" s="1834"/>
      <c r="F968" s="1834"/>
      <c r="G968" s="1834"/>
      <c r="H968" s="1834"/>
      <c r="I968" s="1834"/>
      <c r="J968" s="1834"/>
      <c r="K968" s="1834"/>
      <c r="L968" s="1834"/>
      <c r="M968" s="1834"/>
      <c r="N968" s="1834"/>
      <c r="O968" s="1834"/>
      <c r="P968" s="1834"/>
      <c r="Q968" s="1834"/>
      <c r="R968" s="1834"/>
      <c r="S968" s="1834"/>
      <c r="T968" s="1834"/>
      <c r="U968" s="1834"/>
      <c r="V968" s="1834"/>
      <c r="W968" s="1834"/>
      <c r="X968" s="1834"/>
      <c r="Y968" s="1834"/>
      <c r="Z968" s="1834"/>
      <c r="AA968" s="1834"/>
      <c r="AB968" s="1834"/>
      <c r="AC968" s="1834"/>
      <c r="AD968" s="1834"/>
      <c r="AE968" s="1835"/>
      <c r="AF968" s="73"/>
      <c r="AG968" s="14"/>
      <c r="AH968" s="14"/>
      <c r="AI968" s="83"/>
      <c r="AJ968" s="1795"/>
      <c r="AK968" s="1796"/>
      <c r="AL968" s="1796"/>
      <c r="AM968" s="1796"/>
      <c r="AN968" s="1796"/>
      <c r="AO968" s="1796"/>
      <c r="AP968" s="1796"/>
      <c r="AQ968" s="17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33"/>
      <c r="E969" s="1834"/>
      <c r="F969" s="1834"/>
      <c r="G969" s="1834"/>
      <c r="H969" s="1834"/>
      <c r="I969" s="1834"/>
      <c r="J969" s="1834"/>
      <c r="K969" s="1834"/>
      <c r="L969" s="1834"/>
      <c r="M969" s="1834"/>
      <c r="N969" s="1834"/>
      <c r="O969" s="1834"/>
      <c r="P969" s="1834"/>
      <c r="Q969" s="1834"/>
      <c r="R969" s="1834"/>
      <c r="S969" s="1834"/>
      <c r="T969" s="1834"/>
      <c r="U969" s="1834"/>
      <c r="V969" s="1834"/>
      <c r="W969" s="1834"/>
      <c r="X969" s="1834"/>
      <c r="Y969" s="1834"/>
      <c r="Z969" s="1834"/>
      <c r="AA969" s="1834"/>
      <c r="AB969" s="1834"/>
      <c r="AC969" s="1834"/>
      <c r="AD969" s="1834"/>
      <c r="AE969" s="1835"/>
      <c r="AF969" s="73"/>
      <c r="AG969" s="14"/>
      <c r="AH969" s="14"/>
      <c r="AI969" s="83"/>
      <c r="AJ969" s="1795"/>
      <c r="AK969" s="1796"/>
      <c r="AL969" s="1796"/>
      <c r="AM969" s="1796"/>
      <c r="AN969" s="1796"/>
      <c r="AO969" s="1796"/>
      <c r="AP969" s="1796"/>
      <c r="AQ969" s="17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33"/>
      <c r="E970" s="1834"/>
      <c r="F970" s="1834"/>
      <c r="G970" s="1834"/>
      <c r="H970" s="1834"/>
      <c r="I970" s="1834"/>
      <c r="J970" s="1834"/>
      <c r="K970" s="1834"/>
      <c r="L970" s="1834"/>
      <c r="M970" s="1834"/>
      <c r="N970" s="1834"/>
      <c r="O970" s="1834"/>
      <c r="P970" s="1834"/>
      <c r="Q970" s="1834"/>
      <c r="R970" s="1834"/>
      <c r="S970" s="1834"/>
      <c r="T970" s="1834"/>
      <c r="U970" s="1834"/>
      <c r="V970" s="1834"/>
      <c r="W970" s="1834"/>
      <c r="X970" s="1834"/>
      <c r="Y970" s="1834"/>
      <c r="Z970" s="1834"/>
      <c r="AA970" s="1834"/>
      <c r="AB970" s="1834"/>
      <c r="AC970" s="1834"/>
      <c r="AD970" s="1834"/>
      <c r="AE970" s="1835"/>
      <c r="AF970" s="73"/>
      <c r="AG970" s="14"/>
      <c r="AH970" s="14"/>
      <c r="AI970" s="83"/>
      <c r="AJ970" s="1795"/>
      <c r="AK970" s="1796"/>
      <c r="AL970" s="1796"/>
      <c r="AM970" s="1796"/>
      <c r="AN970" s="1796"/>
      <c r="AO970" s="1796"/>
      <c r="AP970" s="1796"/>
      <c r="AQ970" s="17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9"/>
      <c r="E971" s="1840"/>
      <c r="F971" s="1840"/>
      <c r="G971" s="1840"/>
      <c r="H971" s="1840"/>
      <c r="I971" s="1840"/>
      <c r="J971" s="1840"/>
      <c r="K971" s="1840"/>
      <c r="L971" s="1840"/>
      <c r="M971" s="1840"/>
      <c r="N971" s="1840"/>
      <c r="O971" s="1840"/>
      <c r="P971" s="1840"/>
      <c r="Q971" s="1840"/>
      <c r="R971" s="1840"/>
      <c r="S971" s="1840"/>
      <c r="T971" s="1840"/>
      <c r="U971" s="1840"/>
      <c r="V971" s="1840"/>
      <c r="W971" s="1840"/>
      <c r="X971" s="1840"/>
      <c r="Y971" s="1840"/>
      <c r="Z971" s="1840"/>
      <c r="AA971" s="1840"/>
      <c r="AB971" s="1840"/>
      <c r="AC971" s="1840"/>
      <c r="AD971" s="1840"/>
      <c r="AE971" s="1841"/>
      <c r="AF971" s="77"/>
      <c r="AG971" s="7"/>
      <c r="AH971" s="7"/>
      <c r="AI971" s="78"/>
      <c r="AJ971" s="1798"/>
      <c r="AK971" s="1799"/>
      <c r="AL971" s="1799"/>
      <c r="AM971" s="1799"/>
      <c r="AN971" s="1799"/>
      <c r="AO971" s="1799"/>
      <c r="AP971" s="1799"/>
      <c r="AQ971" s="18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73" t="s">
        <v>1946</v>
      </c>
      <c r="E972" s="1774"/>
      <c r="F972" s="1774"/>
      <c r="G972" s="1774"/>
      <c r="H972" s="1774"/>
      <c r="I972" s="1774"/>
      <c r="J972" s="1774"/>
      <c r="K972" s="1774"/>
      <c r="L972" s="1774"/>
      <c r="M972" s="1774"/>
      <c r="N972" s="1774"/>
      <c r="O972" s="1774"/>
      <c r="P972" s="1774"/>
      <c r="Q972" s="1774"/>
      <c r="R972" s="1774"/>
      <c r="S972" s="1774"/>
      <c r="T972" s="1774"/>
      <c r="U972" s="1774"/>
      <c r="V972" s="1774"/>
      <c r="W972" s="1774"/>
      <c r="X972" s="1774"/>
      <c r="Y972" s="1774"/>
      <c r="Z972" s="1774"/>
      <c r="AA972" s="1774"/>
      <c r="AB972" s="1774"/>
      <c r="AC972" s="1774"/>
      <c r="AD972" s="1774"/>
      <c r="AE972" s="1775"/>
      <c r="AF972" s="86"/>
      <c r="AG972" s="1785" t="s">
        <v>555</v>
      </c>
      <c r="AH972" s="1786"/>
      <c r="AI972" s="87"/>
      <c r="AJ972" s="1792">
        <f>ROUND(IF(AG972="yes",AJ961*0.1,0),0)</f>
        <v>6149719</v>
      </c>
      <c r="AK972" s="1793"/>
      <c r="AL972" s="1793"/>
      <c r="AM972" s="1793"/>
      <c r="AN972" s="1793"/>
      <c r="AO972" s="1793"/>
      <c r="AP972" s="1793"/>
      <c r="AQ972" s="17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6" t="s">
        <v>1452</v>
      </c>
      <c r="E973" s="1777"/>
      <c r="F973" s="1777"/>
      <c r="G973" s="1777"/>
      <c r="H973" s="1777"/>
      <c r="I973" s="1777"/>
      <c r="J973" s="1777"/>
      <c r="K973" s="1777"/>
      <c r="L973" s="1777"/>
      <c r="M973" s="1777"/>
      <c r="N973" s="1777"/>
      <c r="O973" s="1777"/>
      <c r="P973" s="1777"/>
      <c r="Q973" s="1777"/>
      <c r="R973" s="1777"/>
      <c r="S973" s="1777"/>
      <c r="T973" s="1777"/>
      <c r="U973" s="1777"/>
      <c r="V973" s="1777"/>
      <c r="W973" s="1777"/>
      <c r="X973" s="1777"/>
      <c r="Y973" s="1777"/>
      <c r="Z973" s="1777"/>
      <c r="AA973" s="1777"/>
      <c r="AB973" s="1777"/>
      <c r="AC973" s="1777"/>
      <c r="AD973" s="1777"/>
      <c r="AE973" s="1778"/>
      <c r="AF973" s="73"/>
      <c r="AI973" s="83"/>
      <c r="AJ973" s="1795"/>
      <c r="AK973" s="1796"/>
      <c r="AL973" s="1796"/>
      <c r="AM973" s="1796"/>
      <c r="AN973" s="1796"/>
      <c r="AO973" s="1796"/>
      <c r="AP973" s="1796"/>
      <c r="AQ973" s="1797"/>
      <c r="AR973" s="68"/>
      <c r="AS973" s="68"/>
      <c r="AT973" s="68"/>
      <c r="AU973" s="68"/>
      <c r="AV973" s="68"/>
      <c r="AW973" s="68"/>
      <c r="AX973" s="68"/>
      <c r="AY973" s="68"/>
      <c r="AZ973" s="34"/>
      <c r="BA973" s="951">
        <f>G739+O782</f>
        <v>133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6"/>
      <c r="E974" s="1777"/>
      <c r="F974" s="1777"/>
      <c r="G974" s="1777"/>
      <c r="H974" s="1777"/>
      <c r="I974" s="1777"/>
      <c r="J974" s="1777"/>
      <c r="K974" s="1777"/>
      <c r="L974" s="1777"/>
      <c r="M974" s="1777"/>
      <c r="N974" s="1777"/>
      <c r="O974" s="1777"/>
      <c r="P974" s="1777"/>
      <c r="Q974" s="1777"/>
      <c r="R974" s="1777"/>
      <c r="S974" s="1777"/>
      <c r="T974" s="1777"/>
      <c r="U974" s="1777"/>
      <c r="V974" s="1777"/>
      <c r="W974" s="1777"/>
      <c r="X974" s="1777"/>
      <c r="Y974" s="1777"/>
      <c r="Z974" s="1777"/>
      <c r="AA974" s="1777"/>
      <c r="AB974" s="1777"/>
      <c r="AC974" s="1777"/>
      <c r="AD974" s="1777"/>
      <c r="AE974" s="1778"/>
      <c r="AF974" s="73"/>
      <c r="AG974" s="14"/>
      <c r="AH974" s="14"/>
      <c r="AI974" s="83"/>
      <c r="AJ974" s="1795"/>
      <c r="AK974" s="1796"/>
      <c r="AL974" s="1796"/>
      <c r="AM974" s="1796"/>
      <c r="AN974" s="1796"/>
      <c r="AO974" s="1796"/>
      <c r="AP974" s="1796"/>
      <c r="AQ974" s="17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9"/>
      <c r="E975" s="1790"/>
      <c r="F975" s="1790"/>
      <c r="G975" s="1790"/>
      <c r="H975" s="1790"/>
      <c r="I975" s="1790"/>
      <c r="J975" s="1790"/>
      <c r="K975" s="1790"/>
      <c r="L975" s="1790"/>
      <c r="M975" s="1790"/>
      <c r="N975" s="1790"/>
      <c r="O975" s="1790"/>
      <c r="P975" s="1790"/>
      <c r="Q975" s="1790"/>
      <c r="R975" s="1790"/>
      <c r="S975" s="1790"/>
      <c r="T975" s="1790"/>
      <c r="U975" s="1790"/>
      <c r="V975" s="1790"/>
      <c r="W975" s="1790"/>
      <c r="X975" s="1790"/>
      <c r="Y975" s="1790"/>
      <c r="Z975" s="1790"/>
      <c r="AA975" s="1790"/>
      <c r="AB975" s="1790"/>
      <c r="AC975" s="1790"/>
      <c r="AD975" s="1790"/>
      <c r="AE975" s="1791"/>
      <c r="AF975" s="77"/>
      <c r="AG975" s="7"/>
      <c r="AH975" s="7"/>
      <c r="AI975" s="78"/>
      <c r="AJ975" s="1798"/>
      <c r="AK975" s="1799"/>
      <c r="AL975" s="1799"/>
      <c r="AM975" s="1799"/>
      <c r="AN975" s="1799"/>
      <c r="AO975" s="1799"/>
      <c r="AP975" s="1799"/>
      <c r="AQ975" s="1800"/>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73" t="s">
        <v>1454</v>
      </c>
      <c r="E976" s="1774"/>
      <c r="F976" s="1774"/>
      <c r="G976" s="1774"/>
      <c r="H976" s="1774"/>
      <c r="I976" s="1774"/>
      <c r="J976" s="1774"/>
      <c r="K976" s="1774"/>
      <c r="L976" s="1774"/>
      <c r="M976" s="1774"/>
      <c r="N976" s="1774"/>
      <c r="O976" s="1774"/>
      <c r="P976" s="1774"/>
      <c r="Q976" s="1774"/>
      <c r="R976" s="1774"/>
      <c r="S976" s="1774"/>
      <c r="T976" s="1774"/>
      <c r="U976" s="1774"/>
      <c r="V976" s="1774"/>
      <c r="W976" s="1774"/>
      <c r="X976" s="1774"/>
      <c r="Y976" s="1774"/>
      <c r="Z976" s="1774"/>
      <c r="AA976" s="1774"/>
      <c r="AB976" s="1774"/>
      <c r="AC976" s="1774"/>
      <c r="AD976" s="1774"/>
      <c r="AE976" s="1775"/>
      <c r="AF976" s="79"/>
      <c r="AG976" s="1785" t="s">
        <v>679</v>
      </c>
      <c r="AH976" s="1786"/>
      <c r="AI976" s="87"/>
      <c r="AJ976" s="1792">
        <f>ROUND(IF(AG976="yes",AJ961*0.02,0),0)</f>
        <v>0</v>
      </c>
      <c r="AK976" s="1793"/>
      <c r="AL976" s="1793"/>
      <c r="AM976" s="1793"/>
      <c r="AN976" s="1793"/>
      <c r="AO976" s="1793"/>
      <c r="AP976" s="1793"/>
      <c r="AQ976" s="1794"/>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9" t="s">
        <v>1455</v>
      </c>
      <c r="E977" s="1790"/>
      <c r="F977" s="1790"/>
      <c r="G977" s="1790"/>
      <c r="H977" s="1790"/>
      <c r="I977" s="1790"/>
      <c r="J977" s="1790"/>
      <c r="K977" s="1790"/>
      <c r="L977" s="1790"/>
      <c r="M977" s="1790"/>
      <c r="N977" s="1790"/>
      <c r="O977" s="1790"/>
      <c r="P977" s="1790"/>
      <c r="Q977" s="1790"/>
      <c r="R977" s="1790"/>
      <c r="S977" s="1790"/>
      <c r="T977" s="1790"/>
      <c r="U977" s="1790"/>
      <c r="V977" s="1790"/>
      <c r="W977" s="1790"/>
      <c r="X977" s="1790"/>
      <c r="Y977" s="1790"/>
      <c r="Z977" s="1790"/>
      <c r="AA977" s="1790"/>
      <c r="AB977" s="1790"/>
      <c r="AC977" s="1790"/>
      <c r="AD977" s="1790"/>
      <c r="AE977" s="1791"/>
      <c r="AF977" s="77"/>
      <c r="AG977" s="7"/>
      <c r="AH977" s="7"/>
      <c r="AI977" s="78"/>
      <c r="AJ977" s="1798"/>
      <c r="AK977" s="1799"/>
      <c r="AL977" s="1799"/>
      <c r="AM977" s="1799"/>
      <c r="AN977" s="1799"/>
      <c r="AO977" s="1799"/>
      <c r="AP977" s="1799"/>
      <c r="AQ977" s="1800"/>
      <c r="AR977" s="68"/>
      <c r="AS977" s="68"/>
      <c r="AT977" s="68"/>
      <c r="AU977" s="68"/>
      <c r="AV977" s="68"/>
      <c r="AW977" s="68"/>
      <c r="AX977" s="68"/>
      <c r="AY977" s="68"/>
      <c r="BB977" s="34"/>
      <c r="BC977" s="34"/>
      <c r="BD977" s="34"/>
      <c r="BE977" s="34"/>
      <c r="BF977" s="34"/>
    </row>
    <row r="978" spans="1:58" ht="12.95" customHeight="1">
      <c r="A978" s="14"/>
      <c r="B978" s="79"/>
      <c r="C978" s="80" t="s">
        <v>217</v>
      </c>
      <c r="D978" s="1773" t="s">
        <v>1456</v>
      </c>
      <c r="E978" s="1774"/>
      <c r="F978" s="1774"/>
      <c r="G978" s="1774"/>
      <c r="H978" s="1774"/>
      <c r="I978" s="1774"/>
      <c r="J978" s="1774"/>
      <c r="K978" s="1774"/>
      <c r="L978" s="1774"/>
      <c r="M978" s="1774"/>
      <c r="N978" s="1774"/>
      <c r="O978" s="1774"/>
      <c r="P978" s="1774"/>
      <c r="Q978" s="1774"/>
      <c r="R978" s="1774"/>
      <c r="S978" s="1774"/>
      <c r="T978" s="1774"/>
      <c r="U978" s="1774"/>
      <c r="V978" s="1774"/>
      <c r="W978" s="1774"/>
      <c r="X978" s="1774"/>
      <c r="Y978" s="1774"/>
      <c r="Z978" s="1774"/>
      <c r="AA978" s="1774"/>
      <c r="AB978" s="1774"/>
      <c r="AC978" s="1774"/>
      <c r="AD978" s="1774"/>
      <c r="AE978" s="1775"/>
      <c r="AF978" s="79"/>
      <c r="AG978" s="1785" t="s">
        <v>679</v>
      </c>
      <c r="AH978" s="1786"/>
      <c r="AI978" s="79"/>
      <c r="AJ978" s="1792">
        <f>ROUND(IF(AG978="yes",AJ961*0.02,0),0)</f>
        <v>0</v>
      </c>
      <c r="AK978" s="1793"/>
      <c r="AL978" s="1793"/>
      <c r="AM978" s="1793"/>
      <c r="AN978" s="1793"/>
      <c r="AO978" s="1793"/>
      <c r="AP978" s="1793"/>
      <c r="AQ978" s="1794"/>
      <c r="AR978" s="68"/>
      <c r="AS978" s="68"/>
      <c r="AT978" s="68"/>
      <c r="AU978" s="68"/>
      <c r="AV978" s="68"/>
      <c r="AW978" s="68"/>
      <c r="AX978" s="68"/>
      <c r="AY978" s="68"/>
    </row>
    <row r="979" spans="1:58" ht="12.95" customHeight="1">
      <c r="A979" s="14"/>
      <c r="B979" s="73"/>
      <c r="C979" s="74"/>
      <c r="D979" s="1776" t="s">
        <v>1457</v>
      </c>
      <c r="E979" s="1777"/>
      <c r="F979" s="1777"/>
      <c r="G979" s="1777"/>
      <c r="H979" s="1777"/>
      <c r="I979" s="1777"/>
      <c r="J979" s="1777"/>
      <c r="K979" s="1777"/>
      <c r="L979" s="1777"/>
      <c r="M979" s="1777"/>
      <c r="N979" s="1777"/>
      <c r="O979" s="1777"/>
      <c r="P979" s="1777"/>
      <c r="Q979" s="1777"/>
      <c r="R979" s="1777"/>
      <c r="S979" s="1777"/>
      <c r="T979" s="1777"/>
      <c r="U979" s="1777"/>
      <c r="V979" s="1777"/>
      <c r="W979" s="1777"/>
      <c r="X979" s="1777"/>
      <c r="Y979" s="1777"/>
      <c r="Z979" s="1777"/>
      <c r="AA979" s="1777"/>
      <c r="AB979" s="1777"/>
      <c r="AC979" s="1777"/>
      <c r="AD979" s="1777"/>
      <c r="AE979" s="1778"/>
      <c r="AF979" s="73"/>
      <c r="AI979" s="14"/>
      <c r="AJ979" s="1795"/>
      <c r="AK979" s="1796"/>
      <c r="AL979" s="1796"/>
      <c r="AM979" s="1796"/>
      <c r="AN979" s="1796"/>
      <c r="AO979" s="1796"/>
      <c r="AP979" s="1796"/>
      <c r="AQ979" s="1797"/>
      <c r="AR979" s="68"/>
      <c r="AS979" s="68"/>
      <c r="AT979" s="68"/>
      <c r="AU979" s="68"/>
      <c r="AV979" s="68"/>
      <c r="AW979" s="68"/>
      <c r="AX979" s="68"/>
      <c r="AY979" s="68"/>
    </row>
    <row r="980" spans="1:58" ht="12.95" customHeight="1">
      <c r="A980" s="14"/>
      <c r="B980" s="75"/>
      <c r="C980" s="76"/>
      <c r="D980" s="1789"/>
      <c r="E980" s="1790"/>
      <c r="F980" s="1790"/>
      <c r="G980" s="1790"/>
      <c r="H980" s="1790"/>
      <c r="I980" s="1790"/>
      <c r="J980" s="1790"/>
      <c r="K980" s="1790"/>
      <c r="L980" s="1790"/>
      <c r="M980" s="1790"/>
      <c r="N980" s="1790"/>
      <c r="O980" s="1790"/>
      <c r="P980" s="1790"/>
      <c r="Q980" s="1790"/>
      <c r="R980" s="1790"/>
      <c r="S980" s="1790"/>
      <c r="T980" s="1790"/>
      <c r="U980" s="1790"/>
      <c r="V980" s="1790"/>
      <c r="W980" s="1790"/>
      <c r="X980" s="1790"/>
      <c r="Y980" s="1790"/>
      <c r="Z980" s="1790"/>
      <c r="AA980" s="1790"/>
      <c r="AB980" s="1790"/>
      <c r="AC980" s="1790"/>
      <c r="AD980" s="1790"/>
      <c r="AE980" s="1791"/>
      <c r="AF980" s="77"/>
      <c r="AG980" s="7"/>
      <c r="AH980" s="7"/>
      <c r="AI980" s="78"/>
      <c r="AJ980" s="1798"/>
      <c r="AK980" s="1799"/>
      <c r="AL980" s="1799"/>
      <c r="AM980" s="1799"/>
      <c r="AN980" s="1799"/>
      <c r="AO980" s="1799"/>
      <c r="AP980" s="1799"/>
      <c r="AQ980" s="1800"/>
      <c r="AR980" s="68"/>
      <c r="AS980" s="68"/>
      <c r="AT980" s="68"/>
      <c r="AU980" s="68"/>
      <c r="AV980" s="68"/>
      <c r="AW980" s="68"/>
      <c r="AX980" s="68"/>
      <c r="AY980" s="68"/>
    </row>
    <row r="981" spans="1:58" ht="12.95" customHeight="1">
      <c r="A981" s="14"/>
      <c r="B981" s="79"/>
      <c r="C981" s="80" t="s">
        <v>220</v>
      </c>
      <c r="D981" s="1812" t="s">
        <v>1458</v>
      </c>
      <c r="E981" s="1813"/>
      <c r="F981" s="1813"/>
      <c r="G981" s="1813"/>
      <c r="H981" s="1813"/>
      <c r="I981" s="1813"/>
      <c r="J981" s="1813"/>
      <c r="K981" s="1813"/>
      <c r="L981" s="1813"/>
      <c r="M981" s="1813"/>
      <c r="N981" s="1813"/>
      <c r="O981" s="1813"/>
      <c r="P981" s="1813"/>
      <c r="Q981" s="1813"/>
      <c r="R981" s="1813"/>
      <c r="S981" s="1813"/>
      <c r="T981" s="1813"/>
      <c r="U981" s="1813"/>
      <c r="V981" s="1813"/>
      <c r="W981" s="1813"/>
      <c r="X981" s="1813"/>
      <c r="Y981" s="1813"/>
      <c r="Z981" s="1813"/>
      <c r="AA981" s="1813"/>
      <c r="AB981" s="1813"/>
      <c r="AC981" s="1813"/>
      <c r="AD981" s="1813"/>
      <c r="AE981" s="1814"/>
      <c r="AF981" s="79"/>
      <c r="AG981" s="1785" t="s">
        <v>679</v>
      </c>
      <c r="AH981" s="1786"/>
      <c r="AI981" s="87"/>
      <c r="AJ981" s="1792">
        <f>IF(AG981="yes",AJ961*BA981,0)</f>
        <v>0</v>
      </c>
      <c r="AK981" s="1793"/>
      <c r="AL981" s="1793"/>
      <c r="AM981" s="1793"/>
      <c r="AN981" s="1793"/>
      <c r="AO981" s="1793"/>
      <c r="AP981" s="1793"/>
      <c r="AQ981" s="1794"/>
      <c r="AR981" s="68"/>
      <c r="AS981" s="68"/>
      <c r="AT981" s="68"/>
      <c r="AU981" s="68"/>
      <c r="AV981" s="68"/>
      <c r="AW981" s="68"/>
      <c r="AX981" s="68"/>
      <c r="AY981" s="68"/>
      <c r="BA981" s="215">
        <f>IF(SUM(BA983:BA991)&lt;=0.1,SUM(BA983:BA991),0.1)</f>
        <v>0</v>
      </c>
    </row>
    <row r="982" spans="1:58" ht="12.95" customHeight="1">
      <c r="A982" s="14"/>
      <c r="B982" s="73"/>
      <c r="C982" s="74"/>
      <c r="D982" s="1776" t="s">
        <v>1459</v>
      </c>
      <c r="E982" s="1777"/>
      <c r="F982" s="1777"/>
      <c r="G982" s="1777"/>
      <c r="H982" s="1777"/>
      <c r="I982" s="1777"/>
      <c r="J982" s="1777"/>
      <c r="K982" s="1777"/>
      <c r="L982" s="1777"/>
      <c r="M982" s="1777"/>
      <c r="N982" s="1777"/>
      <c r="O982" s="1777"/>
      <c r="P982" s="1777"/>
      <c r="Q982" s="1777"/>
      <c r="R982" s="1777"/>
      <c r="S982" s="1777"/>
      <c r="T982" s="1777"/>
      <c r="U982" s="1777"/>
      <c r="V982" s="1777"/>
      <c r="W982" s="1777"/>
      <c r="X982" s="1777"/>
      <c r="Y982" s="1777"/>
      <c r="Z982" s="1777"/>
      <c r="AA982" s="1777"/>
      <c r="AB982" s="1777"/>
      <c r="AC982" s="1777"/>
      <c r="AD982" s="1777"/>
      <c r="AE982" s="1778"/>
      <c r="AF982" s="73"/>
      <c r="AG982" s="14"/>
      <c r="AH982" s="14"/>
      <c r="AI982" s="83"/>
      <c r="AJ982" s="1795"/>
      <c r="AK982" s="1796"/>
      <c r="AL982" s="1796"/>
      <c r="AM982" s="1796"/>
      <c r="AN982" s="1796"/>
      <c r="AO982" s="1796"/>
      <c r="AP982" s="1796"/>
      <c r="AQ982" s="1797"/>
      <c r="AR982" s="68"/>
      <c r="AS982" s="68"/>
      <c r="AT982" s="68"/>
      <c r="AU982" s="68"/>
      <c r="AV982" s="68"/>
      <c r="AW982" s="68"/>
      <c r="AX982" s="68"/>
      <c r="AY982" s="68"/>
    </row>
    <row r="983" spans="1:58" ht="12.95" customHeight="1">
      <c r="A983" s="14"/>
      <c r="B983" s="73"/>
      <c r="C983" s="74"/>
      <c r="D983" s="1776"/>
      <c r="E983" s="1777"/>
      <c r="F983" s="1777"/>
      <c r="G983" s="1777"/>
      <c r="H983" s="1777"/>
      <c r="I983" s="1777"/>
      <c r="J983" s="1777"/>
      <c r="K983" s="1777"/>
      <c r="L983" s="1777"/>
      <c r="M983" s="1777"/>
      <c r="N983" s="1777"/>
      <c r="O983" s="1777"/>
      <c r="P983" s="1777"/>
      <c r="Q983" s="1777"/>
      <c r="R983" s="1777"/>
      <c r="S983" s="1777"/>
      <c r="T983" s="1777"/>
      <c r="U983" s="1777"/>
      <c r="V983" s="1777"/>
      <c r="W983" s="1777"/>
      <c r="X983" s="1777"/>
      <c r="Y983" s="1777"/>
      <c r="Z983" s="1777"/>
      <c r="AA983" s="1777"/>
      <c r="AB983" s="1777"/>
      <c r="AC983" s="1777"/>
      <c r="AD983" s="1777"/>
      <c r="AE983" s="1778"/>
      <c r="AF983" s="73"/>
      <c r="AG983" s="14"/>
      <c r="AH983" s="14"/>
      <c r="AI983" s="83"/>
      <c r="AJ983" s="1795"/>
      <c r="AK983" s="1796"/>
      <c r="AL983" s="1796"/>
      <c r="AM983" s="1796"/>
      <c r="AN983" s="1796"/>
      <c r="AO983" s="1796"/>
      <c r="AP983" s="1796"/>
      <c r="AQ983" s="1797"/>
      <c r="AR983" s="68"/>
      <c r="AS983" s="68"/>
      <c r="AT983" s="68"/>
      <c r="AU983" s="68"/>
      <c r="AV983" s="68"/>
      <c r="AW983" s="68"/>
      <c r="AX983" s="68"/>
      <c r="AY983" s="68"/>
      <c r="BA983" s="213">
        <f>IF(A1030="Yes",0.05,0)</f>
        <v>0</v>
      </c>
    </row>
    <row r="984" spans="1:58" ht="12.95" customHeight="1">
      <c r="A984" s="14"/>
      <c r="B984" s="81"/>
      <c r="C984" s="82"/>
      <c r="D984" s="1789"/>
      <c r="E984" s="1790"/>
      <c r="F984" s="1790"/>
      <c r="G984" s="1790"/>
      <c r="H984" s="1790"/>
      <c r="I984" s="1790"/>
      <c r="J984" s="1790"/>
      <c r="K984" s="1790"/>
      <c r="L984" s="1790"/>
      <c r="M984" s="1790"/>
      <c r="N984" s="1790"/>
      <c r="O984" s="1790"/>
      <c r="P984" s="1790"/>
      <c r="Q984" s="1790"/>
      <c r="R984" s="1790"/>
      <c r="S984" s="1790"/>
      <c r="T984" s="1790"/>
      <c r="U984" s="1790"/>
      <c r="V984" s="1790"/>
      <c r="W984" s="1790"/>
      <c r="X984" s="1790"/>
      <c r="Y984" s="1790"/>
      <c r="Z984" s="1790"/>
      <c r="AA984" s="1790"/>
      <c r="AB984" s="1790"/>
      <c r="AC984" s="1790"/>
      <c r="AD984" s="1790"/>
      <c r="AE984" s="1791"/>
      <c r="AF984" s="77"/>
      <c r="AG984" s="7"/>
      <c r="AH984" s="7"/>
      <c r="AI984" s="78"/>
      <c r="AJ984" s="1798"/>
      <c r="AK984" s="1799"/>
      <c r="AL984" s="1799"/>
      <c r="AM984" s="1799"/>
      <c r="AN984" s="1799"/>
      <c r="AO984" s="1799"/>
      <c r="AP984" s="1799"/>
      <c r="AQ984" s="1800"/>
      <c r="AR984" s="68"/>
      <c r="AS984" s="68"/>
      <c r="AT984" s="68"/>
      <c r="AU984" s="68"/>
      <c r="AV984" s="68"/>
      <c r="AW984" s="68"/>
      <c r="AX984" s="68"/>
      <c r="AY984" s="68"/>
      <c r="BA984" s="213">
        <f>IF(A1036="Yes",0.02,0)</f>
        <v>0</v>
      </c>
    </row>
    <row r="985" spans="1:58" ht="12.95" customHeight="1">
      <c r="A985" s="14"/>
      <c r="B985" s="79"/>
      <c r="C985" s="80" t="s">
        <v>225</v>
      </c>
      <c r="D985" s="1842" t="s">
        <v>1460</v>
      </c>
      <c r="E985" s="1843"/>
      <c r="F985" s="1843"/>
      <c r="G985" s="1843"/>
      <c r="H985" s="1843"/>
      <c r="I985" s="1843"/>
      <c r="J985" s="1843"/>
      <c r="K985" s="1843"/>
      <c r="L985" s="1843"/>
      <c r="M985" s="1843"/>
      <c r="N985" s="1843"/>
      <c r="O985" s="1843"/>
      <c r="P985" s="1843"/>
      <c r="Q985" s="1843"/>
      <c r="R985" s="1843"/>
      <c r="S985" s="1843"/>
      <c r="T985" s="1843"/>
      <c r="U985" s="1843"/>
      <c r="V985" s="1843"/>
      <c r="W985" s="1843"/>
      <c r="X985" s="1843"/>
      <c r="Y985" s="1843"/>
      <c r="Z985" s="1843"/>
      <c r="AA985" s="1843"/>
      <c r="AB985" s="1843"/>
      <c r="AC985" s="1843"/>
      <c r="AD985" s="1843"/>
      <c r="AE985" s="1844"/>
      <c r="AF985" s="79"/>
      <c r="AG985" s="1785" t="s">
        <v>679</v>
      </c>
      <c r="AH985" s="1786"/>
      <c r="AI985" s="87"/>
      <c r="AJ985" s="1792">
        <f>ROUND(IF(AG985="Yes",MIN(AF988,(0.15*AJ961)),0),0)</f>
        <v>0</v>
      </c>
      <c r="AK985" s="1793"/>
      <c r="AL985" s="1793"/>
      <c r="AM985" s="1793"/>
      <c r="AN985" s="1793"/>
      <c r="AO985" s="1793"/>
      <c r="AP985" s="1793"/>
      <c r="AQ985" s="1794"/>
      <c r="AR985" s="68"/>
      <c r="AS985" s="68"/>
      <c r="AT985" s="68"/>
      <c r="AU985" s="68"/>
      <c r="AV985" s="68"/>
      <c r="AW985" s="68"/>
      <c r="AX985" s="68"/>
      <c r="AY985" s="68"/>
      <c r="BA985" s="213">
        <f>IF(A1042="Yes",0.04,0)</f>
        <v>0</v>
      </c>
    </row>
    <row r="986" spans="1:58" ht="12.95" customHeight="1">
      <c r="A986" s="14"/>
      <c r="B986" s="81"/>
      <c r="C986" s="84"/>
      <c r="D986" s="1845"/>
      <c r="E986" s="1846"/>
      <c r="F986" s="1846"/>
      <c r="G986" s="1846"/>
      <c r="H986" s="1846"/>
      <c r="I986" s="1846"/>
      <c r="J986" s="1846"/>
      <c r="K986" s="1846"/>
      <c r="L986" s="1846"/>
      <c r="M986" s="1846"/>
      <c r="N986" s="1846"/>
      <c r="O986" s="1846"/>
      <c r="P986" s="1846"/>
      <c r="Q986" s="1846"/>
      <c r="R986" s="1846"/>
      <c r="S986" s="1846"/>
      <c r="T986" s="1846"/>
      <c r="U986" s="1846"/>
      <c r="V986" s="1846"/>
      <c r="W986" s="1846"/>
      <c r="X986" s="1846"/>
      <c r="Y986" s="1846"/>
      <c r="Z986" s="1846"/>
      <c r="AA986" s="1846"/>
      <c r="AB986" s="1846"/>
      <c r="AC986" s="1846"/>
      <c r="AD986" s="1846"/>
      <c r="AE986" s="1847"/>
      <c r="AF986" s="1856" t="str">
        <f>IF(AG985="yes","Please Select Type and Enter Amount:","")</f>
        <v/>
      </c>
      <c r="AG986" s="1857"/>
      <c r="AH986" s="1857"/>
      <c r="AI986" s="1858"/>
      <c r="AJ986" s="1795"/>
      <c r="AK986" s="1796"/>
      <c r="AL986" s="1796"/>
      <c r="AM986" s="1796"/>
      <c r="AN986" s="1796"/>
      <c r="AO986" s="1796"/>
      <c r="AP986" s="1796"/>
      <c r="AQ986" s="1797"/>
      <c r="AR986" s="68"/>
      <c r="AS986" s="68"/>
      <c r="AT986" s="68"/>
      <c r="AU986" s="68"/>
      <c r="AV986" s="68"/>
      <c r="AW986" s="68"/>
      <c r="AX986" s="68"/>
      <c r="AY986" s="68"/>
      <c r="BA986" s="213">
        <f>IF(A1049="Yes",0.04,0)</f>
        <v>0</v>
      </c>
    </row>
    <row r="987" spans="1:58" ht="12.95" customHeight="1">
      <c r="A987" s="14"/>
      <c r="B987" s="81"/>
      <c r="C987" s="84"/>
      <c r="D987" s="1776" t="s">
        <v>1461</v>
      </c>
      <c r="E987" s="1777"/>
      <c r="F987" s="1777"/>
      <c r="G987" s="1777"/>
      <c r="H987" s="1777"/>
      <c r="I987" s="1777"/>
      <c r="J987" s="1777"/>
      <c r="K987" s="1777"/>
      <c r="L987" s="1777"/>
      <c r="M987" s="1777"/>
      <c r="N987" s="1777"/>
      <c r="O987" s="1777"/>
      <c r="P987" s="1777"/>
      <c r="Q987" s="1777"/>
      <c r="R987" s="1777"/>
      <c r="S987" s="1777"/>
      <c r="T987" s="1777"/>
      <c r="U987" s="1777"/>
      <c r="V987" s="1777"/>
      <c r="W987" s="1777"/>
      <c r="X987" s="1777"/>
      <c r="Y987" s="1777"/>
      <c r="Z987" s="1777"/>
      <c r="AA987" s="1777"/>
      <c r="AB987" s="1777"/>
      <c r="AC987" s="1777"/>
      <c r="AD987" s="1777"/>
      <c r="AE987" s="1778"/>
      <c r="AF987" s="1856"/>
      <c r="AG987" s="1857"/>
      <c r="AH987" s="1857"/>
      <c r="AI987" s="1858"/>
      <c r="AJ987" s="1795"/>
      <c r="AK987" s="1796"/>
      <c r="AL987" s="1796"/>
      <c r="AM987" s="1796"/>
      <c r="AN987" s="1796"/>
      <c r="AO987" s="1796"/>
      <c r="AP987" s="1796"/>
      <c r="AQ987" s="1797"/>
      <c r="AR987" s="68"/>
      <c r="AS987" s="68"/>
      <c r="AT987" s="68"/>
      <c r="AU987" s="68"/>
      <c r="AV987" s="68"/>
      <c r="AW987" s="68"/>
      <c r="AX987" s="68"/>
      <c r="AY987" s="68"/>
      <c r="BA987" s="213">
        <f>IF(A1052="Yes",0.01,0)</f>
        <v>0</v>
      </c>
    </row>
    <row r="988" spans="1:58" ht="12.95" customHeight="1">
      <c r="A988" s="14"/>
      <c r="B988" s="81"/>
      <c r="C988" s="84"/>
      <c r="D988" s="1776"/>
      <c r="E988" s="1777"/>
      <c r="F988" s="1777"/>
      <c r="G988" s="1777"/>
      <c r="H988" s="1777"/>
      <c r="I988" s="1777"/>
      <c r="J988" s="1777"/>
      <c r="K988" s="1777"/>
      <c r="L988" s="1777"/>
      <c r="M988" s="1777"/>
      <c r="N988" s="1777"/>
      <c r="O988" s="1777"/>
      <c r="P988" s="1777"/>
      <c r="Q988" s="1777"/>
      <c r="R988" s="1777"/>
      <c r="S988" s="1777"/>
      <c r="T988" s="1777"/>
      <c r="U988" s="1777"/>
      <c r="V988" s="1777"/>
      <c r="W988" s="1777"/>
      <c r="X988" s="1777"/>
      <c r="Y988" s="1777"/>
      <c r="Z988" s="1777"/>
      <c r="AA988" s="1777"/>
      <c r="AB988" s="1777"/>
      <c r="AC988" s="1777"/>
      <c r="AD988" s="1777"/>
      <c r="AE988" s="1778"/>
      <c r="AF988" s="1859"/>
      <c r="AG988" s="1859"/>
      <c r="AH988" s="1859"/>
      <c r="AI988" s="1859"/>
      <c r="AJ988" s="1795"/>
      <c r="AK988" s="1796"/>
      <c r="AL988" s="1796"/>
      <c r="AM988" s="1796"/>
      <c r="AN988" s="1796"/>
      <c r="AO988" s="1796"/>
      <c r="AP988" s="1796"/>
      <c r="AQ988" s="1797"/>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66" t="s">
        <v>601</v>
      </c>
      <c r="K989" s="1867"/>
      <c r="L989" s="1867"/>
      <c r="M989" s="1867"/>
      <c r="N989" s="1867"/>
      <c r="O989" s="1867"/>
      <c r="P989" s="1867"/>
      <c r="Q989" s="1867"/>
      <c r="R989" s="1867"/>
      <c r="S989" s="1867"/>
      <c r="T989" s="1867"/>
      <c r="U989" s="1867"/>
      <c r="V989" s="1867"/>
      <c r="W989" s="1867"/>
      <c r="X989" s="1867"/>
      <c r="Y989" s="1867"/>
      <c r="Z989" s="1867"/>
      <c r="AA989" s="1867"/>
      <c r="AB989" s="1867"/>
      <c r="AC989" s="1867"/>
      <c r="AD989" s="1867"/>
      <c r="AE989" s="1868"/>
      <c r="AF989" s="1859"/>
      <c r="AG989" s="1859"/>
      <c r="AH989" s="1859"/>
      <c r="AI989" s="1859"/>
      <c r="AJ989" s="1798"/>
      <c r="AK989" s="1799"/>
      <c r="AL989" s="1799"/>
      <c r="AM989" s="1799"/>
      <c r="AN989" s="1799"/>
      <c r="AO989" s="1799"/>
      <c r="AP989" s="1799"/>
      <c r="AQ989" s="1800"/>
      <c r="AR989" s="68"/>
      <c r="AS989" s="68"/>
      <c r="AT989" s="68"/>
      <c r="AU989" s="68"/>
      <c r="AV989" s="68"/>
      <c r="AW989" s="68"/>
      <c r="AX989" s="68"/>
      <c r="AY989" s="68"/>
      <c r="BA989" s="213">
        <f>IF(A1060="Yes",0.01,0)</f>
        <v>0</v>
      </c>
    </row>
    <row r="990" spans="1:58" ht="12.95" customHeight="1">
      <c r="A990" s="14"/>
      <c r="B990" s="79"/>
      <c r="C990" s="80" t="s">
        <v>231</v>
      </c>
      <c r="D990" s="1773" t="s">
        <v>1462</v>
      </c>
      <c r="E990" s="1774"/>
      <c r="F990" s="1774"/>
      <c r="G990" s="1774"/>
      <c r="H990" s="1774"/>
      <c r="I990" s="1774"/>
      <c r="J990" s="1774"/>
      <c r="K990" s="1774"/>
      <c r="L990" s="1774"/>
      <c r="M990" s="1774"/>
      <c r="N990" s="1774"/>
      <c r="O990" s="1774"/>
      <c r="P990" s="1774"/>
      <c r="Q990" s="1774"/>
      <c r="R990" s="1774"/>
      <c r="S990" s="1774"/>
      <c r="T990" s="1774"/>
      <c r="U990" s="1774"/>
      <c r="V990" s="1774"/>
      <c r="W990" s="1774"/>
      <c r="X990" s="1774"/>
      <c r="Y990" s="1774"/>
      <c r="Z990" s="1774"/>
      <c r="AA990" s="1774"/>
      <c r="AB990" s="1774"/>
      <c r="AC990" s="1774"/>
      <c r="AD990" s="1774"/>
      <c r="AE990" s="1775"/>
      <c r="AF990" s="79"/>
      <c r="AG990" s="1785" t="s">
        <v>555</v>
      </c>
      <c r="AH990" s="1786"/>
      <c r="AI990" s="87"/>
      <c r="AJ990" s="1792">
        <f>ROUND(IF(AG990="Yes",AF992,0),0)</f>
        <v>5369053</v>
      </c>
      <c r="AK990" s="1793"/>
      <c r="AL990" s="1793"/>
      <c r="AM990" s="1793"/>
      <c r="AN990" s="1793"/>
      <c r="AO990" s="1793"/>
      <c r="AP990" s="1793"/>
      <c r="AQ990" s="1794"/>
      <c r="AR990" s="68"/>
      <c r="AS990" s="68"/>
      <c r="AT990" s="68"/>
      <c r="AU990" s="68"/>
      <c r="AV990" s="68"/>
      <c r="AW990" s="68"/>
      <c r="AX990" s="68"/>
      <c r="AY990" s="68"/>
      <c r="BA990" s="213">
        <f>IF(A1064="Yes",0.02,0)</f>
        <v>0</v>
      </c>
    </row>
    <row r="991" spans="1:58" ht="12.95" customHeight="1">
      <c r="A991" s="14"/>
      <c r="B991" s="73"/>
      <c r="C991" s="74"/>
      <c r="D991" s="1776" t="s">
        <v>1953</v>
      </c>
      <c r="E991" s="1777"/>
      <c r="F991" s="1777"/>
      <c r="G991" s="1777"/>
      <c r="H991" s="1777"/>
      <c r="I991" s="1777"/>
      <c r="J991" s="1777"/>
      <c r="K991" s="1777"/>
      <c r="L991" s="1777"/>
      <c r="M991" s="1777"/>
      <c r="N991" s="1777"/>
      <c r="O991" s="1777"/>
      <c r="P991" s="1777"/>
      <c r="Q991" s="1777"/>
      <c r="R991" s="1777"/>
      <c r="S991" s="1777"/>
      <c r="T991" s="1777"/>
      <c r="U991" s="1777"/>
      <c r="V991" s="1777"/>
      <c r="W991" s="1777"/>
      <c r="X991" s="1777"/>
      <c r="Y991" s="1777"/>
      <c r="Z991" s="1777"/>
      <c r="AA991" s="1777"/>
      <c r="AB991" s="1777"/>
      <c r="AC991" s="1777"/>
      <c r="AD991" s="1777"/>
      <c r="AE991" s="1778"/>
      <c r="AF991" s="1860" t="str">
        <f>IF(AG990="yes","Enter Amount:","")</f>
        <v>Enter Amount:</v>
      </c>
      <c r="AG991" s="1861"/>
      <c r="AH991" s="1861"/>
      <c r="AI991" s="1862"/>
      <c r="AJ991" s="1795"/>
      <c r="AK991" s="1796"/>
      <c r="AL991" s="1796"/>
      <c r="AM991" s="1796"/>
      <c r="AN991" s="1796"/>
      <c r="AO991" s="1796"/>
      <c r="AP991" s="1796"/>
      <c r="AQ991" s="1797"/>
      <c r="AR991" s="68"/>
      <c r="AS991" s="68"/>
      <c r="AT991" s="68"/>
      <c r="AU991" s="68"/>
      <c r="AV991" s="68"/>
      <c r="AW991" s="68"/>
      <c r="AX991" s="68"/>
      <c r="AY991" s="68"/>
      <c r="BA991" s="214">
        <f>IF(A1068="Yes",0.02,0)</f>
        <v>0</v>
      </c>
    </row>
    <row r="992" spans="1:58" ht="12.95" customHeight="1">
      <c r="A992" s="14"/>
      <c r="B992" s="73"/>
      <c r="C992" s="74"/>
      <c r="D992" s="1776"/>
      <c r="E992" s="1777"/>
      <c r="F992" s="1777"/>
      <c r="G992" s="1777"/>
      <c r="H992" s="1777"/>
      <c r="I992" s="1777"/>
      <c r="J992" s="1777"/>
      <c r="K992" s="1777"/>
      <c r="L992" s="1777"/>
      <c r="M992" s="1777"/>
      <c r="N992" s="1777"/>
      <c r="O992" s="1777"/>
      <c r="P992" s="1777"/>
      <c r="Q992" s="1777"/>
      <c r="R992" s="1777"/>
      <c r="S992" s="1777"/>
      <c r="T992" s="1777"/>
      <c r="U992" s="1777"/>
      <c r="V992" s="1777"/>
      <c r="W992" s="1777"/>
      <c r="X992" s="1777"/>
      <c r="Y992" s="1777"/>
      <c r="Z992" s="1777"/>
      <c r="AA992" s="1777"/>
      <c r="AB992" s="1777"/>
      <c r="AC992" s="1777"/>
      <c r="AD992" s="1777"/>
      <c r="AE992" s="1778"/>
      <c r="AF992" s="1859">
        <v>5369053</v>
      </c>
      <c r="AG992" s="1859"/>
      <c r="AH992" s="1859"/>
      <c r="AI992" s="1859"/>
      <c r="AJ992" s="1795"/>
      <c r="AK992" s="1796"/>
      <c r="AL992" s="1796"/>
      <c r="AM992" s="1796"/>
      <c r="AN992" s="1796"/>
      <c r="AO992" s="1796"/>
      <c r="AP992" s="1796"/>
      <c r="AQ992" s="1797"/>
      <c r="AR992" s="68"/>
      <c r="AS992" s="68"/>
      <c r="AT992" s="68"/>
      <c r="AU992" s="68"/>
      <c r="AV992" s="68"/>
      <c r="AW992" s="68"/>
      <c r="AX992" s="68"/>
      <c r="AY992" s="68"/>
    </row>
    <row r="993" spans="1:51" ht="12.95" customHeight="1">
      <c r="A993" s="14"/>
      <c r="B993" s="85"/>
      <c r="C993" s="84"/>
      <c r="D993" s="1789"/>
      <c r="E993" s="1790"/>
      <c r="F993" s="1790"/>
      <c r="G993" s="1790"/>
      <c r="H993" s="1790"/>
      <c r="I993" s="1790"/>
      <c r="J993" s="1790"/>
      <c r="K993" s="1790"/>
      <c r="L993" s="1790"/>
      <c r="M993" s="1790"/>
      <c r="N993" s="1790"/>
      <c r="O993" s="1790"/>
      <c r="P993" s="1790"/>
      <c r="Q993" s="1790"/>
      <c r="R993" s="1790"/>
      <c r="S993" s="1790"/>
      <c r="T993" s="1790"/>
      <c r="U993" s="1790"/>
      <c r="V993" s="1790"/>
      <c r="W993" s="1790"/>
      <c r="X993" s="1790"/>
      <c r="Y993" s="1790"/>
      <c r="Z993" s="1790"/>
      <c r="AA993" s="1790"/>
      <c r="AB993" s="1790"/>
      <c r="AC993" s="1790"/>
      <c r="AD993" s="1790"/>
      <c r="AE993" s="1791"/>
      <c r="AF993" s="1859"/>
      <c r="AG993" s="1859"/>
      <c r="AH993" s="1859"/>
      <c r="AI993" s="1859"/>
      <c r="AJ993" s="1798"/>
      <c r="AK993" s="1799"/>
      <c r="AL993" s="1799"/>
      <c r="AM993" s="1799"/>
      <c r="AN993" s="1799"/>
      <c r="AO993" s="1799"/>
      <c r="AP993" s="1799"/>
      <c r="AQ993" s="1800"/>
      <c r="AR993" s="68"/>
      <c r="AS993" s="68"/>
      <c r="AT993" s="68"/>
      <c r="AU993" s="68"/>
      <c r="AV993" s="68"/>
      <c r="AW993" s="68"/>
      <c r="AX993" s="68"/>
      <c r="AY993" s="68"/>
    </row>
    <row r="994" spans="1:51" ht="12.95" customHeight="1">
      <c r="A994" s="14"/>
      <c r="B994" s="79"/>
      <c r="C994" s="80" t="s">
        <v>236</v>
      </c>
      <c r="D994" s="1812" t="s">
        <v>1463</v>
      </c>
      <c r="E994" s="1813"/>
      <c r="F994" s="1813"/>
      <c r="G994" s="1813"/>
      <c r="H994" s="1813"/>
      <c r="I994" s="1813"/>
      <c r="J994" s="1813"/>
      <c r="K994" s="1813"/>
      <c r="L994" s="1813"/>
      <c r="M994" s="1813"/>
      <c r="N994" s="1813"/>
      <c r="O994" s="1813"/>
      <c r="P994" s="1813"/>
      <c r="Q994" s="1813"/>
      <c r="R994" s="1813"/>
      <c r="S994" s="1813"/>
      <c r="T994" s="1813"/>
      <c r="U994" s="1813"/>
      <c r="V994" s="1813"/>
      <c r="W994" s="1813"/>
      <c r="X994" s="1813"/>
      <c r="Y994" s="1813"/>
      <c r="Z994" s="1813"/>
      <c r="AA994" s="1813"/>
      <c r="AB994" s="1813"/>
      <c r="AC994" s="1813"/>
      <c r="AD994" s="1813"/>
      <c r="AE994" s="1814"/>
      <c r="AF994" s="79"/>
      <c r="AG994" s="1785" t="s">
        <v>555</v>
      </c>
      <c r="AH994" s="1786"/>
      <c r="AI994" s="87"/>
      <c r="AJ994" s="1792">
        <f>ROUND(IF(AG994="yes",(AJ961*0.1),0),0)</f>
        <v>6149719</v>
      </c>
      <c r="AK994" s="1793"/>
      <c r="AL994" s="1793"/>
      <c r="AM994" s="1793"/>
      <c r="AN994" s="1793"/>
      <c r="AO994" s="1793"/>
      <c r="AP994" s="1793"/>
      <c r="AQ994" s="1794"/>
      <c r="AR994" s="68"/>
      <c r="AS994" s="68"/>
      <c r="AT994" s="68"/>
      <c r="AU994" s="68"/>
      <c r="AV994" s="68"/>
      <c r="AW994" s="68"/>
      <c r="AX994" s="68"/>
      <c r="AY994" s="68"/>
    </row>
    <row r="995" spans="1:51" ht="12.95" customHeight="1">
      <c r="A995" s="14"/>
      <c r="B995" s="73"/>
      <c r="C995" s="74"/>
      <c r="D995" s="1776" t="s">
        <v>1464</v>
      </c>
      <c r="E995" s="1777"/>
      <c r="F995" s="1777"/>
      <c r="G995" s="1777"/>
      <c r="H995" s="1777"/>
      <c r="I995" s="1777"/>
      <c r="J995" s="1777"/>
      <c r="K995" s="1777"/>
      <c r="L995" s="1777"/>
      <c r="M995" s="1777"/>
      <c r="N995" s="1777"/>
      <c r="O995" s="1777"/>
      <c r="P995" s="1777"/>
      <c r="Q995" s="1777"/>
      <c r="R995" s="1777"/>
      <c r="S995" s="1777"/>
      <c r="T995" s="1777"/>
      <c r="U995" s="1777"/>
      <c r="V995" s="1777"/>
      <c r="W995" s="1777"/>
      <c r="X995" s="1777"/>
      <c r="Y995" s="1777"/>
      <c r="Z995" s="1777"/>
      <c r="AA995" s="1777"/>
      <c r="AB995" s="1777"/>
      <c r="AC995" s="1777"/>
      <c r="AD995" s="1777"/>
      <c r="AE995" s="1778"/>
      <c r="AF995" s="73"/>
      <c r="AG995" s="14"/>
      <c r="AH995" s="14"/>
      <c r="AI995" s="83"/>
      <c r="AJ995" s="1795"/>
      <c r="AK995" s="1796"/>
      <c r="AL995" s="1796"/>
      <c r="AM995" s="1796"/>
      <c r="AN995" s="1796"/>
      <c r="AO995" s="1796"/>
      <c r="AP995" s="1796"/>
      <c r="AQ995" s="1797"/>
      <c r="AR995" s="68"/>
      <c r="AS995" s="68"/>
      <c r="AT995" s="68"/>
      <c r="AU995" s="68"/>
      <c r="AV995" s="68"/>
      <c r="AW995" s="68"/>
      <c r="AX995" s="68"/>
      <c r="AY995" s="68"/>
    </row>
    <row r="996" spans="1:51" ht="12.95" customHeight="1">
      <c r="A996" s="14"/>
      <c r="B996" s="77"/>
      <c r="C996" s="74"/>
      <c r="D996" s="1789"/>
      <c r="E996" s="1790"/>
      <c r="F996" s="1790"/>
      <c r="G996" s="1790"/>
      <c r="H996" s="1790"/>
      <c r="I996" s="1790"/>
      <c r="J996" s="1790"/>
      <c r="K996" s="1790"/>
      <c r="L996" s="1790"/>
      <c r="M996" s="1790"/>
      <c r="N996" s="1790"/>
      <c r="O996" s="1790"/>
      <c r="P996" s="1790"/>
      <c r="Q996" s="1790"/>
      <c r="R996" s="1790"/>
      <c r="S996" s="1790"/>
      <c r="T996" s="1790"/>
      <c r="U996" s="1790"/>
      <c r="V996" s="1790"/>
      <c r="W996" s="1790"/>
      <c r="X996" s="1790"/>
      <c r="Y996" s="1790"/>
      <c r="Z996" s="1790"/>
      <c r="AA996" s="1790"/>
      <c r="AB996" s="1790"/>
      <c r="AC996" s="1790"/>
      <c r="AD996" s="1790"/>
      <c r="AE996" s="1791"/>
      <c r="AF996" s="73"/>
      <c r="AG996" s="14"/>
      <c r="AH996" s="14"/>
      <c r="AI996" s="83"/>
      <c r="AJ996" s="1798"/>
      <c r="AK996" s="1799"/>
      <c r="AL996" s="1799"/>
      <c r="AM996" s="1799"/>
      <c r="AN996" s="1799"/>
      <c r="AO996" s="1799"/>
      <c r="AP996" s="1799"/>
      <c r="AQ996" s="1800"/>
      <c r="AR996" s="68"/>
      <c r="AS996" s="68"/>
      <c r="AT996" s="68"/>
      <c r="AU996" s="68"/>
      <c r="AV996" s="68"/>
      <c r="AW996" s="68"/>
      <c r="AX996" s="68"/>
      <c r="AY996" s="68"/>
    </row>
    <row r="997" spans="1:51" ht="12.95" customHeight="1">
      <c r="A997" s="14"/>
      <c r="B997" s="73"/>
      <c r="C997" s="368" t="s">
        <v>698</v>
      </c>
      <c r="D997" s="1773" t="s">
        <v>1949</v>
      </c>
      <c r="E997" s="1774"/>
      <c r="F997" s="1774"/>
      <c r="G997" s="1774"/>
      <c r="H997" s="1774"/>
      <c r="I997" s="1774"/>
      <c r="J997" s="1774"/>
      <c r="K997" s="1774"/>
      <c r="L997" s="1774"/>
      <c r="M997" s="1774"/>
      <c r="N997" s="1774"/>
      <c r="O997" s="1774"/>
      <c r="P997" s="1774"/>
      <c r="Q997" s="1774"/>
      <c r="R997" s="1774"/>
      <c r="S997" s="1774"/>
      <c r="T997" s="1774"/>
      <c r="U997" s="1774"/>
      <c r="V997" s="1774"/>
      <c r="W997" s="1774"/>
      <c r="X997" s="1774"/>
      <c r="Y997" s="1774"/>
      <c r="Z997" s="1774"/>
      <c r="AA997" s="1774"/>
      <c r="AB997" s="1774"/>
      <c r="AC997" s="1774"/>
      <c r="AD997" s="1774"/>
      <c r="AE997" s="1775"/>
      <c r="AF997" s="79"/>
      <c r="AG997" s="1785" t="s">
        <v>679</v>
      </c>
      <c r="AH997" s="1786"/>
      <c r="AI997" s="87"/>
      <c r="AJ997" s="1792">
        <f>ROUND(IF(AG997="yes",(AJ961*0.15),0),0)</f>
        <v>0</v>
      </c>
      <c r="AK997" s="1793"/>
      <c r="AL997" s="1793"/>
      <c r="AM997" s="1793"/>
      <c r="AN997" s="1793"/>
      <c r="AO997" s="1793"/>
      <c r="AP997" s="1793"/>
      <c r="AQ997" s="1794"/>
      <c r="AR997" s="68"/>
      <c r="AS997" s="68"/>
      <c r="AT997" s="68"/>
      <c r="AU997" s="68"/>
      <c r="AV997" s="68"/>
      <c r="AW997" s="68"/>
      <c r="AX997" s="68"/>
      <c r="AY997" s="68"/>
    </row>
    <row r="998" spans="1:51" ht="12.95" customHeight="1">
      <c r="A998" s="14"/>
      <c r="B998" s="73"/>
      <c r="C998" s="74"/>
      <c r="D998" s="1804" t="s">
        <v>1950</v>
      </c>
      <c r="E998" s="1269"/>
      <c r="F998" s="1269"/>
      <c r="G998" s="1269"/>
      <c r="H998" s="1269"/>
      <c r="I998" s="1269"/>
      <c r="J998" s="1269"/>
      <c r="K998" s="1269"/>
      <c r="L998" s="1269"/>
      <c r="M998" s="1269"/>
      <c r="N998" s="1269"/>
      <c r="O998" s="1269"/>
      <c r="P998" s="1269"/>
      <c r="Q998" s="1269"/>
      <c r="R998" s="1269"/>
      <c r="S998" s="1269"/>
      <c r="T998" s="1269"/>
      <c r="U998" s="1269"/>
      <c r="V998" s="1269"/>
      <c r="W998" s="1269"/>
      <c r="X998" s="1269"/>
      <c r="Y998" s="1269"/>
      <c r="Z998" s="1269"/>
      <c r="AA998" s="1269"/>
      <c r="AB998" s="1269"/>
      <c r="AC998" s="1269"/>
      <c r="AD998" s="1269"/>
      <c r="AE998" s="1805"/>
      <c r="AF998" s="952"/>
      <c r="AG998" s="953"/>
      <c r="AH998" s="953"/>
      <c r="AI998" s="954"/>
      <c r="AJ998" s="1795"/>
      <c r="AK998" s="1796"/>
      <c r="AL998" s="1796"/>
      <c r="AM998" s="1796"/>
      <c r="AN998" s="1796"/>
      <c r="AO998" s="1796"/>
      <c r="AP998" s="1796"/>
      <c r="AQ998" s="1797"/>
      <c r="AR998" s="68"/>
      <c r="AS998" s="68"/>
      <c r="AT998" s="68"/>
      <c r="AU998" s="68"/>
      <c r="AV998" s="68"/>
      <c r="AW998" s="68"/>
      <c r="AX998" s="68"/>
      <c r="AY998" s="68"/>
    </row>
    <row r="999" spans="1:51" ht="12.95" customHeight="1">
      <c r="A999" s="14"/>
      <c r="B999" s="73"/>
      <c r="C999" s="74"/>
      <c r="D999" s="1804"/>
      <c r="E999" s="1269"/>
      <c r="F999" s="1269"/>
      <c r="G999" s="1269"/>
      <c r="H999" s="1269"/>
      <c r="I999" s="1269"/>
      <c r="J999" s="1269"/>
      <c r="K999" s="1269"/>
      <c r="L999" s="1269"/>
      <c r="M999" s="1269"/>
      <c r="N999" s="1269"/>
      <c r="O999" s="1269"/>
      <c r="P999" s="1269"/>
      <c r="Q999" s="1269"/>
      <c r="R999" s="1269"/>
      <c r="S999" s="1269"/>
      <c r="T999" s="1269"/>
      <c r="U999" s="1269"/>
      <c r="V999" s="1269"/>
      <c r="W999" s="1269"/>
      <c r="X999" s="1269"/>
      <c r="Y999" s="1269"/>
      <c r="Z999" s="1269"/>
      <c r="AA999" s="1269"/>
      <c r="AB999" s="1269"/>
      <c r="AC999" s="1269"/>
      <c r="AD999" s="1269"/>
      <c r="AE999" s="1805"/>
      <c r="AF999" s="952"/>
      <c r="AG999" s="953"/>
      <c r="AH999" s="953"/>
      <c r="AI999" s="954"/>
      <c r="AJ999" s="1795"/>
      <c r="AK999" s="1796"/>
      <c r="AL999" s="1796"/>
      <c r="AM999" s="1796"/>
      <c r="AN999" s="1796"/>
      <c r="AO999" s="1796"/>
      <c r="AP999" s="1796"/>
      <c r="AQ999" s="1797"/>
      <c r="AR999" s="68"/>
      <c r="AS999" s="68"/>
      <c r="AT999" s="68"/>
      <c r="AU999" s="68"/>
      <c r="AV999" s="68"/>
      <c r="AW999" s="68"/>
      <c r="AX999" s="68"/>
      <c r="AY999" s="68"/>
    </row>
    <row r="1000" spans="1:51" ht="12.95" customHeight="1">
      <c r="A1000" s="14"/>
      <c r="B1000" s="73"/>
      <c r="C1000" s="74"/>
      <c r="D1000" s="1806"/>
      <c r="E1000" s="1807"/>
      <c r="F1000" s="1807"/>
      <c r="G1000" s="1807"/>
      <c r="H1000" s="1807"/>
      <c r="I1000" s="1807"/>
      <c r="J1000" s="1807"/>
      <c r="K1000" s="1807"/>
      <c r="L1000" s="1807"/>
      <c r="M1000" s="1807"/>
      <c r="N1000" s="1807"/>
      <c r="O1000" s="1807"/>
      <c r="P1000" s="1807"/>
      <c r="Q1000" s="1807"/>
      <c r="R1000" s="1807"/>
      <c r="S1000" s="1807"/>
      <c r="T1000" s="1807"/>
      <c r="U1000" s="1807"/>
      <c r="V1000" s="1807"/>
      <c r="W1000" s="1807"/>
      <c r="X1000" s="1807"/>
      <c r="Y1000" s="1807"/>
      <c r="Z1000" s="1807"/>
      <c r="AA1000" s="1807"/>
      <c r="AB1000" s="1807"/>
      <c r="AC1000" s="1807"/>
      <c r="AD1000" s="1807"/>
      <c r="AE1000" s="1808"/>
      <c r="AF1000" s="955"/>
      <c r="AG1000" s="956"/>
      <c r="AH1000" s="956"/>
      <c r="AI1000" s="957"/>
      <c r="AJ1000" s="1798"/>
      <c r="AK1000" s="1799"/>
      <c r="AL1000" s="1799"/>
      <c r="AM1000" s="1799"/>
      <c r="AN1000" s="1799"/>
      <c r="AO1000" s="1799"/>
      <c r="AP1000" s="1799"/>
      <c r="AQ1000" s="1800"/>
      <c r="AR1000" s="68"/>
      <c r="AS1000" s="68"/>
      <c r="AT1000" s="68"/>
      <c r="AU1000" s="68"/>
      <c r="AV1000" s="68"/>
      <c r="AW1000" s="68"/>
      <c r="AX1000" s="68"/>
      <c r="AY1000" s="68"/>
    </row>
    <row r="1001" spans="1:51" ht="12.95" customHeight="1">
      <c r="A1001" s="14"/>
      <c r="B1001" s="73"/>
      <c r="C1001" s="368" t="s">
        <v>698</v>
      </c>
      <c r="D1001" s="1812" t="s">
        <v>1951</v>
      </c>
      <c r="E1001" s="1813"/>
      <c r="F1001" s="1813"/>
      <c r="G1001" s="1813"/>
      <c r="H1001" s="1813"/>
      <c r="I1001" s="1813"/>
      <c r="J1001" s="1813"/>
      <c r="K1001" s="1813"/>
      <c r="L1001" s="1813"/>
      <c r="M1001" s="1813"/>
      <c r="N1001" s="1813"/>
      <c r="O1001" s="1813"/>
      <c r="P1001" s="1813"/>
      <c r="Q1001" s="1813"/>
      <c r="R1001" s="1813"/>
      <c r="S1001" s="1813"/>
      <c r="T1001" s="1813"/>
      <c r="U1001" s="1813"/>
      <c r="V1001" s="1813"/>
      <c r="W1001" s="1813"/>
      <c r="X1001" s="1813"/>
      <c r="Y1001" s="1813"/>
      <c r="Z1001" s="1813"/>
      <c r="AA1001" s="1813"/>
      <c r="AB1001" s="1813"/>
      <c r="AC1001" s="1813"/>
      <c r="AD1001" s="1813"/>
      <c r="AE1001" s="1814"/>
      <c r="AF1001" s="73"/>
      <c r="AG1001" s="1787" t="s">
        <v>679</v>
      </c>
      <c r="AH1001" s="1788"/>
      <c r="AI1001" s="83"/>
      <c r="AJ1001" s="1792">
        <f>ROUND(IF(AND(AG1001="yes",AJ997=0),(AJ961*0.1),0),0)</f>
        <v>0</v>
      </c>
      <c r="AK1001" s="1793"/>
      <c r="AL1001" s="1793"/>
      <c r="AM1001" s="1793"/>
      <c r="AN1001" s="1793"/>
      <c r="AO1001" s="1793"/>
      <c r="AP1001" s="1793"/>
      <c r="AQ1001" s="1794"/>
      <c r="AR1001" s="68"/>
      <c r="AS1001" s="68"/>
      <c r="AT1001" s="68"/>
      <c r="AU1001" s="68"/>
      <c r="AV1001" s="68"/>
      <c r="AW1001" s="68"/>
      <c r="AX1001" s="68"/>
      <c r="AY1001" s="68"/>
    </row>
    <row r="1002" spans="1:51" ht="12.95" customHeight="1">
      <c r="A1002" s="14"/>
      <c r="B1002" s="73"/>
      <c r="C1002" s="74"/>
      <c r="D1002" s="1804" t="s">
        <v>1952</v>
      </c>
      <c r="E1002" s="1269"/>
      <c r="F1002" s="1269"/>
      <c r="G1002" s="1269"/>
      <c r="H1002" s="1269"/>
      <c r="I1002" s="1269"/>
      <c r="J1002" s="1269"/>
      <c r="K1002" s="1269"/>
      <c r="L1002" s="1269"/>
      <c r="M1002" s="1269"/>
      <c r="N1002" s="1269"/>
      <c r="O1002" s="1269"/>
      <c r="P1002" s="1269"/>
      <c r="Q1002" s="1269"/>
      <c r="R1002" s="1269"/>
      <c r="S1002" s="1269"/>
      <c r="T1002" s="1269"/>
      <c r="U1002" s="1269"/>
      <c r="V1002" s="1269"/>
      <c r="W1002" s="1269"/>
      <c r="X1002" s="1269"/>
      <c r="Y1002" s="1269"/>
      <c r="Z1002" s="1269"/>
      <c r="AA1002" s="1269"/>
      <c r="AB1002" s="1269"/>
      <c r="AC1002" s="1269"/>
      <c r="AD1002" s="1269"/>
      <c r="AE1002" s="1805"/>
      <c r="AF1002" s="73"/>
      <c r="AG1002" s="14"/>
      <c r="AH1002" s="14"/>
      <c r="AI1002" s="83"/>
      <c r="AJ1002" s="1795"/>
      <c r="AK1002" s="1796"/>
      <c r="AL1002" s="1796"/>
      <c r="AM1002" s="1796"/>
      <c r="AN1002" s="1796"/>
      <c r="AO1002" s="1796"/>
      <c r="AP1002" s="1796"/>
      <c r="AQ1002" s="1797"/>
      <c r="AR1002" s="68"/>
      <c r="AS1002" s="68"/>
      <c r="AT1002" s="68"/>
      <c r="AU1002" s="68"/>
      <c r="AV1002" s="68"/>
      <c r="AW1002" s="68"/>
      <c r="AX1002" s="68"/>
      <c r="AY1002" s="68"/>
    </row>
    <row r="1003" spans="1:51" ht="12.95" customHeight="1">
      <c r="A1003" s="14"/>
      <c r="B1003" s="73"/>
      <c r="C1003" s="74"/>
      <c r="D1003" s="1804"/>
      <c r="E1003" s="1269"/>
      <c r="F1003" s="1269"/>
      <c r="G1003" s="1269"/>
      <c r="H1003" s="1269"/>
      <c r="I1003" s="1269"/>
      <c r="J1003" s="1269"/>
      <c r="K1003" s="1269"/>
      <c r="L1003" s="1269"/>
      <c r="M1003" s="1269"/>
      <c r="N1003" s="1269"/>
      <c r="O1003" s="1269"/>
      <c r="P1003" s="1269"/>
      <c r="Q1003" s="1269"/>
      <c r="R1003" s="1269"/>
      <c r="S1003" s="1269"/>
      <c r="T1003" s="1269"/>
      <c r="U1003" s="1269"/>
      <c r="V1003" s="1269"/>
      <c r="W1003" s="1269"/>
      <c r="X1003" s="1269"/>
      <c r="Y1003" s="1269"/>
      <c r="Z1003" s="1269"/>
      <c r="AA1003" s="1269"/>
      <c r="AB1003" s="1269"/>
      <c r="AC1003" s="1269"/>
      <c r="AD1003" s="1269"/>
      <c r="AE1003" s="1805"/>
      <c r="AF1003" s="73"/>
      <c r="AG1003" s="14"/>
      <c r="AH1003" s="14"/>
      <c r="AI1003" s="83"/>
      <c r="AJ1003" s="1795"/>
      <c r="AK1003" s="1796"/>
      <c r="AL1003" s="1796"/>
      <c r="AM1003" s="1796"/>
      <c r="AN1003" s="1796"/>
      <c r="AO1003" s="1796"/>
      <c r="AP1003" s="1796"/>
      <c r="AQ1003" s="1797"/>
      <c r="AR1003" s="68"/>
      <c r="AS1003" s="68"/>
      <c r="AT1003" s="68"/>
      <c r="AU1003" s="68"/>
      <c r="AV1003" s="68"/>
      <c r="AW1003" s="68"/>
      <c r="AX1003" s="68"/>
      <c r="AY1003" s="68"/>
    </row>
    <row r="1004" spans="1:51" ht="12.95" customHeight="1">
      <c r="A1004" s="14"/>
      <c r="B1004" s="73"/>
      <c r="C1004" s="74"/>
      <c r="D1004" s="1804"/>
      <c r="E1004" s="1269"/>
      <c r="F1004" s="1269"/>
      <c r="G1004" s="1269"/>
      <c r="H1004" s="1269"/>
      <c r="I1004" s="1269"/>
      <c r="J1004" s="1269"/>
      <c r="K1004" s="1269"/>
      <c r="L1004" s="1269"/>
      <c r="M1004" s="1269"/>
      <c r="N1004" s="1269"/>
      <c r="O1004" s="1269"/>
      <c r="P1004" s="1269"/>
      <c r="Q1004" s="1269"/>
      <c r="R1004" s="1269"/>
      <c r="S1004" s="1269"/>
      <c r="T1004" s="1269"/>
      <c r="U1004" s="1269"/>
      <c r="V1004" s="1269"/>
      <c r="W1004" s="1269"/>
      <c r="X1004" s="1269"/>
      <c r="Y1004" s="1269"/>
      <c r="Z1004" s="1269"/>
      <c r="AA1004" s="1269"/>
      <c r="AB1004" s="1269"/>
      <c r="AC1004" s="1269"/>
      <c r="AD1004" s="1269"/>
      <c r="AE1004" s="1805"/>
      <c r="AF1004" s="73"/>
      <c r="AG1004" s="14"/>
      <c r="AH1004" s="14"/>
      <c r="AI1004" s="83"/>
      <c r="AJ1004" s="1795"/>
      <c r="AK1004" s="1796"/>
      <c r="AL1004" s="1796"/>
      <c r="AM1004" s="1796"/>
      <c r="AN1004" s="1796"/>
      <c r="AO1004" s="1796"/>
      <c r="AP1004" s="1796"/>
      <c r="AQ1004" s="1797"/>
      <c r="AR1004" s="68"/>
      <c r="AS1004" s="68"/>
      <c r="AT1004" s="68"/>
      <c r="AU1004" s="68"/>
      <c r="AV1004" s="68"/>
      <c r="AW1004" s="68"/>
      <c r="AX1004" s="68"/>
      <c r="AY1004" s="68"/>
    </row>
    <row r="1005" spans="1:51" ht="12.95" customHeight="1">
      <c r="A1005" s="14"/>
      <c r="B1005" s="73"/>
      <c r="C1005" s="74"/>
      <c r="D1005" s="1806"/>
      <c r="E1005" s="1807"/>
      <c r="F1005" s="1807"/>
      <c r="G1005" s="1807"/>
      <c r="H1005" s="1807"/>
      <c r="I1005" s="1807"/>
      <c r="J1005" s="1807"/>
      <c r="K1005" s="1807"/>
      <c r="L1005" s="1807"/>
      <c r="M1005" s="1807"/>
      <c r="N1005" s="1807"/>
      <c r="O1005" s="1807"/>
      <c r="P1005" s="1807"/>
      <c r="Q1005" s="1807"/>
      <c r="R1005" s="1807"/>
      <c r="S1005" s="1807"/>
      <c r="T1005" s="1807"/>
      <c r="U1005" s="1807"/>
      <c r="V1005" s="1807"/>
      <c r="W1005" s="1807"/>
      <c r="X1005" s="1807"/>
      <c r="Y1005" s="1807"/>
      <c r="Z1005" s="1807"/>
      <c r="AA1005" s="1807"/>
      <c r="AB1005" s="1807"/>
      <c r="AC1005" s="1807"/>
      <c r="AD1005" s="1807"/>
      <c r="AE1005" s="1808"/>
      <c r="AF1005" s="73"/>
      <c r="AG1005" s="14"/>
      <c r="AH1005" s="14"/>
      <c r="AI1005" s="83"/>
      <c r="AJ1005" s="1795"/>
      <c r="AK1005" s="1796"/>
      <c r="AL1005" s="1796"/>
      <c r="AM1005" s="1796"/>
      <c r="AN1005" s="1796"/>
      <c r="AO1005" s="1796"/>
      <c r="AP1005" s="1796"/>
      <c r="AQ1005" s="1797"/>
      <c r="AR1005" s="68"/>
      <c r="AS1005" s="68"/>
      <c r="AT1005" s="68"/>
      <c r="AU1005" s="68"/>
      <c r="AV1005" s="68"/>
      <c r="AW1005" s="68"/>
      <c r="AX1005" s="68"/>
      <c r="AY1005" s="68"/>
    </row>
    <row r="1006" spans="1:51" ht="12.95" customHeight="1">
      <c r="A1006" s="14"/>
      <c r="B1006" s="79"/>
      <c r="C1006" s="131" t="s">
        <v>1068</v>
      </c>
      <c r="D1006" s="1773" t="s">
        <v>1465</v>
      </c>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9"/>
      <c r="AG1006" s="1785" t="s">
        <v>679</v>
      </c>
      <c r="AH1006" s="1786"/>
      <c r="AI1006" s="87"/>
      <c r="AJ1006" s="1792">
        <f>ROUND(IF(AG1006="yes",(AJ961*0.1),0),0)</f>
        <v>0</v>
      </c>
      <c r="AK1006" s="1793"/>
      <c r="AL1006" s="1793"/>
      <c r="AM1006" s="1793"/>
      <c r="AN1006" s="1793"/>
      <c r="AO1006" s="1793"/>
      <c r="AP1006" s="1793"/>
      <c r="AQ1006" s="1794"/>
      <c r="AR1006" s="68"/>
      <c r="AS1006" s="68"/>
      <c r="AT1006" s="68"/>
      <c r="AU1006" s="68"/>
      <c r="AV1006" s="68"/>
      <c r="AW1006" s="68"/>
      <c r="AX1006" s="68"/>
      <c r="AY1006" s="68"/>
    </row>
    <row r="1007" spans="1:51" ht="12.95" customHeight="1">
      <c r="A1007" s="14"/>
      <c r="B1007" s="73"/>
      <c r="C1007" s="74"/>
      <c r="D1007" s="1776" t="s">
        <v>2622</v>
      </c>
      <c r="E1007" s="1777"/>
      <c r="F1007" s="1777"/>
      <c r="G1007" s="1777"/>
      <c r="H1007" s="1777"/>
      <c r="I1007" s="1777"/>
      <c r="J1007" s="1777"/>
      <c r="K1007" s="1777"/>
      <c r="L1007" s="1777"/>
      <c r="M1007" s="1777"/>
      <c r="N1007" s="1777"/>
      <c r="O1007" s="1777"/>
      <c r="P1007" s="1777"/>
      <c r="Q1007" s="1777"/>
      <c r="R1007" s="1777"/>
      <c r="S1007" s="1777"/>
      <c r="T1007" s="1777"/>
      <c r="U1007" s="1777"/>
      <c r="V1007" s="1777"/>
      <c r="W1007" s="1777"/>
      <c r="X1007" s="1777"/>
      <c r="Y1007" s="1777"/>
      <c r="Z1007" s="1777"/>
      <c r="AA1007" s="1777"/>
      <c r="AB1007" s="1777"/>
      <c r="AC1007" s="1777"/>
      <c r="AD1007" s="1777"/>
      <c r="AE1007" s="1778"/>
      <c r="AF1007" s="73"/>
      <c r="AG1007" s="14"/>
      <c r="AH1007" s="14"/>
      <c r="AI1007" s="83"/>
      <c r="AJ1007" s="1795"/>
      <c r="AK1007" s="1796"/>
      <c r="AL1007" s="1796"/>
      <c r="AM1007" s="1796"/>
      <c r="AN1007" s="1796"/>
      <c r="AO1007" s="1796"/>
      <c r="AP1007" s="1796"/>
      <c r="AQ1007" s="1797"/>
      <c r="AR1007" s="68"/>
      <c r="AS1007" s="68"/>
      <c r="AT1007" s="68"/>
      <c r="AU1007" s="68"/>
      <c r="AV1007" s="68"/>
      <c r="AW1007" s="68"/>
      <c r="AX1007" s="68"/>
      <c r="AY1007" s="68"/>
    </row>
    <row r="1008" spans="1:51" ht="12.95" customHeight="1">
      <c r="A1008" s="14"/>
      <c r="B1008" s="73"/>
      <c r="C1008" s="74"/>
      <c r="D1008" s="1776"/>
      <c r="E1008" s="1777"/>
      <c r="F1008" s="1777"/>
      <c r="G1008" s="1777"/>
      <c r="H1008" s="1777"/>
      <c r="I1008" s="1777"/>
      <c r="J1008" s="1777"/>
      <c r="K1008" s="1777"/>
      <c r="L1008" s="1777"/>
      <c r="M1008" s="1777"/>
      <c r="N1008" s="1777"/>
      <c r="O1008" s="1777"/>
      <c r="P1008" s="1777"/>
      <c r="Q1008" s="1777"/>
      <c r="R1008" s="1777"/>
      <c r="S1008" s="1777"/>
      <c r="T1008" s="1777"/>
      <c r="U1008" s="1777"/>
      <c r="V1008" s="1777"/>
      <c r="W1008" s="1777"/>
      <c r="X1008" s="1777"/>
      <c r="Y1008" s="1777"/>
      <c r="Z1008" s="1777"/>
      <c r="AA1008" s="1777"/>
      <c r="AB1008" s="1777"/>
      <c r="AC1008" s="1777"/>
      <c r="AD1008" s="1777"/>
      <c r="AE1008" s="1778"/>
      <c r="AF1008" s="73"/>
      <c r="AG1008" s="14"/>
      <c r="AH1008" s="14"/>
      <c r="AI1008" s="83"/>
      <c r="AJ1008" s="1795"/>
      <c r="AK1008" s="1796"/>
      <c r="AL1008" s="1796"/>
      <c r="AM1008" s="1796"/>
      <c r="AN1008" s="1796"/>
      <c r="AO1008" s="1796"/>
      <c r="AP1008" s="1796"/>
      <c r="AQ1008" s="1797"/>
      <c r="AR1008" s="68"/>
      <c r="AS1008" s="68"/>
      <c r="AT1008" s="68"/>
      <c r="AU1008" s="68"/>
      <c r="AV1008" s="68"/>
      <c r="AW1008" s="68"/>
      <c r="AX1008" s="68"/>
      <c r="AY1008" s="68"/>
    </row>
    <row r="1009" spans="1:51" ht="12.95" customHeight="1">
      <c r="A1009" s="14"/>
      <c r="B1009" s="73"/>
      <c r="C1009" s="74"/>
      <c r="D1009" s="1789"/>
      <c r="E1009" s="1790"/>
      <c r="F1009" s="1790"/>
      <c r="G1009" s="1790"/>
      <c r="H1009" s="1790"/>
      <c r="I1009" s="1790"/>
      <c r="J1009" s="1790"/>
      <c r="K1009" s="1790"/>
      <c r="L1009" s="1790"/>
      <c r="M1009" s="1790"/>
      <c r="N1009" s="1790"/>
      <c r="O1009" s="1790"/>
      <c r="P1009" s="1790"/>
      <c r="Q1009" s="1790"/>
      <c r="R1009" s="1790"/>
      <c r="S1009" s="1790"/>
      <c r="T1009" s="1790"/>
      <c r="U1009" s="1790"/>
      <c r="V1009" s="1790"/>
      <c r="W1009" s="1790"/>
      <c r="X1009" s="1790"/>
      <c r="Y1009" s="1790"/>
      <c r="Z1009" s="1790"/>
      <c r="AA1009" s="1790"/>
      <c r="AB1009" s="1790"/>
      <c r="AC1009" s="1790"/>
      <c r="AD1009" s="1790"/>
      <c r="AE1009" s="1791"/>
      <c r="AF1009" s="73"/>
      <c r="AG1009" s="14"/>
      <c r="AH1009" s="14"/>
      <c r="AI1009" s="83"/>
      <c r="AJ1009" s="1798"/>
      <c r="AK1009" s="1799"/>
      <c r="AL1009" s="1799"/>
      <c r="AM1009" s="1799"/>
      <c r="AN1009" s="1799"/>
      <c r="AO1009" s="1799"/>
      <c r="AP1009" s="1799"/>
      <c r="AQ1009" s="1800"/>
      <c r="AR1009" s="68"/>
      <c r="AS1009" s="68"/>
      <c r="AT1009" s="68"/>
      <c r="AU1009" s="68"/>
      <c r="AV1009" s="68"/>
      <c r="AW1009" s="68"/>
      <c r="AX1009" s="68"/>
      <c r="AY1009" s="68"/>
    </row>
    <row r="1010" spans="1:51" ht="12.95" customHeight="1">
      <c r="A1010" s="14"/>
      <c r="B1010" s="79"/>
      <c r="C1010" s="131" t="s">
        <v>1947</v>
      </c>
      <c r="D1010" s="1812" t="s">
        <v>2131</v>
      </c>
      <c r="E1010" s="1813"/>
      <c r="F1010" s="1813"/>
      <c r="G1010" s="1813"/>
      <c r="H1010" s="1813"/>
      <c r="I1010" s="1813"/>
      <c r="J1010" s="1813"/>
      <c r="K1010" s="1813"/>
      <c r="L1010" s="1813"/>
      <c r="M1010" s="1813"/>
      <c r="N1010" s="1813"/>
      <c r="O1010" s="1813"/>
      <c r="P1010" s="1813"/>
      <c r="Q1010" s="1813"/>
      <c r="R1010" s="1813"/>
      <c r="S1010" s="1813"/>
      <c r="T1010" s="1813"/>
      <c r="U1010" s="1813"/>
      <c r="V1010" s="1813"/>
      <c r="W1010" s="1813"/>
      <c r="X1010" s="1813"/>
      <c r="Y1010" s="1813"/>
      <c r="Z1010" s="1813"/>
      <c r="AA1010" s="1813"/>
      <c r="AB1010" s="1813"/>
      <c r="AC1010" s="1813"/>
      <c r="AD1010" s="1813"/>
      <c r="AE1010" s="1814"/>
      <c r="AF1010" s="79"/>
      <c r="AG1010" s="1783" t="str">
        <f>IF(X1013&gt;0,"Yes","No")</f>
        <v>No</v>
      </c>
      <c r="AH1010" s="1784"/>
      <c r="AI1010" s="87"/>
      <c r="AJ1010" s="1792">
        <f>IF((X1013=0),0,BA975*AJ961)</f>
        <v>0</v>
      </c>
      <c r="AK1010" s="1793"/>
      <c r="AL1010" s="1793"/>
      <c r="AM1010" s="1793"/>
      <c r="AN1010" s="1793"/>
      <c r="AO1010" s="1793"/>
      <c r="AP1010" s="1793"/>
      <c r="AQ1010" s="1794"/>
      <c r="AR1010" s="68"/>
      <c r="AS1010" s="68"/>
      <c r="AT1010" s="68"/>
      <c r="AU1010" s="68"/>
      <c r="AV1010" s="68"/>
      <c r="AW1010" s="68"/>
      <c r="AX1010" s="68"/>
      <c r="AY1010" s="68"/>
    </row>
    <row r="1011" spans="1:51" ht="12.95" customHeight="1">
      <c r="A1011" s="14"/>
      <c r="B1011" s="73"/>
      <c r="C1011" s="477"/>
      <c r="D1011" s="1776" t="s">
        <v>1467</v>
      </c>
      <c r="E1011" s="1777"/>
      <c r="F1011" s="1777"/>
      <c r="G1011" s="1777"/>
      <c r="H1011" s="1777"/>
      <c r="I1011" s="1777"/>
      <c r="J1011" s="1777"/>
      <c r="K1011" s="1777"/>
      <c r="L1011" s="1777"/>
      <c r="M1011" s="1777"/>
      <c r="N1011" s="1777"/>
      <c r="O1011" s="1777"/>
      <c r="P1011" s="1777"/>
      <c r="Q1011" s="1777"/>
      <c r="R1011" s="1777"/>
      <c r="S1011" s="1777"/>
      <c r="T1011" s="1777"/>
      <c r="U1011" s="1777"/>
      <c r="V1011" s="1777"/>
      <c r="W1011" s="1777"/>
      <c r="X1011" s="1777"/>
      <c r="Y1011" s="1777"/>
      <c r="Z1011" s="1777"/>
      <c r="AA1011" s="1777"/>
      <c r="AB1011" s="1777"/>
      <c r="AC1011" s="1777"/>
      <c r="AD1011" s="1777"/>
      <c r="AE1011" s="1778"/>
      <c r="AF1011" s="73"/>
      <c r="AG1011" s="478"/>
      <c r="AH1011" s="478"/>
      <c r="AI1011" s="83"/>
      <c r="AJ1011" s="1795"/>
      <c r="AK1011" s="1796"/>
      <c r="AL1011" s="1796"/>
      <c r="AM1011" s="1796"/>
      <c r="AN1011" s="1796"/>
      <c r="AO1011" s="1796"/>
      <c r="AP1011" s="1796"/>
      <c r="AQ1011" s="1797"/>
      <c r="AR1011" s="68"/>
      <c r="AS1011" s="68"/>
      <c r="AT1011" s="68"/>
      <c r="AU1011" s="68"/>
      <c r="AV1011" s="68"/>
      <c r="AW1011" s="68"/>
      <c r="AX1011" s="68"/>
      <c r="AY1011" s="68"/>
    </row>
    <row r="1012" spans="1:51" ht="12.95" customHeight="1">
      <c r="A1012" s="14"/>
      <c r="B1012" s="73"/>
      <c r="C1012" s="477"/>
      <c r="D1012" s="1776"/>
      <c r="E1012" s="1777"/>
      <c r="F1012" s="1777"/>
      <c r="G1012" s="1777"/>
      <c r="H1012" s="1777"/>
      <c r="I1012" s="1777"/>
      <c r="J1012" s="1777"/>
      <c r="K1012" s="1777"/>
      <c r="L1012" s="1777"/>
      <c r="M1012" s="1777"/>
      <c r="N1012" s="1777"/>
      <c r="O1012" s="1777"/>
      <c r="P1012" s="1777"/>
      <c r="Q1012" s="1777"/>
      <c r="R1012" s="1777"/>
      <c r="S1012" s="1777"/>
      <c r="T1012" s="1777"/>
      <c r="U1012" s="1777"/>
      <c r="V1012" s="1777"/>
      <c r="W1012" s="1777"/>
      <c r="X1012" s="1777"/>
      <c r="Y1012" s="1777"/>
      <c r="Z1012" s="1777"/>
      <c r="AA1012" s="1777"/>
      <c r="AB1012" s="1777"/>
      <c r="AC1012" s="1777"/>
      <c r="AD1012" s="1777"/>
      <c r="AE1012" s="1778"/>
      <c r="AF1012" s="73"/>
      <c r="AG1012" s="478"/>
      <c r="AH1012" s="478"/>
      <c r="AI1012" s="83"/>
      <c r="AJ1012" s="1795"/>
      <c r="AK1012" s="1796"/>
      <c r="AL1012" s="1796"/>
      <c r="AM1012" s="1796"/>
      <c r="AN1012" s="1796"/>
      <c r="AO1012" s="1796"/>
      <c r="AP1012" s="1796"/>
      <c r="AQ1012" s="1797"/>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81">
        <f>BA973</f>
        <v>133</v>
      </c>
      <c r="J1013" s="1782"/>
      <c r="K1013" s="7"/>
      <c r="L1013" s="133"/>
      <c r="M1013" s="133"/>
      <c r="N1013" s="133"/>
      <c r="O1013" s="133"/>
      <c r="P1013" s="133"/>
      <c r="Q1013" s="133"/>
      <c r="R1013" s="133"/>
      <c r="S1013" s="133"/>
      <c r="T1013" s="133"/>
      <c r="U1013" s="133"/>
      <c r="V1013" s="134" t="s">
        <v>1014</v>
      </c>
      <c r="W1013" s="48"/>
      <c r="X1013" s="1779">
        <f>BG621</f>
        <v>0</v>
      </c>
      <c r="Y1013" s="1780"/>
      <c r="Z1013" s="48"/>
      <c r="AA1013" s="48"/>
      <c r="AB1013" s="48"/>
      <c r="AC1013" s="48"/>
      <c r="AD1013" s="48"/>
      <c r="AE1013" s="49"/>
      <c r="AF1013" s="961"/>
      <c r="AG1013" s="962"/>
      <c r="AH1013" s="962"/>
      <c r="AI1013" s="963"/>
      <c r="AJ1013" s="1798"/>
      <c r="AK1013" s="1799"/>
      <c r="AL1013" s="1799"/>
      <c r="AM1013" s="1799"/>
      <c r="AN1013" s="1799"/>
      <c r="AO1013" s="1799"/>
      <c r="AP1013" s="1799"/>
      <c r="AQ1013" s="1800"/>
      <c r="AR1013" s="68"/>
      <c r="AS1013" s="68"/>
      <c r="AT1013" s="68"/>
      <c r="AU1013" s="68"/>
      <c r="AV1013" s="68"/>
      <c r="AW1013" s="68"/>
      <c r="AX1013" s="68"/>
      <c r="AY1013" s="68"/>
    </row>
    <row r="1014" spans="1:51" ht="12.95" customHeight="1">
      <c r="A1014" s="14"/>
      <c r="B1014" s="79"/>
      <c r="C1014" s="131" t="s">
        <v>1948</v>
      </c>
      <c r="D1014" s="1773" t="s">
        <v>2132</v>
      </c>
      <c r="E1014" s="1774"/>
      <c r="F1014" s="1774"/>
      <c r="G1014" s="1774"/>
      <c r="H1014" s="1774"/>
      <c r="I1014" s="1774"/>
      <c r="J1014" s="1774"/>
      <c r="K1014" s="1774"/>
      <c r="L1014" s="1774"/>
      <c r="M1014" s="1774"/>
      <c r="N1014" s="1774"/>
      <c r="O1014" s="1774"/>
      <c r="P1014" s="1774"/>
      <c r="Q1014" s="1774"/>
      <c r="R1014" s="1774"/>
      <c r="S1014" s="1774"/>
      <c r="T1014" s="1774"/>
      <c r="U1014" s="1774"/>
      <c r="V1014" s="1774"/>
      <c r="W1014" s="1774"/>
      <c r="X1014" s="1774"/>
      <c r="Y1014" s="1774"/>
      <c r="Z1014" s="1774"/>
      <c r="AA1014" s="1774"/>
      <c r="AB1014" s="1774"/>
      <c r="AC1014" s="1774"/>
      <c r="AD1014" s="1774"/>
      <c r="AE1014" s="1775"/>
      <c r="AF1014" s="73"/>
      <c r="AG1014" s="1783" t="str">
        <f>IF(X1017&gt;0,"Yes","No")</f>
        <v>Yes</v>
      </c>
      <c r="AH1014" s="1784"/>
      <c r="AI1014" s="83"/>
      <c r="AJ1014" s="1792">
        <f>IF((X1017=0),0,(2*BA976)*AJ961)</f>
        <v>24598876</v>
      </c>
      <c r="AK1014" s="1793"/>
      <c r="AL1014" s="1793"/>
      <c r="AM1014" s="1793"/>
      <c r="AN1014" s="1793"/>
      <c r="AO1014" s="1793"/>
      <c r="AP1014" s="1793"/>
      <c r="AQ1014" s="1794"/>
      <c r="AR1014" s="68"/>
      <c r="AS1014" s="68"/>
      <c r="AT1014" s="68"/>
      <c r="AU1014" s="68"/>
      <c r="AV1014" s="68"/>
      <c r="AW1014" s="68"/>
      <c r="AX1014" s="68"/>
      <c r="AY1014" s="68"/>
    </row>
    <row r="1015" spans="1:51" ht="12.95" customHeight="1">
      <c r="A1015" s="14"/>
      <c r="B1015" s="73"/>
      <c r="C1015" s="477"/>
      <c r="D1015" s="1776" t="s">
        <v>1466</v>
      </c>
      <c r="E1015" s="1777"/>
      <c r="F1015" s="1777"/>
      <c r="G1015" s="1777"/>
      <c r="H1015" s="1777"/>
      <c r="I1015" s="1777"/>
      <c r="J1015" s="1777"/>
      <c r="K1015" s="1777"/>
      <c r="L1015" s="1777"/>
      <c r="M1015" s="1777"/>
      <c r="N1015" s="1777"/>
      <c r="O1015" s="1777"/>
      <c r="P1015" s="1777"/>
      <c r="Q1015" s="1777"/>
      <c r="R1015" s="1777"/>
      <c r="S1015" s="1777"/>
      <c r="T1015" s="1777"/>
      <c r="U1015" s="1777"/>
      <c r="V1015" s="1777"/>
      <c r="W1015" s="1777"/>
      <c r="X1015" s="1777"/>
      <c r="Y1015" s="1777"/>
      <c r="Z1015" s="1777"/>
      <c r="AA1015" s="1777"/>
      <c r="AB1015" s="1777"/>
      <c r="AC1015" s="1777"/>
      <c r="AD1015" s="1777"/>
      <c r="AE1015" s="1778"/>
      <c r="AF1015" s="73"/>
      <c r="AG1015" s="478"/>
      <c r="AH1015" s="478"/>
      <c r="AI1015" s="83"/>
      <c r="AJ1015" s="1795"/>
      <c r="AK1015" s="1796"/>
      <c r="AL1015" s="1796"/>
      <c r="AM1015" s="1796"/>
      <c r="AN1015" s="1796"/>
      <c r="AO1015" s="1796"/>
      <c r="AP1015" s="1796"/>
      <c r="AQ1015" s="1797"/>
      <c r="AR1015" s="68"/>
      <c r="AS1015" s="68"/>
      <c r="AT1015" s="68"/>
      <c r="AU1015" s="68"/>
      <c r="AV1015" s="68"/>
      <c r="AW1015" s="68"/>
      <c r="AX1015" s="68"/>
      <c r="AY1015" s="68"/>
    </row>
    <row r="1016" spans="1:51" ht="12.95" customHeight="1">
      <c r="A1016" s="14"/>
      <c r="B1016" s="73"/>
      <c r="C1016" s="83"/>
      <c r="D1016" s="1776"/>
      <c r="E1016" s="1777"/>
      <c r="F1016" s="1777"/>
      <c r="G1016" s="1777"/>
      <c r="H1016" s="1777"/>
      <c r="I1016" s="1777"/>
      <c r="J1016" s="1777"/>
      <c r="K1016" s="1777"/>
      <c r="L1016" s="1777"/>
      <c r="M1016" s="1777"/>
      <c r="N1016" s="1777"/>
      <c r="O1016" s="1777"/>
      <c r="P1016" s="1777"/>
      <c r="Q1016" s="1777"/>
      <c r="R1016" s="1777"/>
      <c r="S1016" s="1777"/>
      <c r="T1016" s="1777"/>
      <c r="U1016" s="1777"/>
      <c r="V1016" s="1777"/>
      <c r="W1016" s="1777"/>
      <c r="X1016" s="1777"/>
      <c r="Y1016" s="1777"/>
      <c r="Z1016" s="1777"/>
      <c r="AA1016" s="1777"/>
      <c r="AB1016" s="1777"/>
      <c r="AC1016" s="1777"/>
      <c r="AD1016" s="1777"/>
      <c r="AE1016" s="1778"/>
      <c r="AF1016" s="958"/>
      <c r="AG1016" s="959"/>
      <c r="AH1016" s="959"/>
      <c r="AI1016" s="960"/>
      <c r="AJ1016" s="1795"/>
      <c r="AK1016" s="1796"/>
      <c r="AL1016" s="1796"/>
      <c r="AM1016" s="1796"/>
      <c r="AN1016" s="1796"/>
      <c r="AO1016" s="1796"/>
      <c r="AP1016" s="1796"/>
      <c r="AQ1016" s="1797"/>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81">
        <f>BA973</f>
        <v>133</v>
      </c>
      <c r="J1017" s="1782"/>
      <c r="K1017" s="14"/>
      <c r="L1017" s="133"/>
      <c r="M1017" s="133"/>
      <c r="N1017" s="133"/>
      <c r="O1017" s="133"/>
      <c r="P1017" s="133"/>
      <c r="Q1017" s="133"/>
      <c r="R1017" s="133"/>
      <c r="S1017" s="133"/>
      <c r="T1017" s="133"/>
      <c r="U1017" s="133"/>
      <c r="V1017" s="134" t="s">
        <v>1015</v>
      </c>
      <c r="X1017" s="1779">
        <f>BK621</f>
        <v>27</v>
      </c>
      <c r="Y1017" s="1780"/>
      <c r="AF1017" s="961"/>
      <c r="AG1017" s="962"/>
      <c r="AH1017" s="962"/>
      <c r="AI1017" s="963"/>
      <c r="AJ1017" s="1798"/>
      <c r="AK1017" s="1799"/>
      <c r="AL1017" s="1799"/>
      <c r="AM1017" s="1799"/>
      <c r="AN1017" s="1799"/>
      <c r="AO1017" s="1799"/>
      <c r="AP1017" s="1799"/>
      <c r="AQ1017" s="1800"/>
      <c r="AR1017" s="68"/>
      <c r="AS1017" s="68"/>
      <c r="AT1017" s="68"/>
      <c r="AU1017" s="68"/>
      <c r="AV1017" s="68"/>
      <c r="AW1017" s="68"/>
      <c r="AX1017" s="68"/>
      <c r="AY1017" s="68"/>
    </row>
    <row r="1018" spans="1:51" ht="12.95" customHeight="1">
      <c r="A1018" s="14"/>
      <c r="B1018" s="102"/>
      <c r="C1018" s="103"/>
      <c r="D1018" s="1771" t="s">
        <v>523</v>
      </c>
      <c r="E1018" s="1771"/>
      <c r="F1018" s="1771"/>
      <c r="G1018" s="1771"/>
      <c r="H1018" s="1771"/>
      <c r="I1018" s="1771"/>
      <c r="J1018" s="1771"/>
      <c r="K1018" s="1771"/>
      <c r="L1018" s="1771"/>
      <c r="M1018" s="1771"/>
      <c r="N1018" s="1771"/>
      <c r="O1018" s="1771"/>
      <c r="P1018" s="1771"/>
      <c r="Q1018" s="1771"/>
      <c r="R1018" s="1771"/>
      <c r="S1018" s="1771"/>
      <c r="T1018" s="1771"/>
      <c r="U1018" s="1771"/>
      <c r="V1018" s="1771"/>
      <c r="W1018" s="1771"/>
      <c r="X1018" s="1771"/>
      <c r="Y1018" s="1771"/>
      <c r="Z1018" s="1771"/>
      <c r="AA1018" s="1771"/>
      <c r="AB1018" s="1771"/>
      <c r="AC1018" s="1771"/>
      <c r="AD1018" s="1771"/>
      <c r="AE1018" s="1771"/>
      <c r="AF1018" s="1771"/>
      <c r="AG1018" s="1771"/>
      <c r="AH1018" s="1771"/>
      <c r="AI1018" s="1772"/>
      <c r="AJ1018" s="1801">
        <f>SUM(AJ961:AQ1017)</f>
        <v>103764557</v>
      </c>
      <c r="AK1018" s="1802"/>
      <c r="AL1018" s="1802"/>
      <c r="AM1018" s="1802"/>
      <c r="AN1018" s="1802"/>
      <c r="AO1018" s="1802"/>
      <c r="AP1018" s="1802"/>
      <c r="AQ1018" s="1803"/>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34">
        <f>IF(ISNA(IF((AJ985&gt;(AJ961*0.15)),"(f) cannot be greater than 15% of unadjusted eligible basis.",0)),"",(IF((AJ985&gt;(AJ961*0.15)),"(f) cannot be greater than 15% of unadjusted eligible basis.",0)))</f>
        <v>0</v>
      </c>
      <c r="C1025" s="1734"/>
      <c r="D1025" s="1734"/>
      <c r="E1025" s="1734"/>
      <c r="F1025" s="1734"/>
      <c r="G1025" s="1734"/>
      <c r="H1025" s="1734"/>
      <c r="I1025" s="1734"/>
      <c r="J1025" s="1734"/>
      <c r="K1025" s="1734"/>
      <c r="L1025" s="1734"/>
      <c r="M1025" s="1734"/>
      <c r="N1025" s="1734"/>
      <c r="O1025" s="1734"/>
      <c r="P1025" s="1734"/>
      <c r="Q1025" s="1734"/>
      <c r="R1025" s="1734"/>
      <c r="S1025" s="1734"/>
      <c r="T1025" s="1734"/>
      <c r="U1025" s="1734"/>
      <c r="V1025" s="1734"/>
      <c r="W1025" s="1734"/>
      <c r="X1025" s="1734"/>
      <c r="Y1025" s="1734"/>
      <c r="Z1025" s="1734"/>
      <c r="AA1025" s="1734"/>
      <c r="AB1025" s="1734"/>
      <c r="AC1025" s="1734"/>
      <c r="AD1025" s="1734"/>
      <c r="AE1025" s="1734"/>
      <c r="AF1025" s="1734"/>
      <c r="AG1025" s="1734"/>
      <c r="AH1025" s="1734"/>
      <c r="AI1025" s="1734"/>
      <c r="AJ1025" s="1734"/>
      <c r="AK1025" s="1734"/>
      <c r="AL1025" s="68"/>
      <c r="AM1025" s="68"/>
      <c r="AN1025" s="68"/>
      <c r="AO1025" s="68"/>
      <c r="AP1025" s="68"/>
      <c r="AQ1025" s="68"/>
      <c r="AR1025" s="68"/>
      <c r="AS1025" s="68"/>
      <c r="AT1025" s="68"/>
      <c r="AU1025" s="68"/>
      <c r="AV1025" s="68"/>
      <c r="AW1025" s="68"/>
      <c r="AX1025" s="68"/>
      <c r="AY1025" s="68"/>
    </row>
    <row r="1026" spans="1:51" ht="12.95" customHeight="1" thickBot="1">
      <c r="A1026" s="1694" t="s">
        <v>819</v>
      </c>
      <c r="B1026" s="1694"/>
      <c r="C1026" s="1694"/>
      <c r="D1026" s="1694"/>
      <c r="E1026" s="1694"/>
      <c r="F1026" s="1694"/>
      <c r="G1026" s="1694"/>
      <c r="H1026" s="1694"/>
      <c r="I1026" s="1694"/>
      <c r="J1026" s="1694"/>
      <c r="K1026" s="1694"/>
      <c r="L1026" s="1694"/>
      <c r="M1026" s="1694"/>
      <c r="N1026" s="1694"/>
      <c r="O1026" s="1694"/>
      <c r="P1026" s="1694"/>
      <c r="Q1026" s="1694"/>
      <c r="R1026" s="1694"/>
      <c r="S1026" s="1694"/>
      <c r="T1026" s="1694"/>
      <c r="U1026" s="1694"/>
      <c r="V1026" s="1694"/>
      <c r="W1026" s="1694"/>
      <c r="X1026" s="1694"/>
      <c r="Y1026" s="1694"/>
      <c r="Z1026" s="1694"/>
      <c r="AA1026" s="1694"/>
      <c r="AB1026" s="1694"/>
      <c r="AC1026" s="1694"/>
      <c r="AD1026" s="1694"/>
      <c r="AE1026" s="1694"/>
      <c r="AF1026" s="1694"/>
      <c r="AG1026" s="1694"/>
      <c r="AH1026" s="1694"/>
      <c r="AI1026" s="1694"/>
      <c r="AJ1026" s="1694"/>
      <c r="AK1026" s="1694"/>
      <c r="AL1026" s="1694"/>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601</v>
      </c>
      <c r="B1030" s="1376"/>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76" t="s">
        <v>601</v>
      </c>
      <c r="B1036" s="1376"/>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76" t="s">
        <v>601</v>
      </c>
      <c r="B1042" s="1376"/>
      <c r="C1042" s="8">
        <v>3</v>
      </c>
      <c r="D1042" s="1263" t="s">
        <v>2565</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76" t="s">
        <v>601</v>
      </c>
      <c r="B1049" s="1376"/>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76" t="s">
        <v>601</v>
      </c>
      <c r="B1052" s="1376"/>
      <c r="C1052" s="8">
        <v>5</v>
      </c>
      <c r="D1052" s="1263" t="s">
        <v>2566</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76" t="s">
        <v>601</v>
      </c>
      <c r="B1057" s="1376"/>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76" t="s">
        <v>601</v>
      </c>
      <c r="B1060" s="1376"/>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76" t="s">
        <v>601</v>
      </c>
      <c r="B1064" s="1376"/>
      <c r="C1064" s="212">
        <v>8</v>
      </c>
      <c r="D1064" s="1347" t="s">
        <v>1945</v>
      </c>
      <c r="E1064" s="1347"/>
      <c r="F1064" s="1347"/>
      <c r="G1064" s="1347"/>
      <c r="H1064" s="1347"/>
      <c r="I1064" s="1347"/>
      <c r="J1064" s="1347"/>
      <c r="K1064" s="1347"/>
      <c r="L1064" s="1347"/>
      <c r="M1064" s="1347"/>
      <c r="N1064" s="1347"/>
      <c r="O1064" s="1347"/>
      <c r="P1064" s="1347"/>
      <c r="Q1064" s="1347"/>
      <c r="R1064" s="1347"/>
      <c r="S1064" s="1347"/>
      <c r="T1064" s="1347"/>
      <c r="U1064" s="1347"/>
      <c r="V1064" s="1347"/>
      <c r="W1064" s="1347"/>
      <c r="X1064" s="1347"/>
      <c r="Y1064" s="1347"/>
      <c r="Z1064" s="1347"/>
      <c r="AA1064" s="1347"/>
      <c r="AB1064" s="1347"/>
      <c r="AC1064" s="1347"/>
      <c r="AD1064" s="1347"/>
      <c r="AE1064" s="1347"/>
      <c r="AF1064" s="1347"/>
      <c r="AG1064" s="1347"/>
      <c r="AH1064" s="1347"/>
      <c r="AI1064" s="1347"/>
      <c r="AJ1064" s="1347"/>
      <c r="AK1064" s="1347"/>
    </row>
    <row r="1065" spans="1:37" ht="12.95" customHeight="1">
      <c r="A1065" s="1"/>
      <c r="B1065" s="1"/>
      <c r="C1065" s="212"/>
      <c r="D1065" s="1347"/>
      <c r="E1065" s="1347"/>
      <c r="F1065" s="1347"/>
      <c r="G1065" s="1347"/>
      <c r="H1065" s="1347"/>
      <c r="I1065" s="1347"/>
      <c r="J1065" s="1347"/>
      <c r="K1065" s="1347"/>
      <c r="L1065" s="1347"/>
      <c r="M1065" s="1347"/>
      <c r="N1065" s="1347"/>
      <c r="O1065" s="1347"/>
      <c r="P1065" s="1347"/>
      <c r="Q1065" s="1347"/>
      <c r="R1065" s="1347"/>
      <c r="S1065" s="1347"/>
      <c r="T1065" s="1347"/>
      <c r="U1065" s="1347"/>
      <c r="V1065" s="1347"/>
      <c r="W1065" s="1347"/>
      <c r="X1065" s="1347"/>
      <c r="Y1065" s="1347"/>
      <c r="Z1065" s="1347"/>
      <c r="AA1065" s="1347"/>
      <c r="AB1065" s="1347"/>
      <c r="AC1065" s="1347"/>
      <c r="AD1065" s="1347"/>
      <c r="AE1065" s="1347"/>
      <c r="AF1065" s="1347"/>
      <c r="AG1065" s="1347"/>
      <c r="AH1065" s="1347"/>
      <c r="AI1065" s="1347"/>
      <c r="AJ1065" s="1347"/>
      <c r="AK1065" s="1347"/>
    </row>
    <row r="1066" spans="1:37" ht="12.95" customHeight="1">
      <c r="A1066" s="1"/>
      <c r="B1066" s="1"/>
      <c r="C1066" s="212"/>
      <c r="D1066" s="1347"/>
      <c r="E1066" s="1347"/>
      <c r="F1066" s="1347"/>
      <c r="G1066" s="1347"/>
      <c r="H1066" s="1347"/>
      <c r="I1066" s="1347"/>
      <c r="J1066" s="1347"/>
      <c r="K1066" s="1347"/>
      <c r="L1066" s="1347"/>
      <c r="M1066" s="1347"/>
      <c r="N1066" s="1347"/>
      <c r="O1066" s="1347"/>
      <c r="P1066" s="1347"/>
      <c r="Q1066" s="1347"/>
      <c r="R1066" s="1347"/>
      <c r="S1066" s="1347"/>
      <c r="T1066" s="1347"/>
      <c r="U1066" s="1347"/>
      <c r="V1066" s="1347"/>
      <c r="W1066" s="1347"/>
      <c r="X1066" s="1347"/>
      <c r="Y1066" s="1347"/>
      <c r="Z1066" s="1347"/>
      <c r="AA1066" s="1347"/>
      <c r="AB1066" s="1347"/>
      <c r="AC1066" s="1347"/>
      <c r="AD1066" s="1347"/>
      <c r="AE1066" s="1347"/>
      <c r="AF1066" s="1347"/>
      <c r="AG1066" s="1347"/>
      <c r="AH1066" s="1347"/>
      <c r="AI1066" s="1347"/>
      <c r="AJ1066" s="1347"/>
      <c r="AK1066" s="1347"/>
    </row>
    <row r="1067" spans="1:37" ht="12.95" customHeight="1">
      <c r="A1067" s="35"/>
      <c r="B1067" s="25"/>
      <c r="C1067" s="212"/>
      <c r="D1067" s="1347"/>
      <c r="E1067" s="1347"/>
      <c r="F1067" s="1347"/>
      <c r="G1067" s="1347"/>
      <c r="H1067" s="1347"/>
      <c r="I1067" s="1347"/>
      <c r="J1067" s="1347"/>
      <c r="K1067" s="1347"/>
      <c r="L1067" s="1347"/>
      <c r="M1067" s="1347"/>
      <c r="N1067" s="1347"/>
      <c r="O1067" s="1347"/>
      <c r="P1067" s="1347"/>
      <c r="Q1067" s="1347"/>
      <c r="R1067" s="1347"/>
      <c r="S1067" s="1347"/>
      <c r="T1067" s="1347"/>
      <c r="U1067" s="1347"/>
      <c r="V1067" s="1347"/>
      <c r="W1067" s="1347"/>
      <c r="X1067" s="1347"/>
      <c r="Y1067" s="1347"/>
      <c r="Z1067" s="1347"/>
      <c r="AA1067" s="1347"/>
      <c r="AB1067" s="1347"/>
      <c r="AC1067" s="1347"/>
      <c r="AD1067" s="1347"/>
      <c r="AE1067" s="1347"/>
      <c r="AF1067" s="1347"/>
      <c r="AG1067" s="1347"/>
      <c r="AH1067" s="1347"/>
      <c r="AI1067" s="1347"/>
      <c r="AJ1067" s="1347"/>
      <c r="AK1067" s="1347"/>
    </row>
    <row r="1068" spans="1:37" ht="12.95" customHeight="1">
      <c r="A1068" s="1376" t="s">
        <v>601</v>
      </c>
      <c r="B1068" s="1376"/>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0">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N571:O571"/>
    <mergeCell ref="G565:R565"/>
    <mergeCell ref="H578:R578"/>
    <mergeCell ref="G564:R564"/>
    <mergeCell ref="M570:R570"/>
    <mergeCell ref="Z593:AE593"/>
    <mergeCell ref="Z599:AK599"/>
    <mergeCell ref="AI601:AK601"/>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X731:AB731"/>
    <mergeCell ref="X732:AB732"/>
    <mergeCell ref="X733:AB733"/>
    <mergeCell ref="T732:W732"/>
    <mergeCell ref="B738:F738"/>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BS610:BW610"/>
    <mergeCell ref="BG608:BH608"/>
    <mergeCell ref="BE619:BF619"/>
    <mergeCell ref="BS616:BW616"/>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T715:W715"/>
    <mergeCell ref="AH720:AJ720"/>
    <mergeCell ref="T716:W716"/>
    <mergeCell ref="K716:N716"/>
    <mergeCell ref="AH722:AJ722"/>
    <mergeCell ref="G715:J715"/>
    <mergeCell ref="AC723:AG723"/>
    <mergeCell ref="AC724:AG72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M928:S928"/>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62:AC862"/>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C556:L556"/>
    <mergeCell ref="M556:P556"/>
    <mergeCell ref="C557:L557"/>
    <mergeCell ref="W620:Y622"/>
    <mergeCell ref="T620:V622"/>
    <mergeCell ref="C558:L558"/>
    <mergeCell ref="M558:P558"/>
    <mergeCell ref="C559:L559"/>
    <mergeCell ref="M260:T260"/>
    <mergeCell ref="P342:AE342"/>
    <mergeCell ref="H321:R321"/>
    <mergeCell ref="AA330:AF330"/>
    <mergeCell ref="P314:R314"/>
    <mergeCell ref="Z262:AE262"/>
    <mergeCell ref="H310:R310"/>
    <mergeCell ref="H307:M307"/>
    <mergeCell ref="P306:R306"/>
    <mergeCell ref="AA299:AF299"/>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M248:T248"/>
    <mergeCell ref="W252:X252"/>
    <mergeCell ref="M250:AE250"/>
    <mergeCell ref="AA300:AK300"/>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I298:AK298"/>
    <mergeCell ref="H296:R296"/>
    <mergeCell ref="AA297:AK297"/>
    <mergeCell ref="H316:R316"/>
    <mergeCell ref="L275:S275"/>
    <mergeCell ref="L277:Q277"/>
    <mergeCell ref="AA295:AK295"/>
    <mergeCell ref="AA288:AK288"/>
    <mergeCell ref="P322:R322"/>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AA338:AF338"/>
    <mergeCell ref="AA296:AK296"/>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311:AK311"/>
    <mergeCell ref="AI306:AK306"/>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L278:AD278"/>
    <mergeCell ref="AA314:AF314"/>
    <mergeCell ref="H297:R297"/>
    <mergeCell ref="H311:R311"/>
    <mergeCell ref="H304:R304"/>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AH504:AK504"/>
    <mergeCell ref="N369:Q369"/>
    <mergeCell ref="H313:R313"/>
    <mergeCell ref="W260:X260"/>
    <mergeCell ref="U262:W262"/>
    <mergeCell ref="M557:P557"/>
    <mergeCell ref="AC538:AF538"/>
    <mergeCell ref="C124:K124"/>
    <mergeCell ref="O160:T160"/>
    <mergeCell ref="O161:AH161"/>
    <mergeCell ref="D164:AH164"/>
    <mergeCell ref="P423:Q423"/>
    <mergeCell ref="Q490:AK490"/>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64:V464"/>
    <mergeCell ref="AH532:AK532"/>
    <mergeCell ref="W553:Y553"/>
    <mergeCell ref="AI556:AL556"/>
    <mergeCell ref="AH535:AK535"/>
    <mergeCell ref="AC455:AF455"/>
    <mergeCell ref="D443:AF443"/>
    <mergeCell ref="D467:V467"/>
    <mergeCell ref="S404:AJ404"/>
    <mergeCell ref="AA287:AK287"/>
    <mergeCell ref="H286:R286"/>
    <mergeCell ref="AA256:AK256"/>
    <mergeCell ref="BE596:BF596"/>
    <mergeCell ref="Z597:AK597"/>
    <mergeCell ref="W552:Y552"/>
    <mergeCell ref="AE560:AH560"/>
    <mergeCell ref="AM560:AS560"/>
    <mergeCell ref="AM559:AS559"/>
    <mergeCell ref="M549:P549"/>
    <mergeCell ref="B549:L549"/>
    <mergeCell ref="M550:P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T561:V561"/>
    <mergeCell ref="AI577:AK577"/>
    <mergeCell ref="AG587:AH58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Z585:AE585"/>
    <mergeCell ref="Z575:AK575"/>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G610:BH610"/>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Q550:S550"/>
    <mergeCell ref="AE554:AH554"/>
    <mergeCell ref="AI554:AL554"/>
    <mergeCell ref="AE559:AH559"/>
    <mergeCell ref="AE557:AH557"/>
    <mergeCell ref="W554:Y554"/>
    <mergeCell ref="Q554:S554"/>
    <mergeCell ref="Z557:AD557"/>
    <mergeCell ref="Q552:S552"/>
    <mergeCell ref="Q557:S557"/>
    <mergeCell ref="Q558:S558"/>
    <mergeCell ref="Q559:S559"/>
    <mergeCell ref="Q560:S560"/>
    <mergeCell ref="AC536:AF536"/>
    <mergeCell ref="AI558:AL55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D449:AF449"/>
    <mergeCell ref="D450:AJ451"/>
    <mergeCell ref="S401:U401"/>
    <mergeCell ref="E419:AJ419"/>
    <mergeCell ref="P424:Q424"/>
    <mergeCell ref="I417:K417"/>
    <mergeCell ref="S412:T412"/>
    <mergeCell ref="AE424:AF424"/>
    <mergeCell ref="D469:V469"/>
    <mergeCell ref="F456:AB457"/>
    <mergeCell ref="AG447:AJ44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Q553:S553"/>
    <mergeCell ref="AI549:AL549"/>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13:AF513"/>
    <mergeCell ref="AC512:AF512"/>
    <mergeCell ref="AC505:AF505"/>
    <mergeCell ref="AC526:AF526"/>
    <mergeCell ref="O527:AA527"/>
    <mergeCell ref="AH531:AK531"/>
    <mergeCell ref="AC532:AF532"/>
    <mergeCell ref="AC527:AF527"/>
    <mergeCell ref="AH528:AK528"/>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1:AF501"/>
    <mergeCell ref="AC524:AF524"/>
    <mergeCell ref="AH529:AK529"/>
    <mergeCell ref="AH538:AK538"/>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C550:L550"/>
    <mergeCell ref="AC508:AF508"/>
    <mergeCell ref="AH508:AK508"/>
    <mergeCell ref="AC510:AF510"/>
    <mergeCell ref="AH510:AK510"/>
    <mergeCell ref="AM551:AS551"/>
    <mergeCell ref="AM553:AS553"/>
    <mergeCell ref="AE553:AH553"/>
  </mergeCells>
  <phoneticPr fontId="0" type="noConversion"/>
  <conditionalFormatting sqref="AF986">
    <cfRule type="cellIs" dxfId="218" priority="48" stopIfTrue="1" operator="equal">
      <formula>"Please Enter Amount:"</formula>
    </cfRule>
  </conditionalFormatting>
  <conditionalFormatting sqref="AJ1010">
    <cfRule type="cellIs" dxfId="217" priority="51" stopIfTrue="1" operator="equal">
      <formula>"#DIV/0!"</formula>
    </cfRule>
  </conditionalFormatting>
  <conditionalFormatting sqref="AG440:AJ440">
    <cfRule type="expression" dxfId="216" priority="52" stopIfTrue="1">
      <formula>"iserror(d31)"</formula>
    </cfRule>
  </conditionalFormatting>
  <conditionalFormatting sqref="AF998">
    <cfRule type="cellIs" dxfId="215" priority="46" stopIfTrue="1" operator="equal">
      <formula>"Please Enter Amount:"</formula>
    </cfRule>
  </conditionalFormatting>
  <conditionalFormatting sqref="AF991">
    <cfRule type="cellIs" dxfId="214" priority="45" stopIfTrue="1" operator="equal">
      <formula>"Please Enter Amount:"</formula>
    </cfRule>
  </conditionalFormatting>
  <conditionalFormatting sqref="D211:X211">
    <cfRule type="expression" dxfId="213" priority="44">
      <formula>NOT($D$210="Special Needs")</formula>
    </cfRule>
  </conditionalFormatting>
  <conditionalFormatting sqref="Y211:AC211">
    <cfRule type="expression" dxfId="212" priority="43">
      <formula>NOT($D$210="Special Needs")</formula>
    </cfRule>
  </conditionalFormatting>
  <conditionalFormatting sqref="D214:U214">
    <cfRule type="expression" dxfId="211" priority="41">
      <formula>NOT(OR($D$213="Seniors",$D$210="Seniors"))</formula>
    </cfRule>
  </conditionalFormatting>
  <conditionalFormatting sqref="AA214:AO214">
    <cfRule type="expression" dxfId="210" priority="42">
      <formula>NOT(OR($D$213="Seniors",$D$210="Seniors"))</formula>
    </cfRule>
  </conditionalFormatting>
  <conditionalFormatting sqref="D212">
    <cfRule type="expression" dxfId="209" priority="40">
      <formula>AND($Y$211&gt;0,$AB$211&lt;75%)</formula>
    </cfRule>
  </conditionalFormatting>
  <conditionalFormatting sqref="D213:Z213">
    <cfRule type="expression" dxfId="208" priority="39">
      <formula>AND($Y$211&gt;0,$AB$211&lt;75%)</formula>
    </cfRule>
  </conditionalFormatting>
  <conditionalFormatting sqref="D215">
    <cfRule type="expression" dxfId="207" priority="37">
      <formula>NOT($D$210="At-Risk")</formula>
    </cfRule>
  </conditionalFormatting>
  <conditionalFormatting sqref="AB215:AM215">
    <cfRule type="expression" dxfId="206" priority="38">
      <formula>NOT($D$210="At-Risk")</formula>
    </cfRule>
  </conditionalFormatting>
  <conditionalFormatting sqref="L506:AB506">
    <cfRule type="expression" dxfId="205" priority="36">
      <formula>AND(NOT(AC506="N/A"),AH506&lt;&gt;"",OR(L506="(specify here)",L506=""))</formula>
    </cfRule>
  </conditionalFormatting>
  <conditionalFormatting sqref="O518:AA518">
    <cfRule type="expression" dxfId="204" priority="35">
      <formula>AND(OR(AND(NOT(AC518="N/A"),AH518&lt;&gt;""),AND(NOT(AC519="N/A"),AH519&lt;&gt;""),AND(NOT(AC520="N/A"),AH520&lt;&gt;"")),OR(O518="(specify here)",O518=""))</formula>
    </cfRule>
  </conditionalFormatting>
  <conditionalFormatting sqref="O521:AA521">
    <cfRule type="expression" dxfId="203" priority="34">
      <formula>AND(OR(AND(NOT(AC521="N/A"),AH521&lt;&gt;""),AND(NOT(AC522="N/A"),AH522&lt;&gt;""),AND(NOT(AC523="N/A"),AH523&lt;&gt;"")),OR(O521="(specify here)",O521=""))</formula>
    </cfRule>
  </conditionalFormatting>
  <conditionalFormatting sqref="O524:AA524">
    <cfRule type="expression" dxfId="202" priority="33">
      <formula>AND(OR(AND(NOT(AC524="N/A"),AH524&lt;&gt;""),AND(NOT(AC525="N/A"),AH525&lt;&gt;""),AND(NOT(AC526="N/A"),AH526&lt;&gt;"")),OR(O524="(specify here)",O524=""))</formula>
    </cfRule>
  </conditionalFormatting>
  <conditionalFormatting sqref="O527:AA527">
    <cfRule type="expression" dxfId="201" priority="32">
      <formula>AND(OR(AND(NOT(AC527="N/A"),AH527&lt;&gt;""),AND(NOT(AC528="N/A"),AH528&lt;&gt;""),AND(NOT(AC529="N/A"),AH529&lt;&gt;"")),OR(O527="(specify here)",O527=""))</formula>
    </cfRule>
  </conditionalFormatting>
  <conditionalFormatting sqref="O530:AA530">
    <cfRule type="expression" dxfId="200" priority="31">
      <formula>AND(OR(AND(NOT(AC530="N/A"),AH530&lt;&gt;""),AND(NOT(AC531="N/A"),AH531&lt;&gt;""),AND(NOT(AC532="N/A"),AH532&lt;&gt;"")),OR(O530="(specify here)",O530=""))</formula>
    </cfRule>
  </conditionalFormatting>
  <conditionalFormatting sqref="O533:AA533">
    <cfRule type="expression" dxfId="199" priority="30">
      <formula>AND(OR(AND(NOT(AC533="N/A"),AH533&lt;&gt;""),AND(NOT(AC534="N/A"),AH534&lt;&gt;""),AND(NOT(AC535="N/A"),AH535&lt;&gt;"")),OR(O533="(specify here)",O533=""))</formula>
    </cfRule>
  </conditionalFormatting>
  <conditionalFormatting sqref="Q551:AS561 C557:C561 AC624:AS634 Q624:Z634">
    <cfRule type="expression" dxfId="198" priority="29">
      <formula>$AT551="!"</formula>
    </cfRule>
  </conditionalFormatting>
  <conditionalFormatting sqref="C627:C634">
    <cfRule type="expression" dxfId="197" priority="28">
      <formula>$AT627="!"</formula>
    </cfRule>
  </conditionalFormatting>
  <conditionalFormatting sqref="E703:AK703">
    <cfRule type="expression" dxfId="196" priority="27">
      <formula>AND($W$702="Other",OR($E$703="(specify here)",$E$703=""))</formula>
    </cfRule>
  </conditionalFormatting>
  <conditionalFormatting sqref="B740:AH741">
    <cfRule type="expression" dxfId="195" priority="26">
      <formula>NOT($D$210="Special Needs")</formula>
    </cfRule>
  </conditionalFormatting>
  <conditionalFormatting sqref="AG742:AJ742">
    <cfRule type="expression" dxfId="194" priority="24">
      <formula>NOT($D$210="Special Needs")</formula>
    </cfRule>
  </conditionalFormatting>
  <conditionalFormatting sqref="U742">
    <cfRule type="expression" dxfId="193" priority="25">
      <formula>NOT($D$210="Special Needs")</formula>
    </cfRule>
  </conditionalFormatting>
  <conditionalFormatting sqref="P800:Y800">
    <cfRule type="expression" dxfId="192" priority="23">
      <formula>AND(Z800&lt;&gt;"",OR(P800="(specify here)",P800=""))</formula>
    </cfRule>
  </conditionalFormatting>
  <conditionalFormatting sqref="F815:L815">
    <cfRule type="expression" dxfId="191" priority="22">
      <formula>AND(OR(M815&lt;&gt;"",$Q$795&lt;&gt;"",$U$795&lt;&gt;"",$Y$795&lt;&gt;"",$AC$795&lt;&gt;"",$AG$795&lt;&gt;"",SUM($M$815:$AJ$815)&gt;0),OR(F815="(specify here)",F815=""))</formula>
    </cfRule>
  </conditionalFormatting>
  <conditionalFormatting sqref="M855:V855">
    <cfRule type="expression" dxfId="190" priority="19">
      <formula>AND(W855&lt;&gt;"",OR(M855="(specify here)",M855=""))</formula>
    </cfRule>
  </conditionalFormatting>
  <conditionalFormatting sqref="M859:V862">
    <cfRule type="expression" dxfId="189" priority="18">
      <formula>AND(W859&lt;&gt;"",OR(M859="(specify here)",M859=""))</formula>
    </cfRule>
  </conditionalFormatting>
  <conditionalFormatting sqref="C877:AB877">
    <cfRule type="expression" dxfId="188" priority="16">
      <formula>AND(AC877&lt;&gt;"",OR(C877="Other (Specify):",C877=""))</formula>
    </cfRule>
  </conditionalFormatting>
  <conditionalFormatting sqref="C878:AB878">
    <cfRule type="expression" dxfId="187" priority="14">
      <formula>AND(AC878&lt;&gt;"",OR(C878="Other (Specify):",C878=""))</formula>
    </cfRule>
  </conditionalFormatting>
  <conditionalFormatting sqref="W944:AG944">
    <cfRule type="expression" dxfId="186" priority="13">
      <formula>AND($AA$923&lt;&gt;"",OR($W$922="",$W$922="(specify here)"))</formula>
    </cfRule>
  </conditionalFormatting>
  <conditionalFormatting sqref="C551">
    <cfRule type="expression" dxfId="185" priority="12">
      <formula>$AT551="!"</formula>
    </cfRule>
  </conditionalFormatting>
  <conditionalFormatting sqref="C552">
    <cfRule type="expression" dxfId="184" priority="11">
      <formula>$AT552="!"</formula>
    </cfRule>
  </conditionalFormatting>
  <conditionalFormatting sqref="C553">
    <cfRule type="expression" dxfId="183" priority="10">
      <formula>$AT553="!"</formula>
    </cfRule>
  </conditionalFormatting>
  <conditionalFormatting sqref="C554">
    <cfRule type="expression" dxfId="182" priority="9">
      <formula>$AT554="!"</formula>
    </cfRule>
  </conditionalFormatting>
  <conditionalFormatting sqref="C555">
    <cfRule type="expression" dxfId="181" priority="8">
      <formula>$AT555="!"</formula>
    </cfRule>
  </conditionalFormatting>
  <conditionalFormatting sqref="C556">
    <cfRule type="expression" dxfId="180" priority="7">
      <formula>$AT556="!"</formula>
    </cfRule>
  </conditionalFormatting>
  <conditionalFormatting sqref="C624">
    <cfRule type="expression" dxfId="179" priority="6">
      <formula>$AT624="!"</formula>
    </cfRule>
  </conditionalFormatting>
  <conditionalFormatting sqref="C625">
    <cfRule type="expression" dxfId="178" priority="5">
      <formula>$AT625="!"</formula>
    </cfRule>
  </conditionalFormatting>
  <conditionalFormatting sqref="C626">
    <cfRule type="expression" dxfId="177" priority="4">
      <formula>$AT626="!"</formula>
    </cfRule>
  </conditionalFormatting>
  <conditionalFormatting sqref="M845:V845">
    <cfRule type="expression" dxfId="176" priority="3">
      <formula>AND(W845&lt;&gt;"",OR(M845="(specify here)",M845=""))</formula>
    </cfRule>
  </conditionalFormatting>
  <conditionalFormatting sqref="M858:V858">
    <cfRule type="expression" dxfId="175" priority="2">
      <formula>AND(W858&lt;&gt;"",OR(M858="(specify here)",M858=""))</formula>
    </cfRule>
  </conditionalFormatting>
  <conditionalFormatting sqref="M830:V830">
    <cfRule type="expression" dxfId="174" priority="1">
      <formula>AND(W830&lt;&gt;"",OR(M830="(specify here)",M830=""))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K758:AL761 AH772:AL781 AI759:AJ762 AH758:AH761 AC714:AC738 AD716:AG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B927 J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F3407143-9D2A-4D02-B231-1A27EA9B145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AA340" r:id="rId5" xr:uid="{97A009A1-E16D-4E5E-9CF8-53C3D25942DB}"/>
    <hyperlink ref="AA324" r:id="rId6" xr:uid="{D4076C60-82AF-4A87-BB6F-45E5C8A4641B}"/>
  </hyperlinks>
  <printOptions horizontalCentered="1"/>
  <pageMargins left="0.5" right="0.5" top="1" bottom="1" header="0.5" footer="0.5"/>
  <pageSetup scale="83" fitToHeight="25" orientation="portrait" useFirstPageNumber="1" r:id="rId7"/>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8"/>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topLeftCell="C74" zoomScaleNormal="100" zoomScaleSheetLayoutView="90" workbookViewId="0">
      <selection activeCell="T51" sqref="T5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81" t="s">
        <v>631</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376</v>
      </c>
      <c r="D2" s="138" t="s">
        <v>375</v>
      </c>
      <c r="E2" s="138" t="s">
        <v>24</v>
      </c>
      <c r="F2" s="139" t="str">
        <f>Application!B623&amp;Application!C623</f>
        <v>1)Perm Loan</v>
      </c>
      <c r="G2" s="139" t="str">
        <f>Application!B624&amp;Application!C624</f>
        <v>2)City of Vacaille Land Loan</v>
      </c>
      <c r="H2" s="139" t="str">
        <f>Application!B625&amp;Application!C625</f>
        <v>3)City of Vacavile Cash Loan</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2100000</v>
      </c>
      <c r="C4" s="147">
        <v>2100000</v>
      </c>
      <c r="D4" s="147"/>
      <c r="E4" s="147"/>
      <c r="F4" s="147"/>
      <c r="G4" s="147">
        <v>2100000</v>
      </c>
      <c r="H4" s="147"/>
      <c r="I4" s="147"/>
      <c r="J4" s="147"/>
      <c r="K4" s="147"/>
      <c r="L4" s="147"/>
      <c r="M4" s="147"/>
      <c r="N4" s="147"/>
      <c r="O4" s="147"/>
      <c r="P4" s="147"/>
      <c r="Q4" s="147"/>
      <c r="R4" s="551">
        <f>SUM(E4:Q4)</f>
        <v>2100000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2100000</v>
      </c>
      <c r="C8" s="146">
        <f t="shared" ref="C8:Q8" si="0">SUM(C4:C7)</f>
        <v>2100000</v>
      </c>
      <c r="D8" s="146">
        <f t="shared" si="0"/>
        <v>0</v>
      </c>
      <c r="E8" s="146">
        <f t="shared" si="0"/>
        <v>0</v>
      </c>
      <c r="F8" s="146">
        <f t="shared" si="0"/>
        <v>0</v>
      </c>
      <c r="G8" s="146">
        <f t="shared" si="0"/>
        <v>2100000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2100000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2100000</v>
      </c>
      <c r="C12" s="146">
        <f t="shared" si="2"/>
        <v>2100000</v>
      </c>
      <c r="D12" s="146">
        <f t="shared" si="2"/>
        <v>0</v>
      </c>
      <c r="E12" s="146">
        <f t="shared" si="2"/>
        <v>0</v>
      </c>
      <c r="F12" s="146">
        <f t="shared" si="2"/>
        <v>0</v>
      </c>
      <c r="G12" s="146">
        <f t="shared" si="2"/>
        <v>2100000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2100000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1826</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1823</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37526387.490000002</v>
      </c>
      <c r="C30" s="147">
        <v>37526387.490000002</v>
      </c>
      <c r="D30" s="147"/>
      <c r="E30" s="147">
        <v>33493380.489999998</v>
      </c>
      <c r="F30" s="147">
        <v>1033007</v>
      </c>
      <c r="G30" s="147"/>
      <c r="H30" s="147">
        <v>3000000</v>
      </c>
      <c r="I30" s="147"/>
      <c r="J30" s="147"/>
      <c r="K30" s="147"/>
      <c r="L30" s="147"/>
      <c r="M30" s="147"/>
      <c r="N30" s="147"/>
      <c r="O30" s="147"/>
      <c r="P30" s="147"/>
      <c r="Q30" s="147"/>
      <c r="R30" s="551">
        <f t="shared" si="7"/>
        <v>37526387.489999995</v>
      </c>
      <c r="S30" s="147">
        <v>37526387.490000002</v>
      </c>
      <c r="T30" s="147"/>
      <c r="U30" s="143"/>
    </row>
    <row r="31" spans="1:21" s="144" customFormat="1">
      <c r="A31" s="145" t="s">
        <v>610</v>
      </c>
      <c r="B31" s="146">
        <f t="shared" si="6"/>
        <v>2251583.25</v>
      </c>
      <c r="C31" s="147">
        <v>2251583.25</v>
      </c>
      <c r="D31" s="147"/>
      <c r="E31" s="147">
        <v>2251583.25</v>
      </c>
      <c r="F31" s="147"/>
      <c r="G31" s="147"/>
      <c r="H31" s="147"/>
      <c r="I31" s="147"/>
      <c r="J31" s="147"/>
      <c r="K31" s="147"/>
      <c r="L31" s="147"/>
      <c r="M31" s="147"/>
      <c r="N31" s="147"/>
      <c r="O31" s="147"/>
      <c r="P31" s="147"/>
      <c r="Q31" s="147"/>
      <c r="R31" s="551">
        <f t="shared" si="7"/>
        <v>2251583.25</v>
      </c>
      <c r="S31" s="147">
        <v>2251583.25</v>
      </c>
      <c r="T31" s="147"/>
      <c r="U31" s="143"/>
    </row>
    <row r="32" spans="1:21" s="144" customFormat="1">
      <c r="A32" s="145" t="s">
        <v>138</v>
      </c>
      <c r="B32" s="146">
        <f t="shared" si="6"/>
        <v>750527.75</v>
      </c>
      <c r="C32" s="147">
        <v>750527.75</v>
      </c>
      <c r="D32" s="147"/>
      <c r="E32" s="147">
        <v>750527.75</v>
      </c>
      <c r="F32" s="147"/>
      <c r="G32" s="147"/>
      <c r="H32" s="147"/>
      <c r="I32" s="147"/>
      <c r="J32" s="147"/>
      <c r="K32" s="147"/>
      <c r="L32" s="147"/>
      <c r="M32" s="147"/>
      <c r="N32" s="147"/>
      <c r="O32" s="147"/>
      <c r="P32" s="147"/>
      <c r="Q32" s="147"/>
      <c r="R32" s="551">
        <f t="shared" si="7"/>
        <v>750527.75</v>
      </c>
      <c r="S32" s="147">
        <v>750527.75</v>
      </c>
      <c r="T32" s="147"/>
      <c r="U32" s="143"/>
    </row>
    <row r="33" spans="1:21" s="144" customFormat="1">
      <c r="A33" s="145" t="s">
        <v>139</v>
      </c>
      <c r="B33" s="146">
        <f t="shared" si="6"/>
        <v>2251583.25</v>
      </c>
      <c r="C33" s="147">
        <v>2251583.25</v>
      </c>
      <c r="D33" s="147"/>
      <c r="E33" s="147">
        <v>2251583.25</v>
      </c>
      <c r="F33" s="147"/>
      <c r="G33" s="147"/>
      <c r="H33" s="147"/>
      <c r="I33" s="147"/>
      <c r="J33" s="147"/>
      <c r="K33" s="147"/>
      <c r="L33" s="147"/>
      <c r="M33" s="147"/>
      <c r="N33" s="147"/>
      <c r="O33" s="147"/>
      <c r="P33" s="147"/>
      <c r="Q33" s="147"/>
      <c r="R33" s="551">
        <f t="shared" si="7"/>
        <v>2251583.25</v>
      </c>
      <c r="S33" s="147">
        <v>2251583.25</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375000</v>
      </c>
      <c r="C35" s="147">
        <v>375000</v>
      </c>
      <c r="D35" s="147"/>
      <c r="E35" s="147">
        <v>375000</v>
      </c>
      <c r="F35" s="147"/>
      <c r="G35" s="147"/>
      <c r="H35" s="147"/>
      <c r="I35" s="147"/>
      <c r="J35" s="147"/>
      <c r="K35" s="147"/>
      <c r="L35" s="147"/>
      <c r="M35" s="147"/>
      <c r="N35" s="147"/>
      <c r="O35" s="147"/>
      <c r="P35" s="147"/>
      <c r="Q35" s="147"/>
      <c r="R35" s="551">
        <f t="shared" si="7"/>
        <v>375000</v>
      </c>
      <c r="S35" s="147">
        <v>375000</v>
      </c>
      <c r="T35" s="147"/>
      <c r="U35" s="143"/>
    </row>
    <row r="36" spans="1:21" s="144" customFormat="1">
      <c r="A36" s="304" t="s">
        <v>1823</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43155081.740000002</v>
      </c>
      <c r="C38" s="146">
        <f>SUM(C29:C37)</f>
        <v>43155081.740000002</v>
      </c>
      <c r="D38" s="146">
        <f t="shared" ref="D38:Q38" si="8">SUM(D29:D37)</f>
        <v>0</v>
      </c>
      <c r="E38" s="146">
        <f t="shared" si="8"/>
        <v>39122074.739999995</v>
      </c>
      <c r="F38" s="146">
        <f t="shared" si="8"/>
        <v>1033007</v>
      </c>
      <c r="G38" s="146">
        <f t="shared" si="8"/>
        <v>0</v>
      </c>
      <c r="H38" s="146">
        <f t="shared" si="8"/>
        <v>3000000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43155081.739999995</v>
      </c>
      <c r="S38" s="150">
        <f>SUM(S29:S37)</f>
        <v>43155081.740000002</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c r="F40" s="147">
        <v>1000000</v>
      </c>
      <c r="G40" s="147"/>
      <c r="H40" s="147"/>
      <c r="I40" s="147"/>
      <c r="J40" s="147"/>
      <c r="K40" s="147"/>
      <c r="L40" s="147"/>
      <c r="M40" s="147"/>
      <c r="N40" s="147"/>
      <c r="O40" s="147"/>
      <c r="P40" s="147"/>
      <c r="Q40" s="147"/>
      <c r="R40" s="551">
        <f>SUM(E40:Q40)</f>
        <v>1000000</v>
      </c>
      <c r="S40" s="147">
        <v>1000000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1000000</v>
      </c>
      <c r="C42" s="146">
        <f>SUM(C39:C41)</f>
        <v>1000000</v>
      </c>
      <c r="D42" s="146">
        <f>SUM(D39:D41)</f>
        <v>0</v>
      </c>
      <c r="E42" s="146">
        <f t="shared" ref="E42:T42" si="9">SUM(E40:E41)</f>
        <v>0</v>
      </c>
      <c r="F42" s="146">
        <f t="shared" si="9"/>
        <v>1000000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1000000</v>
      </c>
      <c r="S42" s="150">
        <f t="shared" si="9"/>
        <v>1000000</v>
      </c>
      <c r="T42" s="150">
        <f t="shared" si="9"/>
        <v>0</v>
      </c>
      <c r="U42" s="143"/>
    </row>
    <row r="43" spans="1:21" s="144" customFormat="1">
      <c r="A43" s="149" t="s">
        <v>149</v>
      </c>
      <c r="B43" s="146">
        <f>SUM(C43:D43)</f>
        <v>250000</v>
      </c>
      <c r="C43" s="147">
        <v>250000</v>
      </c>
      <c r="D43" s="147"/>
      <c r="E43" s="147"/>
      <c r="F43" s="147">
        <v>250000</v>
      </c>
      <c r="G43" s="147"/>
      <c r="H43" s="147"/>
      <c r="I43" s="147"/>
      <c r="J43" s="147"/>
      <c r="K43" s="147"/>
      <c r="L43" s="147"/>
      <c r="M43" s="147"/>
      <c r="N43" s="147"/>
      <c r="O43" s="147"/>
      <c r="P43" s="147"/>
      <c r="Q43" s="147"/>
      <c r="R43" s="551">
        <f>SUM(E43:Q43)</f>
        <v>250000</v>
      </c>
      <c r="S43" s="147">
        <v>250000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4389519</v>
      </c>
      <c r="C45" s="147">
        <v>4389519</v>
      </c>
      <c r="D45" s="147"/>
      <c r="E45" s="147"/>
      <c r="F45" s="147">
        <v>4389519</v>
      </c>
      <c r="G45" s="147"/>
      <c r="H45" s="147"/>
      <c r="I45" s="147"/>
      <c r="J45" s="147"/>
      <c r="K45" s="147"/>
      <c r="L45" s="147"/>
      <c r="M45" s="147"/>
      <c r="N45" s="147"/>
      <c r="O45" s="147"/>
      <c r="P45" s="147"/>
      <c r="Q45" s="147"/>
      <c r="R45" s="551">
        <f t="shared" ref="R45:R53" si="11">SUM(E45:Q45)</f>
        <v>4389519</v>
      </c>
      <c r="S45" s="147">
        <v>4389519</v>
      </c>
      <c r="T45" s="147"/>
      <c r="U45" s="143"/>
    </row>
    <row r="46" spans="1:21" s="144" customFormat="1">
      <c r="A46" s="145" t="s">
        <v>152</v>
      </c>
      <c r="B46" s="146">
        <f t="shared" si="10"/>
        <v>483800</v>
      </c>
      <c r="C46" s="147">
        <v>483800</v>
      </c>
      <c r="D46" s="147"/>
      <c r="E46" s="147"/>
      <c r="F46" s="147">
        <v>483800</v>
      </c>
      <c r="G46" s="147"/>
      <c r="H46" s="147"/>
      <c r="I46" s="147"/>
      <c r="J46" s="147"/>
      <c r="K46" s="147"/>
      <c r="L46" s="147"/>
      <c r="M46" s="147"/>
      <c r="N46" s="147"/>
      <c r="O46" s="147"/>
      <c r="P46" s="147"/>
      <c r="Q46" s="147"/>
      <c r="R46" s="551">
        <f t="shared" si="11"/>
        <v>483800</v>
      </c>
      <c r="S46" s="147">
        <v>483800</v>
      </c>
      <c r="T46" s="147"/>
      <c r="U46" s="143"/>
    </row>
    <row r="47" spans="1:21" s="144" customFormat="1">
      <c r="A47" s="198" t="s">
        <v>153</v>
      </c>
      <c r="B47" s="146">
        <f t="shared" si="10"/>
        <v>20000</v>
      </c>
      <c r="C47" s="147">
        <v>20000</v>
      </c>
      <c r="D47" s="147"/>
      <c r="E47" s="147"/>
      <c r="F47" s="147">
        <v>20000</v>
      </c>
      <c r="G47" s="147"/>
      <c r="H47" s="147"/>
      <c r="I47" s="147"/>
      <c r="J47" s="147"/>
      <c r="K47" s="147"/>
      <c r="L47" s="147"/>
      <c r="M47" s="147"/>
      <c r="N47" s="147"/>
      <c r="O47" s="147"/>
      <c r="P47" s="147"/>
      <c r="Q47" s="147"/>
      <c r="R47" s="551">
        <f t="shared" si="11"/>
        <v>20000</v>
      </c>
      <c r="S47" s="147">
        <v>20000</v>
      </c>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75000</v>
      </c>
      <c r="C50" s="147">
        <v>75000</v>
      </c>
      <c r="D50" s="147"/>
      <c r="E50" s="147"/>
      <c r="F50" s="147">
        <v>75000</v>
      </c>
      <c r="G50" s="147"/>
      <c r="H50" s="147"/>
      <c r="I50" s="147"/>
      <c r="J50" s="147"/>
      <c r="K50" s="147"/>
      <c r="L50" s="147"/>
      <c r="M50" s="147"/>
      <c r="N50" s="147"/>
      <c r="O50" s="147"/>
      <c r="P50" s="147"/>
      <c r="Q50" s="147"/>
      <c r="R50" s="551">
        <f t="shared" si="11"/>
        <v>75000</v>
      </c>
      <c r="S50" s="147">
        <v>75000</v>
      </c>
      <c r="T50" s="147"/>
      <c r="U50" s="143"/>
    </row>
    <row r="51" spans="1:21" s="144" customFormat="1">
      <c r="A51" s="304" t="s">
        <v>155</v>
      </c>
      <c r="B51" s="146">
        <f t="shared" si="10"/>
        <v>100000</v>
      </c>
      <c r="C51" s="147">
        <v>100000</v>
      </c>
      <c r="D51" s="147"/>
      <c r="E51" s="147"/>
      <c r="F51" s="147">
        <v>100000</v>
      </c>
      <c r="G51" s="147"/>
      <c r="H51" s="147"/>
      <c r="I51" s="147"/>
      <c r="J51" s="147"/>
      <c r="K51" s="147"/>
      <c r="L51" s="147"/>
      <c r="M51" s="147"/>
      <c r="N51" s="147"/>
      <c r="O51" s="147"/>
      <c r="P51" s="147"/>
      <c r="Q51" s="147"/>
      <c r="R51" s="551">
        <f t="shared" si="11"/>
        <v>100000</v>
      </c>
      <c r="S51" s="147">
        <v>100000</v>
      </c>
      <c r="T51" s="147"/>
      <c r="U51" s="143"/>
    </row>
    <row r="52" spans="1:21" s="144" customFormat="1">
      <c r="A52" s="145" t="s">
        <v>156</v>
      </c>
      <c r="B52" s="146">
        <f t="shared" si="10"/>
        <v>664000</v>
      </c>
      <c r="C52" s="147">
        <v>664000</v>
      </c>
      <c r="D52" s="147"/>
      <c r="E52" s="147"/>
      <c r="F52" s="147">
        <v>664000</v>
      </c>
      <c r="G52" s="147"/>
      <c r="H52" s="147"/>
      <c r="I52" s="147"/>
      <c r="J52" s="147"/>
      <c r="K52" s="147"/>
      <c r="L52" s="147"/>
      <c r="M52" s="147"/>
      <c r="N52" s="147"/>
      <c r="O52" s="147"/>
      <c r="P52" s="147"/>
      <c r="Q52" s="147"/>
      <c r="R52" s="551">
        <f t="shared" si="11"/>
        <v>664000</v>
      </c>
      <c r="S52" s="147">
        <v>664000</v>
      </c>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c r="A54" s="149" t="s">
        <v>158</v>
      </c>
      <c r="B54" s="150">
        <f>SUM(C54:D54)</f>
        <v>5732319</v>
      </c>
      <c r="C54" s="150">
        <f t="shared" ref="C54:T54" si="12">SUM(C45:C53)</f>
        <v>5732319</v>
      </c>
      <c r="D54" s="150">
        <f t="shared" si="12"/>
        <v>0</v>
      </c>
      <c r="E54" s="150">
        <f t="shared" si="12"/>
        <v>0</v>
      </c>
      <c r="F54" s="150">
        <f t="shared" si="12"/>
        <v>5732319</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5732319</v>
      </c>
      <c r="S54" s="150">
        <f t="shared" si="12"/>
        <v>5732319</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10000</v>
      </c>
      <c r="C56" s="147">
        <v>10000</v>
      </c>
      <c r="D56" s="147"/>
      <c r="E56" s="147"/>
      <c r="F56" s="147">
        <v>10000</v>
      </c>
      <c r="G56" s="147"/>
      <c r="H56" s="147"/>
      <c r="I56" s="147"/>
      <c r="J56" s="147"/>
      <c r="K56" s="147"/>
      <c r="L56" s="147"/>
      <c r="M56" s="147"/>
      <c r="N56" s="147"/>
      <c r="O56" s="147"/>
      <c r="P56" s="147"/>
      <c r="Q56" s="147"/>
      <c r="R56" s="551">
        <f t="shared" ref="R56:R61" si="14">SUM(E56:Q56)</f>
        <v>10000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ht="24">
      <c r="A61" s="1202" t="s">
        <v>2642</v>
      </c>
      <c r="B61" s="146">
        <f t="shared" si="13"/>
        <v>142000</v>
      </c>
      <c r="C61" s="147">
        <v>142000</v>
      </c>
      <c r="D61" s="147"/>
      <c r="E61" s="147"/>
      <c r="F61" s="147">
        <v>142000</v>
      </c>
      <c r="G61" s="147"/>
      <c r="H61" s="147"/>
      <c r="I61" s="147"/>
      <c r="J61" s="147"/>
      <c r="K61" s="147"/>
      <c r="L61" s="147"/>
      <c r="M61" s="147"/>
      <c r="N61" s="147"/>
      <c r="O61" s="147"/>
      <c r="P61" s="147"/>
      <c r="Q61" s="147"/>
      <c r="R61" s="551">
        <f t="shared" si="14"/>
        <v>142000</v>
      </c>
      <c r="S61" s="148"/>
      <c r="T61" s="148"/>
      <c r="U61" s="143"/>
    </row>
    <row r="62" spans="1:21" s="144" customFormat="1" ht="13.7" customHeight="1">
      <c r="A62" s="149" t="s">
        <v>303</v>
      </c>
      <c r="B62" s="146">
        <f>SUM(C62:D62)</f>
        <v>152000</v>
      </c>
      <c r="C62" s="146">
        <f t="shared" ref="C62:R62" si="15">SUM(C56:C61)</f>
        <v>152000</v>
      </c>
      <c r="D62" s="146">
        <f t="shared" si="15"/>
        <v>0</v>
      </c>
      <c r="E62" s="146">
        <f t="shared" si="15"/>
        <v>0</v>
      </c>
      <c r="F62" s="146">
        <f t="shared" si="15"/>
        <v>152000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152000</v>
      </c>
      <c r="S62" s="148"/>
      <c r="T62" s="148"/>
      <c r="U62" s="143"/>
    </row>
    <row r="63" spans="1:21" s="144" customFormat="1">
      <c r="A63" s="154" t="s">
        <v>304</v>
      </c>
      <c r="B63" s="146">
        <f t="shared" ref="B63:R63" si="16">SUM(B8+B11+B13+B14+B15+B26+B27+B38+B42+B43+B54+B62)</f>
        <v>52389400.740000002</v>
      </c>
      <c r="C63" s="146">
        <f t="shared" si="16"/>
        <v>52389400.740000002</v>
      </c>
      <c r="D63" s="146">
        <f t="shared" si="16"/>
        <v>0</v>
      </c>
      <c r="E63" s="146">
        <f t="shared" si="16"/>
        <v>39122074.739999995</v>
      </c>
      <c r="F63" s="146">
        <f t="shared" si="16"/>
        <v>8167326</v>
      </c>
      <c r="G63" s="146">
        <f t="shared" si="16"/>
        <v>2100000</v>
      </c>
      <c r="H63" s="146">
        <f t="shared" si="16"/>
        <v>3000000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52389400.739999995</v>
      </c>
      <c r="S63" s="146">
        <f>SUM(S10+S13+S14+S15+S26+S27+S38+S42+S43+S54)</f>
        <v>50137400.740000002</v>
      </c>
      <c r="T63" s="146">
        <f>SUM(T11+T13+T14+T15+T26+T27+T38+T42+T43+T54)</f>
        <v>0</v>
      </c>
      <c r="U63" s="143"/>
    </row>
    <row r="64" spans="1:21" s="144" customFormat="1" ht="24">
      <c r="A64" s="141" t="s">
        <v>1827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60000</v>
      </c>
      <c r="C65" s="147">
        <v>60000</v>
      </c>
      <c r="D65" s="147"/>
      <c r="E65" s="147"/>
      <c r="F65" s="147">
        <v>60000</v>
      </c>
      <c r="G65" s="147"/>
      <c r="H65" s="147"/>
      <c r="I65" s="147"/>
      <c r="J65" s="147"/>
      <c r="K65" s="147"/>
      <c r="L65" s="147"/>
      <c r="M65" s="147"/>
      <c r="N65" s="147"/>
      <c r="O65" s="147"/>
      <c r="P65" s="147"/>
      <c r="Q65" s="147"/>
      <c r="R65" s="551">
        <f>SUM(E65:Q65)</f>
        <v>60000</v>
      </c>
      <c r="S65" s="147">
        <v>60000</v>
      </c>
      <c r="T65" s="147"/>
      <c r="U65" s="143"/>
    </row>
    <row r="66" spans="1:21" s="144" customFormat="1" ht="24" customHeight="1">
      <c r="A66" s="304" t="s">
        <v>1824</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1825</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1831</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2643</v>
      </c>
      <c r="B69" s="146">
        <f>SUM(C69+D69)</f>
        <v>135000</v>
      </c>
      <c r="C69" s="147">
        <v>135000</v>
      </c>
      <c r="D69" s="147"/>
      <c r="E69" s="147"/>
      <c r="F69" s="147">
        <v>135000</v>
      </c>
      <c r="G69" s="147"/>
      <c r="H69" s="147"/>
      <c r="I69" s="147"/>
      <c r="J69" s="147"/>
      <c r="K69" s="147"/>
      <c r="L69" s="147"/>
      <c r="M69" s="147"/>
      <c r="N69" s="147"/>
      <c r="O69" s="147"/>
      <c r="P69" s="147"/>
      <c r="Q69" s="147"/>
      <c r="R69" s="551">
        <f>SUM(E69:Q69)</f>
        <v>135000</v>
      </c>
      <c r="S69" s="147">
        <v>108000</v>
      </c>
      <c r="T69" s="147"/>
      <c r="U69" s="143"/>
    </row>
    <row r="70" spans="1:21" s="144" customFormat="1">
      <c r="A70" s="149" t="s">
        <v>1828</v>
      </c>
      <c r="B70" s="146">
        <f>SUM(C70:D70)</f>
        <v>195000</v>
      </c>
      <c r="C70" s="146">
        <f>SUM(C65:C69)</f>
        <v>195000</v>
      </c>
      <c r="D70" s="146">
        <f>SUM(D65:D69)</f>
        <v>0</v>
      </c>
      <c r="E70" s="146">
        <f t="shared" ref="E70:T70" si="17">SUM(E65:E69)</f>
        <v>0</v>
      </c>
      <c r="F70" s="146">
        <f t="shared" si="17"/>
        <v>195000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195000</v>
      </c>
      <c r="S70" s="150">
        <f t="shared" si="17"/>
        <v>168000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379440.31</v>
      </c>
      <c r="C75" s="147">
        <v>379440.31</v>
      </c>
      <c r="D75" s="147"/>
      <c r="E75" s="147">
        <v>379440.31</v>
      </c>
      <c r="F75" s="147"/>
      <c r="G75" s="147"/>
      <c r="H75" s="147"/>
      <c r="I75" s="147"/>
      <c r="J75" s="147"/>
      <c r="K75" s="147"/>
      <c r="L75" s="147"/>
      <c r="M75" s="147"/>
      <c r="N75" s="147"/>
      <c r="O75" s="147"/>
      <c r="P75" s="147"/>
      <c r="Q75" s="147"/>
      <c r="R75" s="551">
        <f>SUM(E75:Q75)</f>
        <v>379440.31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379440.31</v>
      </c>
      <c r="C77" s="146">
        <f>SUM(C72:C76)</f>
        <v>379440.31</v>
      </c>
      <c r="D77" s="146">
        <f>SUM(D72:D76)</f>
        <v>0</v>
      </c>
      <c r="E77" s="146">
        <f t="shared" ref="E77:Q77" si="18">SUM(E72:E76)</f>
        <v>379440.31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379440.31</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1876319.37</v>
      </c>
      <c r="C79" s="147">
        <v>1876319.37</v>
      </c>
      <c r="D79" s="147"/>
      <c r="E79" s="147"/>
      <c r="F79" s="147">
        <v>1876319.37</v>
      </c>
      <c r="G79" s="147"/>
      <c r="H79" s="147"/>
      <c r="I79" s="147"/>
      <c r="J79" s="147"/>
      <c r="K79" s="147"/>
      <c r="L79" s="147"/>
      <c r="M79" s="147"/>
      <c r="N79" s="147"/>
      <c r="O79" s="147"/>
      <c r="P79" s="147"/>
      <c r="Q79" s="147"/>
      <c r="R79" s="551">
        <f>SUM(E79:Q79)</f>
        <v>1876319.37</v>
      </c>
      <c r="S79" s="147">
        <v>1876319.37</v>
      </c>
      <c r="T79" s="147"/>
      <c r="U79" s="143"/>
    </row>
    <row r="80" spans="1:21" s="144" customFormat="1">
      <c r="A80" s="304" t="s">
        <v>58</v>
      </c>
      <c r="B80" s="146">
        <f>SUM(C80:D80)</f>
        <v>200000</v>
      </c>
      <c r="C80" s="147">
        <v>200000</v>
      </c>
      <c r="D80" s="147"/>
      <c r="E80" s="147">
        <v>200000</v>
      </c>
      <c r="F80" s="147"/>
      <c r="G80" s="147"/>
      <c r="H80" s="147"/>
      <c r="I80" s="147"/>
      <c r="J80" s="147"/>
      <c r="K80" s="147"/>
      <c r="L80" s="147"/>
      <c r="M80" s="147"/>
      <c r="N80" s="147"/>
      <c r="O80" s="147"/>
      <c r="P80" s="147"/>
      <c r="Q80" s="147"/>
      <c r="R80" s="551">
        <f>SUM(E80:Q80)</f>
        <v>200000</v>
      </c>
      <c r="S80" s="147">
        <v>200000</v>
      </c>
      <c r="T80" s="147"/>
      <c r="U80" s="143"/>
    </row>
    <row r="81" spans="1:21" s="144" customFormat="1">
      <c r="A81" s="149" t="s">
        <v>1353</v>
      </c>
      <c r="B81" s="146">
        <f>SUM(C81:D81)</f>
        <v>2076319.37</v>
      </c>
      <c r="C81" s="544">
        <f>SUM(C79:C80)</f>
        <v>2076319.37</v>
      </c>
      <c r="D81" s="544">
        <f t="shared" ref="D81:T81" si="19">SUM(D79:D80)</f>
        <v>0</v>
      </c>
      <c r="E81" s="544">
        <f t="shared" si="19"/>
        <v>200000</v>
      </c>
      <c r="F81" s="544">
        <f t="shared" si="19"/>
        <v>1876319.37</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2076319.37</v>
      </c>
      <c r="S81" s="544">
        <f t="shared" si="19"/>
        <v>2076319.37</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2517</v>
      </c>
      <c r="B83" s="146">
        <f t="shared" ref="B83:B95" si="20">SUM(C83+D83)</f>
        <v>90353.66</v>
      </c>
      <c r="C83" s="147">
        <v>90353.66</v>
      </c>
      <c r="D83" s="147"/>
      <c r="E83" s="147">
        <v>90353.66</v>
      </c>
      <c r="F83" s="147"/>
      <c r="G83" s="147"/>
      <c r="H83" s="147"/>
      <c r="I83" s="147"/>
      <c r="J83" s="147"/>
      <c r="K83" s="147"/>
      <c r="L83" s="147"/>
      <c r="M83" s="147"/>
      <c r="N83" s="147"/>
      <c r="O83" s="147"/>
      <c r="P83" s="147"/>
      <c r="Q83" s="147"/>
      <c r="R83" s="551">
        <f t="shared" ref="R83:R95" si="21">SUM(E83:Q83)</f>
        <v>90353.66</v>
      </c>
      <c r="S83" s="148"/>
      <c r="T83" s="148"/>
      <c r="U83" s="143"/>
    </row>
    <row r="84" spans="1:21" s="144" customFormat="1">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5479534.0300000003</v>
      </c>
      <c r="C85" s="147">
        <v>5479534.0300000003</v>
      </c>
      <c r="D85" s="147"/>
      <c r="E85" s="147">
        <v>3579534.03</v>
      </c>
      <c r="F85" s="147"/>
      <c r="G85" s="147"/>
      <c r="H85" s="147">
        <v>1900000</v>
      </c>
      <c r="I85" s="147"/>
      <c r="J85" s="147"/>
      <c r="K85" s="147"/>
      <c r="L85" s="147"/>
      <c r="M85" s="147"/>
      <c r="N85" s="147"/>
      <c r="O85" s="147"/>
      <c r="P85" s="147"/>
      <c r="Q85" s="147"/>
      <c r="R85" s="551">
        <f t="shared" si="21"/>
        <v>5479534.0299999993</v>
      </c>
      <c r="S85" s="147">
        <v>5479534.0300000003</v>
      </c>
      <c r="T85" s="147"/>
      <c r="U85" s="143"/>
    </row>
    <row r="86" spans="1:21" s="144" customFormat="1">
      <c r="A86" s="145" t="s">
        <v>794</v>
      </c>
      <c r="B86" s="146">
        <f t="shared" si="20"/>
        <v>327321.52</v>
      </c>
      <c r="C86" s="147">
        <v>327321.52</v>
      </c>
      <c r="D86" s="147"/>
      <c r="E86" s="147">
        <v>327321.52</v>
      </c>
      <c r="F86" s="147"/>
      <c r="G86" s="147"/>
      <c r="H86" s="147"/>
      <c r="I86" s="147"/>
      <c r="J86" s="147"/>
      <c r="K86" s="147"/>
      <c r="L86" s="147"/>
      <c r="M86" s="147"/>
      <c r="N86" s="147"/>
      <c r="O86" s="147"/>
      <c r="P86" s="147"/>
      <c r="Q86" s="147"/>
      <c r="R86" s="551">
        <f t="shared" si="21"/>
        <v>327321.52</v>
      </c>
      <c r="S86" s="147">
        <v>327321.52</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70000</v>
      </c>
      <c r="C88" s="147">
        <v>70000</v>
      </c>
      <c r="D88" s="147"/>
      <c r="E88" s="147">
        <v>70000</v>
      </c>
      <c r="F88" s="147"/>
      <c r="G88" s="147"/>
      <c r="H88" s="147"/>
      <c r="I88" s="147"/>
      <c r="J88" s="147"/>
      <c r="K88" s="147"/>
      <c r="L88" s="147"/>
      <c r="M88" s="147"/>
      <c r="N88" s="147"/>
      <c r="O88" s="147"/>
      <c r="P88" s="147"/>
      <c r="Q88" s="147"/>
      <c r="R88" s="551">
        <f t="shared" si="21"/>
        <v>70000</v>
      </c>
      <c r="S88" s="148"/>
      <c r="T88" s="148"/>
      <c r="U88" s="143"/>
    </row>
    <row r="89" spans="1:21" s="144" customFormat="1">
      <c r="A89" s="145" t="s">
        <v>797</v>
      </c>
      <c r="B89" s="146">
        <f t="shared" si="20"/>
        <v>175000</v>
      </c>
      <c r="C89" s="147">
        <v>175000</v>
      </c>
      <c r="D89" s="147"/>
      <c r="E89" s="147">
        <v>175000</v>
      </c>
      <c r="F89" s="147"/>
      <c r="G89" s="147"/>
      <c r="H89" s="147"/>
      <c r="I89" s="147"/>
      <c r="J89" s="147"/>
      <c r="K89" s="147"/>
      <c r="L89" s="147"/>
      <c r="M89" s="147"/>
      <c r="N89" s="147"/>
      <c r="O89" s="147"/>
      <c r="P89" s="147"/>
      <c r="Q89" s="147"/>
      <c r="R89" s="551">
        <f t="shared" si="21"/>
        <v>175000</v>
      </c>
      <c r="S89" s="147">
        <v>175000</v>
      </c>
      <c r="T89" s="147"/>
      <c r="U89" s="143"/>
    </row>
    <row r="90" spans="1:21" s="144" customFormat="1">
      <c r="A90" s="145" t="s">
        <v>798</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v>10000</v>
      </c>
      <c r="T90" s="147"/>
      <c r="U90" s="143"/>
    </row>
    <row r="91" spans="1:21" s="144" customFormat="1">
      <c r="A91" s="145" t="s">
        <v>374</v>
      </c>
      <c r="B91" s="146">
        <f t="shared" si="20"/>
        <v>0</v>
      </c>
      <c r="C91" s="147"/>
      <c r="D91" s="147"/>
      <c r="E91" s="147"/>
      <c r="F91" s="147"/>
      <c r="G91" s="147"/>
      <c r="H91" s="147"/>
      <c r="I91" s="147"/>
      <c r="J91" s="147"/>
      <c r="K91" s="147"/>
      <c r="L91" s="147"/>
      <c r="M91" s="147"/>
      <c r="N91" s="147"/>
      <c r="O91" s="147"/>
      <c r="P91" s="147"/>
      <c r="Q91" s="147"/>
      <c r="R91" s="551">
        <f t="shared" si="21"/>
        <v>0</v>
      </c>
      <c r="S91" s="147"/>
      <c r="T91" s="147"/>
      <c r="U91" s="143"/>
    </row>
    <row r="92" spans="1:21" s="144" customFormat="1">
      <c r="A92" s="304" t="s">
        <v>1355</v>
      </c>
      <c r="B92" s="146">
        <f t="shared" si="20"/>
        <v>25000</v>
      </c>
      <c r="C92" s="147">
        <v>25000</v>
      </c>
      <c r="D92" s="147"/>
      <c r="E92" s="147"/>
      <c r="F92" s="147">
        <v>25000</v>
      </c>
      <c r="G92" s="147"/>
      <c r="H92" s="147"/>
      <c r="I92" s="147"/>
      <c r="J92" s="147"/>
      <c r="K92" s="147"/>
      <c r="L92" s="147"/>
      <c r="M92" s="147"/>
      <c r="N92" s="147"/>
      <c r="O92" s="147"/>
      <c r="P92" s="147"/>
      <c r="Q92" s="147"/>
      <c r="R92" s="551">
        <f t="shared" si="21"/>
        <v>25000</v>
      </c>
      <c r="S92" s="147">
        <v>25000</v>
      </c>
      <c r="T92" s="147"/>
      <c r="U92" s="143"/>
    </row>
    <row r="93" spans="1:21" s="144" customFormat="1">
      <c r="A93" s="1202" t="s">
        <v>2644</v>
      </c>
      <c r="B93" s="146">
        <f t="shared" si="20"/>
        <v>30000</v>
      </c>
      <c r="C93" s="147">
        <v>30000</v>
      </c>
      <c r="D93" s="147"/>
      <c r="E93" s="147">
        <v>30000</v>
      </c>
      <c r="F93" s="147"/>
      <c r="G93" s="147"/>
      <c r="H93" s="147"/>
      <c r="I93" s="147"/>
      <c r="J93" s="147"/>
      <c r="K93" s="147"/>
      <c r="L93" s="147"/>
      <c r="M93" s="147"/>
      <c r="N93" s="147"/>
      <c r="O93" s="147"/>
      <c r="P93" s="147"/>
      <c r="Q93" s="147"/>
      <c r="R93" s="551">
        <f t="shared" si="21"/>
        <v>30000</v>
      </c>
      <c r="S93" s="147">
        <v>30000</v>
      </c>
      <c r="T93" s="147"/>
      <c r="U93" s="143"/>
    </row>
    <row r="94" spans="1:21" s="144" customFormat="1">
      <c r="A94" s="1202" t="s">
        <v>2645</v>
      </c>
      <c r="B94" s="146">
        <f t="shared" si="20"/>
        <v>40000</v>
      </c>
      <c r="C94" s="147">
        <v>40000</v>
      </c>
      <c r="D94" s="147"/>
      <c r="E94" s="147"/>
      <c r="F94" s="147">
        <v>40000</v>
      </c>
      <c r="G94" s="147"/>
      <c r="H94" s="147"/>
      <c r="I94" s="147"/>
      <c r="J94" s="147"/>
      <c r="K94" s="147"/>
      <c r="L94" s="147"/>
      <c r="M94" s="147"/>
      <c r="N94" s="147"/>
      <c r="O94" s="147"/>
      <c r="P94" s="147"/>
      <c r="Q94" s="147"/>
      <c r="R94" s="551">
        <f t="shared" si="21"/>
        <v>40000</v>
      </c>
      <c r="S94" s="147">
        <v>40000</v>
      </c>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6247209.2100000009</v>
      </c>
      <c r="C96" s="146">
        <f t="shared" ref="C96:R96" si="22">SUM(C83:C95)</f>
        <v>6247209.2100000009</v>
      </c>
      <c r="D96" s="146">
        <f t="shared" si="22"/>
        <v>0</v>
      </c>
      <c r="E96" s="146">
        <f t="shared" si="22"/>
        <v>4282209.21</v>
      </c>
      <c r="F96" s="146">
        <f t="shared" si="22"/>
        <v>65000</v>
      </c>
      <c r="G96" s="146">
        <f t="shared" si="22"/>
        <v>0</v>
      </c>
      <c r="H96" s="146">
        <f t="shared" si="22"/>
        <v>1900000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6247209.209999999</v>
      </c>
      <c r="S96" s="150">
        <f>SUM(S84:S87,S89:S95)</f>
        <v>6086855.5500000007</v>
      </c>
      <c r="T96" s="146">
        <f>SUM(T84:T87,T89:T95)</f>
        <v>0</v>
      </c>
      <c r="U96" s="143"/>
    </row>
    <row r="97" spans="1:21" s="144" customFormat="1">
      <c r="A97" s="149" t="s">
        <v>800</v>
      </c>
      <c r="B97" s="146">
        <f>SUM(C97:D97)</f>
        <v>61287369.630000003</v>
      </c>
      <c r="C97" s="146">
        <f t="shared" ref="C97:R97" si="23">SUM(C63+C70+C77+C81+C96)</f>
        <v>61287369.630000003</v>
      </c>
      <c r="D97" s="146">
        <f t="shared" si="23"/>
        <v>0</v>
      </c>
      <c r="E97" s="146">
        <f t="shared" si="23"/>
        <v>43983724.259999998</v>
      </c>
      <c r="F97" s="146">
        <f t="shared" si="23"/>
        <v>10303645.370000001</v>
      </c>
      <c r="G97" s="146">
        <f t="shared" si="23"/>
        <v>2100000</v>
      </c>
      <c r="H97" s="146">
        <f t="shared" si="23"/>
        <v>4900000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61287369.629999995</v>
      </c>
      <c r="S97" s="146">
        <f>SUM(S63+S70+S81+S96)</f>
        <v>58468575.659999996</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5000000</v>
      </c>
      <c r="C99" s="1016">
        <v>5000000</v>
      </c>
      <c r="D99" s="1016"/>
      <c r="E99" s="1016"/>
      <c r="F99" s="147">
        <v>479665</v>
      </c>
      <c r="G99" s="147"/>
      <c r="H99" s="147"/>
      <c r="I99" s="147">
        <v>4520335</v>
      </c>
      <c r="J99" s="147"/>
      <c r="K99" s="147"/>
      <c r="L99" s="147"/>
      <c r="M99" s="147"/>
      <c r="N99" s="147"/>
      <c r="O99" s="147"/>
      <c r="P99" s="147"/>
      <c r="Q99" s="147"/>
      <c r="R99" s="551">
        <f>SUM(E99:Q99)</f>
        <v>5000000</v>
      </c>
      <c r="S99" s="147">
        <v>5000000</v>
      </c>
      <c r="T99" s="147"/>
      <c r="U99" s="143"/>
    </row>
    <row r="100" spans="1:21" s="144" customFormat="1">
      <c r="A100" s="304" t="s">
        <v>1829</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1830</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5000000</v>
      </c>
      <c r="C104" s="146">
        <f>SUM(C99:C103)</f>
        <v>5000000</v>
      </c>
      <c r="D104" s="146">
        <f t="shared" ref="D104:T104" si="24">SUM(D99:D103)</f>
        <v>0</v>
      </c>
      <c r="E104" s="146">
        <f t="shared" si="24"/>
        <v>0</v>
      </c>
      <c r="F104" s="146">
        <f t="shared" si="24"/>
        <v>479665</v>
      </c>
      <c r="G104" s="146">
        <f t="shared" si="24"/>
        <v>0</v>
      </c>
      <c r="H104" s="146">
        <f t="shared" si="24"/>
        <v>0</v>
      </c>
      <c r="I104" s="146">
        <f t="shared" si="24"/>
        <v>4520335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5000000</v>
      </c>
      <c r="S104" s="150">
        <f t="shared" si="24"/>
        <v>5000000</v>
      </c>
      <c r="T104" s="150">
        <f t="shared" si="24"/>
        <v>0</v>
      </c>
      <c r="U104" s="143"/>
    </row>
    <row r="105" spans="1:21" s="144" customFormat="1">
      <c r="A105" s="149" t="s">
        <v>805</v>
      </c>
      <c r="B105" s="150">
        <f>SUM(C105:D105)</f>
        <v>66287369.630000003</v>
      </c>
      <c r="C105" s="150">
        <f t="shared" ref="C105:R105" si="25">SUM(C97+C104)</f>
        <v>66287369.630000003</v>
      </c>
      <c r="D105" s="150">
        <f t="shared" si="25"/>
        <v>0</v>
      </c>
      <c r="E105" s="150">
        <f t="shared" si="25"/>
        <v>43983724.259999998</v>
      </c>
      <c r="F105" s="150">
        <f t="shared" si="25"/>
        <v>10783310.370000001</v>
      </c>
      <c r="G105" s="150">
        <f t="shared" si="25"/>
        <v>2100000</v>
      </c>
      <c r="H105" s="150">
        <f t="shared" si="25"/>
        <v>4900000</v>
      </c>
      <c r="I105" s="150">
        <f t="shared" si="25"/>
        <v>4520335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66287369.629999995</v>
      </c>
      <c r="S105" s="150">
        <f>S97+S104</f>
        <v>63468575.659999996</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63468575.659999996</v>
      </c>
      <c r="T107" s="150">
        <f>T105+T106</f>
        <v>0</v>
      </c>
    </row>
    <row r="108" spans="1:21" s="201" customFormat="1">
      <c r="A108" s="162" t="s">
        <v>909</v>
      </c>
      <c r="B108" s="157"/>
      <c r="C108" s="157"/>
      <c r="D108" s="157"/>
      <c r="E108" s="323">
        <f>Application!AO636</f>
        <v>43983724</v>
      </c>
      <c r="F108" s="323">
        <f>Application!AO623</f>
        <v>10783311</v>
      </c>
      <c r="G108" s="323">
        <f>Application!AO624</f>
        <v>2100000</v>
      </c>
      <c r="H108" s="323">
        <f>Application!AO625</f>
        <v>4900000</v>
      </c>
      <c r="I108" s="323">
        <f>Application!AO626</f>
        <v>4520335</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2518</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85" t="s">
        <v>1048</v>
      </c>
      <c r="E122" s="1885"/>
      <c r="F122" s="188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76" t="s">
        <v>1373</v>
      </c>
      <c r="E123" s="1877"/>
      <c r="F123" s="1877"/>
      <c r="G123" s="1877"/>
      <c r="H123" s="1877"/>
      <c r="I123" s="1877"/>
      <c r="J123" s="1877"/>
      <c r="K123" s="1877"/>
      <c r="L123" s="1877"/>
      <c r="M123" s="1877"/>
      <c r="N123" s="1877"/>
      <c r="O123" s="1877"/>
      <c r="P123" s="1877"/>
      <c r="Q123" s="1877"/>
      <c r="R123" s="1877"/>
      <c r="S123" s="1877"/>
      <c r="T123" s="353"/>
      <c r="U123" s="355"/>
    </row>
    <row r="124" spans="1:21" ht="12.75">
      <c r="A124" s="117" t="s">
        <v>1050</v>
      </c>
      <c r="B124" s="362"/>
      <c r="C124" s="117"/>
      <c r="D124" s="1877"/>
      <c r="E124" s="1877"/>
      <c r="F124" s="1877"/>
      <c r="G124" s="1877"/>
      <c r="H124" s="1877"/>
      <c r="I124" s="1877"/>
      <c r="J124" s="1877"/>
      <c r="K124" s="1877"/>
      <c r="L124" s="1877"/>
      <c r="M124" s="1877"/>
      <c r="N124" s="1877"/>
      <c r="O124" s="1877"/>
      <c r="P124" s="1877"/>
      <c r="Q124" s="1877"/>
      <c r="R124" s="1877"/>
      <c r="S124" s="1877"/>
      <c r="T124" s="353"/>
      <c r="U124" s="355"/>
    </row>
    <row r="125" spans="1:21" ht="12.75">
      <c r="A125" s="117" t="s">
        <v>1051</v>
      </c>
      <c r="B125" s="362"/>
      <c r="C125" s="117"/>
      <c r="D125" s="1877"/>
      <c r="E125" s="1877"/>
      <c r="F125" s="1877"/>
      <c r="G125" s="1877"/>
      <c r="H125" s="1877"/>
      <c r="I125" s="1877"/>
      <c r="J125" s="1877"/>
      <c r="K125" s="1877"/>
      <c r="L125" s="1877"/>
      <c r="M125" s="1877"/>
      <c r="N125" s="1877"/>
      <c r="O125" s="1877"/>
      <c r="P125" s="1877"/>
      <c r="Q125" s="1877"/>
      <c r="R125" s="1877"/>
      <c r="S125" s="1877"/>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80"/>
      <c r="E128" s="1880"/>
      <c r="F128" s="1880"/>
      <c r="G128" s="1880"/>
      <c r="H128" s="1880"/>
      <c r="I128" s="117"/>
      <c r="J128" s="1875"/>
      <c r="K128" s="1875"/>
      <c r="L128" s="117"/>
      <c r="M128" s="117"/>
      <c r="N128" s="117"/>
      <c r="O128" s="117"/>
      <c r="P128" s="117"/>
      <c r="Q128" s="117"/>
      <c r="R128" s="117"/>
      <c r="S128" s="117"/>
      <c r="T128" s="353"/>
      <c r="U128" s="355"/>
    </row>
    <row r="129" spans="1:21" ht="12.75">
      <c r="A129" s="117" t="s">
        <v>302</v>
      </c>
      <c r="B129" s="362"/>
      <c r="C129" s="117"/>
      <c r="D129" s="1884" t="s">
        <v>1055</v>
      </c>
      <c r="E129" s="1884"/>
      <c r="F129" s="1884"/>
      <c r="G129" s="1884"/>
      <c r="H129" s="188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78" t="s">
        <v>1058</v>
      </c>
      <c r="E132" s="1878"/>
      <c r="F132" s="1878"/>
      <c r="G132" s="1878"/>
      <c r="H132" s="1878"/>
      <c r="I132" s="117"/>
      <c r="J132" s="1878" t="s">
        <v>1059</v>
      </c>
      <c r="K132" s="1878"/>
      <c r="L132" s="1878"/>
      <c r="M132" s="1878"/>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9"/>
      <c r="B138" s="1880"/>
      <c r="C138" s="1880"/>
      <c r="D138" s="357"/>
      <c r="E138" s="1875"/>
      <c r="F138" s="1875"/>
      <c r="G138" s="117"/>
      <c r="H138" s="117"/>
      <c r="I138" s="117"/>
      <c r="J138" s="117"/>
      <c r="K138" s="117"/>
      <c r="L138" s="117"/>
      <c r="M138" s="117"/>
      <c r="N138" s="117"/>
      <c r="O138" s="117"/>
      <c r="P138" s="117"/>
      <c r="Q138" s="117"/>
      <c r="R138" s="117"/>
      <c r="S138" s="117"/>
      <c r="T138" s="359"/>
      <c r="U138" s="360"/>
    </row>
    <row r="139" spans="1:21" ht="12.75">
      <c r="A139" s="1874" t="s">
        <v>1062</v>
      </c>
      <c r="B139" s="1874"/>
      <c r="C139" s="1874"/>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3" scale="81" firstPageNumber="25"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8" zoomScaleNormal="100" zoomScaleSheetLayoutView="100" workbookViewId="0">
      <selection activeCell="F44" sqref="F4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8" t="s">
        <v>1376</v>
      </c>
      <c r="B1" s="1889"/>
      <c r="C1" s="1889"/>
      <c r="D1" s="1889"/>
      <c r="E1" s="1889"/>
      <c r="F1" s="1889"/>
      <c r="G1" s="1889"/>
      <c r="H1" s="1889"/>
      <c r="I1" s="1889"/>
      <c r="J1" s="1890"/>
      <c r="K1" s="387"/>
    </row>
    <row r="2" spans="1:11" s="433" customFormat="1" ht="72">
      <c r="A2" s="430"/>
      <c r="B2" s="431" t="s">
        <v>1089</v>
      </c>
      <c r="C2" s="431" t="s">
        <v>1378</v>
      </c>
      <c r="D2" s="431" t="s">
        <v>1379</v>
      </c>
      <c r="E2" s="431" t="s">
        <v>1300</v>
      </c>
      <c r="F2" s="431" t="s">
        <v>1380</v>
      </c>
      <c r="G2" s="431" t="s">
        <v>1381</v>
      </c>
      <c r="H2" s="431" t="s">
        <v>1090</v>
      </c>
      <c r="I2" s="431" t="s">
        <v>1382</v>
      </c>
      <c r="J2" s="431" t="s">
        <v>1383</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2100000</v>
      </c>
      <c r="C4" s="394">
        <v>2100000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2100000</v>
      </c>
      <c r="C8" s="393">
        <f>SUM(C4:C7)</f>
        <v>2100000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2100000</v>
      </c>
      <c r="C12" s="393">
        <f>SUM(C8+C11)</f>
        <v>2100000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1823</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37526387.490000002</v>
      </c>
      <c r="C30" s="394">
        <v>37526387</v>
      </c>
      <c r="D30" s="394"/>
      <c r="E30" s="393">
        <f>'Sources and Uses Budget'!S30</f>
        <v>37526387.490000002</v>
      </c>
      <c r="F30" s="394">
        <v>37526387</v>
      </c>
      <c r="G30" s="394"/>
      <c r="H30" s="393">
        <f>'Sources and Uses Budget'!T30</f>
        <v>0</v>
      </c>
      <c r="I30" s="394"/>
      <c r="J30" s="394"/>
      <c r="K30" s="391"/>
    </row>
    <row r="31" spans="1:11" s="392" customFormat="1">
      <c r="A31" s="145" t="s">
        <v>610</v>
      </c>
      <c r="B31" s="393">
        <f>'Sources and Uses Budget'!C31</f>
        <v>2251583.25</v>
      </c>
      <c r="C31" s="394">
        <f>B31</f>
        <v>2251583.25</v>
      </c>
      <c r="D31" s="394"/>
      <c r="E31" s="393">
        <f>'Sources and Uses Budget'!S31</f>
        <v>2251583.25</v>
      </c>
      <c r="F31" s="394">
        <f>B31</f>
        <v>2251583.25</v>
      </c>
      <c r="G31" s="394"/>
      <c r="H31" s="393">
        <f>'Sources and Uses Budget'!T31</f>
        <v>0</v>
      </c>
      <c r="I31" s="394"/>
      <c r="J31" s="394"/>
      <c r="K31" s="391"/>
    </row>
    <row r="32" spans="1:11" s="392" customFormat="1">
      <c r="A32" s="145" t="s">
        <v>138</v>
      </c>
      <c r="B32" s="393">
        <f>'Sources and Uses Budget'!C32</f>
        <v>750527.75</v>
      </c>
      <c r="C32" s="394">
        <f>B32</f>
        <v>750527.75</v>
      </c>
      <c r="D32" s="394"/>
      <c r="E32" s="393">
        <f>'Sources and Uses Budget'!S32</f>
        <v>750527.75</v>
      </c>
      <c r="F32" s="394">
        <f>B32</f>
        <v>750527.75</v>
      </c>
      <c r="G32" s="394"/>
      <c r="H32" s="393">
        <f>'Sources and Uses Budget'!T32</f>
        <v>0</v>
      </c>
      <c r="I32" s="394"/>
      <c r="J32" s="394"/>
      <c r="K32" s="391"/>
    </row>
    <row r="33" spans="1:11" s="392" customFormat="1">
      <c r="A33" s="145" t="s">
        <v>139</v>
      </c>
      <c r="B33" s="393">
        <f>'Sources and Uses Budget'!C33</f>
        <v>2251583.25</v>
      </c>
      <c r="C33" s="394">
        <f>B33</f>
        <v>2251583.25</v>
      </c>
      <c r="D33" s="394"/>
      <c r="E33" s="393">
        <f>'Sources and Uses Budget'!S33</f>
        <v>2251583.25</v>
      </c>
      <c r="F33" s="394">
        <f>B33</f>
        <v>2251583.25</v>
      </c>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375000</v>
      </c>
      <c r="C35" s="394">
        <f>B35</f>
        <v>375000</v>
      </c>
      <c r="D35" s="394"/>
      <c r="E35" s="393">
        <f>'Sources and Uses Budget'!S35</f>
        <v>375000</v>
      </c>
      <c r="F35" s="394">
        <f>B35</f>
        <v>375000</v>
      </c>
      <c r="G35" s="394"/>
      <c r="H35" s="393">
        <f>'Sources and Uses Budget'!T35</f>
        <v>0</v>
      </c>
      <c r="I35" s="394"/>
      <c r="J35" s="394"/>
      <c r="K35" s="391"/>
    </row>
    <row r="36" spans="1:11" s="392" customFormat="1">
      <c r="A36" s="543" t="s">
        <v>1823</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43155081.740000002</v>
      </c>
      <c r="C38" s="393">
        <f>SUM(C29:C37)</f>
        <v>43155081.25</v>
      </c>
      <c r="D38" s="393">
        <f>SUM(D29:D37)</f>
        <v>0</v>
      </c>
      <c r="E38" s="393">
        <f>'Sources and Uses Budget'!S38</f>
        <v>43155081.740000002</v>
      </c>
      <c r="F38" s="399">
        <f>SUM(F29:F37)</f>
        <v>43155081.25</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1000000</v>
      </c>
      <c r="C40" s="394">
        <v>1000000</v>
      </c>
      <c r="D40" s="394"/>
      <c r="E40" s="393">
        <f>'Sources and Uses Budget'!S40</f>
        <v>1000000</v>
      </c>
      <c r="F40" s="394">
        <v>1000000</v>
      </c>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1000000</v>
      </c>
      <c r="C42" s="393">
        <f>SUM(C39:C41)</f>
        <v>1000000</v>
      </c>
      <c r="D42" s="393">
        <f>SUM(D39:D41)</f>
        <v>0</v>
      </c>
      <c r="E42" s="393">
        <f>'Sources and Uses Budget'!S42</f>
        <v>1000000</v>
      </c>
      <c r="F42" s="399">
        <f>SUM(F40:F41)</f>
        <v>1000000</v>
      </c>
      <c r="G42" s="399">
        <f>SUM(G40:G41)</f>
        <v>0</v>
      </c>
      <c r="H42" s="393">
        <f>'Sources and Uses Budget'!T42</f>
        <v>0</v>
      </c>
      <c r="I42" s="399">
        <f>SUM(I40:I41)</f>
        <v>0</v>
      </c>
      <c r="J42" s="399">
        <f>SUM(J40:J41)</f>
        <v>0</v>
      </c>
      <c r="K42" s="391"/>
    </row>
    <row r="43" spans="1:11" s="392" customFormat="1">
      <c r="A43" s="397" t="s">
        <v>149</v>
      </c>
      <c r="B43" s="393">
        <f>'Sources and Uses Budget'!C43</f>
        <v>250000</v>
      </c>
      <c r="C43" s="394">
        <v>250000</v>
      </c>
      <c r="D43" s="394"/>
      <c r="E43" s="393">
        <f>'Sources and Uses Budget'!S43</f>
        <v>250000</v>
      </c>
      <c r="F43" s="394">
        <v>250000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4389519</v>
      </c>
      <c r="C45" s="394">
        <f>B45</f>
        <v>4389519</v>
      </c>
      <c r="D45" s="394"/>
      <c r="E45" s="393">
        <f>'Sources and Uses Budget'!S45</f>
        <v>4389519</v>
      </c>
      <c r="F45" s="394">
        <f>B45</f>
        <v>4389519</v>
      </c>
      <c r="G45" s="394"/>
      <c r="H45" s="393">
        <f>'Sources and Uses Budget'!T45</f>
        <v>0</v>
      </c>
      <c r="I45" s="394"/>
      <c r="J45" s="394"/>
      <c r="K45" s="391"/>
    </row>
    <row r="46" spans="1:11" s="392" customFormat="1">
      <c r="A46" s="396" t="s">
        <v>152</v>
      </c>
      <c r="B46" s="393">
        <f>'Sources and Uses Budget'!C46</f>
        <v>483800</v>
      </c>
      <c r="C46" s="394">
        <f>B46</f>
        <v>483800</v>
      </c>
      <c r="D46" s="394"/>
      <c r="E46" s="393">
        <f>'Sources and Uses Budget'!S46</f>
        <v>483800</v>
      </c>
      <c r="F46" s="394">
        <f>B46</f>
        <v>483800</v>
      </c>
      <c r="G46" s="394"/>
      <c r="H46" s="393">
        <f>'Sources and Uses Budget'!T46</f>
        <v>0</v>
      </c>
      <c r="I46" s="394"/>
      <c r="J46" s="394"/>
      <c r="K46" s="391"/>
    </row>
    <row r="47" spans="1:11" s="392" customFormat="1" ht="12" customHeight="1">
      <c r="A47" s="396" t="s">
        <v>153</v>
      </c>
      <c r="B47" s="393">
        <f>'Sources and Uses Budget'!C47</f>
        <v>20000</v>
      </c>
      <c r="C47" s="394">
        <v>20000</v>
      </c>
      <c r="D47" s="394"/>
      <c r="E47" s="393">
        <f>'Sources and Uses Budget'!S47</f>
        <v>20000</v>
      </c>
      <c r="F47" s="394">
        <v>20000</v>
      </c>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75000</v>
      </c>
      <c r="C50" s="394">
        <f>B50</f>
        <v>75000</v>
      </c>
      <c r="D50" s="394"/>
      <c r="E50" s="393">
        <f>'Sources and Uses Budget'!S50</f>
        <v>75000</v>
      </c>
      <c r="F50" s="394">
        <f>B50</f>
        <v>75000</v>
      </c>
      <c r="G50" s="394"/>
      <c r="H50" s="393">
        <f>'Sources and Uses Budget'!T50</f>
        <v>0</v>
      </c>
      <c r="I50" s="394"/>
      <c r="J50" s="394"/>
      <c r="K50" s="391"/>
    </row>
    <row r="51" spans="1:11" s="392" customFormat="1">
      <c r="A51" s="396" t="s">
        <v>155</v>
      </c>
      <c r="B51" s="393">
        <f>'Sources and Uses Budget'!C51</f>
        <v>100000</v>
      </c>
      <c r="C51" s="394">
        <v>100000</v>
      </c>
      <c r="D51" s="394"/>
      <c r="E51" s="393">
        <f>'Sources and Uses Budget'!S51</f>
        <v>100000</v>
      </c>
      <c r="F51" s="394">
        <v>100000</v>
      </c>
      <c r="G51" s="394"/>
      <c r="H51" s="393">
        <f>'Sources and Uses Budget'!T51</f>
        <v>0</v>
      </c>
      <c r="I51" s="394"/>
      <c r="J51" s="394"/>
      <c r="K51" s="391"/>
    </row>
    <row r="52" spans="1:11" s="392" customFormat="1">
      <c r="A52" s="396" t="s">
        <v>156</v>
      </c>
      <c r="B52" s="393">
        <f>'Sources and Uses Budget'!C52</f>
        <v>664000</v>
      </c>
      <c r="C52" s="394">
        <f>B52</f>
        <v>664000</v>
      </c>
      <c r="D52" s="394"/>
      <c r="E52" s="393">
        <f>'Sources and Uses Budget'!S52</f>
        <v>664000</v>
      </c>
      <c r="F52" s="394">
        <f>B52</f>
        <v>664000</v>
      </c>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5732319</v>
      </c>
      <c r="C54" s="399">
        <f>SUM(C45:C53)</f>
        <v>5732319</v>
      </c>
      <c r="D54" s="399">
        <f>SUM(D45:D53)</f>
        <v>0</v>
      </c>
      <c r="E54" s="393">
        <f>'Sources and Uses Budget'!S54</f>
        <v>5732319</v>
      </c>
      <c r="F54" s="399">
        <f>SUM(F45:F53)</f>
        <v>5732319</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10000</v>
      </c>
      <c r="C56" s="394">
        <f>B56</f>
        <v>10000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ht="24">
      <c r="A61" s="396" t="str">
        <f>'Sources and Uses Budget'!$A61</f>
        <v xml:space="preserve">Bond Issuer Issuance Fees, Bond Counsel, CDLAC Fees </v>
      </c>
      <c r="B61" s="393">
        <f>'Sources and Uses Budget'!C61</f>
        <v>142000</v>
      </c>
      <c r="C61" s="394">
        <f>B61</f>
        <v>142000</v>
      </c>
      <c r="D61" s="394"/>
      <c r="E61" s="395"/>
      <c r="F61" s="395"/>
      <c r="G61" s="395"/>
      <c r="H61" s="395"/>
      <c r="I61" s="395"/>
      <c r="J61" s="395"/>
      <c r="K61" s="391"/>
    </row>
    <row r="62" spans="1:11" s="392" customFormat="1" ht="13.7" customHeight="1">
      <c r="A62" s="397" t="s">
        <v>303</v>
      </c>
      <c r="B62" s="393">
        <f>'Sources and Uses Budget'!C62</f>
        <v>152000</v>
      </c>
      <c r="C62" s="393">
        <f>SUM(C56:C61)</f>
        <v>152000</v>
      </c>
      <c r="D62" s="393">
        <f>SUM(D56:D61)</f>
        <v>0</v>
      </c>
      <c r="E62" s="395"/>
      <c r="F62" s="395"/>
      <c r="G62" s="395"/>
      <c r="H62" s="395"/>
      <c r="I62" s="395"/>
      <c r="J62" s="395"/>
      <c r="K62" s="391"/>
    </row>
    <row r="63" spans="1:11" s="392" customFormat="1">
      <c r="A63" s="402" t="s">
        <v>304</v>
      </c>
      <c r="B63" s="393">
        <f>'Sources and Uses Budget'!C63</f>
        <v>52389400.740000002</v>
      </c>
      <c r="C63" s="393">
        <f>SUM(C8+C11+C13+C14+C15+C26+C27+C38+C42+C43+C54+C62)</f>
        <v>52389400.25</v>
      </c>
      <c r="D63" s="393">
        <f>SUM(D8+D11+D13+D14+D15+D26+D27+D38+D42+D43+D54+D62)</f>
        <v>0</v>
      </c>
      <c r="E63" s="393">
        <f>'Sources and Uses Budget'!S63</f>
        <v>50137400.740000002</v>
      </c>
      <c r="F63" s="393">
        <f>SUM(F10+F13+F14+F15+F26+F27+F38+F42+F43+F54)</f>
        <v>50137400.25</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1827</v>
      </c>
      <c r="B64" s="390"/>
      <c r="C64" s="390"/>
      <c r="D64" s="390"/>
      <c r="E64" s="390"/>
      <c r="F64" s="390"/>
      <c r="G64" s="390"/>
      <c r="H64" s="390"/>
      <c r="I64" s="390"/>
      <c r="J64" s="390"/>
      <c r="K64" s="391"/>
    </row>
    <row r="65" spans="1:11" s="392" customFormat="1">
      <c r="A65" s="145" t="s">
        <v>172</v>
      </c>
      <c r="B65" s="393">
        <f>'Sources and Uses Budget'!C65</f>
        <v>60000</v>
      </c>
      <c r="C65" s="394">
        <v>60000</v>
      </c>
      <c r="D65" s="394"/>
      <c r="E65" s="393">
        <f>'Sources and Uses Budget'!S65</f>
        <v>60000</v>
      </c>
      <c r="F65" s="394">
        <v>60000</v>
      </c>
      <c r="G65" s="394"/>
      <c r="H65" s="393">
        <f>'Sources and Uses Budget'!T65</f>
        <v>0</v>
      </c>
      <c r="I65" s="394"/>
      <c r="J65" s="394"/>
      <c r="K65" s="391"/>
    </row>
    <row r="66" spans="1:11" s="392" customFormat="1" ht="24">
      <c r="A66" s="304" t="s">
        <v>1824</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1825</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1831</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Borrower Attny</v>
      </c>
      <c r="B69" s="393">
        <f>'Sources and Uses Budget'!C69</f>
        <v>135000</v>
      </c>
      <c r="C69" s="394">
        <v>135000</v>
      </c>
      <c r="D69" s="394"/>
      <c r="E69" s="393">
        <f>'Sources and Uses Budget'!S69</f>
        <v>108000</v>
      </c>
      <c r="F69" s="394">
        <v>108000</v>
      </c>
      <c r="G69" s="394"/>
      <c r="H69" s="393">
        <f>'Sources and Uses Budget'!T69</f>
        <v>0</v>
      </c>
      <c r="I69" s="394"/>
      <c r="J69" s="394"/>
      <c r="K69" s="391"/>
    </row>
    <row r="70" spans="1:11" s="392" customFormat="1">
      <c r="A70" s="397" t="s">
        <v>611</v>
      </c>
      <c r="B70" s="393">
        <f>'Sources and Uses Budget'!C70</f>
        <v>195000</v>
      </c>
      <c r="C70" s="393">
        <f>SUM(C64:C69)</f>
        <v>195000</v>
      </c>
      <c r="D70" s="393">
        <f>SUM(D64:D69)</f>
        <v>0</v>
      </c>
      <c r="E70" s="393">
        <f>'Sources and Uses Budget'!S70</f>
        <v>168000</v>
      </c>
      <c r="F70" s="399">
        <f>SUM(F65:F69)</f>
        <v>168000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379440.31</v>
      </c>
      <c r="C75" s="394">
        <f>B75</f>
        <v>379440.31</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379440.31</v>
      </c>
      <c r="C77" s="393">
        <f>SUM(C72:C76)</f>
        <v>379440.31</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1876319.37</v>
      </c>
      <c r="C79" s="394">
        <f>B79</f>
        <v>1876319.37</v>
      </c>
      <c r="D79" s="394"/>
      <c r="E79" s="393">
        <f>'Sources and Uses Budget'!S79</f>
        <v>1876319.37</v>
      </c>
      <c r="F79" s="394">
        <f>E79</f>
        <v>1876319.37</v>
      </c>
      <c r="G79" s="394"/>
      <c r="H79" s="393">
        <f>'Sources and Uses Budget'!T79</f>
        <v>0</v>
      </c>
      <c r="I79" s="394"/>
      <c r="J79" s="394"/>
      <c r="K79" s="391"/>
    </row>
    <row r="80" spans="1:11" s="392" customFormat="1">
      <c r="A80" s="396" t="s">
        <v>58</v>
      </c>
      <c r="B80" s="393">
        <f>'Sources and Uses Budget'!C80</f>
        <v>200000</v>
      </c>
      <c r="C80" s="394">
        <v>200000</v>
      </c>
      <c r="D80" s="394"/>
      <c r="E80" s="393">
        <f>'Sources and Uses Budget'!S80</f>
        <v>200000</v>
      </c>
      <c r="F80" s="394">
        <v>200000</v>
      </c>
      <c r="G80" s="394"/>
      <c r="H80" s="393">
        <f>'Sources and Uses Budget'!T80</f>
        <v>0</v>
      </c>
      <c r="I80" s="394"/>
      <c r="J80" s="394"/>
      <c r="K80" s="391"/>
    </row>
    <row r="81" spans="1:11" s="392" customFormat="1">
      <c r="A81" s="397" t="s">
        <v>1353</v>
      </c>
      <c r="B81" s="393">
        <f>'Sources and Uses Budget'!C81</f>
        <v>2076319.37</v>
      </c>
      <c r="C81" s="393">
        <f>SUM(C79:C80)</f>
        <v>2076319.37</v>
      </c>
      <c r="D81" s="393">
        <f>SUM(D79:D80)</f>
        <v>0</v>
      </c>
      <c r="E81" s="393">
        <f>'Sources and Uses Budget'!S81</f>
        <v>2076319.37</v>
      </c>
      <c r="F81" s="393">
        <f>SUM(F79:F80)</f>
        <v>2076319.37</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2517</v>
      </c>
      <c r="B83" s="393">
        <f>'Sources and Uses Budget'!C83</f>
        <v>90353.66</v>
      </c>
      <c r="C83" s="394">
        <f>B83</f>
        <v>90353.66</v>
      </c>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5479534.0300000003</v>
      </c>
      <c r="C85" s="394">
        <f>B85</f>
        <v>5479534.0300000003</v>
      </c>
      <c r="D85" s="394"/>
      <c r="E85" s="393">
        <f>'Sources and Uses Budget'!S85</f>
        <v>5479534.0300000003</v>
      </c>
      <c r="F85" s="394">
        <f>B85</f>
        <v>5479534.0300000003</v>
      </c>
      <c r="G85" s="394"/>
      <c r="H85" s="393">
        <f>'Sources and Uses Budget'!T85</f>
        <v>0</v>
      </c>
      <c r="I85" s="394"/>
      <c r="J85" s="394"/>
      <c r="K85" s="391"/>
    </row>
    <row r="86" spans="1:11" s="392" customFormat="1">
      <c r="A86" s="145" t="s">
        <v>794</v>
      </c>
      <c r="B86" s="393">
        <f>'Sources and Uses Budget'!C86</f>
        <v>327321.52</v>
      </c>
      <c r="C86" s="394">
        <f>B86</f>
        <v>327321.52</v>
      </c>
      <c r="D86" s="394"/>
      <c r="E86" s="393">
        <f>'Sources and Uses Budget'!S86</f>
        <v>327321.52</v>
      </c>
      <c r="F86" s="394">
        <f>B86</f>
        <v>327321.52</v>
      </c>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70000</v>
      </c>
      <c r="C88" s="394">
        <v>70000</v>
      </c>
      <c r="D88" s="394"/>
      <c r="E88" s="395"/>
      <c r="F88" s="395"/>
      <c r="G88" s="395"/>
      <c r="H88" s="395"/>
      <c r="I88" s="395"/>
      <c r="J88" s="395"/>
      <c r="K88" s="391"/>
    </row>
    <row r="89" spans="1:11" s="392" customFormat="1">
      <c r="A89" s="145" t="s">
        <v>797</v>
      </c>
      <c r="B89" s="393">
        <f>'Sources and Uses Budget'!C89</f>
        <v>175000</v>
      </c>
      <c r="C89" s="394">
        <v>175000</v>
      </c>
      <c r="D89" s="394"/>
      <c r="E89" s="393">
        <f>'Sources and Uses Budget'!S89</f>
        <v>175000</v>
      </c>
      <c r="F89" s="394">
        <v>175000</v>
      </c>
      <c r="G89" s="394"/>
      <c r="H89" s="393">
        <f>'Sources and Uses Budget'!T89</f>
        <v>0</v>
      </c>
      <c r="I89" s="394"/>
      <c r="J89" s="394"/>
      <c r="K89" s="391"/>
    </row>
    <row r="90" spans="1:11" s="392" customFormat="1">
      <c r="A90" s="145" t="s">
        <v>798</v>
      </c>
      <c r="B90" s="393">
        <f>'Sources and Uses Budget'!C90</f>
        <v>10000</v>
      </c>
      <c r="C90" s="394">
        <v>10000</v>
      </c>
      <c r="D90" s="394"/>
      <c r="E90" s="393">
        <f>'Sources and Uses Budget'!S90</f>
        <v>10000</v>
      </c>
      <c r="F90" s="394">
        <v>10000</v>
      </c>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25000</v>
      </c>
      <c r="C92" s="394">
        <v>25000</v>
      </c>
      <c r="D92" s="394"/>
      <c r="E92" s="393">
        <f>'Sources and Uses Budget'!S92</f>
        <v>25000</v>
      </c>
      <c r="F92" s="394">
        <f>B92</f>
        <v>25000</v>
      </c>
      <c r="G92" s="394"/>
      <c r="H92" s="393">
        <f>'Sources and Uses Budget'!T92</f>
        <v>0</v>
      </c>
      <c r="I92" s="394"/>
      <c r="J92" s="394"/>
      <c r="K92" s="391"/>
    </row>
    <row r="93" spans="1:11" s="392" customFormat="1">
      <c r="A93" s="396" t="str">
        <f>'Sources and Uses Budget'!$A93</f>
        <v>Other: Cons Audit</v>
      </c>
      <c r="B93" s="393">
        <f>'Sources and Uses Budget'!C93</f>
        <v>30000</v>
      </c>
      <c r="C93" s="394">
        <f>B93</f>
        <v>30000</v>
      </c>
      <c r="D93" s="394"/>
      <c r="E93" s="393">
        <f>'Sources and Uses Budget'!S93</f>
        <v>30000</v>
      </c>
      <c r="F93" s="394">
        <f>B93</f>
        <v>30000</v>
      </c>
      <c r="G93" s="394"/>
      <c r="H93" s="393">
        <f>'Sources and Uses Budget'!T93</f>
        <v>0</v>
      </c>
      <c r="I93" s="394"/>
      <c r="J93" s="394"/>
      <c r="K93" s="391"/>
    </row>
    <row r="94" spans="1:11" s="392" customFormat="1">
      <c r="A94" s="396" t="str">
        <f>'Sources and Uses Budget'!$A94</f>
        <v>Other: Reports and Cons. Insp.</v>
      </c>
      <c r="B94" s="393">
        <f>'Sources and Uses Budget'!C94</f>
        <v>40000</v>
      </c>
      <c r="C94" s="394">
        <v>40000</v>
      </c>
      <c r="D94" s="394"/>
      <c r="E94" s="393">
        <f>'Sources and Uses Budget'!S94</f>
        <v>40000</v>
      </c>
      <c r="F94" s="394">
        <v>40000</v>
      </c>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6247209.2100000009</v>
      </c>
      <c r="C96" s="393">
        <f>SUM(C83:C95)</f>
        <v>6247209.2100000009</v>
      </c>
      <c r="D96" s="393">
        <f>SUM(D83:D95)</f>
        <v>0</v>
      </c>
      <c r="E96" s="393">
        <f>'Sources and Uses Budget'!S96</f>
        <v>6086855.5500000007</v>
      </c>
      <c r="F96" s="399">
        <f>SUM(F84:F87,F89:F95)</f>
        <v>6086855.5500000007</v>
      </c>
      <c r="G96" s="399">
        <f>SUM(G84:G87,G89:G95)</f>
        <v>0</v>
      </c>
      <c r="H96" s="393">
        <f>'Sources and Uses Budget'!T96</f>
        <v>0</v>
      </c>
      <c r="I96" s="393">
        <f>SUM(I84:I87,I89:I95)</f>
        <v>0</v>
      </c>
      <c r="J96" s="393">
        <f>SUM(J84:J87,J89:J95)</f>
        <v>0</v>
      </c>
      <c r="K96" s="391"/>
    </row>
    <row r="97" spans="1:11" s="392" customFormat="1">
      <c r="A97" s="397" t="s">
        <v>1091</v>
      </c>
      <c r="B97" s="393">
        <f>'Sources and Uses Budget'!C97</f>
        <v>61287369.630000003</v>
      </c>
      <c r="C97" s="393">
        <f>SUM(C63+C70+C77+C81+C96)</f>
        <v>61287369.140000001</v>
      </c>
      <c r="D97" s="393">
        <f>SUM(D63+D70+D77+D81+D96)</f>
        <v>0</v>
      </c>
      <c r="E97" s="393">
        <f>'Sources and Uses Budget'!S97</f>
        <v>58468575.659999996</v>
      </c>
      <c r="F97" s="399">
        <f>SUM(+F63+F70+F81+F96)</f>
        <v>58468575.170000002</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5000000</v>
      </c>
      <c r="C99" s="394">
        <v>5000000</v>
      </c>
      <c r="D99" s="394"/>
      <c r="E99" s="393">
        <f>'Sources and Uses Budget'!S99</f>
        <v>5000000</v>
      </c>
      <c r="F99" s="394">
        <v>5000000</v>
      </c>
      <c r="G99" s="394"/>
      <c r="H99" s="393">
        <f>'Sources and Uses Budget'!T99</f>
        <v>0</v>
      </c>
      <c r="I99" s="394"/>
      <c r="J99" s="394"/>
      <c r="K99" s="391"/>
    </row>
    <row r="100" spans="1:11" s="392" customFormat="1">
      <c r="A100" s="304" t="s">
        <v>1829</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1830</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5000000</v>
      </c>
      <c r="C104" s="393">
        <f>SUM(C99:C103)</f>
        <v>5000000</v>
      </c>
      <c r="D104" s="393">
        <f>SUM(D99:D103)</f>
        <v>0</v>
      </c>
      <c r="E104" s="393">
        <f>'Sources and Uses Budget'!S104</f>
        <v>5000000</v>
      </c>
      <c r="F104" s="399">
        <f>SUM(F99:F103)</f>
        <v>5000000</v>
      </c>
      <c r="G104" s="399">
        <f>SUM(G99:G103)</f>
        <v>0</v>
      </c>
      <c r="H104" s="393">
        <f>'Sources and Uses Budget'!T104</f>
        <v>0</v>
      </c>
      <c r="I104" s="399">
        <f>SUM(I99:I103)</f>
        <v>0</v>
      </c>
      <c r="J104" s="399">
        <f>SUM(J99:J103)</f>
        <v>0</v>
      </c>
      <c r="K104" s="391"/>
    </row>
    <row r="105" spans="1:11" s="392" customFormat="1">
      <c r="A105" s="397" t="s">
        <v>1092</v>
      </c>
      <c r="B105" s="393">
        <f>'Sources and Uses Budget'!C105</f>
        <v>66287369.630000003</v>
      </c>
      <c r="C105" s="399">
        <f>SUM(C97+C104)</f>
        <v>66287369.140000001</v>
      </c>
      <c r="D105" s="399">
        <f>SUM(D97+D104)</f>
        <v>0</v>
      </c>
      <c r="E105" s="393">
        <f>'Sources and Uses Budget'!S105</f>
        <v>63468575.659999996</v>
      </c>
      <c r="F105" s="399">
        <f>F97+F104</f>
        <v>63468575.170000002</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63468575.659999996</v>
      </c>
      <c r="F107" s="399">
        <f>F105+F106</f>
        <v>63468575.170000002</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86"/>
      <c r="E124" s="1340"/>
      <c r="F124" s="1340"/>
      <c r="G124" s="1340"/>
      <c r="H124" s="1340"/>
      <c r="I124" s="1340"/>
      <c r="J124" s="408"/>
      <c r="K124" s="391"/>
    </row>
    <row r="125" spans="1:11" s="392" customFormat="1" ht="12.75">
      <c r="A125" s="417"/>
      <c r="B125" s="416"/>
      <c r="C125" s="417"/>
      <c r="D125" s="1340"/>
      <c r="E125" s="1340"/>
      <c r="F125" s="1340"/>
      <c r="G125" s="1340"/>
      <c r="H125" s="1340"/>
      <c r="I125" s="1340"/>
      <c r="J125" s="408"/>
      <c r="K125" s="391"/>
    </row>
    <row r="126" spans="1:11" s="392" customFormat="1" ht="12.75">
      <c r="A126" s="417"/>
      <c r="B126" s="416"/>
      <c r="C126" s="417"/>
      <c r="D126" s="1340"/>
      <c r="E126" s="1340"/>
      <c r="F126" s="1340"/>
      <c r="G126" s="1340"/>
      <c r="H126" s="1340"/>
      <c r="I126" s="1340"/>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7"/>
      <c r="B139" s="1340"/>
      <c r="C139" s="1340"/>
      <c r="D139" s="388"/>
      <c r="E139" s="417"/>
      <c r="F139" s="417"/>
      <c r="G139" s="417"/>
    </row>
    <row r="140" spans="1:11" ht="12" customHeight="1">
      <c r="A140" s="1278"/>
      <c r="B140" s="1278"/>
      <c r="C140" s="1278"/>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1" zoomScaleNormal="100" zoomScaleSheetLayoutView="100" workbookViewId="0">
      <selection activeCell="H748" sqref="H748:I74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5" t="s">
        <v>1475</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1"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1476</v>
      </c>
      <c r="B4" s="574" t="s">
        <v>1477</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1478</v>
      </c>
      <c r="B7" s="574" t="s">
        <v>1479</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1" t="s">
        <v>1480</v>
      </c>
      <c r="AF7" s="1931"/>
      <c r="AG7" s="1931"/>
      <c r="AH7" s="1931"/>
      <c r="AI7" s="1931"/>
      <c r="AJ7" s="1931"/>
      <c r="AK7" s="1931"/>
      <c r="AL7" s="575"/>
      <c r="AM7" s="575"/>
      <c r="AN7" s="570"/>
    </row>
    <row r="8" spans="1:42" s="571" customFormat="1" ht="12.75" customHeight="1">
      <c r="A8" s="573"/>
      <c r="B8" s="574" t="s">
        <v>1992</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2410</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2404</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09" t="s">
        <v>601</v>
      </c>
      <c r="C13" s="2109"/>
      <c r="D13" s="582"/>
      <c r="E13" s="583" t="s">
        <v>1481</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7"/>
      <c r="AH13" s="2117"/>
      <c r="AI13" s="2117"/>
      <c r="AJ13" s="211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09" t="s">
        <v>601</v>
      </c>
      <c r="C16" s="2109"/>
      <c r="D16" s="582"/>
      <c r="E16" s="2101" t="s">
        <v>1482</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5"/>
      <c r="AL16" s="575"/>
      <c r="AM16" s="575"/>
      <c r="AN16" s="570"/>
      <c r="AO16" s="585">
        <f>IF($B25="yes",20,0)</f>
        <v>0</v>
      </c>
      <c r="AP16" s="14"/>
    </row>
    <row r="17" spans="1:42" s="571" customFormat="1" ht="12.75" customHeight="1">
      <c r="A17" s="575"/>
      <c r="B17" s="575"/>
      <c r="C17" s="575"/>
      <c r="D17" s="586"/>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5"/>
      <c r="AL17" s="575"/>
      <c r="AM17" s="575"/>
      <c r="AN17" s="570"/>
      <c r="AO17" s="571">
        <f>IF(SUM(AO13:AO16)&gt;20,20,(SUM(AO13:AO16)))</f>
        <v>0</v>
      </c>
      <c r="AP17" s="571" t="s">
        <v>1483</v>
      </c>
    </row>
    <row r="18" spans="1:42" s="571" customFormat="1" ht="12.75" customHeight="1">
      <c r="A18" s="575"/>
      <c r="B18" s="575"/>
      <c r="C18" s="575"/>
      <c r="D18" s="586"/>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5"/>
      <c r="AL18" s="575"/>
      <c r="AM18" s="575"/>
      <c r="AN18" s="570"/>
    </row>
    <row r="19" spans="1:42" s="571" customFormat="1" ht="12.75" customHeight="1">
      <c r="A19" s="575"/>
      <c r="B19" s="575"/>
      <c r="C19" s="575"/>
      <c r="D19" s="586"/>
      <c r="E19" s="587" t="s">
        <v>1484</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09" t="s">
        <v>601</v>
      </c>
      <c r="C22" s="2109"/>
      <c r="D22" s="582"/>
      <c r="E22" s="2119" t="s">
        <v>1485</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5"/>
      <c r="AL22" s="575"/>
      <c r="AM22" s="575"/>
      <c r="AN22" s="570"/>
      <c r="AO22" s="571">
        <f>IF(SUM(AO20:AO21)&gt;14,14,SUM(AO20:AO21))</f>
        <v>0</v>
      </c>
      <c r="AP22" s="571" t="s">
        <v>1483</v>
      </c>
    </row>
    <row r="23" spans="1:42" s="571" customFormat="1" ht="12.75" customHeight="1">
      <c r="A23" s="575"/>
      <c r="B23" s="575"/>
      <c r="C23" s="575"/>
      <c r="D23" s="585"/>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09" t="s">
        <v>601</v>
      </c>
      <c r="C25" s="2109"/>
      <c r="D25" s="582"/>
      <c r="E25" s="2037" t="s">
        <v>2434</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5"/>
      <c r="AL25" s="575"/>
      <c r="AM25" s="575"/>
      <c r="AN25" s="570"/>
      <c r="AO25" s="571">
        <f>IF(AO24&gt;6,6,AO24)</f>
        <v>0</v>
      </c>
      <c r="AP25" s="571" t="s">
        <v>1483</v>
      </c>
    </row>
    <row r="26" spans="1:42" s="571" customFormat="1" ht="12.75" customHeight="1">
      <c r="A26" s="575"/>
      <c r="B26" s="575"/>
      <c r="C26" s="575"/>
      <c r="D26" s="585"/>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2405</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1483</v>
      </c>
    </row>
    <row r="30" spans="1:42" s="571" customFormat="1" ht="12.75" customHeight="1">
      <c r="A30" s="575"/>
      <c r="B30" s="2109" t="s">
        <v>601</v>
      </c>
      <c r="C30" s="2109"/>
      <c r="D30" s="582"/>
      <c r="E30" s="2119" t="s">
        <v>2406</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5"/>
      <c r="AL30" s="575"/>
      <c r="AM30" s="575"/>
      <c r="AN30" s="570"/>
      <c r="AO30" s="585"/>
    </row>
    <row r="31" spans="1:42" s="571" customFormat="1" ht="12.75" customHeight="1">
      <c r="A31" s="575"/>
      <c r="B31" s="575"/>
      <c r="C31" s="575"/>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09" t="s">
        <v>601</v>
      </c>
      <c r="C33" s="2109"/>
      <c r="D33" s="582"/>
      <c r="E33" s="2037" t="s">
        <v>2407</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5"/>
      <c r="AL33" s="575"/>
      <c r="AM33" s="575"/>
      <c r="AN33" s="570"/>
    </row>
    <row r="34" spans="1:41" s="571" customFormat="1" ht="12.75" customHeight="1">
      <c r="A34" s="575"/>
      <c r="B34" s="575"/>
      <c r="C34" s="575"/>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5"/>
      <c r="AL34" s="575"/>
      <c r="AM34" s="575"/>
      <c r="AN34" s="570"/>
    </row>
    <row r="35" spans="1:41" s="571" customFormat="1" ht="12.75" customHeight="1">
      <c r="A35" s="575"/>
      <c r="B35" s="575"/>
      <c r="C35" s="575"/>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2409</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09" t="s">
        <v>601</v>
      </c>
      <c r="C39" s="2109"/>
      <c r="D39" s="1195"/>
      <c r="E39" s="2037" t="s">
        <v>2408</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95"/>
      <c r="AL39" s="575"/>
      <c r="AM39" s="575"/>
      <c r="AN39" s="570"/>
    </row>
    <row r="40" spans="1:41" s="571" customFormat="1" ht="12.75" customHeight="1">
      <c r="A40" s="575"/>
      <c r="B40" s="575"/>
      <c r="C40" s="575"/>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5"/>
      <c r="AL40" s="575"/>
      <c r="AM40" s="575"/>
      <c r="AN40" s="570"/>
    </row>
    <row r="41" spans="1:41" s="571" customFormat="1" ht="12.75" customHeight="1">
      <c r="A41" s="575"/>
      <c r="D41" s="582"/>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2411</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2412</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09" t="s">
        <v>601</v>
      </c>
      <c r="C46" s="2109"/>
      <c r="D46" s="575"/>
      <c r="E46" s="2037" t="s">
        <v>2413</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5"/>
      <c r="AL46" s="575"/>
      <c r="AM46" s="575"/>
      <c r="AN46" s="570"/>
      <c r="AO46" s="594"/>
    </row>
    <row r="47" spans="1:41" s="571" customFormat="1" ht="12.75" customHeight="1">
      <c r="A47" s="575"/>
      <c r="D47" s="582"/>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5"/>
      <c r="AL47" s="575"/>
      <c r="AM47" s="575"/>
      <c r="AN47" s="570"/>
      <c r="AO47" s="594"/>
    </row>
    <row r="48" spans="1:41" s="571" customFormat="1" ht="12.75" customHeight="1">
      <c r="A48" s="575"/>
      <c r="D48" s="575"/>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09" t="s">
        <v>601</v>
      </c>
      <c r="C50" s="2109"/>
      <c r="D50" s="575"/>
      <c r="E50" s="2135" t="s">
        <v>2414</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09" t="s">
        <v>601</v>
      </c>
      <c r="C52" s="2109"/>
      <c r="D52" s="575"/>
      <c r="E52" s="2037" t="s">
        <v>2415</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5"/>
      <c r="AL52" s="575"/>
      <c r="AM52" s="575"/>
      <c r="AN52" s="570"/>
    </row>
    <row r="53" spans="1:50" s="571" customFormat="1" ht="12.75" customHeight="1">
      <c r="A53" s="575"/>
      <c r="B53" s="582"/>
      <c r="C53" s="582"/>
      <c r="D53" s="582"/>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1486</v>
      </c>
      <c r="AK56" s="2083">
        <f>AO36</f>
        <v>0</v>
      </c>
      <c r="AL56" s="2084"/>
      <c r="AM56" s="208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1487</v>
      </c>
      <c r="B59" s="574" t="s">
        <v>1488</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1" t="s">
        <v>1489</v>
      </c>
      <c r="AF59" s="1931"/>
      <c r="AG59" s="1931"/>
      <c r="AH59" s="1931"/>
      <c r="AI59" s="1931"/>
      <c r="AJ59" s="1931"/>
      <c r="AK59" s="1931"/>
      <c r="AL59" s="575"/>
      <c r="AM59" s="575"/>
      <c r="AN59" s="570"/>
    </row>
    <row r="60" spans="1:50" s="571" customFormat="1" ht="12.75" customHeight="1">
      <c r="A60" s="573"/>
      <c r="B60" s="574" t="s">
        <v>1991</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09" t="s">
        <v>555</v>
      </c>
      <c r="C62" s="2109"/>
      <c r="D62" s="582" t="s">
        <v>1490</v>
      </c>
      <c r="E62" s="2101" t="s">
        <v>2416</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8"/>
      <c r="AL62" s="575"/>
      <c r="AM62" s="575"/>
      <c r="AN62" s="570"/>
      <c r="AO62" s="585">
        <f>IF($B62="yes",10,0)</f>
        <v>10</v>
      </c>
    </row>
    <row r="63" spans="1:50" s="571" customFormat="1" ht="12.75" customHeight="1">
      <c r="A63" s="573"/>
      <c r="B63" s="575"/>
      <c r="C63" s="575"/>
      <c r="D63" s="586"/>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8"/>
      <c r="AL63" s="575"/>
      <c r="AM63" s="575"/>
      <c r="AN63" s="570"/>
      <c r="AO63" s="585">
        <f>IF($B68="yes",10,0)</f>
        <v>10</v>
      </c>
    </row>
    <row r="64" spans="1:50" s="571" customFormat="1" ht="12.75" customHeight="1">
      <c r="A64" s="573"/>
      <c r="B64" s="575"/>
      <c r="C64" s="575"/>
      <c r="D64" s="586"/>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8"/>
      <c r="AL64" s="575"/>
      <c r="AM64" s="575"/>
      <c r="AN64" s="570"/>
      <c r="AO64" s="585">
        <f>IF($B75="yes",10,0)</f>
        <v>0</v>
      </c>
    </row>
    <row r="65" spans="1:42" s="571" customFormat="1" ht="12.75" customHeight="1">
      <c r="A65" s="573"/>
      <c r="B65" s="575"/>
      <c r="C65" s="575"/>
      <c r="D65" s="586"/>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8"/>
      <c r="AL65" s="575"/>
      <c r="AM65" s="575"/>
      <c r="AN65" s="570"/>
      <c r="AO65" s="571">
        <f>IF(SUM(AO62:AO64)&gt;10,10,(SUM(AO62:AO64)))</f>
        <v>10</v>
      </c>
      <c r="AP65" s="609" t="s">
        <v>1491</v>
      </c>
    </row>
    <row r="66" spans="1:42" s="571" customFormat="1" ht="12.75" customHeight="1">
      <c r="A66" s="573"/>
      <c r="B66" s="575"/>
      <c r="C66" s="575"/>
      <c r="D66" s="586"/>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09" t="s">
        <v>555</v>
      </c>
      <c r="C68" s="2109"/>
      <c r="D68" s="582" t="s">
        <v>1492</v>
      </c>
      <c r="E68" s="1008" t="s">
        <v>1987</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34" t="s">
        <v>601</v>
      </c>
      <c r="F69" s="2109"/>
      <c r="G69" s="610"/>
      <c r="H69" s="593" t="s">
        <v>1493</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29" t="s">
        <v>601</v>
      </c>
      <c r="F70" s="2130"/>
      <c r="G70" s="610"/>
      <c r="H70" s="593" t="s">
        <v>1494</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29" t="s">
        <v>555</v>
      </c>
      <c r="F71" s="2130"/>
      <c r="G71" s="610"/>
      <c r="H71" s="593" t="s">
        <v>2002</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34" t="s">
        <v>601</v>
      </c>
      <c r="F73" s="2109"/>
      <c r="G73" s="943"/>
      <c r="H73" s="1013" t="s">
        <v>2001</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09" t="s">
        <v>601</v>
      </c>
      <c r="C75" s="2109"/>
      <c r="D75" s="582" t="s">
        <v>1495</v>
      </c>
      <c r="E75" s="2037" t="s">
        <v>2003</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8"/>
      <c r="AL75" s="575"/>
      <c r="AM75" s="575"/>
      <c r="AN75" s="570"/>
    </row>
    <row r="76" spans="1:42" s="571" customFormat="1" ht="12.75" customHeight="1">
      <c r="A76" s="573"/>
      <c r="B76" s="575"/>
      <c r="C76" s="575"/>
      <c r="D76" s="585"/>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1496</v>
      </c>
      <c r="AK78" s="2083">
        <f>IF(AK56&gt;0,0,AO65)</f>
        <v>10</v>
      </c>
      <c r="AL78" s="2084"/>
      <c r="AM78" s="208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1497</v>
      </c>
      <c r="B81" s="574" t="s">
        <v>1498</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1" t="s">
        <v>1480</v>
      </c>
      <c r="AF81" s="1931"/>
      <c r="AG81" s="1931"/>
      <c r="AH81" s="1931"/>
      <c r="AI81" s="1931"/>
      <c r="AJ81" s="1931"/>
      <c r="AK81" s="1931"/>
      <c r="AL81" s="575"/>
      <c r="AM81" s="575"/>
      <c r="AN81" s="570"/>
    </row>
    <row r="82" spans="1:43" s="571" customFormat="1" ht="12.75" customHeight="1">
      <c r="A82" s="573"/>
      <c r="B82" s="574" t="s">
        <v>1499</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09" t="s">
        <v>601</v>
      </c>
      <c r="C84" s="2109"/>
      <c r="D84" s="582" t="s">
        <v>1490</v>
      </c>
      <c r="E84" s="2101" t="s">
        <v>1500</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8"/>
      <c r="AL84" s="575"/>
      <c r="AM84" s="575"/>
      <c r="AN84" s="570"/>
    </row>
    <row r="85" spans="1:43" s="571" customFormat="1" ht="12.75" customHeight="1">
      <c r="A85" s="573"/>
      <c r="B85" s="574"/>
      <c r="C85" s="574"/>
      <c r="D85" s="574"/>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7">
        <f>Application!AC739</f>
        <v>0.53909774436090219</v>
      </c>
      <c r="F87" s="2098"/>
      <c r="G87" s="2098"/>
      <c r="H87" s="2098"/>
      <c r="I87" s="612"/>
      <c r="J87" s="615" t="s">
        <v>1501</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28">
        <f>0.6-ROUNDUP(E87,2)</f>
        <v>5.9999999999999942E-2</v>
      </c>
      <c r="F88" s="1905"/>
      <c r="G88" s="1905"/>
      <c r="H88" s="1905"/>
      <c r="I88" s="612"/>
      <c r="J88" s="615" t="s">
        <v>1502</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13">
        <f>IF(E88*200&gt;20,20,E88*200)</f>
        <v>11.999999999999989</v>
      </c>
      <c r="F89" s="2114"/>
      <c r="G89" s="2114"/>
      <c r="H89" s="2114"/>
      <c r="I89" s="612"/>
      <c r="J89" s="615" t="s">
        <v>1503</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1483</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09" t="s">
        <v>555</v>
      </c>
      <c r="C92" s="2109"/>
      <c r="D92" s="582" t="s">
        <v>1492</v>
      </c>
      <c r="E92" s="2101" t="s">
        <v>1988</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8"/>
      <c r="AL92" s="575"/>
      <c r="AM92" s="575"/>
      <c r="AN92" s="570"/>
    </row>
    <row r="93" spans="1:43" s="571" customFormat="1" ht="12.75" customHeight="1">
      <c r="A93" s="573"/>
      <c r="B93" s="574"/>
      <c r="C93" s="574"/>
      <c r="D93" s="574"/>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8"/>
      <c r="AL93" s="575"/>
      <c r="AM93" s="575"/>
      <c r="AN93" s="570"/>
    </row>
    <row r="94" spans="1:43" s="571" customFormat="1" ht="12.75" customHeight="1">
      <c r="A94" s="573"/>
      <c r="B94" s="574"/>
      <c r="C94" s="574"/>
      <c r="D94" s="574"/>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8"/>
      <c r="AL94" s="575"/>
      <c r="AM94" s="575"/>
      <c r="AN94" s="570"/>
    </row>
    <row r="95" spans="1:43" s="571" customFormat="1" ht="12.75" customHeight="1">
      <c r="A95" s="573"/>
      <c r="B95" s="574"/>
      <c r="C95" s="574"/>
      <c r="D95" s="574"/>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7">
        <f>Application!AC739</f>
        <v>0.53909774436090219</v>
      </c>
      <c r="F97" s="2098"/>
      <c r="G97" s="2098"/>
      <c r="H97" s="2098"/>
      <c r="I97" s="612"/>
      <c r="J97" s="615" t="s">
        <v>1501</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7">
        <f ca="1">SUMIF(Application!AC714:AG738,0.2,Application!G714:J738)/Application!G739+SUMIF(Application!AC714:AG738,0.25,Application!G714:J738)/Application!G739+SUMIF(Application!AC714:AG738,0.3,Application!G714:J738)/Application!G739</f>
        <v>0.20300751879699247</v>
      </c>
      <c r="F98" s="2098"/>
      <c r="G98" s="2098"/>
      <c r="H98" s="2098"/>
      <c r="I98" s="612"/>
      <c r="J98" s="615" t="s">
        <v>1504</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7">
        <f ca="1">SUMIF(Application!AC714:AG738,0.35,Application!G714:J738)/Application!G739+SUMIF(Application!AC714:AG738,0.4,Application!G714:J738)/Application!G739+SUMIF(Application!AC714:AG738,0.45,Application!G714:J738)/Application!G739+SUMIF(Application!AC714:AG738,0.5,Application!G714:J738)/Application!G739</f>
        <v>0</v>
      </c>
      <c r="F99" s="2098"/>
      <c r="G99" s="2098"/>
      <c r="H99" s="2098"/>
      <c r="I99" s="612"/>
      <c r="J99" s="615" t="s">
        <v>1505</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5">
        <f ca="1">IF(AND(E97&lt;=0.6,E98&gt;=0.1,OR(E99&gt;=0.1,E98&gt;=0.2)),20,0)</f>
        <v>20</v>
      </c>
      <c r="F100" s="2096"/>
      <c r="G100" s="2096"/>
      <c r="H100" s="2096"/>
      <c r="I100" s="588"/>
      <c r="J100" s="622" t="s">
        <v>1503</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1483</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1506</v>
      </c>
      <c r="AK103" s="2083">
        <f ca="1">MAX(AP89,AP100)</f>
        <v>20</v>
      </c>
      <c r="AL103" s="2084"/>
      <c r="AM103" s="208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1507</v>
      </c>
      <c r="B106" s="574" t="s">
        <v>1508</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1" t="s">
        <v>1489</v>
      </c>
      <c r="AF106" s="1931"/>
      <c r="AG106" s="1931"/>
      <c r="AH106" s="1931"/>
      <c r="AI106" s="1931"/>
      <c r="AJ106" s="1931"/>
      <c r="AK106" s="1931"/>
      <c r="AL106" s="575"/>
      <c r="AM106" s="575"/>
      <c r="AN106" s="570"/>
      <c r="AO106" s="571" t="str">
        <f>Application!B714</f>
        <v>SRO/Studio</v>
      </c>
      <c r="AQ106" s="571">
        <f>Application!O714</f>
        <v>508</v>
      </c>
    </row>
    <row r="107" spans="1:49" s="571" customFormat="1" ht="12.75" customHeight="1">
      <c r="A107" s="575"/>
      <c r="B107" s="574" t="s">
        <v>1499</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508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1079</v>
      </c>
    </row>
    <row r="109" spans="1:49" s="571" customFormat="1" ht="12.75" customHeight="1">
      <c r="A109" s="575"/>
      <c r="B109" s="2109" t="s">
        <v>555</v>
      </c>
      <c r="C109" s="2109"/>
      <c r="D109" s="582" t="s">
        <v>1490</v>
      </c>
      <c r="E109" s="2101" t="s">
        <v>2123</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5"/>
      <c r="AL109" s="575"/>
      <c r="AM109" s="575"/>
      <c r="AN109" s="570"/>
      <c r="AO109" s="571">
        <f>Application!B717</f>
        <v>0</v>
      </c>
      <c r="AQ109" s="571">
        <f>Application!O717</f>
        <v>0</v>
      </c>
      <c r="AU109" s="571" t="s">
        <v>2105</v>
      </c>
      <c r="AV109" s="630" t="s">
        <v>2106</v>
      </c>
      <c r="AW109" s="571" t="s">
        <v>2107</v>
      </c>
    </row>
    <row r="110" spans="1:49" s="571" customFormat="1" ht="12.75" customHeight="1">
      <c r="A110" s="575"/>
      <c r="B110" s="574"/>
      <c r="C110" s="574"/>
      <c r="D110" s="574"/>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5"/>
      <c r="AL110" s="575"/>
      <c r="AM110" s="575"/>
      <c r="AN110" s="570"/>
      <c r="AO110" s="571" t="str">
        <f>Application!B718</f>
        <v>1 Bedroom</v>
      </c>
      <c r="AQ110" s="571">
        <f>Application!O718</f>
        <v>536</v>
      </c>
      <c r="AU110" s="892" t="str">
        <f>E118</f>
        <v>Studio/SRO</v>
      </c>
      <c r="AV110" s="571">
        <f t="array" ref="AV110">SUM(IF(Application!B714:F738="SRO/Studio",Application!G714:J738))</f>
        <v>21</v>
      </c>
      <c r="AW110" s="1048">
        <f>AV110/AV116</f>
        <v>0.15789473684210525</v>
      </c>
    </row>
    <row r="111" spans="1:49" s="571" customFormat="1" ht="12.75" customHeight="1">
      <c r="A111" s="575"/>
      <c r="B111" s="574"/>
      <c r="C111" s="574"/>
      <c r="D111" s="574"/>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5"/>
      <c r="AL111" s="575"/>
      <c r="AM111" s="575"/>
      <c r="AN111" s="570"/>
      <c r="AO111" s="571" t="str">
        <f>Application!B719</f>
        <v>1 Bedroom</v>
      </c>
      <c r="AQ111" s="571">
        <f>Application!O719</f>
        <v>536</v>
      </c>
      <c r="AU111" s="892" t="str">
        <f>J118</f>
        <v>1-bedroom</v>
      </c>
      <c r="AV111" s="571">
        <f t="array" ref="AV111">SUM(IF(Application!B714:F738="1 Bedroom",Application!G714:J738))</f>
        <v>82</v>
      </c>
      <c r="AW111" s="1048">
        <f>AV111/AV116</f>
        <v>0.61654135338345861</v>
      </c>
    </row>
    <row r="112" spans="1:49" s="571" customFormat="1" ht="12.75" customHeight="1">
      <c r="A112" s="575"/>
      <c r="B112" s="574"/>
      <c r="C112" s="574"/>
      <c r="D112" s="574"/>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5"/>
      <c r="AL112" s="575"/>
      <c r="AM112" s="575"/>
      <c r="AN112" s="570"/>
      <c r="AO112" s="571" t="str">
        <f>Application!B720</f>
        <v>1 Bedroom</v>
      </c>
      <c r="AQ112" s="571">
        <f>Application!O720</f>
        <v>1147</v>
      </c>
      <c r="AU112" s="892" t="str">
        <f>O118</f>
        <v>2-bedroom</v>
      </c>
      <c r="AV112" s="571">
        <f t="array" ref="AV112">SUM(IF(Application!B714:F738="2 Bedrooms",Application!G714:J738))</f>
        <v>30</v>
      </c>
      <c r="AW112" s="1048">
        <f>AV112/AV116</f>
        <v>0.22556390977443608</v>
      </c>
    </row>
    <row r="113" spans="1:52" s="571" customFormat="1" ht="12.75" customHeight="1">
      <c r="A113" s="575"/>
      <c r="B113" s="574"/>
      <c r="C113" s="574"/>
      <c r="D113" s="574"/>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5"/>
      <c r="AL113" s="575"/>
      <c r="AM113" s="575"/>
      <c r="AN113" s="570"/>
      <c r="AO113" s="571" t="str">
        <f>Application!B721</f>
        <v>2 Bedrooms</v>
      </c>
      <c r="AQ113" s="571">
        <f>Application!O721</f>
        <v>631</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5"/>
      <c r="AL114" s="575"/>
      <c r="AM114" s="575"/>
      <c r="AN114" s="570"/>
      <c r="AO114" s="571" t="str">
        <f>Application!B722</f>
        <v>2 Bedrooms</v>
      </c>
      <c r="AQ114" s="571">
        <f>Application!O722</f>
        <v>631</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5"/>
      <c r="AL115" s="575"/>
      <c r="AM115" s="575"/>
      <c r="AN115" s="570"/>
      <c r="AO115" s="571" t="str">
        <f>Application!B723</f>
        <v>2 Bedrooms</v>
      </c>
      <c r="AQ115" s="571">
        <f>Application!O723</f>
        <v>1365</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5"/>
      <c r="AL116" s="575"/>
      <c r="AM116" s="575"/>
      <c r="AN116" s="570"/>
      <c r="AO116" s="571">
        <f>Application!B724</f>
        <v>0</v>
      </c>
      <c r="AQ116" s="571">
        <f>Application!O724</f>
        <v>0</v>
      </c>
      <c r="AV116" s="571">
        <f>SUM(AV110:AV115)</f>
        <v>133</v>
      </c>
      <c r="AW116" s="1048">
        <f>SUM(AW110:AW115)</f>
        <v>0.99999999999999989</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97" t="s">
        <v>1768</v>
      </c>
      <c r="F118" s="2098"/>
      <c r="G118" s="2098"/>
      <c r="H118" s="2098"/>
      <c r="I118" s="612"/>
      <c r="J118" s="2098" t="s">
        <v>1813</v>
      </c>
      <c r="K118" s="2098"/>
      <c r="L118" s="2098"/>
      <c r="M118" s="2098"/>
      <c r="N118" s="612"/>
      <c r="O118" s="2098" t="s">
        <v>1814</v>
      </c>
      <c r="P118" s="2098"/>
      <c r="Q118" s="2098"/>
      <c r="R118" s="2098"/>
      <c r="S118" s="612"/>
      <c r="T118" s="2098" t="s">
        <v>1509</v>
      </c>
      <c r="U118" s="2098"/>
      <c r="V118" s="2098"/>
      <c r="W118" s="2098"/>
      <c r="X118" s="612"/>
      <c r="Y118" s="2098" t="s">
        <v>1815</v>
      </c>
      <c r="Z118" s="2098"/>
      <c r="AA118" s="2098"/>
      <c r="AB118" s="2098"/>
      <c r="AC118" s="612"/>
      <c r="AD118" s="2098" t="s">
        <v>1816</v>
      </c>
      <c r="AE118" s="2098"/>
      <c r="AF118" s="2098"/>
      <c r="AG118" s="209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1817</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99">
        <v>1894</v>
      </c>
      <c r="F121" s="2100"/>
      <c r="G121" s="2100"/>
      <c r="H121" s="2100"/>
      <c r="I121" s="900"/>
      <c r="J121" s="2100">
        <v>1888</v>
      </c>
      <c r="K121" s="2100"/>
      <c r="L121" s="2100"/>
      <c r="M121" s="2100"/>
      <c r="N121" s="900"/>
      <c r="O121" s="2100">
        <v>2539</v>
      </c>
      <c r="P121" s="2100"/>
      <c r="Q121" s="2100"/>
      <c r="R121" s="2100"/>
      <c r="S121" s="900"/>
      <c r="T121" s="2100"/>
      <c r="U121" s="2100"/>
      <c r="V121" s="2100"/>
      <c r="W121" s="2100"/>
      <c r="X121" s="900"/>
      <c r="Y121" s="2100"/>
      <c r="Z121" s="2100"/>
      <c r="AA121" s="2100"/>
      <c r="AB121" s="2100"/>
      <c r="AC121" s="900"/>
      <c r="AD121" s="2100"/>
      <c r="AE121" s="2100"/>
      <c r="AF121" s="2100"/>
      <c r="AG121" s="2100"/>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2109</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07">
        <f>Application!DX649</f>
        <v>970.23809523809518</v>
      </c>
      <c r="F124" s="2108"/>
      <c r="G124" s="2108"/>
      <c r="H124" s="2108"/>
      <c r="I124" s="900"/>
      <c r="J124" s="2108">
        <f>Application!EC649</f>
        <v>1027.780487804878</v>
      </c>
      <c r="K124" s="2108"/>
      <c r="L124" s="2108"/>
      <c r="M124" s="2108"/>
      <c r="N124" s="900"/>
      <c r="O124" s="2108">
        <f>Application!EH649</f>
        <v>1193.7333333333333</v>
      </c>
      <c r="P124" s="2108"/>
      <c r="Q124" s="2108"/>
      <c r="R124" s="2108"/>
      <c r="S124" s="904"/>
      <c r="T124" s="2108">
        <f>Application!EM649</f>
        <v>0</v>
      </c>
      <c r="U124" s="2108"/>
      <c r="V124" s="2108"/>
      <c r="W124" s="2108"/>
      <c r="X124" s="904"/>
      <c r="Y124" s="2108">
        <f>Application!ER649</f>
        <v>0</v>
      </c>
      <c r="Z124" s="2108"/>
      <c r="AA124" s="2108"/>
      <c r="AB124" s="2108"/>
      <c r="AC124" s="904"/>
      <c r="AD124" s="2108">
        <f>Application!EW649</f>
        <v>0</v>
      </c>
      <c r="AE124" s="2108"/>
      <c r="AF124" s="2108"/>
      <c r="AG124" s="210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2110</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04">
        <f>(E121-E124)/E121</f>
        <v>0.4877306783325791</v>
      </c>
      <c r="F127" s="1905"/>
      <c r="G127" s="1905"/>
      <c r="H127" s="1906"/>
      <c r="I127" s="612"/>
      <c r="J127" s="1904">
        <f>(J121-J124)/J121</f>
        <v>0.45562474162877226</v>
      </c>
      <c r="K127" s="1905"/>
      <c r="L127" s="1905"/>
      <c r="M127" s="1906"/>
      <c r="N127" s="612"/>
      <c r="O127" s="1904">
        <f>(O121-O124)/O121</f>
        <v>0.52984114480766709</v>
      </c>
      <c r="P127" s="1905"/>
      <c r="Q127" s="1905"/>
      <c r="R127" s="1906"/>
      <c r="S127" s="612"/>
      <c r="T127" s="1904" t="e">
        <f>(T121-T124)/T121</f>
        <v>#DIV/0!</v>
      </c>
      <c r="U127" s="1905"/>
      <c r="V127" s="1905"/>
      <c r="W127" s="1906"/>
      <c r="X127" s="612"/>
      <c r="Y127" s="1904" t="e">
        <f>(Y121-Y124)/Y121</f>
        <v>#DIV/0!</v>
      </c>
      <c r="Z127" s="1905"/>
      <c r="AA127" s="1905"/>
      <c r="AB127" s="1906"/>
      <c r="AC127" s="612"/>
      <c r="AD127" s="1904" t="e">
        <f>(AD121-AD124)/AD121</f>
        <v>#DIV/0!</v>
      </c>
      <c r="AE127" s="1905"/>
      <c r="AF127" s="1905"/>
      <c r="AG127" s="190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2111</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0">
        <f>IF(((E127-0.1)*AW110)&gt;0,((E127-0.1)*AW110),0)</f>
        <v>6.1220633420933541E-2</v>
      </c>
      <c r="F130" s="2111"/>
      <c r="G130" s="2111"/>
      <c r="H130" s="2112"/>
      <c r="I130" s="612"/>
      <c r="J130" s="2110">
        <f>IF(((J127-0.1)*AW111)&gt;0,((J127-0.1)*AW111),0)</f>
        <v>0.21925735950044603</v>
      </c>
      <c r="K130" s="2111"/>
      <c r="L130" s="2111"/>
      <c r="M130" s="2112"/>
      <c r="N130" s="612"/>
      <c r="O130" s="2110">
        <f>IF(((O127-0.1)*AW112)&gt;0,((O127-0.1)*AW112),0)</f>
        <v>9.6956649204736942E-2</v>
      </c>
      <c r="P130" s="2111"/>
      <c r="Q130" s="2111"/>
      <c r="R130" s="2112"/>
      <c r="S130" s="612"/>
      <c r="T130" s="2110" t="e">
        <f>IF(((T127-0.1)*AW113)&gt;0,((T127-0.1)*AW113),0)</f>
        <v>#DIV/0!</v>
      </c>
      <c r="U130" s="2111"/>
      <c r="V130" s="2111"/>
      <c r="W130" s="2112"/>
      <c r="X130" s="612"/>
      <c r="Y130" s="2110" t="e">
        <f>IF(((Y127-0.1)*AW114)&gt;0,((Y127-0.1)*AW114),0)</f>
        <v>#DIV/0!</v>
      </c>
      <c r="Z130" s="2111"/>
      <c r="AA130" s="2111"/>
      <c r="AB130" s="2112"/>
      <c r="AC130" s="612"/>
      <c r="AD130" s="2110" t="e">
        <f>IF(((AD127-0.1)*AW115)&gt;0,((AD127-0.1)*AW115),0)</f>
        <v>#DIV/0!</v>
      </c>
      <c r="AE130" s="2111"/>
      <c r="AF130" s="2111"/>
      <c r="AG130" s="211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04">
        <f>ROUNDDOWN(SUMIF(E130:AG130,"&gt;0"),2)</f>
        <v>0.37</v>
      </c>
      <c r="F132" s="1905"/>
      <c r="G132" s="1905"/>
      <c r="H132" s="1906"/>
      <c r="I132" s="612"/>
      <c r="J132" s="615" t="s">
        <v>2112</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83">
        <f>IF((E132*100)&gt;10,10,E132*100)</f>
        <v>10</v>
      </c>
      <c r="F133" s="2084"/>
      <c r="G133" s="2084"/>
      <c r="H133" s="2085"/>
      <c r="I133" s="612"/>
      <c r="J133" s="615" t="s">
        <v>1503</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1510</v>
      </c>
      <c r="AK137" s="2083">
        <f>E133</f>
        <v>10</v>
      </c>
      <c r="AL137" s="2084"/>
      <c r="AM137" s="208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1511</v>
      </c>
      <c r="AE140" s="1931" t="s">
        <v>1489</v>
      </c>
      <c r="AF140" s="1931"/>
      <c r="AG140" s="1931"/>
      <c r="AH140" s="1931"/>
      <c r="AI140" s="1931"/>
      <c r="AJ140" s="1931"/>
      <c r="AK140" s="1931"/>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1512</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8" t="s">
        <v>1513</v>
      </c>
      <c r="AG142" s="1998"/>
      <c r="AH142" s="1998"/>
      <c r="AI142" s="1998"/>
      <c r="AJ142" s="1998"/>
      <c r="AK142" s="1998"/>
      <c r="AL142" s="1998"/>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88" t="s">
        <v>2670</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1514</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1515</v>
      </c>
      <c r="AP146" s="524">
        <v>5</v>
      </c>
    </row>
    <row r="147" spans="1:42" s="571" customFormat="1" ht="12.75" customHeight="1">
      <c r="A147" s="573"/>
      <c r="B147" s="2089" t="s">
        <v>1516</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4"/>
      <c r="AN147" s="570"/>
      <c r="AO147" s="511" t="s">
        <v>1516</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2417</v>
      </c>
      <c r="AP148" s="524">
        <v>7</v>
      </c>
    </row>
    <row r="149" spans="1:42" s="571" customFormat="1" ht="12.75" customHeight="1">
      <c r="A149" s="573"/>
      <c r="B149" s="574" t="s">
        <v>1517</v>
      </c>
      <c r="AB149" s="2033" t="s">
        <v>601</v>
      </c>
      <c r="AC149" s="203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1518</v>
      </c>
      <c r="AP150" s="524"/>
    </row>
    <row r="151" spans="1:42" s="571" customFormat="1" ht="12.75" customHeight="1">
      <c r="A151" s="573"/>
      <c r="B151" s="573" t="s">
        <v>1519</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1520</v>
      </c>
      <c r="AP151" s="524">
        <v>5</v>
      </c>
    </row>
    <row r="152" spans="1:42" s="571" customFormat="1" ht="12.75" customHeight="1">
      <c r="A152" s="573"/>
      <c r="B152" s="2089" t="s">
        <v>1518</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70"/>
      <c r="AO152" s="511" t="s">
        <v>1521</v>
      </c>
      <c r="AP152" s="524">
        <v>7</v>
      </c>
    </row>
    <row r="153" spans="1:42" s="571" customFormat="1" ht="12.75" customHeight="1">
      <c r="B153" s="574" t="s">
        <v>1522</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1524</v>
      </c>
      <c r="AJ155" s="1958">
        <f>IF($AB$149="N/A",VLOOKUP($B$147,$AO$145:$AP$148,2,FALSE),VLOOKUP($B$152,$AO$150:$AP$153,2,FALSE))</f>
        <v>7</v>
      </c>
      <c r="AK155" s="195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1526</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8" t="s">
        <v>1527</v>
      </c>
      <c r="AG157" s="1998"/>
      <c r="AH157" s="1998"/>
      <c r="AI157" s="1998"/>
      <c r="AJ157" s="1998"/>
      <c r="AK157" s="1998"/>
      <c r="AL157" s="1998"/>
      <c r="AM157" s="638"/>
      <c r="AN157" s="633"/>
    </row>
    <row r="158" spans="1:42" s="585" customFormat="1" ht="12.75" customHeight="1">
      <c r="A158" s="571"/>
      <c r="B158" s="574" t="s">
        <v>1528</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89" t="s">
        <v>1525</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1523</v>
      </c>
      <c r="AP160" s="634">
        <v>2</v>
      </c>
    </row>
    <row r="161" spans="1:73" s="585" customFormat="1" ht="12.75" customHeight="1">
      <c r="A161" s="571"/>
      <c r="B161" s="571"/>
      <c r="C161" s="574" t="s">
        <v>1530</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33" t="s">
        <v>601</v>
      </c>
      <c r="AD161" s="2033"/>
      <c r="AE161" s="571"/>
      <c r="AF161" s="571"/>
      <c r="AG161" s="571"/>
      <c r="AH161" s="571"/>
      <c r="AI161" s="571"/>
      <c r="AJ161" s="571"/>
      <c r="AK161" s="571"/>
      <c r="AL161" s="571"/>
      <c r="AM161" s="638"/>
      <c r="AN161" s="632"/>
      <c r="AO161" s="511" t="s">
        <v>1525</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1819</v>
      </c>
      <c r="AP162" s="634">
        <v>3</v>
      </c>
    </row>
    <row r="163" spans="1:73" s="585" customFormat="1" ht="12.75" customHeight="1">
      <c r="A163" s="571"/>
      <c r="B163" s="571"/>
      <c r="C163" s="2089" t="s">
        <v>1518</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1"/>
      <c r="AF163" s="571"/>
      <c r="AG163" s="571"/>
      <c r="AH163" s="571"/>
      <c r="AI163" s="571"/>
      <c r="AJ163" s="571"/>
      <c r="AK163" s="571"/>
      <c r="AL163" s="571"/>
      <c r="AM163" s="638"/>
      <c r="AN163" s="632"/>
      <c r="AO163" s="637"/>
      <c r="AP163" s="634"/>
    </row>
    <row r="164" spans="1:73" s="585" customFormat="1" ht="12.75" customHeight="1">
      <c r="A164" s="571"/>
      <c r="B164" s="571"/>
      <c r="C164" s="574" t="s">
        <v>1522</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1532</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1518</v>
      </c>
      <c r="AP166" s="511"/>
    </row>
    <row r="167" spans="1:73" s="585" customFormat="1" ht="12.75" customHeight="1">
      <c r="A167" s="571"/>
      <c r="B167" s="571"/>
      <c r="C167" s="2088" t="s">
        <v>2757</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1"/>
      <c r="AF167" s="571"/>
      <c r="AG167" s="571"/>
      <c r="AH167" s="571"/>
      <c r="AI167" s="571"/>
      <c r="AJ167" s="571"/>
      <c r="AK167" s="571"/>
      <c r="AL167" s="571"/>
      <c r="AM167" s="638"/>
      <c r="AN167" s="632"/>
      <c r="AO167" s="511" t="s">
        <v>1529</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1531</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1533</v>
      </c>
      <c r="AJ169" s="1957">
        <f>IF($AC$161="N/A",VLOOKUP($C$159,$AO$159:$AP$162,2,FALSE),VLOOKUP($C$163,$AO$166:$AP$168,2,FALSE))</f>
        <v>3</v>
      </c>
      <c r="AK169" s="195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1534</v>
      </c>
      <c r="AK172" s="2083">
        <f>$AJ$155+$AJ$169</f>
        <v>10</v>
      </c>
      <c r="AL172" s="2084"/>
      <c r="AM172" s="208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1535</v>
      </c>
      <c r="AQ174" s="647">
        <v>0</v>
      </c>
    </row>
    <row r="175" spans="1:73" s="585" customFormat="1" ht="12.75" customHeight="1">
      <c r="A175" s="573" t="s">
        <v>1536</v>
      </c>
      <c r="B175" s="573" t="s">
        <v>1990</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1" t="s">
        <v>1489</v>
      </c>
      <c r="AF175" s="1931"/>
      <c r="AG175" s="1931"/>
      <c r="AH175" s="1931"/>
      <c r="AI175" s="1931"/>
      <c r="AJ175" s="1931"/>
      <c r="AK175" s="1931"/>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1537</v>
      </c>
      <c r="AQ176" s="585">
        <v>10</v>
      </c>
    </row>
    <row r="177" spans="1:45" s="585" customFormat="1" ht="12.75" customHeight="1">
      <c r="A177" s="571"/>
      <c r="B177" s="2086" t="s">
        <v>1542</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1"/>
      <c r="AE177" s="571"/>
      <c r="AF177" s="1998" t="s">
        <v>1538</v>
      </c>
      <c r="AG177" s="1998"/>
      <c r="AH177" s="1998"/>
      <c r="AI177" s="1998"/>
      <c r="AJ177" s="1998"/>
      <c r="AK177" s="1998"/>
      <c r="AL177" s="1998"/>
      <c r="AN177" s="632"/>
      <c r="AP177" s="585" t="s">
        <v>1105</v>
      </c>
      <c r="AQ177" s="585">
        <v>10</v>
      </c>
    </row>
    <row r="178" spans="1:45" s="585" customFormat="1" ht="12.75" customHeight="1">
      <c r="A178" s="571"/>
      <c r="B178" s="2087" t="s">
        <v>1989</v>
      </c>
      <c r="C178" s="2087"/>
      <c r="D178" s="2087"/>
      <c r="E178" s="2087"/>
      <c r="F178" s="2087"/>
      <c r="G178" s="2087"/>
      <c r="H178" s="2087"/>
      <c r="I178" s="2087"/>
      <c r="J178" s="2087"/>
      <c r="K178" s="2087"/>
      <c r="L178" s="2087"/>
      <c r="M178" s="2087"/>
      <c r="N178" s="2087"/>
      <c r="O178" s="2087"/>
      <c r="P178" s="2087"/>
      <c r="Q178" s="2087"/>
      <c r="R178" s="2087"/>
      <c r="S178" s="2087"/>
      <c r="T178" s="2088" t="s">
        <v>601</v>
      </c>
      <c r="U178" s="2088"/>
      <c r="V178" s="2088"/>
      <c r="W178" s="2088"/>
      <c r="X178" s="2088"/>
      <c r="Y178" s="2088"/>
      <c r="Z178" s="2088"/>
      <c r="AA178" s="2088"/>
      <c r="AB178" s="2088"/>
      <c r="AC178" s="2088"/>
      <c r="AD178" s="571"/>
      <c r="AE178" s="571"/>
      <c r="AF178" s="571"/>
      <c r="AG178" s="571"/>
      <c r="AH178" s="571"/>
      <c r="AI178" s="571"/>
      <c r="AJ178" s="578"/>
      <c r="AK178" s="630"/>
      <c r="AL178" s="630"/>
      <c r="AM178" s="630"/>
      <c r="AN178" s="632"/>
      <c r="AP178" s="585" t="s">
        <v>1539</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1542</v>
      </c>
      <c r="AQ179" s="585">
        <v>10</v>
      </c>
      <c r="AS179" s="585" t="s">
        <v>1540</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1541</v>
      </c>
      <c r="AK180" s="1925">
        <f>IF(AK78&gt;0,VLOOKUP($B$177,AP174:AQ180,2,FALSE),0)</f>
        <v>10</v>
      </c>
      <c r="AL180" s="1926"/>
      <c r="AM180" s="1927"/>
      <c r="AN180" s="570"/>
      <c r="AP180" s="585" t="s">
        <v>1544</v>
      </c>
      <c r="AQ180" s="585">
        <v>10</v>
      </c>
      <c r="AS180" s="585" t="s">
        <v>1543</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1545</v>
      </c>
      <c r="B183" s="573" t="s">
        <v>1546</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1" t="s">
        <v>1547</v>
      </c>
      <c r="AF183" s="1931"/>
      <c r="AG183" s="1931"/>
      <c r="AH183" s="1931"/>
      <c r="AI183" s="1931"/>
      <c r="AJ183" s="1931"/>
      <c r="AK183" s="1931"/>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1769</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1805</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0" t="s">
        <v>2631</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2"/>
      <c r="AD188" s="2070">
        <v>2100000</v>
      </c>
      <c r="AE188" s="2070"/>
      <c r="AF188" s="2070"/>
      <c r="AG188" s="2070"/>
      <c r="AH188" s="2070"/>
      <c r="AI188" s="2070"/>
      <c r="AJ188" s="2070"/>
      <c r="AK188" s="645"/>
    </row>
    <row r="189" spans="1:45">
      <c r="A189" s="640"/>
      <c r="B189" s="2080" t="s">
        <v>2632</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2"/>
      <c r="AD189" s="2070">
        <v>4900000</v>
      </c>
      <c r="AE189" s="2070"/>
      <c r="AF189" s="2070"/>
      <c r="AG189" s="2070"/>
      <c r="AH189" s="2070"/>
      <c r="AI189" s="2070"/>
      <c r="AJ189" s="2070"/>
      <c r="AK189" s="645"/>
    </row>
    <row r="190" spans="1:45">
      <c r="A190" s="640"/>
      <c r="B190" s="2080"/>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2"/>
      <c r="AD190" s="2070"/>
      <c r="AE190" s="2070"/>
      <c r="AF190" s="2070"/>
      <c r="AG190" s="2070"/>
      <c r="AH190" s="2070"/>
      <c r="AI190" s="2070"/>
      <c r="AJ190" s="2070"/>
      <c r="AK190" s="645"/>
    </row>
    <row r="191" spans="1:45">
      <c r="A191" s="640"/>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2"/>
      <c r="AD191" s="2070"/>
      <c r="AE191" s="2070"/>
      <c r="AF191" s="2070"/>
      <c r="AG191" s="2070"/>
      <c r="AH191" s="2070"/>
      <c r="AI191" s="2070"/>
      <c r="AJ191" s="2070"/>
      <c r="AK191" s="645"/>
    </row>
    <row r="192" spans="1:45">
      <c r="A192" s="640"/>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2"/>
      <c r="AD192" s="2070"/>
      <c r="AE192" s="2070"/>
      <c r="AF192" s="2070"/>
      <c r="AG192" s="2070"/>
      <c r="AH192" s="2070"/>
      <c r="AI192" s="2070"/>
      <c r="AJ192" s="2070"/>
      <c r="AK192" s="645"/>
    </row>
    <row r="193" spans="1:37">
      <c r="A193" s="640"/>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2"/>
      <c r="AD193" s="2070"/>
      <c r="AE193" s="2070"/>
      <c r="AF193" s="2070"/>
      <c r="AG193" s="2070"/>
      <c r="AH193" s="2070"/>
      <c r="AI193" s="2070"/>
      <c r="AJ193" s="2070"/>
      <c r="AK193" s="645"/>
    </row>
    <row r="194" spans="1:37">
      <c r="A194" s="640"/>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2"/>
      <c r="AD194" s="2070"/>
      <c r="AE194" s="2070"/>
      <c r="AF194" s="2070"/>
      <c r="AG194" s="2070"/>
      <c r="AH194" s="2070"/>
      <c r="AI194" s="2070"/>
      <c r="AJ194" s="2070"/>
      <c r="AK194" s="645"/>
    </row>
    <row r="195" spans="1:37">
      <c r="A195" s="640"/>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2"/>
      <c r="AD195" s="2070"/>
      <c r="AE195" s="2070"/>
      <c r="AF195" s="2070"/>
      <c r="AG195" s="2070"/>
      <c r="AH195" s="2070"/>
      <c r="AI195" s="2070"/>
      <c r="AJ195" s="2070"/>
      <c r="AK195" s="645"/>
    </row>
    <row r="196" spans="1:37">
      <c r="A196" s="640"/>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2"/>
      <c r="AD196" s="2070"/>
      <c r="AE196" s="2070"/>
      <c r="AF196" s="2070"/>
      <c r="AG196" s="2070"/>
      <c r="AH196" s="2070"/>
      <c r="AI196" s="2070"/>
      <c r="AJ196" s="2070"/>
      <c r="AK196" s="645"/>
    </row>
    <row r="197" spans="1:37">
      <c r="A197" s="640"/>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2"/>
      <c r="AD197" s="2070"/>
      <c r="AE197" s="2070"/>
      <c r="AF197" s="2070"/>
      <c r="AG197" s="2070"/>
      <c r="AH197" s="2070"/>
      <c r="AI197" s="2070"/>
      <c r="AJ197" s="2070"/>
      <c r="AK197" s="645"/>
    </row>
    <row r="198" spans="1:37">
      <c r="A198" s="640"/>
      <c r="B198" s="1945" t="s">
        <v>1807</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1"/>
      <c r="AD198" s="2068">
        <f>AB249</f>
        <v>590309.46361473494</v>
      </c>
      <c r="AE198" s="2068"/>
      <c r="AF198" s="2068"/>
      <c r="AG198" s="2068"/>
      <c r="AH198" s="2068"/>
      <c r="AI198" s="2068"/>
      <c r="AJ198" s="2068"/>
      <c r="AK198" s="645"/>
    </row>
    <row r="199" spans="1:37">
      <c r="A199" s="640"/>
      <c r="B199" s="1943" t="s">
        <v>1770</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2"/>
      <c r="AD199" s="2069">
        <f>'Sources and Uses Budget'!B15</f>
        <v>0</v>
      </c>
      <c r="AE199" s="2069"/>
      <c r="AF199" s="2069"/>
      <c r="AG199" s="2069"/>
      <c r="AH199" s="2069"/>
      <c r="AI199" s="2069"/>
      <c r="AJ199" s="2069"/>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74">
        <f>SUM(AD188:AJ198)-AD199</f>
        <v>7590309.4636147348</v>
      </c>
      <c r="AE200" s="2074"/>
      <c r="AF200" s="2074"/>
      <c r="AG200" s="2074"/>
      <c r="AH200" s="2074"/>
      <c r="AI200" s="2074"/>
      <c r="AJ200" s="207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1775</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1806</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1777</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1778</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2424</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1779</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1780</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1818</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93" t="s">
        <v>1787</v>
      </c>
      <c r="J211" s="2093"/>
      <c r="K211" s="2093"/>
      <c r="L211" s="571"/>
      <c r="M211" s="571"/>
      <c r="N211" s="571"/>
      <c r="O211" s="571"/>
      <c r="P211" s="571"/>
      <c r="Q211" s="571"/>
      <c r="R211" s="571"/>
      <c r="S211" s="571"/>
      <c r="T211" s="1909" t="s">
        <v>1781</v>
      </c>
      <c r="U211" s="1909"/>
      <c r="V211" s="1909"/>
      <c r="W211" s="1909"/>
      <c r="X211" s="1909"/>
      <c r="Y211" s="1909"/>
      <c r="Z211" s="885"/>
      <c r="AA211" s="524"/>
      <c r="AB211" s="2090" t="s">
        <v>1782</v>
      </c>
      <c r="AC211" s="2090"/>
      <c r="AD211" s="2090"/>
      <c r="AE211" s="2090"/>
      <c r="AF211" s="2090"/>
      <c r="AG211" s="2090"/>
      <c r="AH211" s="863"/>
      <c r="AI211" s="863"/>
      <c r="AJ211" s="863"/>
      <c r="AK211" s="645"/>
    </row>
    <row r="212" spans="1:37">
      <c r="A212" s="640"/>
      <c r="B212" s="2091" t="s">
        <v>1767</v>
      </c>
      <c r="C212" s="2091"/>
      <c r="D212" s="2091"/>
      <c r="E212" s="2091"/>
      <c r="F212" s="2091"/>
      <c r="G212" s="2091"/>
      <c r="I212" s="2092" t="s">
        <v>1788</v>
      </c>
      <c r="J212" s="2092"/>
      <c r="K212" s="2092"/>
      <c r="L212" s="1045"/>
      <c r="N212" s="1944" t="s">
        <v>1783</v>
      </c>
      <c r="O212" s="1944"/>
      <c r="P212" s="1944"/>
      <c r="Q212" s="1944"/>
      <c r="R212" s="1944"/>
      <c r="T212" s="1944" t="s">
        <v>1784</v>
      </c>
      <c r="U212" s="1944"/>
      <c r="V212" s="1944"/>
      <c r="W212" s="1944"/>
      <c r="X212" s="1944"/>
      <c r="Y212" s="1944"/>
      <c r="Z212" s="886"/>
      <c r="AA212" s="524"/>
      <c r="AB212" s="1947" t="s">
        <v>1785</v>
      </c>
      <c r="AC212" s="1947"/>
      <c r="AD212" s="1947"/>
      <c r="AE212" s="1947"/>
      <c r="AF212" s="1947"/>
      <c r="AG212" s="1947"/>
      <c r="AH212" s="863"/>
      <c r="AI212" s="863"/>
      <c r="AJ212" s="863"/>
      <c r="AK212" s="645"/>
    </row>
    <row r="213" spans="1:37">
      <c r="A213" s="640"/>
      <c r="B213" s="1946" t="s">
        <v>326</v>
      </c>
      <c r="C213" s="1946"/>
      <c r="D213" s="1946"/>
      <c r="E213" s="1946"/>
      <c r="F213" s="1946"/>
      <c r="G213" s="1946"/>
      <c r="H213" s="888"/>
      <c r="I213" s="1914">
        <v>2</v>
      </c>
      <c r="J213" s="1914"/>
      <c r="K213" s="1914"/>
      <c r="L213" s="1045"/>
      <c r="N213" s="1911">
        <v>761</v>
      </c>
      <c r="O213" s="1911"/>
      <c r="P213" s="1911"/>
      <c r="Q213" s="1911"/>
      <c r="R213" s="1911"/>
      <c r="T213" s="1910">
        <v>1263</v>
      </c>
      <c r="U213" s="1910"/>
      <c r="V213" s="1910"/>
      <c r="W213" s="1910"/>
      <c r="X213" s="1910"/>
      <c r="Y213" s="1910"/>
      <c r="Z213" s="887"/>
      <c r="AA213" s="887"/>
      <c r="AB213" s="1908">
        <f t="shared" ref="AB213:AB222" si="0">MAX(($T213-$N213)*$I213*12,0)</f>
        <v>12048</v>
      </c>
      <c r="AC213" s="1908"/>
      <c r="AD213" s="1908"/>
      <c r="AE213" s="1908"/>
      <c r="AF213" s="1908"/>
      <c r="AG213" s="1908"/>
      <c r="AH213" s="863"/>
      <c r="AI213" s="863"/>
      <c r="AJ213" s="863"/>
      <c r="AK213" s="645"/>
    </row>
    <row r="214" spans="1:37">
      <c r="A214" s="640"/>
      <c r="B214" s="1946" t="s">
        <v>2758</v>
      </c>
      <c r="C214" s="1946"/>
      <c r="D214" s="1946"/>
      <c r="E214" s="1946"/>
      <c r="F214" s="1946"/>
      <c r="G214" s="1946"/>
      <c r="I214" s="1914">
        <v>4</v>
      </c>
      <c r="J214" s="1914"/>
      <c r="K214" s="1914"/>
      <c r="L214" s="1045"/>
      <c r="N214" s="1911">
        <v>815</v>
      </c>
      <c r="O214" s="1911"/>
      <c r="P214" s="1911"/>
      <c r="Q214" s="1911"/>
      <c r="R214" s="1911"/>
      <c r="T214" s="1910">
        <v>1450</v>
      </c>
      <c r="U214" s="1910"/>
      <c r="V214" s="1910"/>
      <c r="W214" s="1910"/>
      <c r="X214" s="1910"/>
      <c r="Y214" s="1910"/>
      <c r="Z214" s="887"/>
      <c r="AA214" s="887"/>
      <c r="AB214" s="1908">
        <f t="shared" si="0"/>
        <v>30480</v>
      </c>
      <c r="AC214" s="1908"/>
      <c r="AD214" s="1908"/>
      <c r="AE214" s="1908"/>
      <c r="AF214" s="1908"/>
      <c r="AG214" s="1908"/>
      <c r="AH214" s="863"/>
      <c r="AI214" s="863"/>
      <c r="AJ214" s="863"/>
      <c r="AK214" s="645"/>
    </row>
    <row r="215" spans="1:37">
      <c r="A215" s="640"/>
      <c r="B215" s="1946" t="s">
        <v>2759</v>
      </c>
      <c r="C215" s="1946"/>
      <c r="D215" s="1946"/>
      <c r="E215" s="1946"/>
      <c r="F215" s="1946"/>
      <c r="G215" s="1946"/>
      <c r="I215" s="1914">
        <v>2</v>
      </c>
      <c r="J215" s="1914"/>
      <c r="K215" s="1914"/>
      <c r="L215" s="1045"/>
      <c r="N215" s="1911">
        <v>978</v>
      </c>
      <c r="O215" s="1911"/>
      <c r="P215" s="1911"/>
      <c r="Q215" s="1911"/>
      <c r="R215" s="1911"/>
      <c r="T215" s="1910">
        <v>1723</v>
      </c>
      <c r="U215" s="1910"/>
      <c r="V215" s="1910"/>
      <c r="W215" s="1910"/>
      <c r="X215" s="1910"/>
      <c r="Y215" s="1910"/>
      <c r="Z215" s="887"/>
      <c r="AA215" s="887"/>
      <c r="AB215" s="1908">
        <f t="shared" si="0"/>
        <v>17880</v>
      </c>
      <c r="AC215" s="1908"/>
      <c r="AD215" s="1908"/>
      <c r="AE215" s="1908"/>
      <c r="AF215" s="1908"/>
      <c r="AG215" s="1908"/>
      <c r="AH215" s="863"/>
      <c r="AI215" s="863"/>
      <c r="AJ215" s="863"/>
      <c r="AK215" s="645"/>
    </row>
    <row r="216" spans="1:37">
      <c r="A216" s="640"/>
      <c r="B216" s="1946" t="s">
        <v>1328</v>
      </c>
      <c r="C216" s="1946"/>
      <c r="D216" s="1946"/>
      <c r="E216" s="1946"/>
      <c r="F216" s="1946"/>
      <c r="G216" s="1946"/>
      <c r="I216" s="1914"/>
      <c r="J216" s="1914"/>
      <c r="K216" s="1914"/>
      <c r="L216" s="1045"/>
      <c r="N216" s="1911"/>
      <c r="O216" s="1911"/>
      <c r="P216" s="1911"/>
      <c r="Q216" s="1911"/>
      <c r="R216" s="1911"/>
      <c r="T216" s="1910"/>
      <c r="U216" s="1910"/>
      <c r="V216" s="1910"/>
      <c r="W216" s="1910"/>
      <c r="X216" s="1910"/>
      <c r="Y216" s="1910"/>
      <c r="Z216" s="887"/>
      <c r="AA216" s="887"/>
      <c r="AB216" s="1908">
        <f t="shared" si="0"/>
        <v>0</v>
      </c>
      <c r="AC216" s="1908"/>
      <c r="AD216" s="1908"/>
      <c r="AE216" s="1908"/>
      <c r="AF216" s="1908"/>
      <c r="AG216" s="1908"/>
      <c r="AH216" s="863"/>
      <c r="AI216" s="863"/>
      <c r="AJ216" s="863"/>
      <c r="AK216" s="645"/>
    </row>
    <row r="217" spans="1:37">
      <c r="A217" s="640"/>
      <c r="B217" s="1946" t="s">
        <v>1328</v>
      </c>
      <c r="C217" s="1946"/>
      <c r="D217" s="1946"/>
      <c r="E217" s="1946"/>
      <c r="F217" s="1946"/>
      <c r="G217" s="1946"/>
      <c r="I217" s="1914"/>
      <c r="J217" s="1914"/>
      <c r="K217" s="1914"/>
      <c r="L217" s="1052"/>
      <c r="N217" s="1911"/>
      <c r="O217" s="1911"/>
      <c r="P217" s="1911"/>
      <c r="Q217" s="1911"/>
      <c r="R217" s="1911"/>
      <c r="T217" s="1910"/>
      <c r="U217" s="1910"/>
      <c r="V217" s="1910"/>
      <c r="W217" s="1910"/>
      <c r="X217" s="1910"/>
      <c r="Y217" s="1910"/>
      <c r="Z217" s="887"/>
      <c r="AA217" s="887"/>
      <c r="AB217" s="1908">
        <f t="shared" si="0"/>
        <v>0</v>
      </c>
      <c r="AC217" s="1908"/>
      <c r="AD217" s="1908"/>
      <c r="AE217" s="1908"/>
      <c r="AF217" s="1908"/>
      <c r="AG217" s="1908"/>
      <c r="AH217" s="863"/>
      <c r="AI217" s="863"/>
      <c r="AJ217" s="863"/>
      <c r="AK217" s="645"/>
    </row>
    <row r="218" spans="1:37">
      <c r="A218" s="640"/>
      <c r="B218" s="1946" t="s">
        <v>1328</v>
      </c>
      <c r="C218" s="1946"/>
      <c r="D218" s="1946"/>
      <c r="E218" s="1946"/>
      <c r="F218" s="1946"/>
      <c r="G218" s="1946"/>
      <c r="I218" s="1914"/>
      <c r="J218" s="1914"/>
      <c r="K218" s="1914"/>
      <c r="L218" s="1052"/>
      <c r="N218" s="1911"/>
      <c r="O218" s="1911"/>
      <c r="P218" s="1911"/>
      <c r="Q218" s="1911"/>
      <c r="R218" s="1911"/>
      <c r="T218" s="1910"/>
      <c r="U218" s="1910"/>
      <c r="V218" s="1910"/>
      <c r="W218" s="1910"/>
      <c r="X218" s="1910"/>
      <c r="Y218" s="1910"/>
      <c r="Z218" s="887"/>
      <c r="AA218" s="887"/>
      <c r="AB218" s="1908">
        <f t="shared" si="0"/>
        <v>0</v>
      </c>
      <c r="AC218" s="1908"/>
      <c r="AD218" s="1908"/>
      <c r="AE218" s="1908"/>
      <c r="AF218" s="1908"/>
      <c r="AG218" s="1908"/>
      <c r="AH218" s="863"/>
      <c r="AI218" s="863"/>
      <c r="AJ218" s="863"/>
      <c r="AK218" s="645"/>
    </row>
    <row r="219" spans="1:37">
      <c r="A219" s="640"/>
      <c r="B219" s="1946" t="s">
        <v>1328</v>
      </c>
      <c r="C219" s="1946"/>
      <c r="D219" s="1946"/>
      <c r="E219" s="1946"/>
      <c r="F219" s="1946"/>
      <c r="G219" s="1946"/>
      <c r="I219" s="1914"/>
      <c r="J219" s="1914"/>
      <c r="K219" s="1914"/>
      <c r="L219" s="1052"/>
      <c r="N219" s="1911"/>
      <c r="O219" s="1911"/>
      <c r="P219" s="1911"/>
      <c r="Q219" s="1911"/>
      <c r="R219" s="1911"/>
      <c r="T219" s="1910"/>
      <c r="U219" s="1910"/>
      <c r="V219" s="1910"/>
      <c r="W219" s="1910"/>
      <c r="X219" s="1910"/>
      <c r="Y219" s="1910"/>
      <c r="Z219" s="887"/>
      <c r="AA219" s="887"/>
      <c r="AB219" s="1908">
        <f t="shared" si="0"/>
        <v>0</v>
      </c>
      <c r="AC219" s="1908"/>
      <c r="AD219" s="1908"/>
      <c r="AE219" s="1908"/>
      <c r="AF219" s="1908"/>
      <c r="AG219" s="1908"/>
      <c r="AH219" s="863"/>
      <c r="AI219" s="863"/>
      <c r="AJ219" s="863"/>
      <c r="AK219" s="645"/>
    </row>
    <row r="220" spans="1:37">
      <c r="A220" s="640"/>
      <c r="B220" s="1946" t="s">
        <v>1328</v>
      </c>
      <c r="C220" s="1946"/>
      <c r="D220" s="1946"/>
      <c r="E220" s="1946"/>
      <c r="F220" s="1946"/>
      <c r="G220" s="1946"/>
      <c r="I220" s="1914"/>
      <c r="J220" s="1914"/>
      <c r="K220" s="1914"/>
      <c r="L220" s="1052"/>
      <c r="N220" s="1911"/>
      <c r="O220" s="1911"/>
      <c r="P220" s="1911"/>
      <c r="Q220" s="1911"/>
      <c r="R220" s="1911"/>
      <c r="T220" s="1910"/>
      <c r="U220" s="1910"/>
      <c r="V220" s="1910"/>
      <c r="W220" s="1910"/>
      <c r="X220" s="1910"/>
      <c r="Y220" s="1910"/>
      <c r="Z220" s="887"/>
      <c r="AA220" s="887"/>
      <c r="AB220" s="1908">
        <f t="shared" si="0"/>
        <v>0</v>
      </c>
      <c r="AC220" s="1908"/>
      <c r="AD220" s="1908"/>
      <c r="AE220" s="1908"/>
      <c r="AF220" s="1908"/>
      <c r="AG220" s="1908"/>
      <c r="AH220" s="863"/>
      <c r="AI220" s="863"/>
      <c r="AJ220" s="863"/>
      <c r="AK220" s="645"/>
    </row>
    <row r="221" spans="1:37">
      <c r="A221" s="640"/>
      <c r="B221" s="1946" t="s">
        <v>1328</v>
      </c>
      <c r="C221" s="1946"/>
      <c r="D221" s="1946"/>
      <c r="E221" s="1946"/>
      <c r="F221" s="1946"/>
      <c r="G221" s="1946"/>
      <c r="I221" s="1914"/>
      <c r="J221" s="1914"/>
      <c r="K221" s="1914"/>
      <c r="L221" s="1052"/>
      <c r="N221" s="1911"/>
      <c r="O221" s="1911"/>
      <c r="P221" s="1911"/>
      <c r="Q221" s="1911"/>
      <c r="R221" s="1911"/>
      <c r="T221" s="1910"/>
      <c r="U221" s="1910"/>
      <c r="V221" s="1910"/>
      <c r="W221" s="1910"/>
      <c r="X221" s="1910"/>
      <c r="Y221" s="1910"/>
      <c r="Z221" s="887"/>
      <c r="AA221" s="887"/>
      <c r="AB221" s="1908">
        <f t="shared" si="0"/>
        <v>0</v>
      </c>
      <c r="AC221" s="1908"/>
      <c r="AD221" s="1908"/>
      <c r="AE221" s="1908"/>
      <c r="AF221" s="1908"/>
      <c r="AG221" s="1908"/>
      <c r="AH221" s="863"/>
      <c r="AI221" s="863"/>
      <c r="AJ221" s="863"/>
      <c r="AK221" s="645"/>
    </row>
    <row r="222" spans="1:37">
      <c r="A222" s="640"/>
      <c r="B222" s="1946" t="s">
        <v>1328</v>
      </c>
      <c r="C222" s="1946"/>
      <c r="D222" s="1946"/>
      <c r="E222" s="1946"/>
      <c r="F222" s="1946"/>
      <c r="G222" s="1946"/>
      <c r="I222" s="2094"/>
      <c r="J222" s="2094"/>
      <c r="K222" s="2094"/>
      <c r="L222" s="1052"/>
      <c r="N222" s="1911"/>
      <c r="O222" s="1911"/>
      <c r="P222" s="1911"/>
      <c r="Q222" s="1911"/>
      <c r="R222" s="1911"/>
      <c r="T222" s="1910"/>
      <c r="U222" s="1910"/>
      <c r="V222" s="1910"/>
      <c r="W222" s="1910"/>
      <c r="X222" s="1910"/>
      <c r="Y222" s="1910"/>
      <c r="Z222" s="887"/>
      <c r="AA222" s="887"/>
      <c r="AB222" s="1915">
        <f t="shared" si="0"/>
        <v>0</v>
      </c>
      <c r="AC222" s="1915"/>
      <c r="AD222" s="1915"/>
      <c r="AE222" s="1915"/>
      <c r="AF222" s="1915"/>
      <c r="AG222" s="191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1786</v>
      </c>
      <c r="AA223" s="889"/>
      <c r="AB223" s="1908">
        <f>SUM(AB213:AB222)</f>
        <v>60408</v>
      </c>
      <c r="AC223" s="1908"/>
      <c r="AD223" s="1908"/>
      <c r="AE223" s="1908"/>
      <c r="AF223" s="1908"/>
      <c r="AG223" s="190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1776</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1804</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1802</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1796</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48"/>
      <c r="AC229" s="1948"/>
      <c r="AD229" s="1948"/>
      <c r="AE229" s="1948"/>
      <c r="AF229" s="1948"/>
      <c r="AG229" s="1948"/>
      <c r="AH229" s="645"/>
      <c r="AI229" s="645"/>
      <c r="AJ229" s="645"/>
      <c r="AK229" s="645"/>
    </row>
    <row r="230" spans="1:37">
      <c r="A230" s="640"/>
      <c r="B230" s="873" t="s">
        <v>1801</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1803</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1797</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48">
        <v>60408</v>
      </c>
      <c r="AC232" s="1948"/>
      <c r="AD232" s="1948"/>
      <c r="AE232" s="1948"/>
      <c r="AF232" s="1948"/>
      <c r="AG232" s="1948"/>
      <c r="AH232" s="645"/>
      <c r="AI232" s="645"/>
      <c r="AJ232" s="645"/>
      <c r="AK232" s="645"/>
    </row>
    <row r="233" spans="1:37">
      <c r="A233" s="640"/>
      <c r="B233" s="874" t="s">
        <v>1798</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7">
        <v>20</v>
      </c>
      <c r="AC233" s="1907"/>
      <c r="AD233" s="1907"/>
      <c r="AE233" s="1907"/>
      <c r="AF233" s="1907"/>
      <c r="AG233" s="1907"/>
      <c r="AH233" s="645"/>
      <c r="AI233" s="645"/>
      <c r="AJ233" s="645"/>
      <c r="AK233" s="645"/>
    </row>
    <row r="234" spans="1:37">
      <c r="A234" s="640"/>
      <c r="B234" s="874" t="s">
        <v>1799</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6">
        <f>IFERROR(AB232/AB233,0)</f>
        <v>3020.4</v>
      </c>
      <c r="AC234" s="1916"/>
      <c r="AD234" s="1916"/>
      <c r="AE234" s="1916"/>
      <c r="AF234" s="1916"/>
      <c r="AG234" s="191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1800</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5">
        <f>MAX(AB229,AB234)</f>
        <v>3020.4</v>
      </c>
      <c r="AC236" s="1915"/>
      <c r="AD236" s="1915"/>
      <c r="AE236" s="1915"/>
      <c r="AF236" s="1915"/>
      <c r="AG236" s="191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1789</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08">
        <f>AB223+AB236</f>
        <v>63428.4</v>
      </c>
      <c r="AC239" s="1908"/>
      <c r="AD239" s="1908"/>
      <c r="AE239" s="1908"/>
      <c r="AF239" s="1908"/>
      <c r="AG239" s="190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78">
        <v>0.05</v>
      </c>
      <c r="AC240" s="2078"/>
      <c r="AD240" s="2078"/>
      <c r="AE240" s="2078"/>
      <c r="AF240" s="2078"/>
      <c r="AG240" s="2078"/>
      <c r="AH240" s="645"/>
      <c r="AI240" s="645"/>
      <c r="AJ240" s="645"/>
      <c r="AK240" s="645"/>
    </row>
    <row r="241" spans="1:37">
      <c r="A241" s="640"/>
      <c r="B241" s="511" t="s">
        <v>1790</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79">
        <f>AB239-(AB239*AB240)</f>
        <v>60256.98</v>
      </c>
      <c r="AC241" s="2079"/>
      <c r="AD241" s="2079"/>
      <c r="AE241" s="2079"/>
      <c r="AF241" s="2079"/>
      <c r="AG241" s="2079"/>
      <c r="AH241" s="645"/>
      <c r="AI241" s="645"/>
      <c r="AJ241" s="645"/>
      <c r="AK241" s="645"/>
    </row>
    <row r="242" spans="1:37">
      <c r="A242" s="640"/>
      <c r="B242" s="511" t="s">
        <v>1791</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1792</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08">
        <f>AB241/AB247</f>
        <v>52397.373913043484</v>
      </c>
      <c r="AC243" s="1908"/>
      <c r="AD243" s="1908"/>
      <c r="AE243" s="1908"/>
      <c r="AF243" s="1908"/>
      <c r="AG243" s="190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1793</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0">
        <v>15</v>
      </c>
      <c r="AC245" s="2090"/>
      <c r="AD245" s="2090"/>
      <c r="AE245" s="2090"/>
      <c r="AF245" s="2090"/>
      <c r="AG245" s="2090"/>
      <c r="AH245" s="645"/>
      <c r="AI245" s="645"/>
      <c r="AJ245" s="645"/>
      <c r="AK245" s="645"/>
    </row>
    <row r="246" spans="1:37">
      <c r="A246" s="640"/>
      <c r="B246" s="511" t="s">
        <v>1794</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1">
        <v>0.04</v>
      </c>
      <c r="AC246" s="2081"/>
      <c r="AD246" s="2081"/>
      <c r="AE246" s="2081"/>
      <c r="AF246" s="2081"/>
      <c r="AG246" s="2081"/>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82">
        <v>1.1499999999999999</v>
      </c>
      <c r="AC247" s="2082"/>
      <c r="AD247" s="2082"/>
      <c r="AE247" s="2082"/>
      <c r="AF247" s="2082"/>
      <c r="AG247" s="208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1795</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1">
        <f>PV(AB246/12,AB245*12,-AB243/12, ,0)</f>
        <v>590309.46361473494</v>
      </c>
      <c r="AC249" s="2072"/>
      <c r="AD249" s="2072"/>
      <c r="AE249" s="2072"/>
      <c r="AF249" s="2072"/>
      <c r="AG249" s="207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1771</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1774</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1773</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1772</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5">
        <f>IFERROR(('Sources and Uses Budget'!D105/'Sources and Uses Budget'!B105),0)</f>
        <v>0</v>
      </c>
      <c r="AC255" s="2076"/>
      <c r="AD255" s="2076"/>
      <c r="AE255" s="2076"/>
      <c r="AF255" s="2076"/>
      <c r="AG255" s="207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1548</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22">
        <f>AD200*(1-AB255)</f>
        <v>7590309.4636147348</v>
      </c>
      <c r="AH257" s="1922"/>
      <c r="AI257" s="1922"/>
      <c r="AJ257" s="1922"/>
      <c r="AK257" s="1922"/>
    </row>
    <row r="258" spans="1:52">
      <c r="A258" s="657"/>
      <c r="B258" s="660" t="s">
        <v>1549</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22">
        <f>'Sources and Uses Budget'!C105</f>
        <v>66287369.630000003</v>
      </c>
      <c r="AH258" s="1922"/>
      <c r="AI258" s="1922"/>
      <c r="AJ258" s="1922"/>
      <c r="AK258" s="192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7">
        <f>ROUNDDOWN(IF(AND(C281="Yes",AK78=10),((AG257*2)/AG258),AG257/AG258),2)</f>
        <v>0.11</v>
      </c>
      <c r="AH259" s="2067"/>
      <c r="AI259" s="2067"/>
      <c r="AJ259" s="2067"/>
      <c r="AK259" s="2067"/>
    </row>
    <row r="260" spans="1:52">
      <c r="A260" s="657"/>
      <c r="B260" s="1015" t="s">
        <v>2004</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1550</v>
      </c>
      <c r="AK262" s="2056">
        <f>IFERROR(IF(AG259=0,0,IF((AG259*100)&gt;8,8,(AG259*100))),0)</f>
        <v>8</v>
      </c>
      <c r="AL262" s="2056"/>
      <c r="AM262" s="2057"/>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1551</v>
      </c>
      <c r="B265" s="573" t="s">
        <v>1552</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1489</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0" t="s">
        <v>555</v>
      </c>
      <c r="D267" s="1940"/>
      <c r="E267" s="582"/>
      <c r="F267" s="1891" t="s">
        <v>2425</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5"/>
      <c r="AF267" s="670"/>
      <c r="AG267" s="2065" t="s">
        <v>1538</v>
      </c>
      <c r="AH267" s="2065"/>
      <c r="AI267" s="2065"/>
      <c r="AJ267" s="2065"/>
      <c r="AK267" s="585"/>
      <c r="AL267" s="585"/>
      <c r="AM267" s="585"/>
      <c r="AO267" s="585"/>
    </row>
    <row r="268" spans="1:52" ht="13.7" customHeight="1">
      <c r="A268" s="585"/>
      <c r="B268" s="631"/>
      <c r="C268" s="671"/>
      <c r="D268" s="585"/>
      <c r="E268" s="582"/>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5"/>
      <c r="AF268" s="670"/>
      <c r="AG268" s="670"/>
      <c r="AH268" s="670"/>
      <c r="AI268" s="670"/>
      <c r="AJ268" s="585"/>
      <c r="AK268" s="585"/>
      <c r="AL268" s="585"/>
      <c r="AM268" s="585"/>
      <c r="AO268" s="585"/>
    </row>
    <row r="269" spans="1:52">
      <c r="A269" s="585"/>
      <c r="B269" s="631"/>
      <c r="C269" s="671"/>
      <c r="D269" s="585"/>
      <c r="E269" s="582"/>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5"/>
      <c r="AF269" s="670"/>
      <c r="AG269" s="670"/>
      <c r="AH269" s="670"/>
      <c r="AI269" s="670"/>
      <c r="AJ269" s="585"/>
      <c r="AK269" s="585"/>
      <c r="AL269" s="585"/>
      <c r="AM269" s="585"/>
      <c r="AO269" s="585"/>
      <c r="AP269" s="672"/>
    </row>
    <row r="270" spans="1:52">
      <c r="A270" s="585"/>
      <c r="B270" s="631"/>
      <c r="C270" s="671"/>
      <c r="D270" s="585"/>
      <c r="E270" s="582"/>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5"/>
      <c r="AF270" s="670"/>
      <c r="AG270" s="670"/>
      <c r="AH270" s="670"/>
      <c r="AI270" s="670"/>
      <c r="AJ270" s="585"/>
      <c r="AK270" s="585"/>
      <c r="AL270" s="585"/>
      <c r="AM270" s="585"/>
      <c r="AO270" s="585"/>
      <c r="AP270" s="672"/>
    </row>
    <row r="271" spans="1:52" ht="13.7" customHeight="1">
      <c r="A271" s="585"/>
      <c r="B271" s="631"/>
      <c r="C271" s="2066"/>
      <c r="D271" s="2066"/>
      <c r="E271" s="582"/>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5"/>
      <c r="AF271" s="670"/>
      <c r="AG271" s="2065"/>
      <c r="AH271" s="2065"/>
      <c r="AI271" s="2065"/>
      <c r="AJ271" s="206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1554</v>
      </c>
      <c r="AK274" s="2056">
        <f>IF($C$267="yes",10,0)</f>
        <v>10</v>
      </c>
      <c r="AL274" s="2056"/>
      <c r="AM274" s="2057"/>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1555</v>
      </c>
      <c r="B277" s="573" t="s">
        <v>2119</v>
      </c>
      <c r="AH277" s="626" t="s">
        <v>1489</v>
      </c>
    </row>
    <row r="278" spans="1:49" ht="15" customHeight="1">
      <c r="B278" s="574"/>
    </row>
    <row r="279" spans="1:49" ht="15" customHeight="1">
      <c r="B279" s="574" t="s">
        <v>1991</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1" t="s">
        <v>1557</v>
      </c>
      <c r="B281" s="1641"/>
      <c r="C281" s="2033" t="s">
        <v>601</v>
      </c>
      <c r="D281" s="1940"/>
      <c r="E281" s="582"/>
      <c r="F281" s="2058" t="s">
        <v>1558</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7"/>
      <c r="AF281" s="585"/>
      <c r="AG281" s="2061" t="s">
        <v>2418</v>
      </c>
      <c r="AH281" s="2061"/>
      <c r="AI281" s="2061"/>
      <c r="AJ281" s="2061"/>
      <c r="AK281" s="2061"/>
      <c r="AL281" s="585"/>
      <c r="AM281" s="585"/>
      <c r="AN281" s="73"/>
      <c r="AO281" s="14"/>
      <c r="AP281" s="30"/>
      <c r="AS281" s="605"/>
      <c r="AT281" s="605"/>
      <c r="AU281" s="605"/>
      <c r="AV281" s="32"/>
      <c r="AW281" s="32"/>
    </row>
    <row r="282" spans="1:49">
      <c r="A282" s="675"/>
      <c r="B282" s="631"/>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17" t="s">
        <v>2426</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7"/>
      <c r="AF284" s="586"/>
      <c r="AH284" s="586"/>
      <c r="AI284" s="586"/>
      <c r="AJ284" s="585"/>
      <c r="AK284" s="585"/>
      <c r="AL284" s="585"/>
      <c r="AM284" s="585"/>
      <c r="AN284" s="73"/>
      <c r="AO284" s="14"/>
      <c r="AP284" s="646">
        <f>MAX(AP282,AP283)</f>
        <v>9</v>
      </c>
      <c r="AQ284" s="609" t="s">
        <v>1491</v>
      </c>
      <c r="AS284" s="605"/>
      <c r="AT284" s="605"/>
      <c r="AU284" s="605"/>
      <c r="AV284" s="32"/>
      <c r="AW284" s="32"/>
    </row>
    <row r="285" spans="1:49">
      <c r="A285" s="675"/>
      <c r="B285" s="631"/>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7" t="s">
        <v>1559</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7" t="s">
        <v>1560</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5"/>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1" t="s">
        <v>1561</v>
      </c>
      <c r="B291" s="1641"/>
      <c r="C291" s="1940" t="s">
        <v>555</v>
      </c>
      <c r="D291" s="1940"/>
      <c r="E291" s="582"/>
      <c r="F291" s="679" t="s">
        <v>2419</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1563</v>
      </c>
      <c r="AH291" s="586"/>
      <c r="AI291" s="586"/>
      <c r="AJ291" s="585"/>
      <c r="AK291" s="585"/>
      <c r="AL291" s="585"/>
      <c r="AM291" s="585"/>
      <c r="AN291" s="682"/>
      <c r="AO291" s="14"/>
    </row>
    <row r="292" spans="1:49">
      <c r="A292" s="585"/>
      <c r="B292" s="586"/>
      <c r="C292" s="585"/>
      <c r="D292" s="586"/>
      <c r="E292" s="585"/>
      <c r="F292" s="2040" t="s">
        <v>2420</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6"/>
      <c r="AF292" s="586"/>
      <c r="AG292" s="586"/>
      <c r="AH292" s="586"/>
      <c r="AI292" s="586"/>
      <c r="AJ292" s="585"/>
      <c r="AK292" s="585"/>
      <c r="AL292" s="585"/>
      <c r="AM292" s="585"/>
      <c r="AR292" s="683"/>
    </row>
    <row r="293" spans="1:49" ht="15" customHeight="1">
      <c r="A293" s="585"/>
      <c r="B293" s="586"/>
      <c r="C293" s="585"/>
      <c r="D293" s="586"/>
      <c r="E293" s="585"/>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6"/>
      <c r="AF293" s="586"/>
      <c r="AG293" s="586"/>
      <c r="AH293" s="586"/>
      <c r="AI293" s="586"/>
      <c r="AJ293" s="585"/>
      <c r="AK293" s="585"/>
      <c r="AL293" s="585"/>
      <c r="AM293" s="585"/>
      <c r="AR293" s="683"/>
    </row>
    <row r="294" spans="1:49">
      <c r="A294" s="585"/>
      <c r="B294" s="586"/>
      <c r="C294" s="585"/>
      <c r="D294" s="586"/>
      <c r="E294" s="585"/>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1" t="s">
        <v>1564</v>
      </c>
      <c r="B299" s="1641"/>
      <c r="C299" s="1940" t="s">
        <v>601</v>
      </c>
      <c r="D299" s="1940"/>
      <c r="E299" s="582"/>
      <c r="F299" s="679" t="s">
        <v>1562</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1563</v>
      </c>
      <c r="AH299" s="586"/>
      <c r="AI299" s="586"/>
      <c r="AJ299" s="585"/>
      <c r="AK299" s="585"/>
      <c r="AL299" s="585"/>
      <c r="AM299" s="585"/>
      <c r="AN299" s="73"/>
      <c r="AO299" s="14"/>
    </row>
    <row r="300" spans="1:49" hidden="1">
      <c r="A300" s="89"/>
      <c r="B300" s="89"/>
      <c r="C300" s="765"/>
      <c r="D300" s="765"/>
      <c r="E300" s="582"/>
      <c r="F300" s="1917" t="s">
        <v>2427</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6"/>
      <c r="AF300" s="586"/>
      <c r="AG300" s="574"/>
      <c r="AH300" s="586"/>
      <c r="AI300" s="586"/>
      <c r="AJ300" s="585"/>
      <c r="AK300" s="585"/>
      <c r="AL300" s="585"/>
      <c r="AM300" s="585"/>
      <c r="AN300" s="73"/>
      <c r="AO300" s="14"/>
      <c r="AP300" s="592" t="s">
        <v>1328</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6"/>
      <c r="AF301" s="586"/>
      <c r="AH301" s="586"/>
      <c r="AI301" s="586"/>
      <c r="AJ301" s="585"/>
      <c r="AK301" s="585"/>
      <c r="AL301" s="585"/>
      <c r="AM301" s="585"/>
      <c r="AN301" s="73"/>
      <c r="AO301" s="14"/>
      <c r="AP301" s="592" t="s">
        <v>1993</v>
      </c>
    </row>
    <row r="302" spans="1:49" hidden="1">
      <c r="A302" s="585"/>
      <c r="B302" s="586"/>
      <c r="C302" s="765"/>
      <c r="D302" s="765"/>
      <c r="E302" s="582"/>
      <c r="F302" s="687" t="s">
        <v>1565</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1995</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2121</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43" t="s">
        <v>1328</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7"/>
      <c r="AF305" s="677"/>
      <c r="AG305" s="677"/>
      <c r="AH305" s="677"/>
      <c r="AI305" s="677"/>
      <c r="AJ305" s="677"/>
      <c r="AK305" s="677"/>
      <c r="AL305" s="585"/>
      <c r="AM305" s="585"/>
      <c r="AN305" s="73"/>
      <c r="AO305" s="14"/>
      <c r="AP305" s="30"/>
    </row>
    <row r="306" spans="1:42" hidden="1">
      <c r="A306" s="585"/>
      <c r="B306" s="586"/>
      <c r="C306" s="765"/>
      <c r="D306" s="765"/>
      <c r="E306" s="582"/>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6"/>
      <c r="AF306" s="586"/>
      <c r="AG306" s="574"/>
      <c r="AH306" s="586"/>
      <c r="AI306" s="586"/>
      <c r="AJ306" s="585"/>
      <c r="AK306" s="585"/>
      <c r="AL306" s="585"/>
      <c r="AM306" s="585"/>
      <c r="AN306" s="73"/>
      <c r="AO306" s="14"/>
      <c r="AP306" s="30"/>
    </row>
    <row r="307" spans="1:42" hidden="1">
      <c r="A307" s="585"/>
      <c r="B307" s="586"/>
      <c r="C307" s="765"/>
      <c r="D307" s="765"/>
      <c r="E307" s="582"/>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6"/>
      <c r="AF307" s="586"/>
      <c r="AG307" s="574"/>
      <c r="AH307" s="586"/>
      <c r="AI307" s="586"/>
      <c r="AJ307" s="585"/>
      <c r="AK307" s="585"/>
      <c r="AL307" s="585"/>
      <c r="AM307" s="585"/>
      <c r="AN307" s="73"/>
      <c r="AO307" s="14"/>
      <c r="AP307" s="30"/>
    </row>
    <row r="308" spans="1:42" hidden="1">
      <c r="A308" s="585"/>
      <c r="B308" s="586"/>
      <c r="C308" s="765"/>
      <c r="D308" s="765"/>
      <c r="E308" s="582"/>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6"/>
      <c r="AF308" s="586"/>
      <c r="AG308" s="574"/>
      <c r="AH308" s="586"/>
      <c r="AI308" s="586"/>
      <c r="AJ308" s="585"/>
      <c r="AK308" s="585"/>
      <c r="AL308" s="585"/>
      <c r="AM308" s="585"/>
      <c r="AN308" s="73"/>
      <c r="AO308" s="14"/>
      <c r="AP308" s="30"/>
    </row>
    <row r="309" spans="1:42" hidden="1">
      <c r="A309" s="585"/>
      <c r="B309" s="586"/>
      <c r="C309" s="765"/>
      <c r="D309" s="765"/>
      <c r="E309" s="582"/>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1994</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49" t="s">
        <v>1328</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6"/>
      <c r="AF313" s="586"/>
      <c r="AG313" s="574"/>
      <c r="AH313" s="586"/>
      <c r="AI313" s="586"/>
      <c r="AJ313" s="585"/>
      <c r="AK313" s="585"/>
      <c r="AL313" s="585"/>
      <c r="AM313" s="585"/>
      <c r="AN313" s="73"/>
      <c r="AO313" s="14"/>
      <c r="AP313" s="592" t="s">
        <v>1820</v>
      </c>
    </row>
    <row r="314" spans="1:42" hidden="1">
      <c r="A314" s="585"/>
      <c r="B314" s="586"/>
      <c r="C314" s="765"/>
      <c r="D314" s="765"/>
      <c r="E314" s="582"/>
      <c r="F314" s="691"/>
      <c r="G314" s="610"/>
      <c r="H314" s="610"/>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6"/>
      <c r="AF314" s="586"/>
      <c r="AG314" s="574"/>
      <c r="AH314" s="586"/>
      <c r="AI314" s="586"/>
      <c r="AJ314" s="585"/>
      <c r="AK314" s="585"/>
      <c r="AL314" s="585"/>
      <c r="AM314" s="585"/>
      <c r="AN314" s="73"/>
      <c r="AO314" s="14"/>
      <c r="AP314" s="592" t="s">
        <v>1996</v>
      </c>
    </row>
    <row r="315" spans="1:42" hidden="1">
      <c r="A315" s="585"/>
      <c r="B315" s="586"/>
      <c r="C315" s="686"/>
      <c r="D315" s="686"/>
      <c r="E315" s="582"/>
      <c r="F315" s="691"/>
      <c r="G315" s="610"/>
      <c r="H315" s="610"/>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6"/>
      <c r="AF315" s="586"/>
      <c r="AG315" s="574"/>
      <c r="AH315" s="586"/>
      <c r="AI315" s="586"/>
      <c r="AJ315" s="585"/>
      <c r="AK315" s="585"/>
      <c r="AL315" s="585"/>
      <c r="AM315" s="585"/>
      <c r="AN315" s="73"/>
      <c r="AO315" s="14"/>
      <c r="AP315" s="592" t="s">
        <v>1998</v>
      </c>
    </row>
    <row r="316" spans="1:42" hidden="1">
      <c r="A316" s="585"/>
      <c r="B316" s="586"/>
      <c r="C316" s="686"/>
      <c r="D316" s="686"/>
      <c r="E316" s="582"/>
      <c r="F316" s="689"/>
      <c r="G316" s="586"/>
      <c r="H316" s="586"/>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6"/>
      <c r="AF316" s="586"/>
      <c r="AG316" s="574"/>
      <c r="AH316" s="586"/>
      <c r="AI316" s="586"/>
      <c r="AJ316" s="585"/>
      <c r="AK316" s="585"/>
      <c r="AL316" s="585"/>
      <c r="AM316" s="585"/>
      <c r="AN316" s="73"/>
      <c r="AO316" s="14"/>
      <c r="AP316" s="592" t="s">
        <v>1997</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49" t="s">
        <v>1328</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6"/>
      <c r="AF320" s="586"/>
      <c r="AG320" s="574"/>
      <c r="AH320" s="586"/>
      <c r="AI320" s="586"/>
      <c r="AJ320" s="585"/>
      <c r="AK320" s="585"/>
      <c r="AL320" s="585"/>
      <c r="AM320" s="585"/>
      <c r="AN320" s="73"/>
      <c r="AO320" s="14"/>
      <c r="AP320" s="592" t="s">
        <v>1566</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1821</v>
      </c>
    </row>
    <row r="322" spans="1:44" ht="12.75" hidden="1" customHeight="1">
      <c r="A322" s="1641" t="s">
        <v>1567</v>
      </c>
      <c r="B322" s="1641"/>
      <c r="C322" s="1940" t="s">
        <v>601</v>
      </c>
      <c r="D322" s="1940"/>
      <c r="E322" s="582"/>
      <c r="F322" s="2037" t="s">
        <v>2428</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6"/>
      <c r="AF322" s="586"/>
      <c r="AG322" s="574" t="s">
        <v>1563</v>
      </c>
      <c r="AH322" s="586"/>
      <c r="AI322" s="586"/>
      <c r="AJ322" s="585"/>
      <c r="AK322" s="585"/>
      <c r="AL322" s="585"/>
      <c r="AM322" s="585"/>
      <c r="AN322" s="73"/>
      <c r="AO322" s="14"/>
    </row>
    <row r="323" spans="1:44" ht="15" hidden="1" customHeight="1">
      <c r="A323" s="585"/>
      <c r="B323" s="586"/>
      <c r="C323" s="586"/>
      <c r="D323" s="586"/>
      <c r="E323" s="586"/>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6"/>
      <c r="AF323" s="586"/>
      <c r="AG323" s="586"/>
      <c r="AH323" s="586"/>
      <c r="AI323" s="586"/>
      <c r="AJ323" s="585"/>
      <c r="AK323" s="585"/>
      <c r="AL323" s="585"/>
      <c r="AM323" s="585"/>
      <c r="AN323" s="73"/>
      <c r="AO323" s="14"/>
    </row>
    <row r="324" spans="1:44" ht="15" hidden="1" customHeight="1">
      <c r="A324" s="585"/>
      <c r="B324" s="586"/>
      <c r="C324" s="586"/>
      <c r="D324" s="586"/>
      <c r="E324" s="586"/>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6"/>
      <c r="AF324" s="586"/>
      <c r="AG324" s="586"/>
      <c r="AH324" s="586"/>
      <c r="AI324" s="586"/>
      <c r="AJ324" s="585"/>
      <c r="AK324" s="585"/>
      <c r="AL324" s="585"/>
      <c r="AM324" s="694"/>
      <c r="AN324" s="14"/>
      <c r="AO324" s="14"/>
    </row>
    <row r="325" spans="1:44" hidden="1">
      <c r="A325" s="585"/>
      <c r="B325" s="586"/>
      <c r="C325" s="585"/>
      <c r="D325" s="586"/>
      <c r="E325" s="585"/>
      <c r="F325" s="695" t="s">
        <v>1568</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1627</v>
      </c>
      <c r="AK327" s="1925">
        <f>IF(NOT(OR(Application!M354="Yes",Application!M355="Yes")),0,AP284)</f>
        <v>9</v>
      </c>
      <c r="AL327" s="1926"/>
      <c r="AM327" s="192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1628</v>
      </c>
      <c r="B330" s="574" t="s">
        <v>874</v>
      </c>
      <c r="C330" s="571"/>
      <c r="AC330" s="574"/>
      <c r="AE330" s="1931" t="s">
        <v>1489</v>
      </c>
      <c r="AF330" s="1931"/>
      <c r="AG330" s="1931"/>
      <c r="AH330" s="1931"/>
      <c r="AI330" s="1931"/>
      <c r="AJ330" s="1931"/>
      <c r="AK330" s="1931"/>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5" t="s">
        <v>1629</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8"/>
      <c r="AL332" s="638"/>
      <c r="AM332" s="638"/>
      <c r="AN332" s="632"/>
    </row>
    <row r="333" spans="1:44" s="585" customFormat="1" ht="12.75" customHeight="1">
      <c r="A333" s="638"/>
      <c r="B333" s="646"/>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8"/>
      <c r="AL333" s="638"/>
      <c r="AM333" s="638"/>
      <c r="AN333" s="632"/>
    </row>
    <row r="334" spans="1:44" s="585" customFormat="1" ht="12.75" customHeight="1">
      <c r="A334" s="638"/>
      <c r="B334" s="646"/>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8"/>
      <c r="AL334" s="638"/>
      <c r="AM334" s="638"/>
      <c r="AN334" s="632"/>
      <c r="AQ334" s="605"/>
    </row>
    <row r="335" spans="1:44" s="585" customFormat="1" ht="12.75" customHeight="1">
      <c r="A335" s="638"/>
      <c r="B335" s="646"/>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8"/>
      <c r="AL335" s="638"/>
      <c r="AM335" s="638"/>
      <c r="AN335" s="632"/>
      <c r="AQ335" s="605"/>
    </row>
    <row r="336" spans="1:44" s="585" customFormat="1" ht="12.4" customHeight="1">
      <c r="A336" s="638"/>
      <c r="B336" s="646"/>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8"/>
      <c r="AL336" s="638"/>
      <c r="AM336" s="638"/>
      <c r="AN336" s="632"/>
      <c r="AQ336" s="605"/>
      <c r="AR336" s="605"/>
    </row>
    <row r="337" spans="1:46" s="585" customFormat="1" ht="45.75" customHeight="1">
      <c r="A337" s="638"/>
      <c r="B337" s="646"/>
      <c r="C337" s="1935" t="s">
        <v>2515</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5" t="s">
        <v>2130</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8"/>
      <c r="AL339" s="638"/>
      <c r="AM339" s="638"/>
      <c r="AN339" s="632"/>
      <c r="AQ339" s="605"/>
      <c r="AR339" s="605"/>
    </row>
    <row r="340" spans="1:46" s="585" customFormat="1" ht="30" customHeight="1">
      <c r="A340" s="638"/>
      <c r="B340" s="646"/>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8"/>
      <c r="AL340" s="638"/>
      <c r="AM340" s="638"/>
      <c r="AN340" s="632"/>
      <c r="AR340" s="605"/>
    </row>
    <row r="341" spans="1:46" s="585" customFormat="1" ht="12.75" customHeight="1">
      <c r="A341" s="638"/>
      <c r="B341" s="646"/>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8"/>
      <c r="AL341" s="638"/>
      <c r="AM341" s="638"/>
      <c r="AN341" s="632"/>
      <c r="AR341" s="605"/>
    </row>
    <row r="342" spans="1:46" s="585" customFormat="1" ht="12.75" customHeight="1">
      <c r="A342" s="638"/>
      <c r="B342" s="646"/>
      <c r="C342" s="1935" t="s">
        <v>1630</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8"/>
      <c r="AL342" s="638"/>
      <c r="AM342" s="638"/>
      <c r="AN342" s="632"/>
      <c r="AQ342" s="605"/>
      <c r="AR342" s="605"/>
    </row>
    <row r="343" spans="1:46" s="585" customFormat="1" ht="12.75" customHeight="1">
      <c r="A343" s="638"/>
      <c r="B343" s="646"/>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8"/>
      <c r="AL343" s="638"/>
      <c r="AM343" s="638"/>
      <c r="AN343" s="632"/>
      <c r="AQ343" s="605"/>
      <c r="AR343" s="605"/>
    </row>
    <row r="344" spans="1:46" s="585" customFormat="1" ht="13.15" customHeight="1">
      <c r="A344" s="638"/>
      <c r="B344" s="646"/>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8"/>
      <c r="AL344" s="638"/>
      <c r="AM344" s="638"/>
      <c r="AN344" s="632"/>
      <c r="AQ344" s="605"/>
      <c r="AR344" s="605"/>
    </row>
    <row r="345" spans="1:46" s="585" customFormat="1" ht="12.75" customHeight="1">
      <c r="A345" s="638"/>
      <c r="B345" s="646"/>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8"/>
      <c r="AL345" s="638"/>
      <c r="AM345" s="638"/>
      <c r="AN345" s="632"/>
      <c r="AO345" s="729"/>
      <c r="AP345" s="729"/>
      <c r="AQ345" s="605"/>
    </row>
    <row r="346" spans="1:46" s="585" customFormat="1" ht="11.85" customHeight="1">
      <c r="A346" s="638"/>
      <c r="B346" s="646"/>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8"/>
      <c r="AL346" s="638"/>
      <c r="AM346" s="638"/>
      <c r="AN346" s="632"/>
      <c r="AO346" s="730" t="s">
        <v>113</v>
      </c>
      <c r="AP346" s="731">
        <f>IF(C370="Yes",5,0)</f>
        <v>0</v>
      </c>
      <c r="AS346" s="574" t="s">
        <v>1631</v>
      </c>
    </row>
    <row r="347" spans="1:46" s="585" customFormat="1" ht="12.75" customHeight="1">
      <c r="A347" s="638"/>
      <c r="B347" s="646"/>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8"/>
      <c r="AL347" s="638"/>
      <c r="AM347" s="638"/>
      <c r="AN347" s="632"/>
      <c r="AO347" s="730" t="s">
        <v>114</v>
      </c>
      <c r="AP347" s="731">
        <f>IF(C378="Yes",5,0)</f>
        <v>0</v>
      </c>
      <c r="AS347" s="1900">
        <f>IF(Application!D210="Non-Targeted",(SUM(AQ355+AQ364)),AS351)</f>
        <v>10</v>
      </c>
      <c r="AT347" s="1900"/>
    </row>
    <row r="348" spans="1:46" s="585" customFormat="1" ht="12.75" customHeight="1">
      <c r="A348" s="638"/>
      <c r="B348" s="646"/>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8"/>
      <c r="AL348" s="638"/>
      <c r="AM348" s="638"/>
      <c r="AN348" s="632"/>
      <c r="AO348" s="730" t="s">
        <v>120</v>
      </c>
      <c r="AP348" s="731">
        <f>IF(C386="Yes",7,0)</f>
        <v>7</v>
      </c>
      <c r="AS348" s="574" t="s">
        <v>1632</v>
      </c>
    </row>
    <row r="349" spans="1:46" s="585" customFormat="1" ht="12.75" customHeight="1">
      <c r="A349" s="638"/>
      <c r="B349" s="646"/>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8"/>
      <c r="AL349" s="638"/>
      <c r="AM349" s="638"/>
      <c r="AN349" s="632"/>
      <c r="AO349" s="632"/>
      <c r="AP349" s="731">
        <f>IF(C388="Yes",5,0)</f>
        <v>0</v>
      </c>
      <c r="AS349" s="1900">
        <f>IF(AND(AQ355&gt;0,AQ364&gt;0),(AQ355+AQ364)/2,0)</f>
        <v>0</v>
      </c>
      <c r="AT349" s="1900"/>
    </row>
    <row r="350" spans="1:46" s="585" customFormat="1" ht="12.75" customHeight="1">
      <c r="A350" s="638"/>
      <c r="B350" s="646"/>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8"/>
      <c r="AL350" s="638"/>
      <c r="AM350" s="638"/>
      <c r="AN350" s="632"/>
      <c r="AO350" s="730" t="s">
        <v>591</v>
      </c>
      <c r="AP350" s="731">
        <f>IF(C396="Yes",5,0)</f>
        <v>0</v>
      </c>
      <c r="AS350" s="574" t="s">
        <v>2147</v>
      </c>
    </row>
    <row r="351" spans="1:46" s="585" customFormat="1" ht="12.75" customHeight="1">
      <c r="A351" s="638"/>
      <c r="B351" s="646"/>
      <c r="C351" s="2029" t="s">
        <v>1633</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8"/>
      <c r="AL351" s="638"/>
      <c r="AM351" s="638"/>
      <c r="AN351" s="632"/>
      <c r="AO351" s="632"/>
      <c r="AP351" s="731">
        <f>IF(C398="Yes",3,0)</f>
        <v>3</v>
      </c>
      <c r="AS351" s="1900">
        <f>IF(AQ355=0,AQ364,AQ355)</f>
        <v>10</v>
      </c>
      <c r="AT351" s="1900"/>
    </row>
    <row r="352" spans="1:46" s="585" customFormat="1" ht="12.75" customHeight="1">
      <c r="A352" s="638"/>
      <c r="B352" s="646"/>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8"/>
      <c r="AL352" s="638"/>
      <c r="AM352" s="638"/>
      <c r="AN352" s="632"/>
      <c r="AO352" s="730" t="s">
        <v>788</v>
      </c>
      <c r="AP352" s="731">
        <f>IF(C401="Yes",5,0)</f>
        <v>0</v>
      </c>
    </row>
    <row r="353" spans="1:81" s="585" customFormat="1" ht="12.75" customHeight="1">
      <c r="A353" s="638"/>
      <c r="B353" s="646"/>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8"/>
      <c r="AL353" s="638"/>
      <c r="AM353" s="638"/>
      <c r="AN353" s="632"/>
      <c r="AO353" s="730" t="s">
        <v>594</v>
      </c>
      <c r="AP353" s="731">
        <f>IF(C410="Yes",5,0)</f>
        <v>0</v>
      </c>
    </row>
    <row r="354" spans="1:81" s="585" customFormat="1" ht="11.85" customHeight="1">
      <c r="A354" s="638"/>
      <c r="B354" s="646"/>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8"/>
      <c r="AL354" s="638"/>
      <c r="AM354" s="638"/>
      <c r="AN354" s="632"/>
      <c r="AO354" s="732"/>
      <c r="AP354" s="733">
        <f>IF(C412="Yes",3,0)</f>
        <v>0</v>
      </c>
    </row>
    <row r="355" spans="1:81" s="585" customFormat="1" ht="12.4" customHeight="1">
      <c r="A355" s="638"/>
      <c r="B355" s="646"/>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8"/>
      <c r="AL355" s="638"/>
      <c r="AM355" s="638"/>
      <c r="AN355" s="632"/>
      <c r="AO355" s="734" t="s">
        <v>229</v>
      </c>
      <c r="AP355" s="735">
        <f>SUM(AP346:AP354)</f>
        <v>10</v>
      </c>
      <c r="AQ355" s="1938">
        <f>IF(AP355&gt;0,AP355,0)</f>
        <v>10</v>
      </c>
      <c r="AR355" s="1938"/>
    </row>
    <row r="356" spans="1:81" s="585" customFormat="1" ht="12.75" customHeight="1">
      <c r="A356" s="638"/>
      <c r="B356" s="646"/>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35" t="s">
        <v>1634</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8"/>
      <c r="AL358" s="638"/>
      <c r="AM358" s="638"/>
      <c r="AN358" s="632"/>
      <c r="AO358" s="730" t="s">
        <v>466</v>
      </c>
      <c r="AP358" s="731">
        <f>IF(C431="Yes",5,0)</f>
        <v>0</v>
      </c>
    </row>
    <row r="359" spans="1:81" s="585" customFormat="1" ht="12.75" customHeight="1">
      <c r="A359" s="638"/>
      <c r="B359" s="646"/>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8"/>
      <c r="AL359" s="638"/>
      <c r="AM359" s="638"/>
      <c r="AN359" s="632"/>
      <c r="AO359" s="730" t="s">
        <v>471</v>
      </c>
      <c r="AP359" s="731">
        <f>IF(C438="Yes",5,0)</f>
        <v>0</v>
      </c>
    </row>
    <row r="360" spans="1:81" s="585" customFormat="1" ht="68.099999999999994" customHeight="1">
      <c r="A360" s="638"/>
      <c r="B360" s="646"/>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8"/>
      <c r="AL360" s="638"/>
      <c r="AM360" s="638"/>
      <c r="AN360" s="632"/>
      <c r="AO360" s="730" t="s">
        <v>656</v>
      </c>
      <c r="AP360" s="736">
        <f>IF(C442="Yes",5,0)</f>
        <v>0</v>
      </c>
    </row>
    <row r="361" spans="1:81" s="585" customFormat="1" ht="12.4" customHeight="1">
      <c r="A361" s="638"/>
      <c r="B361" s="646"/>
      <c r="C361" s="585" t="s">
        <v>1635</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1636</v>
      </c>
      <c r="D362" s="738"/>
      <c r="E362" s="738"/>
      <c r="F362" s="738"/>
      <c r="G362" s="738"/>
      <c r="H362" s="738"/>
      <c r="I362" s="738"/>
      <c r="J362" s="738"/>
      <c r="K362" s="738"/>
      <c r="L362" s="738"/>
      <c r="M362" s="702"/>
      <c r="N362" s="702"/>
      <c r="O362" s="739"/>
      <c r="P362" s="738"/>
      <c r="Q362" s="738"/>
      <c r="R362" s="702"/>
      <c r="S362" s="702"/>
      <c r="T362" s="738"/>
      <c r="U362" s="1936">
        <f>Application!CS649-U363</f>
        <v>163</v>
      </c>
      <c r="V362" s="1936"/>
      <c r="W362" s="193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1637</v>
      </c>
      <c r="D363" s="729"/>
      <c r="E363" s="729"/>
      <c r="F363" s="729"/>
      <c r="G363" s="729"/>
      <c r="H363" s="729"/>
      <c r="I363" s="729"/>
      <c r="J363" s="729"/>
      <c r="K363" s="729"/>
      <c r="L363" s="729"/>
      <c r="M363" s="729"/>
      <c r="N363" s="729"/>
      <c r="O363" s="729"/>
      <c r="P363" s="729"/>
      <c r="Q363" s="729"/>
      <c r="R363" s="729"/>
      <c r="S363" s="729"/>
      <c r="T363" s="729"/>
      <c r="U363" s="1937">
        <f>Application!AG742</f>
        <v>0</v>
      </c>
      <c r="V363" s="1937"/>
      <c r="W363" s="193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38">
        <f>IF(AP364&gt;0,AP364,0)</f>
        <v>0</v>
      </c>
      <c r="AR364" s="1938"/>
    </row>
    <row r="365" spans="1:81" s="585" customFormat="1" ht="12.75" customHeight="1">
      <c r="A365" s="638"/>
      <c r="B365" s="14"/>
      <c r="C365" s="747" t="s">
        <v>1638</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1490</v>
      </c>
      <c r="F366" s="1929" t="s">
        <v>1639</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39" t="s">
        <v>601</v>
      </c>
      <c r="D370" s="1940"/>
      <c r="E370" s="754"/>
      <c r="F370" s="756" t="s">
        <v>1640</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28" t="s">
        <v>1641</v>
      </c>
      <c r="AG370" s="1928"/>
      <c r="AH370" s="1928"/>
      <c r="AI370" s="1928"/>
      <c r="AJ370" s="1928"/>
      <c r="AK370" s="1928"/>
      <c r="AL370" s="194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1492</v>
      </c>
      <c r="F373" s="1929" t="s">
        <v>1642</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7"/>
      <c r="AN377" s="632"/>
      <c r="BS377" s="30"/>
      <c r="BT377" s="30"/>
      <c r="BU377" s="14"/>
      <c r="BV377" s="14"/>
      <c r="BW377" s="14"/>
      <c r="BX377" s="14"/>
      <c r="BY377" s="14"/>
      <c r="BZ377" s="14"/>
      <c r="CA377" s="14"/>
      <c r="CB377" s="14"/>
      <c r="CC377" s="14"/>
    </row>
    <row r="378" spans="1:81" s="585" customFormat="1" ht="12.75" customHeight="1">
      <c r="A378" s="571"/>
      <c r="B378" s="14"/>
      <c r="C378" s="1939" t="s">
        <v>601</v>
      </c>
      <c r="D378" s="1940"/>
      <c r="E378" s="726"/>
      <c r="F378" s="756" t="s">
        <v>1643</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28" t="s">
        <v>1641</v>
      </c>
      <c r="AG378" s="1928"/>
      <c r="AH378" s="1928"/>
      <c r="AI378" s="1928"/>
      <c r="AJ378" s="1928"/>
      <c r="AK378" s="1928"/>
      <c r="AL378" s="194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1495</v>
      </c>
      <c r="F381" s="1929" t="s">
        <v>1644</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39" t="s">
        <v>555</v>
      </c>
      <c r="D386" s="1940"/>
      <c r="E386" s="726"/>
      <c r="F386" s="756" t="s">
        <v>1645</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28" t="s">
        <v>1646</v>
      </c>
      <c r="AG386" s="1928"/>
      <c r="AH386" s="1928"/>
      <c r="AI386" s="1928"/>
      <c r="AJ386" s="1928"/>
      <c r="AK386" s="1928"/>
      <c r="AL386" s="194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39" t="s">
        <v>601</v>
      </c>
      <c r="D388" s="1940"/>
      <c r="E388" s="726"/>
      <c r="F388" s="773" t="s">
        <v>1647</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28" t="s">
        <v>1641</v>
      </c>
      <c r="AG388" s="1928"/>
      <c r="AH388" s="1928"/>
      <c r="AI388" s="1928"/>
      <c r="AJ388" s="1928"/>
      <c r="AK388" s="1928"/>
      <c r="AL388" s="194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1648</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1649</v>
      </c>
      <c r="F392" s="1929" t="s">
        <v>1650</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39" t="s">
        <v>601</v>
      </c>
      <c r="D396" s="1940"/>
      <c r="E396" s="726"/>
      <c r="F396" s="756" t="s">
        <v>1651</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28" t="s">
        <v>1641</v>
      </c>
      <c r="AG396" s="1928"/>
      <c r="AH396" s="1928"/>
      <c r="AI396" s="1928"/>
      <c r="AJ396" s="1928"/>
      <c r="AK396" s="1928"/>
      <c r="AL396" s="194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39" t="s">
        <v>555</v>
      </c>
      <c r="D398" s="1940"/>
      <c r="E398" s="754"/>
      <c r="F398" s="756" t="s">
        <v>1652</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28" t="s">
        <v>1653</v>
      </c>
      <c r="AG398" s="1928"/>
      <c r="AH398" s="1928"/>
      <c r="AI398" s="1928"/>
      <c r="AJ398" s="1928"/>
      <c r="AK398" s="1928"/>
      <c r="AL398" s="194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39" t="s">
        <v>601</v>
      </c>
      <c r="D401" s="1940"/>
      <c r="E401" s="750" t="s">
        <v>1654</v>
      </c>
      <c r="F401" s="1929" t="s">
        <v>1655</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1641</v>
      </c>
      <c r="AG402" s="1998"/>
      <c r="AH402" s="1998"/>
      <c r="AI402" s="1998"/>
      <c r="AJ402" s="1998"/>
      <c r="AK402" s="1998"/>
      <c r="AL402" s="2028"/>
      <c r="AM402" s="605"/>
      <c r="AN402" s="632"/>
      <c r="BS402" s="605"/>
      <c r="BT402" s="605"/>
      <c r="BY402" s="605"/>
      <c r="BZ402" s="605"/>
      <c r="CA402" s="605"/>
      <c r="CB402" s="605"/>
      <c r="CC402" s="605"/>
    </row>
    <row r="403" spans="1:81" s="585" customFormat="1" ht="12.75" customHeight="1">
      <c r="A403" s="571"/>
      <c r="B403" s="14"/>
      <c r="C403" s="766"/>
      <c r="D403" s="14"/>
      <c r="E403" s="726"/>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1656</v>
      </c>
      <c r="F406" s="1929" t="s">
        <v>1657</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2"/>
      <c r="AG406" s="782"/>
      <c r="AH406" s="782"/>
      <c r="AI406" s="782"/>
      <c r="AJ406" s="782"/>
      <c r="AK406" s="782"/>
      <c r="AL406" s="783"/>
      <c r="AM406" s="605"/>
    </row>
    <row r="407" spans="1:81">
      <c r="A407" s="571"/>
      <c r="C407" s="766"/>
      <c r="E407" s="726"/>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4"/>
      <c r="AG407" s="571"/>
      <c r="AH407" s="585"/>
      <c r="AI407" s="585"/>
      <c r="AJ407" s="585"/>
      <c r="AK407" s="585"/>
      <c r="AL407" s="767"/>
      <c r="AM407" s="605"/>
    </row>
    <row r="408" spans="1:81" s="585" customFormat="1" ht="12.75" customHeight="1">
      <c r="A408" s="571"/>
      <c r="B408" s="14"/>
      <c r="C408" s="766"/>
      <c r="D408" s="14"/>
      <c r="E408" s="726"/>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7"/>
      <c r="AM408" s="605"/>
      <c r="AN408" s="632"/>
    </row>
    <row r="409" spans="1:81" s="585" customFormat="1" ht="12.75" customHeight="1">
      <c r="A409" s="571"/>
      <c r="B409" s="14"/>
      <c r="C409" s="774"/>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7"/>
      <c r="AM409" s="605"/>
      <c r="AN409" s="632"/>
    </row>
    <row r="410" spans="1:81" s="585" customFormat="1" ht="12.75" customHeight="1">
      <c r="A410" s="571"/>
      <c r="B410" s="14"/>
      <c r="C410" s="1939" t="s">
        <v>601</v>
      </c>
      <c r="D410" s="1940"/>
      <c r="E410" s="726"/>
      <c r="F410" s="756" t="s">
        <v>1658</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8" t="s">
        <v>1641</v>
      </c>
      <c r="AG410" s="1998"/>
      <c r="AH410" s="1998"/>
      <c r="AI410" s="1998"/>
      <c r="AJ410" s="1998"/>
      <c r="AK410" s="1998"/>
      <c r="AL410" s="2028"/>
      <c r="AM410" s="605"/>
      <c r="AN410" s="632"/>
    </row>
    <row r="411" spans="1:81" s="585" customFormat="1" ht="12.75" customHeight="1">
      <c r="A411" s="571"/>
      <c r="B411" s="14"/>
      <c r="C411" s="774"/>
      <c r="AL411" s="767"/>
      <c r="AM411" s="605"/>
      <c r="AN411" s="632"/>
    </row>
    <row r="412" spans="1:81" s="585" customFormat="1" ht="12.75" customHeight="1">
      <c r="A412" s="571"/>
      <c r="B412" s="14"/>
      <c r="C412" s="1939" t="s">
        <v>601</v>
      </c>
      <c r="D412" s="1940"/>
      <c r="E412" s="754"/>
      <c r="F412" s="756" t="s">
        <v>1659</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8" t="s">
        <v>1653</v>
      </c>
      <c r="AG412" s="1998"/>
      <c r="AH412" s="1998"/>
      <c r="AI412" s="1998"/>
      <c r="AJ412" s="1998"/>
      <c r="AK412" s="1998"/>
      <c r="AL412" s="2028"/>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1660</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1661</v>
      </c>
      <c r="F416" s="1929" t="s">
        <v>1662</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9"/>
      <c r="AG416" s="749"/>
      <c r="AH416" s="749"/>
      <c r="AI416" s="749"/>
      <c r="AJ416" s="749"/>
      <c r="AK416" s="749"/>
      <c r="AL416" s="780"/>
      <c r="AM416" s="605"/>
      <c r="AN416" s="632"/>
    </row>
    <row r="417" spans="1:60" s="585" customFormat="1" ht="12.75" customHeight="1">
      <c r="A417" s="571"/>
      <c r="B417" s="14"/>
      <c r="C417" s="766"/>
      <c r="D417" s="14"/>
      <c r="E417" s="726"/>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4"/>
      <c r="AG417" s="571"/>
      <c r="AL417" s="767"/>
      <c r="AM417" s="605"/>
      <c r="AN417" s="632"/>
    </row>
    <row r="418" spans="1:60" s="585" customFormat="1" ht="12.4" customHeight="1">
      <c r="A418" s="571"/>
      <c r="B418" s="14"/>
      <c r="C418" s="766"/>
      <c r="D418" s="14"/>
      <c r="E418" s="726"/>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7"/>
      <c r="AM418" s="605"/>
      <c r="AN418" s="632"/>
    </row>
    <row r="419" spans="1:60" s="585" customFormat="1" ht="12.75" customHeight="1">
      <c r="A419" s="571"/>
      <c r="B419" s="14"/>
      <c r="C419" s="1939" t="s">
        <v>601</v>
      </c>
      <c r="D419" s="1940"/>
      <c r="E419" s="726"/>
      <c r="F419" s="756" t="s">
        <v>1663</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8" t="s">
        <v>1641</v>
      </c>
      <c r="AG419" s="1998"/>
      <c r="AH419" s="1998"/>
      <c r="AI419" s="1998"/>
      <c r="AJ419" s="1998"/>
      <c r="AK419" s="1998"/>
      <c r="AL419" s="2028"/>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1664</v>
      </c>
      <c r="F422" s="1929" t="s">
        <v>1665</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2"/>
      <c r="AG422" s="782"/>
      <c r="AH422" s="782"/>
      <c r="AI422" s="782"/>
      <c r="AJ422" s="782"/>
      <c r="AK422" s="782"/>
      <c r="AL422" s="783"/>
      <c r="AM422" s="605"/>
      <c r="AO422" s="585"/>
      <c r="AP422" s="585"/>
      <c r="BD422" s="14"/>
      <c r="BE422" s="14"/>
      <c r="BF422" s="14"/>
      <c r="BG422" s="14"/>
      <c r="BH422" s="14"/>
    </row>
    <row r="423" spans="1:60">
      <c r="A423" s="571"/>
      <c r="C423" s="766"/>
      <c r="E423" s="726"/>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9"/>
      <c r="AG423" s="629"/>
      <c r="AH423" s="629"/>
      <c r="AI423" s="629"/>
      <c r="AJ423" s="629"/>
      <c r="AK423" s="629"/>
      <c r="AL423" s="786"/>
      <c r="AM423" s="605"/>
      <c r="AO423" s="585"/>
      <c r="AP423" s="585"/>
    </row>
    <row r="424" spans="1:60" s="585" customFormat="1" ht="12.75" customHeight="1">
      <c r="A424" s="571"/>
      <c r="B424" s="14"/>
      <c r="C424" s="766"/>
      <c r="D424" s="14"/>
      <c r="E424" s="726"/>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9"/>
      <c r="AG424" s="629"/>
      <c r="AH424" s="629"/>
      <c r="AI424" s="629"/>
      <c r="AJ424" s="629"/>
      <c r="AK424" s="629"/>
      <c r="AL424" s="786"/>
      <c r="AM424" s="605"/>
      <c r="AN424" s="632"/>
    </row>
    <row r="425" spans="1:60" s="585" customFormat="1" ht="12.75" customHeight="1">
      <c r="A425" s="571"/>
      <c r="B425" s="14"/>
      <c r="C425" s="787"/>
      <c r="D425" s="765"/>
      <c r="E425" s="754"/>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9"/>
      <c r="AG426" s="629"/>
      <c r="AH426" s="629"/>
      <c r="AI426" s="629"/>
      <c r="AJ426" s="629"/>
      <c r="AK426" s="629"/>
      <c r="AL426" s="786"/>
      <c r="AM426" s="605"/>
      <c r="AN426" s="632"/>
    </row>
    <row r="427" spans="1:60" s="585" customFormat="1" ht="12.75" customHeight="1">
      <c r="A427" s="571"/>
      <c r="B427" s="14"/>
      <c r="C427" s="787"/>
      <c r="D427" s="765"/>
      <c r="E427" s="754"/>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9"/>
      <c r="AG427" s="629"/>
      <c r="AH427" s="629"/>
      <c r="AI427" s="629"/>
      <c r="AJ427" s="629"/>
      <c r="AK427" s="629"/>
      <c r="AL427" s="786"/>
      <c r="AM427" s="605"/>
      <c r="AN427" s="632"/>
    </row>
    <row r="428" spans="1:60" s="585" customFormat="1" ht="12.75" customHeight="1">
      <c r="A428" s="571"/>
      <c r="B428" s="14"/>
      <c r="C428" s="787"/>
      <c r="D428" s="765"/>
      <c r="E428" s="754"/>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9"/>
      <c r="AG428" s="629"/>
      <c r="AH428" s="629"/>
      <c r="AI428" s="629"/>
      <c r="AJ428" s="629"/>
      <c r="AK428" s="629"/>
      <c r="AL428" s="786"/>
      <c r="AM428" s="605"/>
      <c r="AN428" s="632"/>
    </row>
    <row r="429" spans="1:60" s="585" customFormat="1" ht="12.75" customHeight="1">
      <c r="A429" s="571"/>
      <c r="B429" s="14"/>
      <c r="C429" s="787"/>
      <c r="D429" s="765"/>
      <c r="E429" s="754"/>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9"/>
      <c r="AG429" s="629"/>
      <c r="AH429" s="629"/>
      <c r="AI429" s="629"/>
      <c r="AJ429" s="629"/>
      <c r="AK429" s="629"/>
      <c r="AL429" s="786"/>
      <c r="AM429" s="605"/>
      <c r="AN429" s="632"/>
    </row>
    <row r="430" spans="1:60" s="585" customFormat="1" ht="17.25" customHeight="1">
      <c r="A430" s="571"/>
      <c r="B430" s="14"/>
      <c r="C430" s="787"/>
      <c r="D430" s="765"/>
      <c r="E430" s="754"/>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7"/>
      <c r="AM430" s="605"/>
      <c r="AN430" s="632"/>
    </row>
    <row r="431" spans="1:60" s="585" customFormat="1" ht="12.75" customHeight="1">
      <c r="A431" s="571"/>
      <c r="B431" s="14"/>
      <c r="C431" s="1939" t="s">
        <v>601</v>
      </c>
      <c r="D431" s="1940"/>
      <c r="E431" s="754"/>
      <c r="F431" s="631" t="s">
        <v>1666</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8" t="s">
        <v>1641</v>
      </c>
      <c r="AG431" s="1998"/>
      <c r="AH431" s="1998"/>
      <c r="AI431" s="1998"/>
      <c r="AJ431" s="1998"/>
      <c r="AK431" s="1998"/>
      <c r="AL431" s="2028"/>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1667</v>
      </c>
      <c r="F434" s="1929" t="s">
        <v>1668</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6"/>
      <c r="AG435" s="626"/>
      <c r="AH435" s="626"/>
      <c r="AI435" s="626"/>
      <c r="AJ435" s="626"/>
      <c r="AK435" s="626"/>
      <c r="AL435" s="755"/>
      <c r="AM435" s="605"/>
      <c r="AN435" s="632"/>
      <c r="AO435" s="585" t="s">
        <v>1669</v>
      </c>
      <c r="AP435" s="585">
        <v>5</v>
      </c>
      <c r="AQ435" s="788"/>
    </row>
    <row r="436" spans="1:54" s="585" customFormat="1" ht="12.75" customHeight="1">
      <c r="A436" s="571"/>
      <c r="B436" s="14"/>
      <c r="C436" s="787"/>
      <c r="D436" s="765"/>
      <c r="E436" s="754"/>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6"/>
      <c r="AG436" s="626"/>
      <c r="AH436" s="626"/>
      <c r="AI436" s="626"/>
      <c r="AJ436" s="626"/>
      <c r="AK436" s="626"/>
      <c r="AL436" s="755"/>
      <c r="AM436" s="605"/>
      <c r="AN436" s="632"/>
      <c r="AO436" s="585" t="s">
        <v>1670</v>
      </c>
      <c r="AP436" s="585">
        <v>5</v>
      </c>
      <c r="AQ436" s="788"/>
    </row>
    <row r="437" spans="1:54" s="585" customFormat="1" ht="12.75" customHeight="1">
      <c r="A437" s="571"/>
      <c r="B437" s="14"/>
      <c r="C437" s="787"/>
      <c r="D437" s="765"/>
      <c r="E437" s="754"/>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7"/>
      <c r="AM437" s="605"/>
      <c r="AN437" s="632"/>
      <c r="AO437" s="585" t="s">
        <v>1671</v>
      </c>
      <c r="AP437" s="585">
        <v>5</v>
      </c>
      <c r="AQ437" s="571"/>
    </row>
    <row r="438" spans="1:54" s="585" customFormat="1" ht="12.75" customHeight="1">
      <c r="A438" s="571"/>
      <c r="B438" s="14"/>
      <c r="C438" s="1939" t="s">
        <v>601</v>
      </c>
      <c r="D438" s="1940"/>
      <c r="E438" s="754"/>
      <c r="F438" s="756" t="s">
        <v>1672</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8" t="s">
        <v>1641</v>
      </c>
      <c r="AG438" s="1998"/>
      <c r="AH438" s="1998"/>
      <c r="AI438" s="1998"/>
      <c r="AJ438" s="1998"/>
      <c r="AK438" s="1998"/>
      <c r="AL438" s="2028"/>
      <c r="AM438" s="605"/>
      <c r="AN438" s="789"/>
      <c r="AO438" s="585" t="s">
        <v>1673</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1674</v>
      </c>
      <c r="AP439" s="585">
        <v>5</v>
      </c>
    </row>
    <row r="440" spans="1:54" s="585" customFormat="1" ht="12.75" customHeight="1">
      <c r="A440" s="571"/>
      <c r="B440" s="14"/>
      <c r="C440" s="775"/>
      <c r="D440" s="768"/>
      <c r="E440" s="769"/>
      <c r="F440" s="762" t="s">
        <v>1648</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1675</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1676</v>
      </c>
      <c r="AP441" s="585">
        <v>5</v>
      </c>
    </row>
    <row r="442" spans="1:54" s="585" customFormat="1" ht="12.75" customHeight="1">
      <c r="A442" s="571"/>
      <c r="B442" s="14"/>
      <c r="C442" s="2053" t="s">
        <v>601</v>
      </c>
      <c r="D442" s="2054"/>
      <c r="E442" s="750" t="s">
        <v>1677</v>
      </c>
      <c r="F442" s="1929" t="s">
        <v>1678</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1641</v>
      </c>
      <c r="AG442" s="2024"/>
      <c r="AH442" s="2024"/>
      <c r="AI442" s="2024"/>
      <c r="AJ442" s="2024"/>
      <c r="AK442" s="2024"/>
      <c r="AL442" s="2025"/>
      <c r="AM442" s="605"/>
      <c r="AN442" s="789"/>
      <c r="AO442" s="585" t="s">
        <v>1679</v>
      </c>
      <c r="AP442" s="585">
        <v>1</v>
      </c>
    </row>
    <row r="443" spans="1:54" s="585" customFormat="1" ht="12.75" customHeight="1">
      <c r="A443" s="571"/>
      <c r="B443" s="14"/>
      <c r="C443" s="787"/>
      <c r="D443" s="765"/>
      <c r="E443" s="754"/>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6"/>
      <c r="AG443" s="626"/>
      <c r="AH443" s="626"/>
      <c r="AI443" s="626"/>
      <c r="AJ443" s="626"/>
      <c r="AK443" s="626"/>
      <c r="AL443" s="755"/>
      <c r="AM443" s="605"/>
      <c r="AN443" s="790"/>
      <c r="AS443" s="791"/>
      <c r="AW443" s="791" t="s">
        <v>1680</v>
      </c>
      <c r="BA443" s="791" t="s">
        <v>1681</v>
      </c>
    </row>
    <row r="444" spans="1:54" s="585" customFormat="1" ht="17.649999999999999" customHeight="1">
      <c r="A444" s="571"/>
      <c r="B444" s="14"/>
      <c r="C444" s="792"/>
      <c r="D444" s="758"/>
      <c r="E444" s="759"/>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1682</v>
      </c>
      <c r="AS445" s="672">
        <v>3</v>
      </c>
      <c r="AT445" s="628"/>
      <c r="AW445" s="794">
        <v>0.4</v>
      </c>
      <c r="AX445" s="628">
        <v>3</v>
      </c>
      <c r="BA445" s="794">
        <v>0.4</v>
      </c>
      <c r="BB445" s="628">
        <v>4</v>
      </c>
    </row>
    <row r="446" spans="1:54" s="585" customFormat="1" ht="12.75" customHeight="1">
      <c r="A446" s="571"/>
      <c r="B446" s="14"/>
      <c r="C446" s="1939" t="s">
        <v>601</v>
      </c>
      <c r="D446" s="1940"/>
      <c r="E446" s="750" t="s">
        <v>1683</v>
      </c>
      <c r="F446" s="1929" t="s">
        <v>1684</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1641</v>
      </c>
      <c r="AG446" s="2024"/>
      <c r="AH446" s="2024"/>
      <c r="AI446" s="2024"/>
      <c r="AJ446" s="2024"/>
      <c r="AK446" s="2024"/>
      <c r="AL446" s="2025"/>
      <c r="AM446" s="605"/>
      <c r="AN446" s="570"/>
      <c r="AO446" s="794">
        <v>0.12</v>
      </c>
      <c r="AP446" s="672">
        <v>5</v>
      </c>
      <c r="AR446" s="585" t="s">
        <v>1685</v>
      </c>
      <c r="AS446" s="672">
        <v>5</v>
      </c>
      <c r="AT446" s="628"/>
      <c r="AW446" s="794">
        <v>0.6</v>
      </c>
      <c r="AX446" s="628">
        <v>4</v>
      </c>
      <c r="BA446" s="794">
        <v>0.6</v>
      </c>
      <c r="BB446" s="628">
        <v>5</v>
      </c>
    </row>
    <row r="447" spans="1:54" s="585" customFormat="1" ht="12.75" customHeight="1">
      <c r="A447" s="571"/>
      <c r="B447" s="14"/>
      <c r="C447" s="766"/>
      <c r="D447" s="14"/>
      <c r="E447" s="726"/>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1686</v>
      </c>
      <c r="F451" s="1929" t="s">
        <v>1687</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9"/>
      <c r="AH451" s="749"/>
      <c r="AI451" s="749"/>
      <c r="AJ451" s="749"/>
      <c r="AK451" s="749"/>
      <c r="AL451" s="780"/>
      <c r="AM451" s="605"/>
      <c r="AN451" s="632"/>
    </row>
    <row r="452" spans="1:49" s="585" customFormat="1" ht="12.75" customHeight="1">
      <c r="A452" s="571"/>
      <c r="B452" s="14"/>
      <c r="C452" s="766"/>
      <c r="D452" s="14"/>
      <c r="E452" s="726"/>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7"/>
      <c r="AM452" s="605"/>
      <c r="AN452" s="632"/>
    </row>
    <row r="453" spans="1:49" s="585" customFormat="1" ht="12.75" customHeight="1">
      <c r="A453" s="571"/>
      <c r="B453" s="14"/>
      <c r="C453" s="774"/>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7"/>
      <c r="AM453" s="605"/>
      <c r="AN453" s="632"/>
    </row>
    <row r="454" spans="1:49" s="585" customFormat="1" ht="12.75" customHeight="1">
      <c r="A454" s="571"/>
      <c r="B454" s="14"/>
      <c r="C454" s="774"/>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7"/>
      <c r="AM454" s="605"/>
      <c r="AN454" s="632"/>
    </row>
    <row r="455" spans="1:49" s="585" customFormat="1" ht="12.75" customHeight="1">
      <c r="A455" s="571"/>
      <c r="B455" s="14"/>
      <c r="C455" s="1939" t="s">
        <v>601</v>
      </c>
      <c r="D455" s="1940"/>
      <c r="E455" s="754"/>
      <c r="F455" s="756" t="s">
        <v>1658</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28" t="s">
        <v>1641</v>
      </c>
      <c r="AG455" s="1928"/>
      <c r="AH455" s="1928"/>
      <c r="AI455" s="1928"/>
      <c r="AJ455" s="1928"/>
      <c r="AK455" s="1928"/>
      <c r="AL455" s="194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1688</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1689</v>
      </c>
      <c r="AK458" s="1925">
        <f>IF(Application!D213="N/A",AS347,AS349)</f>
        <v>10</v>
      </c>
      <c r="AL458" s="1926"/>
      <c r="AM458" s="192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1690</v>
      </c>
      <c r="C461" s="574"/>
      <c r="E461" s="631"/>
      <c r="AE461" s="1928" t="s">
        <v>1691</v>
      </c>
      <c r="AF461" s="1928"/>
      <c r="AG461" s="1928"/>
      <c r="AH461" s="1928"/>
      <c r="AI461" s="1928"/>
      <c r="AJ461" s="1928"/>
      <c r="AK461" s="1928"/>
      <c r="AL461" s="626"/>
      <c r="AN461" s="632"/>
      <c r="AO461" s="585" t="s">
        <v>1669</v>
      </c>
      <c r="AP461" s="585">
        <v>5</v>
      </c>
    </row>
    <row r="462" spans="1:49" s="585" customFormat="1" ht="12.75" hidden="1" customHeight="1">
      <c r="A462" s="574"/>
      <c r="B462" s="571" t="s">
        <v>1692</v>
      </c>
      <c r="C462" s="574"/>
      <c r="E462" s="631"/>
      <c r="AE462" s="626"/>
      <c r="AF462" s="626"/>
      <c r="AG462" s="626"/>
      <c r="AH462" s="626"/>
      <c r="AI462" s="626"/>
      <c r="AJ462" s="626"/>
      <c r="AK462" s="626"/>
      <c r="AL462" s="626"/>
      <c r="AN462" s="632"/>
      <c r="AO462" s="585" t="s">
        <v>1693</v>
      </c>
      <c r="AP462" s="585">
        <v>5</v>
      </c>
    </row>
    <row r="463" spans="1:49" s="585" customFormat="1" ht="12.75" hidden="1" customHeight="1">
      <c r="A463" s="574"/>
      <c r="B463" s="574" t="s">
        <v>1694</v>
      </c>
      <c r="C463" s="574"/>
      <c r="E463" s="631"/>
      <c r="AE463" s="626"/>
      <c r="AF463" s="626"/>
      <c r="AG463" s="626"/>
      <c r="AH463" s="626"/>
      <c r="AI463" s="626"/>
      <c r="AJ463" s="626"/>
      <c r="AK463" s="626"/>
      <c r="AL463" s="626"/>
      <c r="AN463" s="632"/>
      <c r="AO463" s="585" t="s">
        <v>1671</v>
      </c>
      <c r="AP463" s="585">
        <v>5</v>
      </c>
      <c r="AQ463" s="574"/>
      <c r="AR463" s="574"/>
      <c r="AS463" s="791"/>
      <c r="AW463" s="791"/>
    </row>
    <row r="464" spans="1:49" s="585" customFormat="1" ht="12.75" hidden="1" customHeight="1">
      <c r="A464" s="574"/>
      <c r="B464" s="574" t="s">
        <v>1695</v>
      </c>
      <c r="C464" s="574"/>
      <c r="E464" s="631"/>
      <c r="AE464" s="626"/>
      <c r="AF464" s="626"/>
      <c r="AG464" s="626"/>
      <c r="AH464" s="626"/>
      <c r="AI464" s="626"/>
      <c r="AJ464" s="626"/>
      <c r="AK464" s="626"/>
      <c r="AL464" s="626"/>
      <c r="AN464" s="632"/>
      <c r="AO464" s="585" t="s">
        <v>1673</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1674</v>
      </c>
      <c r="AP465" s="585">
        <v>5</v>
      </c>
      <c r="AQ465" s="574"/>
      <c r="AR465" s="574"/>
      <c r="AW465" s="714"/>
    </row>
    <row r="466" spans="1:50" s="585" customFormat="1" ht="12.75" hidden="1" customHeight="1">
      <c r="A466" s="574"/>
      <c r="C466" s="747" t="s">
        <v>1696</v>
      </c>
      <c r="D466" s="605"/>
      <c r="AE466" s="626"/>
      <c r="AF466" s="626"/>
      <c r="AG466" s="631"/>
      <c r="AH466" s="631"/>
      <c r="AI466" s="631"/>
      <c r="AJ466" s="631"/>
      <c r="AK466" s="631"/>
      <c r="AL466" s="631"/>
      <c r="AN466" s="632"/>
      <c r="AO466" s="585" t="s">
        <v>1675</v>
      </c>
      <c r="AP466" s="585">
        <v>5</v>
      </c>
      <c r="AW466" s="714"/>
    </row>
    <row r="467" spans="1:50" s="585" customFormat="1" ht="12.75" hidden="1" customHeight="1">
      <c r="A467" s="574"/>
      <c r="C467" s="2005" t="s">
        <v>601</v>
      </c>
      <c r="D467" s="2006"/>
      <c r="E467" s="797" t="s">
        <v>517</v>
      </c>
      <c r="F467" s="2026" t="s">
        <v>1697</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9"/>
      <c r="AG467" s="749"/>
      <c r="AH467" s="749"/>
      <c r="AI467" s="749"/>
      <c r="AJ467" s="749"/>
      <c r="AK467" s="780"/>
      <c r="AN467" s="632"/>
      <c r="AO467" s="585" t="s">
        <v>1698</v>
      </c>
      <c r="AP467" s="585">
        <v>5</v>
      </c>
      <c r="AS467" s="794"/>
      <c r="AT467" s="628"/>
      <c r="AW467" s="714"/>
      <c r="AX467" s="672"/>
    </row>
    <row r="468" spans="1:50" s="585" customFormat="1" ht="12.75" hidden="1" customHeight="1">
      <c r="C468" s="798"/>
      <c r="E468" s="799"/>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6"/>
      <c r="AH468" s="586"/>
      <c r="AI468" s="586"/>
      <c r="AJ468" s="586"/>
      <c r="AK468" s="767"/>
      <c r="AN468" s="632"/>
      <c r="AO468" s="585" t="s">
        <v>1679</v>
      </c>
      <c r="AP468" s="585">
        <v>1</v>
      </c>
    </row>
    <row r="469" spans="1:50" s="585" customFormat="1" ht="12.75" hidden="1" customHeight="1">
      <c r="C469" s="800"/>
      <c r="D469" s="762"/>
      <c r="E469" s="801"/>
      <c r="F469" s="2021" t="s">
        <v>601</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2"/>
      <c r="AB469" s="693"/>
      <c r="AC469" s="693"/>
      <c r="AD469" s="762"/>
      <c r="AE469" s="762"/>
      <c r="AF469" s="762"/>
      <c r="AG469" s="803">
        <f>IF($C$467="Yes",(VLOOKUP($F$469,$AO$434:$AP$442,2,FALSE)),0)</f>
        <v>0</v>
      </c>
      <c r="AH469" s="804" t="s">
        <v>1503</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2" t="s">
        <v>555</v>
      </c>
      <c r="D471" s="2023"/>
      <c r="E471" s="797" t="s">
        <v>770</v>
      </c>
      <c r="F471" s="805" t="s">
        <v>1699</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1700</v>
      </c>
      <c r="F472" s="807" t="s">
        <v>1701</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1702</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1703</v>
      </c>
      <c r="G474" s="585"/>
      <c r="H474" s="585"/>
      <c r="I474" s="807"/>
      <c r="J474" s="807"/>
      <c r="K474" s="807"/>
      <c r="L474" s="807"/>
      <c r="M474" s="807"/>
      <c r="N474" s="807"/>
      <c r="O474" s="807"/>
      <c r="P474" s="807"/>
      <c r="Q474" s="807"/>
      <c r="R474" s="807"/>
      <c r="S474" s="807"/>
      <c r="T474" s="807"/>
      <c r="U474" s="807"/>
      <c r="V474" s="1934" t="s">
        <v>601</v>
      </c>
      <c r="W474" s="1934"/>
      <c r="X474" s="1934"/>
      <c r="Y474" s="807"/>
      <c r="Z474" s="807"/>
      <c r="AA474" s="807"/>
      <c r="AB474" s="807"/>
      <c r="AC474" s="807"/>
      <c r="AD474" s="644"/>
      <c r="AE474" s="644"/>
      <c r="AF474" s="644"/>
      <c r="AG474" s="648">
        <f>IF(AND($C$471="Yes",$V$476="N/A",$V$481="N/A",$V$485="N/A",$V$487="N/A"),(VLOOKUP(V474,$AR$444:$AS$446,2,FALSE)),0)</f>
        <v>0</v>
      </c>
      <c r="AH474" s="675" t="s">
        <v>1503</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1704</v>
      </c>
      <c r="G476" s="585"/>
      <c r="H476" s="585"/>
      <c r="I476" s="807"/>
      <c r="J476" s="807"/>
      <c r="K476" s="807"/>
      <c r="L476" s="807"/>
      <c r="M476" s="807"/>
      <c r="N476" s="807"/>
      <c r="O476" s="807"/>
      <c r="P476" s="807"/>
      <c r="Q476" s="807"/>
      <c r="R476" s="807"/>
      <c r="S476" s="807"/>
      <c r="T476" s="807"/>
      <c r="U476" s="807"/>
      <c r="V476" s="1934" t="s">
        <v>601</v>
      </c>
      <c r="W476" s="1934"/>
      <c r="X476" s="1934"/>
      <c r="Y476" s="807"/>
      <c r="Z476" s="807"/>
      <c r="AA476" s="807"/>
      <c r="AB476" s="807"/>
      <c r="AC476" s="807"/>
      <c r="AD476" s="644"/>
      <c r="AE476" s="644"/>
      <c r="AF476" s="644"/>
      <c r="AG476" s="648">
        <f>IF(AND($C$471="Yes",$V$474="N/A", $V$481="N/A",$V$485="N/A",$V$487="N/A"),(VLOOKUP(V476,$AO$444:$AP$446,2,FALSE)),0)</f>
        <v>0</v>
      </c>
      <c r="AH476" s="675" t="s">
        <v>1503</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1705</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1706</v>
      </c>
      <c r="AP478" s="672">
        <v>2</v>
      </c>
    </row>
    <row r="479" spans="1:50" s="585" customFormat="1" ht="12.75" hidden="1" customHeight="1">
      <c r="C479" s="798"/>
      <c r="F479" s="644" t="s">
        <v>1707</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1708</v>
      </c>
      <c r="AP479" s="585">
        <v>2</v>
      </c>
    </row>
    <row r="480" spans="1:50" s="631" customFormat="1" ht="12.75" hidden="1" customHeight="1">
      <c r="A480" s="585"/>
      <c r="B480" s="585"/>
      <c r="C480" s="774"/>
      <c r="D480" s="605"/>
      <c r="E480" s="605"/>
      <c r="F480" s="644" t="s">
        <v>1709</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1710</v>
      </c>
      <c r="AP480" s="585">
        <v>2</v>
      </c>
    </row>
    <row r="481" spans="1:81" s="585" customFormat="1" ht="12.75" hidden="1" customHeight="1">
      <c r="C481" s="813"/>
      <c r="F481" s="811" t="s">
        <v>1711</v>
      </c>
      <c r="M481" s="799"/>
      <c r="N481" s="799"/>
      <c r="O481" s="799"/>
      <c r="P481" s="799"/>
      <c r="Q481" s="586"/>
      <c r="R481" s="586"/>
      <c r="S481" s="586"/>
      <c r="T481" s="586"/>
      <c r="U481" s="586"/>
      <c r="V481" s="1934" t="s">
        <v>601</v>
      </c>
      <c r="W481" s="1934"/>
      <c r="X481" s="1934"/>
      <c r="Y481" s="586"/>
      <c r="Z481" s="586"/>
      <c r="AA481" s="586"/>
      <c r="AB481" s="586"/>
      <c r="AC481" s="586"/>
      <c r="AG481" s="648">
        <f>IF(AND($C$471="Yes",$V$474="N/A",$V$476="N/A", $V$485="N/A",$V$487="N/A"),(VLOOKUP($V$481,$AO$448:$AP$450,2,FALSE)),0)</f>
        <v>0</v>
      </c>
      <c r="AH481" s="675" t="s">
        <v>1503</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1712</v>
      </c>
      <c r="D483" s="749"/>
      <c r="E483" s="749"/>
      <c r="F483" s="816" t="s">
        <v>1713</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08"/>
      <c r="E484" s="2008"/>
      <c r="F484" s="807" t="s">
        <v>1714</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1715</v>
      </c>
      <c r="AP484" s="672">
        <v>5</v>
      </c>
      <c r="AQ484" s="574"/>
    </row>
    <row r="485" spans="1:81" s="605" customFormat="1" ht="12.75" hidden="1" customHeight="1">
      <c r="A485" s="714"/>
      <c r="B485" s="585"/>
      <c r="C485" s="798"/>
      <c r="D485" s="585"/>
      <c r="E485" s="585"/>
      <c r="F485" s="818" t="s">
        <v>1703</v>
      </c>
      <c r="G485" s="585"/>
      <c r="H485" s="585"/>
      <c r="I485" s="585"/>
      <c r="J485" s="585"/>
      <c r="K485" s="585"/>
      <c r="L485" s="585"/>
      <c r="M485" s="585"/>
      <c r="N485" s="585"/>
      <c r="O485" s="585"/>
      <c r="P485" s="585"/>
      <c r="Q485" s="585"/>
      <c r="R485" s="585"/>
      <c r="S485" s="585"/>
      <c r="T485" s="585"/>
      <c r="U485" s="585"/>
      <c r="V485" s="1934" t="s">
        <v>601</v>
      </c>
      <c r="W485" s="1934"/>
      <c r="X485" s="1934"/>
      <c r="Y485" s="585"/>
      <c r="Z485" s="585"/>
      <c r="AA485" s="585"/>
      <c r="AB485" s="585"/>
      <c r="AC485" s="585"/>
      <c r="AD485" s="585"/>
      <c r="AE485" s="585"/>
      <c r="AF485" s="585"/>
      <c r="AG485" s="648">
        <f>IF(AND($C$471="Yes",$V$474="N/A",V476="N/A",$V$481="N/A",$V$487="N/A"),(VLOOKUP($V$485,$AW$444:$AX$447,2,FALSE)),0)</f>
        <v>0</v>
      </c>
      <c r="AH485" s="675" t="s">
        <v>1503</v>
      </c>
      <c r="AI485" s="586"/>
      <c r="AJ485" s="585"/>
      <c r="AK485" s="767"/>
      <c r="AL485" s="585"/>
      <c r="AM485" s="585"/>
      <c r="AN485" s="719"/>
      <c r="AO485" s="585" t="s">
        <v>1716</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1717</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1704</v>
      </c>
      <c r="G487" s="802"/>
      <c r="H487" s="802"/>
      <c r="I487" s="762"/>
      <c r="J487" s="762"/>
      <c r="K487" s="762"/>
      <c r="L487" s="762"/>
      <c r="M487" s="762"/>
      <c r="N487" s="762"/>
      <c r="O487" s="762"/>
      <c r="P487" s="762"/>
      <c r="Q487" s="762"/>
      <c r="R487" s="762"/>
      <c r="S487" s="762"/>
      <c r="T487" s="762"/>
      <c r="U487" s="762"/>
      <c r="V487" s="1934" t="s">
        <v>601</v>
      </c>
      <c r="W487" s="1934"/>
      <c r="X487" s="1934"/>
      <c r="Y487" s="762"/>
      <c r="Z487" s="762"/>
      <c r="AA487" s="762"/>
      <c r="AB487" s="762"/>
      <c r="AC487" s="762"/>
      <c r="AD487" s="762"/>
      <c r="AE487" s="762"/>
      <c r="AF487" s="762"/>
      <c r="AG487" s="819">
        <f>IF(AND($C$471="Yes",$V$474="N/A",$V$476="N/A",$V$481="N/A",$V$485="N/A"),(VLOOKUP($V$487,$BA$444:$BB$446,2,FALSE)),0)</f>
        <v>0</v>
      </c>
      <c r="AH487" s="804" t="s">
        <v>1503</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1718</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5" t="s">
        <v>601</v>
      </c>
      <c r="D490" s="2006"/>
      <c r="E490" s="797" t="s">
        <v>517</v>
      </c>
      <c r="F490" s="2026" t="s">
        <v>1697</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3" t="s">
        <v>601</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2"/>
      <c r="AB492" s="693"/>
      <c r="AC492" s="693"/>
      <c r="AD492" s="762"/>
      <c r="AE492" s="762"/>
      <c r="AF492" s="762"/>
      <c r="AG492" s="803">
        <f>IF($C$490="Yes",(VLOOKUP($F$492,$AO$460:$AP$468,2,FALSE)),0)</f>
        <v>0</v>
      </c>
      <c r="AH492" s="804" t="s">
        <v>1503</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5" t="s">
        <v>601</v>
      </c>
      <c r="D494" s="2006"/>
      <c r="E494" s="797" t="s">
        <v>770</v>
      </c>
      <c r="F494" s="2014" t="s">
        <v>1719</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1720</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16" t="s">
        <v>601</v>
      </c>
      <c r="G497" s="2016"/>
      <c r="H497" s="201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1503</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05" t="s">
        <v>601</v>
      </c>
      <c r="D499" s="2006"/>
      <c r="E499" s="797" t="s">
        <v>1721</v>
      </c>
      <c r="F499" s="816" t="s">
        <v>1722</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07"/>
      <c r="D501" s="2008"/>
      <c r="E501" s="808"/>
      <c r="F501" s="586" t="s">
        <v>1723</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1503</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09" t="s">
        <v>601</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0" t="s">
        <v>601</v>
      </c>
      <c r="D504" s="2011"/>
      <c r="F504" s="586" t="s">
        <v>1724</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1503</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1725</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1726</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0" t="s">
        <v>601</v>
      </c>
      <c r="D508" s="2011"/>
      <c r="F508" s="831" t="s">
        <v>1727</v>
      </c>
      <c r="G508" s="1930" t="s">
        <v>1728</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8">
        <f>IF(AND($C$508="Yes",$C$499="Yes"),2,0)</f>
        <v>0</v>
      </c>
      <c r="AH508" s="675" t="s">
        <v>1503</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1729</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7" t="s">
        <v>601</v>
      </c>
      <c r="D512" s="2018"/>
      <c r="E512" s="838" t="s">
        <v>1730</v>
      </c>
      <c r="F512" s="807" t="s">
        <v>1731</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1503</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19" t="s">
        <v>601</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1732</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1733</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2429</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1734</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2430</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1735</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1736</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1737</v>
      </c>
      <c r="AK524" s="1925">
        <f>SUM(AG468:AG513)</f>
        <v>0</v>
      </c>
      <c r="AL524" s="1926"/>
      <c r="AM524" s="192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1738</v>
      </c>
      <c r="B527" s="574" t="s">
        <v>1739</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1" t="s">
        <v>1740</v>
      </c>
      <c r="AF527" s="1931"/>
      <c r="AG527" s="1931"/>
      <c r="AH527" s="1931"/>
      <c r="AI527" s="1931"/>
      <c r="AJ527" s="1931"/>
      <c r="AK527" s="1931"/>
      <c r="AL527" s="630"/>
      <c r="AM527" s="630"/>
      <c r="AN527" s="632"/>
    </row>
    <row r="528" spans="1:81" s="585" customFormat="1" ht="12.75" customHeight="1">
      <c r="A528" s="574"/>
      <c r="B528" s="574" t="s">
        <v>1499</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0" t="s">
        <v>555</v>
      </c>
      <c r="D530" s="1940"/>
      <c r="E530" s="586"/>
      <c r="F530" s="1999" t="s">
        <v>1741</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30"/>
      <c r="AN530" s="632"/>
    </row>
    <row r="531" spans="1:49" s="585" customFormat="1" ht="12.75" customHeight="1">
      <c r="A531" s="574"/>
      <c r="B531" s="574"/>
      <c r="C531" s="586"/>
      <c r="D531" s="586"/>
      <c r="E531" s="586"/>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0" t="s">
        <v>601</v>
      </c>
      <c r="D533" s="1940"/>
      <c r="E533" s="842"/>
      <c r="F533" s="679" t="s">
        <v>1742</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7" t="s">
        <v>1743</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30"/>
      <c r="AN534" s="632"/>
      <c r="AS534" s="906"/>
      <c r="AT534" s="906"/>
      <c r="AU534" s="906"/>
      <c r="AV534" s="906"/>
      <c r="AW534" s="906"/>
    </row>
    <row r="535" spans="1:49" s="585" customFormat="1" ht="12.75" customHeight="1">
      <c r="B535" s="842"/>
      <c r="C535" s="842"/>
      <c r="D535" s="842"/>
      <c r="E535" s="842"/>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30"/>
      <c r="AN535" s="632"/>
    </row>
    <row r="536" spans="1:49" s="585" customFormat="1" ht="12.75" customHeight="1">
      <c r="B536" s="842"/>
      <c r="C536" s="842"/>
      <c r="D536" s="842"/>
      <c r="E536" s="842"/>
      <c r="F536" s="847" t="s">
        <v>2431</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7" t="s">
        <v>1744</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9"/>
      <c r="AM537" s="630"/>
      <c r="AN537" s="632"/>
    </row>
    <row r="538" spans="1:49" s="585" customFormat="1" ht="12.75" customHeight="1">
      <c r="B538" s="842"/>
      <c r="C538" s="842"/>
      <c r="D538" s="842"/>
      <c r="E538" s="842"/>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12">
        <f>Application!AJ961</f>
        <v>61497190</v>
      </c>
      <c r="AQ539" s="1912"/>
      <c r="AR539" s="1912"/>
    </row>
    <row r="540" spans="1:49" s="585" customFormat="1" ht="12.75" customHeight="1">
      <c r="A540" s="533"/>
      <c r="B540" s="482" t="s">
        <v>1745</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22">
        <f>'Sources and Uses Budget'!S107+'Sources and Uses Budget'!T107</f>
        <v>63468575.659999996</v>
      </c>
      <c r="AG540" s="1922"/>
      <c r="AH540" s="1922"/>
      <c r="AI540" s="1922"/>
      <c r="AJ540" s="1922"/>
      <c r="AK540" s="630"/>
      <c r="AL540" s="630"/>
      <c r="AM540" s="630"/>
      <c r="AN540" s="632"/>
    </row>
    <row r="541" spans="1:49" s="585" customFormat="1" ht="12.75" customHeight="1">
      <c r="A541" s="660"/>
      <c r="B541" s="660" t="s">
        <v>1746</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23">
        <f>IFERROR(AP548,0)</f>
        <v>103764557</v>
      </c>
      <c r="AG541" s="1923"/>
      <c r="AH541" s="1923"/>
      <c r="AI541" s="1923"/>
      <c r="AJ541" s="1923"/>
      <c r="AK541" s="630"/>
      <c r="AL541" s="630"/>
      <c r="AM541" s="630"/>
      <c r="AN541" s="632"/>
      <c r="AP541" s="1912">
        <f>Application!AJ1010</f>
        <v>0</v>
      </c>
      <c r="AQ541" s="1912"/>
      <c r="AR541" s="191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24">
        <f>IFERROR(ROUNDDOWN(IF(C533="YES",((1-(AF540/AF541))*2),(1-(AF540/AF541))),2),0)</f>
        <v>0.38</v>
      </c>
      <c r="AG542" s="1924"/>
      <c r="AH542" s="1924"/>
      <c r="AI542" s="1924"/>
      <c r="AJ542" s="1924"/>
      <c r="AK542" s="630"/>
      <c r="AL542" s="630"/>
      <c r="AM542" s="630"/>
      <c r="AN542" s="632"/>
      <c r="AP542" s="1913">
        <f>Application!AJ1014</f>
        <v>24598876</v>
      </c>
      <c r="AQ542" s="1913"/>
      <c r="AR542" s="191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32">
        <f>IF(((AP541+AP542)/AP539)&gt;0.8,0.8,((AP541+AP542)/AP539))</f>
        <v>0.4</v>
      </c>
      <c r="AQ543" s="1932"/>
      <c r="AR543" s="1932"/>
    </row>
    <row r="544" spans="1:49" s="585" customFormat="1" ht="12.75" customHeight="1">
      <c r="A544" s="659"/>
      <c r="B544" s="1978" t="s">
        <v>2432</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30"/>
      <c r="AL544" s="630"/>
      <c r="AM544" s="630"/>
      <c r="AN544" s="632"/>
    </row>
    <row r="545" spans="1:44" s="585" customFormat="1" ht="12.75" customHeight="1">
      <c r="A545" s="659"/>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30"/>
      <c r="AL545" s="630"/>
      <c r="AM545" s="630"/>
      <c r="AN545" s="632"/>
      <c r="AP545" s="1912">
        <f>AP546-AP541-AP542</f>
        <v>79165681</v>
      </c>
      <c r="AQ545" s="1933"/>
      <c r="AR545" s="1933"/>
    </row>
    <row r="546" spans="1:44" s="585" customFormat="1" ht="12.75" customHeight="1">
      <c r="A546" s="659"/>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30"/>
      <c r="AL546" s="630"/>
      <c r="AM546" s="630"/>
      <c r="AN546" s="632"/>
      <c r="AP546" s="1912">
        <f>Application!AJ1018</f>
        <v>103764557</v>
      </c>
      <c r="AQ546" s="1912"/>
      <c r="AR546" s="191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1747</v>
      </c>
      <c r="AK548" s="1987">
        <f>IFERROR(IF(AND(C530="N/A",C533="N/A"),0,IF(AF542=0,0,IF((AF542*100)&gt;12,12,(AF542*100)))),0)</f>
        <v>12</v>
      </c>
      <c r="AL548" s="1987"/>
      <c r="AM548" s="1988"/>
      <c r="AN548" s="632"/>
      <c r="AP548" s="1901">
        <f>AP545+(AP539*AP543)</f>
        <v>103764557</v>
      </c>
      <c r="AQ548" s="1902"/>
      <c r="AR548" s="190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2422</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1" t="s">
        <v>1489</v>
      </c>
      <c r="AF551" s="1931"/>
      <c r="AG551" s="1931"/>
      <c r="AH551" s="1931"/>
      <c r="AI551" s="1931"/>
      <c r="AJ551" s="1931"/>
      <c r="AK551" s="1931"/>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18" t="s">
        <v>2423</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7"/>
      <c r="AL553" s="608"/>
      <c r="AM553" s="638"/>
      <c r="AN553" s="632"/>
    </row>
    <row r="554" spans="1:44" s="585" customFormat="1" ht="12.75" customHeight="1">
      <c r="A554" s="638"/>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7"/>
      <c r="AL554" s="608"/>
      <c r="AM554" s="638"/>
      <c r="AN554" s="632"/>
    </row>
    <row r="555" spans="1:44" s="585" customFormat="1" ht="12.75" customHeight="1">
      <c r="A555" s="638"/>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7"/>
      <c r="AL555" s="608"/>
      <c r="AM555" s="638"/>
      <c r="AN555" s="632"/>
    </row>
    <row r="556" spans="1:44" s="585" customFormat="1" ht="12.75" customHeight="1">
      <c r="A556" s="638"/>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7"/>
      <c r="AL556" s="608"/>
      <c r="AM556" s="638"/>
      <c r="AN556" s="632"/>
    </row>
    <row r="557" spans="1:44" s="585" customFormat="1" ht="12.75" customHeight="1">
      <c r="A557" s="638"/>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7"/>
      <c r="AL557" s="608"/>
      <c r="AM557" s="638"/>
      <c r="AN557" s="632"/>
    </row>
    <row r="558" spans="1:44" s="585" customFormat="1" ht="12.75" customHeight="1">
      <c r="A558" s="638"/>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7"/>
      <c r="AL558" s="608"/>
      <c r="AM558" s="638"/>
      <c r="AN558" s="632"/>
    </row>
    <row r="559" spans="1:44" s="585" customFormat="1" ht="12.75" customHeight="1">
      <c r="A559" s="638"/>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7"/>
      <c r="AL559" s="608"/>
      <c r="AM559" s="638"/>
      <c r="AN559" s="632"/>
    </row>
    <row r="560" spans="1:44" ht="12.75" customHeight="1">
      <c r="A560" s="638"/>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7"/>
      <c r="AL560" s="608"/>
      <c r="AM560" s="638"/>
    </row>
    <row r="561" spans="1:42" s="585"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1569</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1570</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1961</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8" t="s">
        <v>1513</v>
      </c>
      <c r="AG567" s="1998"/>
      <c r="AH567" s="1998"/>
      <c r="AI567" s="1998"/>
      <c r="AJ567" s="1998"/>
      <c r="AK567" s="1998"/>
      <c r="AL567" s="1998"/>
      <c r="AN567" s="632"/>
    </row>
    <row r="568" spans="1:42" s="585" customFormat="1" ht="12.75" customHeight="1">
      <c r="B568" s="571"/>
      <c r="C568" s="651"/>
      <c r="D568" s="698"/>
      <c r="E568" s="874" t="s">
        <v>1962</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1963</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1964</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1965</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1966</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1967</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98" t="s">
        <v>1571</v>
      </c>
      <c r="AG574" s="1998"/>
      <c r="AH574" s="1998"/>
      <c r="AI574" s="1998"/>
      <c r="AJ574" s="1998"/>
      <c r="AK574" s="1998"/>
      <c r="AL574" s="1998"/>
      <c r="AN574" s="632"/>
    </row>
    <row r="575" spans="1:42" s="585" customFormat="1" ht="12.75" customHeight="1">
      <c r="B575" s="571"/>
      <c r="C575" s="970"/>
      <c r="D575" s="698"/>
      <c r="E575" s="874" t="s">
        <v>1968</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1969</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1971</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1970</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1572</v>
      </c>
      <c r="AP579" s="585">
        <v>4</v>
      </c>
    </row>
    <row r="580" spans="1:53" s="585" customFormat="1" ht="12.75" customHeight="1">
      <c r="B580" s="571"/>
      <c r="C580" s="968"/>
      <c r="D580" s="698" t="s">
        <v>280</v>
      </c>
      <c r="E580" s="874" t="s">
        <v>1972</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98" t="s">
        <v>1553</v>
      </c>
      <c r="AG580" s="1998"/>
      <c r="AH580" s="1998"/>
      <c r="AI580" s="1998"/>
      <c r="AJ580" s="1998"/>
      <c r="AK580" s="1998"/>
      <c r="AL580" s="1998"/>
      <c r="AN580" s="632"/>
      <c r="AO580" s="646" t="s">
        <v>1573</v>
      </c>
      <c r="AP580" s="585">
        <v>3</v>
      </c>
    </row>
    <row r="581" spans="1:53" s="585" customFormat="1" ht="12.75" customHeight="1">
      <c r="B581" s="571"/>
      <c r="C581" s="970"/>
      <c r="D581" s="698"/>
      <c r="E581" s="874" t="s">
        <v>1968</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1969</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1971</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1970</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1572</v>
      </c>
      <c r="E586" s="874" t="s">
        <v>1973</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98" t="s">
        <v>1574</v>
      </c>
      <c r="AG586" s="1998"/>
      <c r="AH586" s="1998"/>
      <c r="AI586" s="1998"/>
      <c r="AJ586" s="1998"/>
      <c r="AK586" s="1998"/>
      <c r="AL586" s="1998"/>
      <c r="AN586" s="632"/>
      <c r="AO586" s="585" t="str">
        <f>X623</f>
        <v>N/A</v>
      </c>
    </row>
    <row r="587" spans="1:53" s="585" customFormat="1" ht="12.75" customHeight="1">
      <c r="B587" s="571"/>
      <c r="C587" s="970"/>
      <c r="D587" s="698"/>
      <c r="E587" s="874" t="s">
        <v>1974</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1975</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2133</v>
      </c>
      <c r="O590" s="2036" t="s">
        <v>1328</v>
      </c>
      <c r="P590" s="2036"/>
      <c r="Q590" s="2036"/>
      <c r="R590" s="2036"/>
      <c r="S590" s="2036"/>
      <c r="T590" s="2036"/>
      <c r="U590" s="2036"/>
      <c r="V590" s="2036"/>
      <c r="W590" s="2036"/>
      <c r="X590" s="2036"/>
      <c r="Y590" s="2036"/>
      <c r="Z590" s="2036"/>
      <c r="AA590" s="2036"/>
      <c r="AB590" s="203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1573</v>
      </c>
      <c r="E592" s="874" t="s">
        <v>1977</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98" t="s">
        <v>1527</v>
      </c>
      <c r="AG592" s="1998"/>
      <c r="AH592" s="1998"/>
      <c r="AI592" s="1998"/>
      <c r="AJ592" s="1998"/>
      <c r="AK592" s="1998"/>
      <c r="AL592" s="1998"/>
      <c r="AN592" s="632"/>
    </row>
    <row r="593" spans="2:47" s="585" customFormat="1" ht="12.75" customHeight="1">
      <c r="B593" s="571"/>
      <c r="C593" s="968"/>
      <c r="D593" s="698"/>
      <c r="E593" s="874" t="s">
        <v>1976</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1575</v>
      </c>
      <c r="E595" s="973"/>
      <c r="F595" s="973"/>
      <c r="G595" s="973"/>
      <c r="H595" s="1942" t="s">
        <v>698</v>
      </c>
      <c r="I595" s="1942"/>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1978</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1979</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1980</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1981</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1575</v>
      </c>
      <c r="F603" s="973"/>
      <c r="G603" s="973"/>
      <c r="I603" s="2035" t="s">
        <v>601</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1"/>
      <c r="AG603" s="571"/>
      <c r="AH603" s="571"/>
      <c r="AI603" s="571"/>
      <c r="AJ603" s="571"/>
      <c r="AK603" s="571"/>
      <c r="AL603" s="571"/>
      <c r="AN603" s="632"/>
      <c r="AO603" s="585" t="s">
        <v>1576</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1577</v>
      </c>
      <c r="AP604" s="585">
        <v>2</v>
      </c>
    </row>
    <row r="605" spans="2:47" s="585" customFormat="1" ht="12.75" customHeight="1">
      <c r="B605" s="2033" t="s">
        <v>601</v>
      </c>
      <c r="C605" s="2033"/>
      <c r="D605" s="677"/>
      <c r="E605" s="1918" t="s">
        <v>1578</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7"/>
      <c r="AI605" s="677"/>
      <c r="AJ605" s="677"/>
      <c r="AK605" s="677"/>
      <c r="AL605" s="677"/>
      <c r="AN605" s="632"/>
    </row>
    <row r="606" spans="2:47" s="585" customFormat="1" ht="12.75" customHeight="1">
      <c r="B606" s="571"/>
      <c r="C606" s="970"/>
      <c r="D606" s="677"/>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7"/>
      <c r="AI606" s="677"/>
      <c r="AJ606" s="677"/>
      <c r="AK606" s="677"/>
      <c r="AL606" s="677"/>
      <c r="AN606" s="632"/>
    </row>
    <row r="607" spans="2:47" s="585" customFormat="1" ht="12.75" customHeight="1">
      <c r="B607" s="571"/>
      <c r="C607" s="970"/>
      <c r="D607" s="677"/>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7"/>
      <c r="AI607" s="677"/>
      <c r="AJ607" s="677"/>
      <c r="AK607" s="677"/>
      <c r="AL607" s="677"/>
      <c r="AN607" s="632"/>
    </row>
    <row r="608" spans="2:47" s="585" customFormat="1" ht="12.75" customHeight="1">
      <c r="B608" s="571"/>
      <c r="C608" s="970"/>
      <c r="D608" s="677"/>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1579</v>
      </c>
      <c r="AJ610" s="1925">
        <f>VLOOKUP($H$595,$AO$575:$AP$580,2,FALSE)+VLOOKUP($I$603,$AO$602:$AP$604,2,FALSE)</f>
        <v>7</v>
      </c>
      <c r="AK610" s="192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1580</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34" t="s">
        <v>1957</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4"/>
      <c r="AF614" s="1998" t="s">
        <v>1527</v>
      </c>
      <c r="AG614" s="1998"/>
      <c r="AH614" s="1998"/>
      <c r="AI614" s="1998"/>
      <c r="AJ614" s="1998"/>
      <c r="AK614" s="1998"/>
      <c r="AL614" s="1998"/>
      <c r="AM614" s="585"/>
      <c r="AN614" s="713"/>
    </row>
    <row r="615" spans="1:42" s="585" customFormat="1" ht="12.75" customHeight="1">
      <c r="A615" s="714"/>
      <c r="B615" s="571"/>
      <c r="C615" s="970"/>
      <c r="D615" s="698"/>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1"/>
      <c r="AF615" s="571"/>
      <c r="AG615" s="571"/>
      <c r="AH615" s="571"/>
      <c r="AI615" s="571"/>
      <c r="AJ615" s="571"/>
      <c r="AK615" s="571"/>
      <c r="AL615" s="571"/>
      <c r="AN615" s="632"/>
    </row>
    <row r="616" spans="1:42" s="585" customFormat="1" ht="12.75" customHeight="1">
      <c r="B616" s="571"/>
      <c r="C616" s="968"/>
      <c r="D616" s="698"/>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1"/>
      <c r="AF616" s="571"/>
      <c r="AG616" s="571"/>
      <c r="AH616" s="571"/>
      <c r="AI616" s="571"/>
      <c r="AJ616" s="571"/>
      <c r="AK616" s="571"/>
      <c r="AL616" s="571"/>
      <c r="AN616" s="632"/>
    </row>
    <row r="617" spans="1:42" s="585" customFormat="1" ht="12.75" customHeight="1">
      <c r="B617" s="571"/>
      <c r="C617" s="968"/>
      <c r="D617" s="698"/>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1"/>
      <c r="AF617" s="571"/>
      <c r="AG617" s="571"/>
      <c r="AH617" s="571"/>
      <c r="AI617" s="571"/>
      <c r="AJ617" s="571"/>
      <c r="AK617" s="571"/>
      <c r="AL617" s="571"/>
      <c r="AN617" s="632"/>
    </row>
    <row r="618" spans="1:42" s="585" customFormat="1" ht="12.75" customHeight="1">
      <c r="B618" s="571"/>
      <c r="C618" s="968"/>
      <c r="D618" s="698"/>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1"/>
      <c r="AF618" s="571"/>
      <c r="AG618" s="571"/>
      <c r="AH618" s="571"/>
      <c r="AI618" s="571"/>
      <c r="AJ618" s="571"/>
      <c r="AK618" s="571"/>
      <c r="AL618" s="571"/>
      <c r="AN618" s="632"/>
    </row>
    <row r="619" spans="1:42" s="585" customFormat="1" ht="12.75" customHeight="1">
      <c r="B619" s="571"/>
      <c r="C619" s="968"/>
      <c r="D619" s="698"/>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1"/>
      <c r="AF619" s="571"/>
      <c r="AG619" s="571"/>
      <c r="AH619" s="571"/>
      <c r="AI619" s="571"/>
      <c r="AJ619" s="571"/>
      <c r="AK619" s="571"/>
      <c r="AL619" s="571"/>
      <c r="AN619" s="632"/>
    </row>
    <row r="620" spans="1:42" s="585" customFormat="1" ht="12.75" customHeight="1">
      <c r="A620" s="672"/>
      <c r="B620" s="651"/>
      <c r="C620" s="977"/>
      <c r="D620" s="698"/>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1"/>
      <c r="AF620" s="651"/>
      <c r="AG620" s="651"/>
      <c r="AH620" s="651"/>
      <c r="AI620" s="651"/>
      <c r="AJ620" s="651"/>
      <c r="AK620" s="571"/>
      <c r="AL620" s="571"/>
      <c r="AN620" s="632"/>
    </row>
    <row r="621" spans="1:42" s="585" customFormat="1" ht="12.75" customHeight="1">
      <c r="B621" s="651"/>
      <c r="C621" s="977"/>
      <c r="D621" s="698"/>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1581</v>
      </c>
      <c r="F623" s="978"/>
      <c r="G623" s="978"/>
      <c r="H623" s="978"/>
      <c r="I623" s="978"/>
      <c r="J623" s="978"/>
      <c r="K623" s="978"/>
      <c r="L623" s="978"/>
      <c r="M623" s="978"/>
      <c r="N623" s="978"/>
      <c r="O623" s="978"/>
      <c r="P623" s="978"/>
      <c r="Q623" s="978"/>
      <c r="R623" s="978"/>
      <c r="U623" s="978"/>
      <c r="V623" s="978"/>
      <c r="W623" s="978"/>
      <c r="X623" s="2033" t="s">
        <v>601</v>
      </c>
      <c r="Y623" s="203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1582</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98" t="s">
        <v>1583</v>
      </c>
      <c r="AG625" s="1998"/>
      <c r="AH625" s="1998"/>
      <c r="AI625" s="1998"/>
      <c r="AJ625" s="1998"/>
      <c r="AK625" s="1998"/>
      <c r="AL625" s="1998"/>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1572</v>
      </c>
      <c r="AP626" s="715">
        <v>4</v>
      </c>
    </row>
    <row r="627" spans="1:42" s="585" customFormat="1" ht="12.75" customHeight="1">
      <c r="B627" s="571"/>
      <c r="C627" s="968"/>
      <c r="D627" s="571" t="s">
        <v>1575</v>
      </c>
      <c r="E627" s="973"/>
      <c r="F627" s="973"/>
      <c r="G627" s="973"/>
      <c r="H627" s="1942" t="s">
        <v>698</v>
      </c>
      <c r="I627" s="1942"/>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1573</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1584</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1585</v>
      </c>
      <c r="AJ629" s="1925">
        <f>VLOOKUP($H$627,$AO$594:$AP$596,2,FALSE)</f>
        <v>3</v>
      </c>
      <c r="AK629" s="1927"/>
      <c r="AL629" s="630"/>
      <c r="AN629" s="632"/>
      <c r="AO629" s="646" t="s">
        <v>1586</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1587</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18" t="s">
        <v>2523</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1"/>
      <c r="AF633" s="1998" t="s">
        <v>1527</v>
      </c>
      <c r="AG633" s="1998"/>
      <c r="AH633" s="1998"/>
      <c r="AI633" s="1998"/>
      <c r="AJ633" s="1998"/>
      <c r="AK633" s="1998"/>
      <c r="AL633" s="1998"/>
      <c r="AN633" s="632"/>
    </row>
    <row r="634" spans="1:42" s="585" customFormat="1" ht="12.75" customHeight="1">
      <c r="B634" s="571"/>
      <c r="C634" s="571"/>
      <c r="D634" s="698"/>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1588</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8" t="s">
        <v>1583</v>
      </c>
      <c r="AG636" s="1998"/>
      <c r="AH636" s="1998"/>
      <c r="AI636" s="1998"/>
      <c r="AJ636" s="1998"/>
      <c r="AK636" s="1998"/>
      <c r="AL636" s="1998"/>
      <c r="AN636" s="632"/>
    </row>
    <row r="637" spans="1:42" s="585" customFormat="1" ht="12.75" customHeight="1">
      <c r="B637" s="571"/>
      <c r="C637" s="968"/>
      <c r="D637" s="698"/>
      <c r="E637" s="651" t="s">
        <v>1589</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1575</v>
      </c>
      <c r="E639" s="973"/>
      <c r="F639" s="973"/>
      <c r="G639" s="973"/>
      <c r="H639" s="1942" t="s">
        <v>698</v>
      </c>
      <c r="I639" s="1942"/>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1590</v>
      </c>
      <c r="AJ641" s="1925">
        <f>VLOOKUP(H639,AT594:AU596,2,FALSE)</f>
        <v>3</v>
      </c>
      <c r="AK641" s="192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1591</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1592</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18" t="s">
        <v>1593</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1"/>
      <c r="AE646" s="571"/>
      <c r="AF646" s="1998" t="s">
        <v>1553</v>
      </c>
      <c r="AG646" s="1998"/>
      <c r="AH646" s="1998"/>
      <c r="AI646" s="1998"/>
      <c r="AJ646" s="1998"/>
      <c r="AK646" s="1998"/>
      <c r="AL646" s="1998"/>
      <c r="AN646" s="632"/>
    </row>
    <row r="647" spans="1:42" s="585" customFormat="1" ht="12.75" customHeight="1">
      <c r="B647" s="571"/>
      <c r="C647" s="574"/>
      <c r="D647" s="571"/>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1"/>
      <c r="AE647" s="571"/>
      <c r="AF647" s="571"/>
      <c r="AG647" s="571"/>
      <c r="AH647" s="571"/>
      <c r="AI647" s="571"/>
      <c r="AJ647" s="571"/>
      <c r="AK647" s="571"/>
      <c r="AL647" s="571"/>
      <c r="AN647" s="632"/>
    </row>
    <row r="648" spans="1:42" s="585" customFormat="1" ht="12.75" customHeight="1">
      <c r="B648" s="571"/>
      <c r="C648" s="574"/>
      <c r="D648" s="698"/>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18" t="s">
        <v>1594</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1"/>
      <c r="AE650" s="571"/>
      <c r="AF650" s="1998" t="s">
        <v>1574</v>
      </c>
      <c r="AG650" s="1998"/>
      <c r="AH650" s="1998"/>
      <c r="AI650" s="1998"/>
      <c r="AJ650" s="1998"/>
      <c r="AK650" s="1998"/>
      <c r="AL650" s="1998"/>
      <c r="AN650" s="632"/>
    </row>
    <row r="651" spans="1:42" s="585" customFormat="1" ht="12.75" customHeight="1">
      <c r="B651" s="571"/>
      <c r="C651" s="574"/>
      <c r="D651" s="571"/>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1"/>
      <c r="AE651" s="571"/>
      <c r="AF651" s="571"/>
      <c r="AG651" s="571"/>
      <c r="AH651" s="571"/>
      <c r="AI651" s="571"/>
      <c r="AJ651" s="571"/>
      <c r="AK651" s="571"/>
      <c r="AL651" s="571"/>
      <c r="AN651" s="632"/>
    </row>
    <row r="652" spans="1:42" s="585" customFormat="1" ht="15" customHeight="1">
      <c r="B652" s="571"/>
      <c r="C652" s="574"/>
      <c r="D652" s="698"/>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18" t="s">
        <v>1595</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1"/>
      <c r="AE654" s="571"/>
      <c r="AF654" s="1998" t="s">
        <v>1527</v>
      </c>
      <c r="AG654" s="1998"/>
      <c r="AH654" s="1998"/>
      <c r="AI654" s="1998"/>
      <c r="AJ654" s="1998"/>
      <c r="AK654" s="1998"/>
      <c r="AL654" s="1998"/>
      <c r="AN654" s="632"/>
    </row>
    <row r="655" spans="1:42" s="585" customFormat="1" ht="12.75" customHeight="1">
      <c r="B655" s="571"/>
      <c r="C655" s="968"/>
      <c r="D655" s="571"/>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1"/>
      <c r="AE655" s="1998"/>
      <c r="AF655" s="1998"/>
      <c r="AG655" s="1998"/>
      <c r="AH655" s="1998"/>
      <c r="AI655" s="1998"/>
      <c r="AJ655" s="1998"/>
      <c r="AK655" s="1998"/>
      <c r="AL655" s="629"/>
      <c r="AN655" s="632"/>
      <c r="AO655" s="585" t="s">
        <v>601</v>
      </c>
      <c r="AP655" s="708">
        <v>0</v>
      </c>
    </row>
    <row r="656" spans="1:42" s="585" customFormat="1" ht="12.75" customHeight="1">
      <c r="A656" s="714"/>
      <c r="B656" s="571"/>
      <c r="C656" s="571"/>
      <c r="D656" s="698"/>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1572</v>
      </c>
      <c r="E658" s="1918" t="s">
        <v>1596</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1"/>
      <c r="AE658" s="571"/>
      <c r="AF658" s="1998" t="s">
        <v>1574</v>
      </c>
      <c r="AG658" s="1998"/>
      <c r="AH658" s="1998"/>
      <c r="AI658" s="1998"/>
      <c r="AJ658" s="1998"/>
      <c r="AK658" s="1998"/>
      <c r="AL658" s="1998"/>
      <c r="AN658" s="632"/>
    </row>
    <row r="659" spans="1:42" s="585" customFormat="1" ht="12.75" customHeight="1">
      <c r="A659" s="705"/>
      <c r="B659" s="571"/>
      <c r="C659" s="984"/>
      <c r="D659" s="698"/>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1573</v>
      </c>
      <c r="E662" s="1918" t="s">
        <v>1597</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1"/>
      <c r="AE662" s="571"/>
      <c r="AF662" s="1998" t="s">
        <v>1527</v>
      </c>
      <c r="AG662" s="1998"/>
      <c r="AH662" s="1998"/>
      <c r="AI662" s="1998"/>
      <c r="AJ662" s="1998"/>
      <c r="AK662" s="1998"/>
      <c r="AL662" s="1998"/>
      <c r="AM662" s="631"/>
      <c r="AN662" s="632"/>
    </row>
    <row r="663" spans="1:42" s="585" customFormat="1" ht="12.75" customHeight="1">
      <c r="B663" s="571"/>
      <c r="C663" s="968"/>
      <c r="D663" s="698"/>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1"/>
      <c r="AE663" s="571"/>
      <c r="AF663" s="571"/>
      <c r="AG663" s="571"/>
      <c r="AH663" s="571"/>
      <c r="AI663" s="571"/>
      <c r="AJ663" s="571"/>
      <c r="AK663" s="571"/>
      <c r="AL663" s="571"/>
      <c r="AM663" s="631"/>
      <c r="AN663" s="632"/>
    </row>
    <row r="664" spans="1:42" s="585" customFormat="1" ht="12.75" customHeight="1">
      <c r="B664" s="571"/>
      <c r="C664" s="968"/>
      <c r="D664" s="698"/>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1584</v>
      </c>
      <c r="E666" s="1918" t="s">
        <v>1598</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1"/>
      <c r="AE666" s="571"/>
      <c r="AF666" s="1998" t="s">
        <v>1583</v>
      </c>
      <c r="AG666" s="1998"/>
      <c r="AH666" s="1998"/>
      <c r="AI666" s="1998"/>
      <c r="AJ666" s="1998"/>
      <c r="AK666" s="1998"/>
      <c r="AL666" s="1998"/>
      <c r="AM666" s="631"/>
      <c r="AN666" s="632"/>
    </row>
    <row r="667" spans="1:42" s="585" customFormat="1" ht="12.75" customHeight="1">
      <c r="A667" s="714"/>
      <c r="B667" s="571"/>
      <c r="C667" s="968"/>
      <c r="D667" s="698"/>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1586</v>
      </c>
      <c r="E670" s="1918" t="s">
        <v>1599</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1"/>
      <c r="AE670" s="571"/>
      <c r="AF670" s="1998" t="s">
        <v>1600</v>
      </c>
      <c r="AG670" s="1998"/>
      <c r="AH670" s="1998"/>
      <c r="AI670" s="1998"/>
      <c r="AJ670" s="1998"/>
      <c r="AK670" s="1998"/>
      <c r="AL670" s="1998"/>
      <c r="AM670" s="631"/>
      <c r="AN670" s="632"/>
      <c r="AO670" s="646" t="s">
        <v>698</v>
      </c>
      <c r="AP670" s="585">
        <v>3</v>
      </c>
    </row>
    <row r="671" spans="1:42" s="585" customFormat="1" ht="12.75" customHeight="1">
      <c r="A671" s="714"/>
      <c r="B671" s="571"/>
      <c r="C671" s="968"/>
      <c r="D671" s="698"/>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1575</v>
      </c>
      <c r="E674" s="973"/>
      <c r="F674" s="973"/>
      <c r="G674" s="973"/>
      <c r="H674" s="1942" t="s">
        <v>698</v>
      </c>
      <c r="I674" s="1942"/>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1601</v>
      </c>
      <c r="AJ676" s="1925">
        <f>VLOOKUP($H$674,$AO$622:$AP$629,2,FALSE)</f>
        <v>5</v>
      </c>
      <c r="AK676" s="192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2562</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18" t="s">
        <v>2560</v>
      </c>
      <c r="F680" s="1918"/>
      <c r="G680" s="1918"/>
      <c r="H680" s="1918"/>
      <c r="I680" s="1918"/>
      <c r="J680" s="1918"/>
      <c r="K680" s="1918"/>
      <c r="L680" s="1918"/>
      <c r="M680" s="1918"/>
      <c r="N680" s="1918"/>
      <c r="O680" s="1918"/>
      <c r="P680" s="1918"/>
      <c r="Q680" s="1918"/>
      <c r="R680" s="1918"/>
      <c r="S680" s="1918"/>
      <c r="T680" s="1918"/>
      <c r="U680" s="1918"/>
      <c r="V680" s="1918"/>
      <c r="W680" s="1918"/>
      <c r="X680" s="1918"/>
      <c r="Y680" s="1918"/>
      <c r="Z680" s="1918"/>
      <c r="AA680" s="1918"/>
      <c r="AB680" s="1918"/>
      <c r="AC680" s="571"/>
      <c r="AD680" s="571"/>
      <c r="AE680" s="571"/>
      <c r="AF680" s="1998" t="s">
        <v>1527</v>
      </c>
      <c r="AG680" s="1998"/>
      <c r="AH680" s="1998"/>
      <c r="AI680" s="1998"/>
      <c r="AJ680" s="1998"/>
      <c r="AK680" s="1998"/>
      <c r="AL680" s="1998"/>
      <c r="AN680" s="632"/>
    </row>
    <row r="681" spans="1:42" s="585" customFormat="1" ht="12.75" customHeight="1">
      <c r="B681" s="571"/>
      <c r="C681" s="977"/>
      <c r="D681" s="698"/>
      <c r="E681" s="1918"/>
      <c r="F681" s="1918"/>
      <c r="G681" s="1918"/>
      <c r="H681" s="1918"/>
      <c r="I681" s="1918"/>
      <c r="J681" s="1918"/>
      <c r="K681" s="1918"/>
      <c r="L681" s="1918"/>
      <c r="M681" s="1918"/>
      <c r="N681" s="1918"/>
      <c r="O681" s="1918"/>
      <c r="P681" s="1918"/>
      <c r="Q681" s="1918"/>
      <c r="R681" s="1918"/>
      <c r="S681" s="1918"/>
      <c r="T681" s="1918"/>
      <c r="U681" s="1918"/>
      <c r="V681" s="1918"/>
      <c r="W681" s="1918"/>
      <c r="X681" s="1918"/>
      <c r="Y681" s="1918"/>
      <c r="Z681" s="1918"/>
      <c r="AA681" s="1918"/>
      <c r="AB681" s="1918"/>
      <c r="AC681" s="571"/>
      <c r="AD681" s="571"/>
      <c r="AE681" s="651"/>
      <c r="AF681" s="571"/>
      <c r="AG681" s="571"/>
      <c r="AH681" s="571"/>
      <c r="AI681" s="571"/>
      <c r="AJ681" s="571"/>
      <c r="AK681" s="571"/>
      <c r="AL681" s="571"/>
      <c r="AN681" s="632"/>
      <c r="AO681" s="1933"/>
      <c r="AP681" s="1933"/>
    </row>
    <row r="682" spans="1:42" s="585" customFormat="1" ht="12.75" customHeight="1">
      <c r="B682" s="571"/>
      <c r="C682" s="977"/>
      <c r="D682" s="698"/>
      <c r="E682" s="1918"/>
      <c r="F682" s="1918"/>
      <c r="G682" s="1918"/>
      <c r="H682" s="1918"/>
      <c r="I682" s="1918"/>
      <c r="J682" s="1918"/>
      <c r="K682" s="1918"/>
      <c r="L682" s="1918"/>
      <c r="M682" s="1918"/>
      <c r="N682" s="1918"/>
      <c r="O682" s="1918"/>
      <c r="P682" s="1918"/>
      <c r="Q682" s="1918"/>
      <c r="R682" s="1918"/>
      <c r="S682" s="1918"/>
      <c r="T682" s="1918"/>
      <c r="U682" s="1918"/>
      <c r="V682" s="1918"/>
      <c r="W682" s="1918"/>
      <c r="X682" s="1918"/>
      <c r="Y682" s="1918"/>
      <c r="Z682" s="1918"/>
      <c r="AA682" s="1918"/>
      <c r="AB682" s="1918"/>
      <c r="AC682" s="571"/>
      <c r="AD682" s="571"/>
      <c r="AE682" s="651"/>
      <c r="AF682" s="651"/>
      <c r="AG682" s="651"/>
      <c r="AH682" s="651"/>
      <c r="AI682" s="651"/>
      <c r="AJ682" s="651"/>
      <c r="AK682" s="651"/>
      <c r="AL682" s="651"/>
      <c r="AN682" s="632"/>
    </row>
    <row r="683" spans="1:42" s="585" customFormat="1" ht="28.5" customHeight="1">
      <c r="B683" s="571"/>
      <c r="C683" s="977"/>
      <c r="D683" s="698"/>
      <c r="E683" s="1918"/>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18" t="s">
        <v>2561</v>
      </c>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1"/>
      <c r="AD685" s="571"/>
      <c r="AE685" s="571"/>
      <c r="AF685" s="1998" t="s">
        <v>1583</v>
      </c>
      <c r="AG685" s="1998"/>
      <c r="AH685" s="1998"/>
      <c r="AI685" s="1998"/>
      <c r="AJ685" s="1998"/>
      <c r="AK685" s="1998"/>
      <c r="AL685" s="1998"/>
      <c r="AN685" s="632"/>
      <c r="AO685" s="646" t="s">
        <v>519</v>
      </c>
      <c r="AP685" s="585">
        <v>1</v>
      </c>
    </row>
    <row r="686" spans="1:42" s="585" customFormat="1" ht="12" customHeight="1">
      <c r="B686" s="571"/>
      <c r="C686" s="968"/>
      <c r="D686" s="571"/>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1"/>
      <c r="AD686" s="571"/>
      <c r="AE686" s="651"/>
      <c r="AF686" s="571"/>
      <c r="AG686" s="571"/>
      <c r="AH686" s="571"/>
      <c r="AI686" s="571"/>
      <c r="AJ686" s="571"/>
      <c r="AK686" s="571"/>
      <c r="AL686" s="571"/>
      <c r="AN686" s="632"/>
    </row>
    <row r="687" spans="1:42" s="585" customFormat="1" ht="12" customHeight="1">
      <c r="B687" s="571"/>
      <c r="C687" s="968"/>
      <c r="D687" s="571"/>
      <c r="E687" s="1918"/>
      <c r="F687" s="1918"/>
      <c r="G687" s="1918"/>
      <c r="H687" s="1918"/>
      <c r="I687" s="1918"/>
      <c r="J687" s="1918"/>
      <c r="K687" s="1918"/>
      <c r="L687" s="1918"/>
      <c r="M687" s="1918"/>
      <c r="N687" s="1918"/>
      <c r="O687" s="1918"/>
      <c r="P687" s="1918"/>
      <c r="Q687" s="1918"/>
      <c r="R687" s="1918"/>
      <c r="S687" s="1918"/>
      <c r="T687" s="1918"/>
      <c r="U687" s="1918"/>
      <c r="V687" s="1918"/>
      <c r="W687" s="1918"/>
      <c r="X687" s="1918"/>
      <c r="Y687" s="1918"/>
      <c r="Z687" s="1918"/>
      <c r="AA687" s="1918"/>
      <c r="AB687" s="191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18"/>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18" t="s">
        <v>1956</v>
      </c>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1575</v>
      </c>
      <c r="E694" s="973"/>
      <c r="F694" s="973"/>
      <c r="G694" s="973"/>
      <c r="H694" s="1942" t="s">
        <v>601</v>
      </c>
      <c r="I694" s="1942"/>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1602</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1580</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2563</v>
      </c>
      <c r="AJ696" s="1925">
        <f>VLOOKUP($H$694,$AO$641:$AP$643,2,FALSE)</f>
        <v>0</v>
      </c>
      <c r="AK696" s="1927"/>
      <c r="AL696" s="630"/>
      <c r="AM696" s="585"/>
      <c r="AN696" s="719"/>
      <c r="AP696" s="605" t="s">
        <v>1587</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1603</v>
      </c>
    </row>
    <row r="698" spans="1:42" s="605" customFormat="1" ht="12.75" customHeight="1">
      <c r="A698" s="585"/>
      <c r="B698" s="571"/>
      <c r="C698" s="574" t="s">
        <v>1604</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1605</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1606</v>
      </c>
    </row>
    <row r="700" spans="1:42" s="605" customFormat="1" ht="12.75" customHeight="1">
      <c r="A700" s="672"/>
      <c r="B700" s="571"/>
      <c r="C700" s="968"/>
      <c r="D700" s="698" t="s">
        <v>698</v>
      </c>
      <c r="E700" s="2031" t="s">
        <v>1958</v>
      </c>
      <c r="F700" s="2031"/>
      <c r="G700" s="2031"/>
      <c r="H700" s="2031"/>
      <c r="I700" s="2031"/>
      <c r="J700" s="2031"/>
      <c r="K700" s="2031"/>
      <c r="L700" s="2031"/>
      <c r="M700" s="2031"/>
      <c r="N700" s="2031"/>
      <c r="O700" s="2031"/>
      <c r="P700" s="2031"/>
      <c r="Q700" s="2031"/>
      <c r="R700" s="2031"/>
      <c r="S700" s="2031"/>
      <c r="T700" s="2031"/>
      <c r="U700" s="2031"/>
      <c r="V700" s="2031"/>
      <c r="W700" s="2031"/>
      <c r="X700" s="2031"/>
      <c r="Y700" s="2031"/>
      <c r="Z700" s="2031"/>
      <c r="AA700" s="2031"/>
      <c r="AB700" s="2031"/>
      <c r="AC700" s="571"/>
      <c r="AD700" s="571"/>
      <c r="AE700" s="571"/>
      <c r="AF700" s="1998" t="s">
        <v>1527</v>
      </c>
      <c r="AG700" s="1998"/>
      <c r="AH700" s="1998"/>
      <c r="AI700" s="1998"/>
      <c r="AJ700" s="1998"/>
      <c r="AK700" s="1998"/>
      <c r="AL700" s="1998"/>
      <c r="AM700" s="585"/>
      <c r="AN700" s="719"/>
      <c r="AP700" s="605" t="s">
        <v>1607</v>
      </c>
    </row>
    <row r="701" spans="1:42" s="605" customFormat="1" ht="11.85" customHeight="1">
      <c r="A701" s="585"/>
      <c r="B701" s="571"/>
      <c r="C701" s="970"/>
      <c r="D701" s="698"/>
      <c r="E701" s="2031"/>
      <c r="F701" s="2031"/>
      <c r="G701" s="2031"/>
      <c r="H701" s="2031"/>
      <c r="I701" s="2031"/>
      <c r="J701" s="2031"/>
      <c r="K701" s="2031"/>
      <c r="L701" s="2031"/>
      <c r="M701" s="2031"/>
      <c r="N701" s="2031"/>
      <c r="O701" s="2031"/>
      <c r="P701" s="2031"/>
      <c r="Q701" s="2031"/>
      <c r="R701" s="2031"/>
      <c r="S701" s="2031"/>
      <c r="T701" s="2031"/>
      <c r="U701" s="2031"/>
      <c r="V701" s="2031"/>
      <c r="W701" s="2031"/>
      <c r="X701" s="2031"/>
      <c r="Y701" s="2031"/>
      <c r="Z701" s="2031"/>
      <c r="AA701" s="2031"/>
      <c r="AB701" s="2031"/>
      <c r="AC701" s="571"/>
      <c r="AD701" s="571"/>
      <c r="AE701" s="571"/>
      <c r="AF701" s="571"/>
      <c r="AG701" s="571"/>
      <c r="AH701" s="571"/>
      <c r="AI701" s="571"/>
      <c r="AJ701" s="571"/>
      <c r="AK701" s="571"/>
      <c r="AL701" s="571"/>
      <c r="AM701" s="585"/>
      <c r="AN701" s="719"/>
      <c r="AP701" s="605" t="s">
        <v>1608</v>
      </c>
    </row>
    <row r="702" spans="1:42" s="605" customFormat="1" ht="13.9" customHeight="1">
      <c r="A702" s="585"/>
      <c r="B702" s="645"/>
      <c r="C702" s="968"/>
      <c r="D702" s="698"/>
      <c r="E702" s="2031"/>
      <c r="F702" s="2031"/>
      <c r="G702" s="2031"/>
      <c r="H702" s="2031"/>
      <c r="I702" s="2031"/>
      <c r="J702" s="2031"/>
      <c r="K702" s="2031"/>
      <c r="L702" s="2031"/>
      <c r="M702" s="2031"/>
      <c r="N702" s="2031"/>
      <c r="O702" s="2031"/>
      <c r="P702" s="2031"/>
      <c r="Q702" s="2031"/>
      <c r="R702" s="2031"/>
      <c r="S702" s="2031"/>
      <c r="T702" s="2031"/>
      <c r="U702" s="2031"/>
      <c r="V702" s="2031"/>
      <c r="W702" s="2031"/>
      <c r="X702" s="2031"/>
      <c r="Y702" s="2031"/>
      <c r="Z702" s="2031"/>
      <c r="AA702" s="2031"/>
      <c r="AB702" s="2031"/>
      <c r="AC702" s="571"/>
      <c r="AD702" s="571"/>
      <c r="AE702" s="651"/>
      <c r="AF702" s="571"/>
      <c r="AG702" s="571"/>
      <c r="AH702" s="571"/>
      <c r="AI702" s="571"/>
      <c r="AJ702" s="571"/>
      <c r="AK702" s="571"/>
      <c r="AL702" s="571"/>
      <c r="AM702" s="585"/>
      <c r="AN702" s="719"/>
      <c r="AP702" s="605" t="s">
        <v>1609</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1611</v>
      </c>
    </row>
    <row r="704" spans="1:42" s="605" customFormat="1" ht="13.9" customHeight="1">
      <c r="A704" s="585"/>
      <c r="B704" s="571"/>
      <c r="C704" s="968"/>
      <c r="D704" s="698" t="s">
        <v>519</v>
      </c>
      <c r="E704" s="2032" t="s">
        <v>1610</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1"/>
      <c r="AD704" s="571"/>
      <c r="AE704" s="571"/>
      <c r="AF704" s="1998" t="s">
        <v>1583</v>
      </c>
      <c r="AG704" s="1998"/>
      <c r="AH704" s="1998"/>
      <c r="AI704" s="1998"/>
      <c r="AJ704" s="1998"/>
      <c r="AK704" s="1998"/>
      <c r="AL704" s="1998"/>
      <c r="AM704" s="585"/>
      <c r="AN704" s="720"/>
    </row>
    <row r="705" spans="1:52" s="605" customFormat="1" ht="12.75" customHeight="1">
      <c r="A705" s="585"/>
      <c r="B705" s="571"/>
      <c r="C705" s="970"/>
      <c r="D705" s="571"/>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1575</v>
      </c>
      <c r="E708" s="973"/>
      <c r="F708" s="973"/>
      <c r="G708" s="973"/>
      <c r="H708" s="1942" t="s">
        <v>601</v>
      </c>
      <c r="I708" s="1942"/>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1612</v>
      </c>
      <c r="AJ710" s="1925">
        <f>VLOOKUP($H$708,$AO$641:$AP$643,2,FALSE)</f>
        <v>0</v>
      </c>
      <c r="AK710" s="1927"/>
      <c r="AL710" s="630"/>
      <c r="AM710" s="585"/>
      <c r="AN710" s="719"/>
      <c r="AP710" s="1925"/>
      <c r="AQ710" s="192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1613</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18" t="s">
        <v>1959</v>
      </c>
      <c r="F714" s="1918"/>
      <c r="G714" s="1918"/>
      <c r="H714" s="1918"/>
      <c r="I714" s="1918"/>
      <c r="J714" s="1918"/>
      <c r="K714" s="1918"/>
      <c r="L714" s="1918"/>
      <c r="M714" s="1918"/>
      <c r="N714" s="1918"/>
      <c r="O714" s="1918"/>
      <c r="P714" s="1918"/>
      <c r="Q714" s="1918"/>
      <c r="R714" s="1918"/>
      <c r="S714" s="1918"/>
      <c r="T714" s="1918"/>
      <c r="U714" s="1918"/>
      <c r="V714" s="1918"/>
      <c r="W714" s="1918"/>
      <c r="X714" s="1918"/>
      <c r="Y714" s="1918"/>
      <c r="Z714" s="1918"/>
      <c r="AA714" s="1918"/>
      <c r="AB714" s="1918"/>
      <c r="AC714" s="571"/>
      <c r="AD714" s="571"/>
      <c r="AE714" s="571"/>
      <c r="AF714" s="1998" t="s">
        <v>1527</v>
      </c>
      <c r="AG714" s="1998"/>
      <c r="AH714" s="1998"/>
      <c r="AI714" s="1998"/>
      <c r="AJ714" s="1998"/>
      <c r="AK714" s="1998"/>
      <c r="AL714" s="1998"/>
      <c r="AM714" s="585"/>
      <c r="AN714" s="719"/>
      <c r="AT714" s="14"/>
      <c r="AU714" s="14"/>
      <c r="AV714" s="14"/>
      <c r="AW714" s="14"/>
      <c r="AX714" s="14"/>
      <c r="AY714" s="14"/>
      <c r="AZ714" s="14"/>
    </row>
    <row r="715" spans="1:52" s="605" customFormat="1">
      <c r="A715" s="585"/>
      <c r="B715" s="571"/>
      <c r="C715" s="970"/>
      <c r="D715" s="698"/>
      <c r="E715" s="1918"/>
      <c r="F715" s="1918"/>
      <c r="G715" s="1918"/>
      <c r="H715" s="1918"/>
      <c r="I715" s="1918"/>
      <c r="J715" s="1918"/>
      <c r="K715" s="1918"/>
      <c r="L715" s="1918"/>
      <c r="M715" s="1918"/>
      <c r="N715" s="1918"/>
      <c r="O715" s="1918"/>
      <c r="P715" s="1918"/>
      <c r="Q715" s="1918"/>
      <c r="R715" s="1918"/>
      <c r="S715" s="1918"/>
      <c r="T715" s="1918"/>
      <c r="U715" s="1918"/>
      <c r="V715" s="1918"/>
      <c r="W715" s="1918"/>
      <c r="X715" s="1918"/>
      <c r="Y715" s="1918"/>
      <c r="Z715" s="1918"/>
      <c r="AA715" s="1918"/>
      <c r="AB715" s="191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18" t="s">
        <v>1614</v>
      </c>
      <c r="F717" s="1918"/>
      <c r="G717" s="1918"/>
      <c r="H717" s="1918"/>
      <c r="I717" s="1918"/>
      <c r="J717" s="1918"/>
      <c r="K717" s="1918"/>
      <c r="L717" s="1918"/>
      <c r="M717" s="1918"/>
      <c r="N717" s="1918"/>
      <c r="O717" s="1918"/>
      <c r="P717" s="1918"/>
      <c r="Q717" s="1918"/>
      <c r="R717" s="1918"/>
      <c r="S717" s="1918"/>
      <c r="T717" s="1918"/>
      <c r="U717" s="1918"/>
      <c r="V717" s="1918"/>
      <c r="W717" s="1918"/>
      <c r="X717" s="1918"/>
      <c r="Y717" s="1918"/>
      <c r="Z717" s="1918"/>
      <c r="AA717" s="1918"/>
      <c r="AB717" s="1918"/>
      <c r="AC717" s="571"/>
      <c r="AD717" s="571"/>
      <c r="AE717" s="571"/>
      <c r="AF717" s="1998" t="s">
        <v>1583</v>
      </c>
      <c r="AG717" s="1998"/>
      <c r="AH717" s="1998"/>
      <c r="AI717" s="1998"/>
      <c r="AJ717" s="1998"/>
      <c r="AK717" s="1998"/>
      <c r="AL717" s="1998"/>
      <c r="AM717" s="585"/>
      <c r="AN717" s="719"/>
      <c r="AT717" s="14"/>
      <c r="AU717" s="14"/>
      <c r="AV717" s="14"/>
      <c r="AW717" s="14"/>
      <c r="AX717" s="14"/>
      <c r="AY717" s="14"/>
      <c r="AZ717" s="14"/>
    </row>
    <row r="718" spans="1:52" s="605" customFormat="1">
      <c r="A718" s="585"/>
      <c r="B718" s="571"/>
      <c r="C718" s="970"/>
      <c r="D718" s="571"/>
      <c r="E718" s="1918"/>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1575</v>
      </c>
      <c r="E720" s="973"/>
      <c r="F720" s="973"/>
      <c r="G720" s="973"/>
      <c r="H720" s="1942" t="s">
        <v>601</v>
      </c>
      <c r="I720" s="1942"/>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1615</v>
      </c>
      <c r="AJ722" s="1925">
        <f>VLOOKUP($H$720,$AO$655:$AP$657,2,FALSE)</f>
        <v>0</v>
      </c>
      <c r="AK722" s="192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1616</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18" t="s">
        <v>1617</v>
      </c>
      <c r="F726" s="1918"/>
      <c r="G726" s="1918"/>
      <c r="H726" s="1918"/>
      <c r="I726" s="1918"/>
      <c r="J726" s="1918"/>
      <c r="K726" s="1918"/>
      <c r="L726" s="1918"/>
      <c r="M726" s="1918"/>
      <c r="N726" s="1918"/>
      <c r="O726" s="1918"/>
      <c r="P726" s="1918"/>
      <c r="Q726" s="1918"/>
      <c r="R726" s="1918"/>
      <c r="S726" s="1918"/>
      <c r="T726" s="1918"/>
      <c r="U726" s="1918"/>
      <c r="V726" s="1918"/>
      <c r="W726" s="1918"/>
      <c r="X726" s="1918"/>
      <c r="Y726" s="1918"/>
      <c r="Z726" s="1918"/>
      <c r="AA726" s="1918"/>
      <c r="AB726" s="1918"/>
      <c r="AC726" s="571"/>
      <c r="AD726" s="571"/>
      <c r="AE726" s="571"/>
      <c r="AF726" s="1998" t="s">
        <v>1527</v>
      </c>
      <c r="AG726" s="1998"/>
      <c r="AH726" s="1998"/>
      <c r="AI726" s="1998"/>
      <c r="AJ726" s="1998"/>
      <c r="AK726" s="1998"/>
      <c r="AL726" s="1998"/>
      <c r="AM726" s="585"/>
      <c r="AN726" s="719"/>
      <c r="AT726" s="14"/>
      <c r="AU726" s="14"/>
      <c r="AV726" s="14"/>
      <c r="AW726" s="14"/>
      <c r="AX726" s="14"/>
      <c r="AY726" s="14"/>
      <c r="AZ726" s="14"/>
    </row>
    <row r="727" spans="1:81" s="605" customFormat="1">
      <c r="A727" s="585"/>
      <c r="B727" s="571"/>
      <c r="C727" s="968"/>
      <c r="D727" s="698"/>
      <c r="E727" s="1918"/>
      <c r="F727" s="1918"/>
      <c r="G727" s="1918"/>
      <c r="H727" s="1918"/>
      <c r="I727" s="1918"/>
      <c r="J727" s="1918"/>
      <c r="K727" s="1918"/>
      <c r="L727" s="1918"/>
      <c r="M727" s="1918"/>
      <c r="N727" s="1918"/>
      <c r="O727" s="1918"/>
      <c r="P727" s="1918"/>
      <c r="Q727" s="1918"/>
      <c r="R727" s="1918"/>
      <c r="S727" s="1918"/>
      <c r="T727" s="1918"/>
      <c r="U727" s="1918"/>
      <c r="V727" s="1918"/>
      <c r="W727" s="1918"/>
      <c r="X727" s="1918"/>
      <c r="Y727" s="1918"/>
      <c r="Z727" s="1918"/>
      <c r="AA727" s="1918"/>
      <c r="AB727" s="191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18"/>
      <c r="F728" s="1918"/>
      <c r="G728" s="1918"/>
      <c r="H728" s="1918"/>
      <c r="I728" s="1918"/>
      <c r="J728" s="1918"/>
      <c r="K728" s="1918"/>
      <c r="L728" s="1918"/>
      <c r="M728" s="1918"/>
      <c r="N728" s="1918"/>
      <c r="O728" s="1918"/>
      <c r="P728" s="1918"/>
      <c r="Q728" s="1918"/>
      <c r="R728" s="1918"/>
      <c r="S728" s="1918"/>
      <c r="T728" s="1918"/>
      <c r="U728" s="1918"/>
      <c r="V728" s="1918"/>
      <c r="W728" s="1918"/>
      <c r="X728" s="1918"/>
      <c r="Y728" s="1918"/>
      <c r="Z728" s="1918"/>
      <c r="AA728" s="1918"/>
      <c r="AB728" s="191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18"/>
      <c r="F729" s="1918"/>
      <c r="G729" s="1918"/>
      <c r="H729" s="1918"/>
      <c r="I729" s="1918"/>
      <c r="J729" s="1918"/>
      <c r="K729" s="1918"/>
      <c r="L729" s="1918"/>
      <c r="M729" s="1918"/>
      <c r="N729" s="1918"/>
      <c r="O729" s="1918"/>
      <c r="P729" s="1918"/>
      <c r="Q729" s="1918"/>
      <c r="R729" s="1918"/>
      <c r="S729" s="1918"/>
      <c r="T729" s="1918"/>
      <c r="U729" s="1918"/>
      <c r="V729" s="1918"/>
      <c r="W729" s="1918"/>
      <c r="X729" s="1918"/>
      <c r="Y729" s="1918"/>
      <c r="Z729" s="1918"/>
      <c r="AA729" s="1918"/>
      <c r="AB729" s="191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18" t="s">
        <v>1618</v>
      </c>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610"/>
      <c r="AC731" s="571"/>
      <c r="AD731" s="571"/>
      <c r="AE731" s="571"/>
      <c r="AF731" s="1998" t="s">
        <v>1583</v>
      </c>
      <c r="AG731" s="1998"/>
      <c r="AH731" s="1998"/>
      <c r="AI731" s="1998"/>
      <c r="AJ731" s="1998"/>
      <c r="AK731" s="1998"/>
      <c r="AL731" s="1998"/>
      <c r="AM731" s="585"/>
      <c r="AN731" s="719"/>
      <c r="AO731" s="30"/>
      <c r="AP731" s="14"/>
    </row>
    <row r="732" spans="1:81" s="605" customFormat="1">
      <c r="A732" s="585"/>
      <c r="B732" s="571"/>
      <c r="C732" s="968"/>
      <c r="D732" s="698"/>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18"/>
      <c r="F734" s="1918"/>
      <c r="G734" s="1918"/>
      <c r="H734" s="1918"/>
      <c r="I734" s="1918"/>
      <c r="J734" s="1918"/>
      <c r="K734" s="1918"/>
      <c r="L734" s="1918"/>
      <c r="M734" s="1918"/>
      <c r="N734" s="1918"/>
      <c r="O734" s="1918"/>
      <c r="P734" s="1918"/>
      <c r="Q734" s="1918"/>
      <c r="R734" s="1918"/>
      <c r="S734" s="1918"/>
      <c r="T734" s="1918"/>
      <c r="U734" s="1918"/>
      <c r="V734" s="1918"/>
      <c r="W734" s="1918"/>
      <c r="X734" s="1918"/>
      <c r="Y734" s="1918"/>
      <c r="Z734" s="1918"/>
      <c r="AA734" s="191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1575</v>
      </c>
      <c r="E736" s="973"/>
      <c r="F736" s="973"/>
      <c r="G736" s="973"/>
      <c r="H736" s="1942" t="s">
        <v>519</v>
      </c>
      <c r="I736" s="1942"/>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1619</v>
      </c>
      <c r="AJ738" s="1925">
        <f>VLOOKUP($H$736,$AO$669:$AP$671,2,FALSE)</f>
        <v>2</v>
      </c>
      <c r="AK738" s="192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1609</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18" t="s">
        <v>1620</v>
      </c>
      <c r="F742" s="1918"/>
      <c r="G742" s="1918"/>
      <c r="H742" s="1918"/>
      <c r="I742" s="1918"/>
      <c r="J742" s="1918"/>
      <c r="K742" s="1918"/>
      <c r="L742" s="1918"/>
      <c r="M742" s="1918"/>
      <c r="N742" s="1918"/>
      <c r="O742" s="1918"/>
      <c r="P742" s="1918"/>
      <c r="Q742" s="1918"/>
      <c r="R742" s="1918"/>
      <c r="S742" s="1918"/>
      <c r="T742" s="1918"/>
      <c r="U742" s="1918"/>
      <c r="V742" s="1918"/>
      <c r="W742" s="1918"/>
      <c r="X742" s="1918"/>
      <c r="Y742" s="1918"/>
      <c r="Z742" s="1918"/>
      <c r="AA742" s="1918"/>
      <c r="AB742" s="1918"/>
      <c r="AC742" s="571"/>
      <c r="AD742" s="571"/>
      <c r="AE742" s="571"/>
      <c r="AF742" s="1998" t="s">
        <v>1583</v>
      </c>
      <c r="AG742" s="1998"/>
      <c r="AH742" s="1998"/>
      <c r="AI742" s="1998"/>
      <c r="AJ742" s="1998"/>
      <c r="AK742" s="1998"/>
      <c r="AL742" s="1998"/>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18"/>
      <c r="F743" s="1918"/>
      <c r="G743" s="1918"/>
      <c r="H743" s="1918"/>
      <c r="I743" s="1918"/>
      <c r="J743" s="1918"/>
      <c r="K743" s="1918"/>
      <c r="L743" s="1918"/>
      <c r="M743" s="1918"/>
      <c r="N743" s="1918"/>
      <c r="O743" s="1918"/>
      <c r="P743" s="1918"/>
      <c r="Q743" s="1918"/>
      <c r="R743" s="1918"/>
      <c r="S743" s="1918"/>
      <c r="T743" s="1918"/>
      <c r="U743" s="1918"/>
      <c r="V743" s="1918"/>
      <c r="W743" s="1918"/>
      <c r="X743" s="1918"/>
      <c r="Y743" s="1918"/>
      <c r="Z743" s="1918"/>
      <c r="AA743" s="1918"/>
      <c r="AB743" s="191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18" t="s">
        <v>1621</v>
      </c>
      <c r="F745" s="1918"/>
      <c r="G745" s="1918"/>
      <c r="H745" s="1918"/>
      <c r="I745" s="1918"/>
      <c r="J745" s="1918"/>
      <c r="K745" s="1918"/>
      <c r="L745" s="1918"/>
      <c r="M745" s="1918"/>
      <c r="N745" s="1918"/>
      <c r="O745" s="1918"/>
      <c r="P745" s="1918"/>
      <c r="Q745" s="1918"/>
      <c r="R745" s="1918"/>
      <c r="S745" s="1918"/>
      <c r="T745" s="1918"/>
      <c r="U745" s="1918"/>
      <c r="V745" s="1918"/>
      <c r="W745" s="1918"/>
      <c r="X745" s="1918"/>
      <c r="Y745" s="1918"/>
      <c r="Z745" s="1918"/>
      <c r="AA745" s="1918"/>
      <c r="AB745" s="1918"/>
      <c r="AC745" s="571"/>
      <c r="AD745" s="571"/>
      <c r="AE745" s="571"/>
      <c r="AF745" s="1998" t="s">
        <v>1600</v>
      </c>
      <c r="AG745" s="1998"/>
      <c r="AH745" s="1998"/>
      <c r="AI745" s="1998"/>
      <c r="AJ745" s="1998"/>
      <c r="AK745" s="1998"/>
      <c r="AL745" s="1998"/>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18"/>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1575</v>
      </c>
      <c r="E748" s="973"/>
      <c r="F748" s="973"/>
      <c r="G748" s="973"/>
      <c r="H748" s="1942" t="s">
        <v>698</v>
      </c>
      <c r="I748" s="1942"/>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1622</v>
      </c>
      <c r="AJ750" s="1925">
        <f>VLOOKUP($H$748,$AO$683:$AP$685,2,FALSE)</f>
        <v>2</v>
      </c>
      <c r="AK750" s="192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1611</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18" t="s">
        <v>1955</v>
      </c>
      <c r="F754" s="1918"/>
      <c r="G754" s="1918"/>
      <c r="H754" s="1918"/>
      <c r="I754" s="1918"/>
      <c r="J754" s="1918"/>
      <c r="K754" s="1918"/>
      <c r="L754" s="1918"/>
      <c r="M754" s="1918"/>
      <c r="N754" s="1918"/>
      <c r="O754" s="1918"/>
      <c r="P754" s="1918"/>
      <c r="Q754" s="1918"/>
      <c r="R754" s="1918"/>
      <c r="S754" s="1918"/>
      <c r="T754" s="1918"/>
      <c r="U754" s="1918"/>
      <c r="V754" s="1918"/>
      <c r="W754" s="1918"/>
      <c r="X754" s="1918"/>
      <c r="Y754" s="1918"/>
      <c r="Z754" s="1918"/>
      <c r="AA754" s="1918"/>
      <c r="AB754" s="1918"/>
      <c r="AC754" s="1918"/>
      <c r="AD754" s="1918"/>
      <c r="AE754" s="571"/>
      <c r="AF754" s="1998" t="s">
        <v>1583</v>
      </c>
      <c r="AG754" s="1998"/>
      <c r="AH754" s="1998"/>
      <c r="AI754" s="1998"/>
      <c r="AJ754" s="1998"/>
      <c r="AK754" s="1998"/>
      <c r="AL754" s="1998"/>
      <c r="AM754" s="648"/>
      <c r="AN754" s="719"/>
    </row>
    <row r="755" spans="1:81" s="605" customFormat="1" ht="13.7" customHeight="1">
      <c r="A755" s="585"/>
      <c r="B755" s="651"/>
      <c r="C755" s="977"/>
      <c r="D755" s="698"/>
      <c r="E755" s="1918"/>
      <c r="F755" s="1918"/>
      <c r="G755" s="1918"/>
      <c r="H755" s="1918"/>
      <c r="I755" s="1918"/>
      <c r="J755" s="1918"/>
      <c r="K755" s="1918"/>
      <c r="L755" s="1918"/>
      <c r="M755" s="1918"/>
      <c r="N755" s="1918"/>
      <c r="O755" s="1918"/>
      <c r="P755" s="1918"/>
      <c r="Q755" s="1918"/>
      <c r="R755" s="1918"/>
      <c r="S755" s="1918"/>
      <c r="T755" s="1918"/>
      <c r="U755" s="1918"/>
      <c r="V755" s="1918"/>
      <c r="W755" s="1918"/>
      <c r="X755" s="1918"/>
      <c r="Y755" s="1918"/>
      <c r="Z755" s="1918"/>
      <c r="AA755" s="1918"/>
      <c r="AB755" s="1918"/>
      <c r="AC755" s="1918"/>
      <c r="AD755" s="1918"/>
      <c r="AE755" s="571"/>
      <c r="AF755" s="629"/>
      <c r="AG755" s="629"/>
      <c r="AH755" s="629"/>
      <c r="AI755" s="629"/>
      <c r="AJ755" s="629"/>
      <c r="AK755" s="629"/>
      <c r="AL755" s="629"/>
      <c r="AM755" s="648"/>
      <c r="AN755" s="719"/>
    </row>
    <row r="756" spans="1:81" s="605" customFormat="1">
      <c r="A756" s="585"/>
      <c r="B756" s="651"/>
      <c r="C756" s="977"/>
      <c r="D756" s="698"/>
      <c r="E756" s="1918"/>
      <c r="F756" s="1918"/>
      <c r="G756" s="1918"/>
      <c r="H756" s="1918"/>
      <c r="I756" s="1918"/>
      <c r="J756" s="1918"/>
      <c r="K756" s="1918"/>
      <c r="L756" s="1918"/>
      <c r="M756" s="1918"/>
      <c r="N756" s="1918"/>
      <c r="O756" s="1918"/>
      <c r="P756" s="1918"/>
      <c r="Q756" s="1918"/>
      <c r="R756" s="1918"/>
      <c r="S756" s="1918"/>
      <c r="T756" s="1918"/>
      <c r="U756" s="1918"/>
      <c r="V756" s="1918"/>
      <c r="W756" s="1918"/>
      <c r="X756" s="1918"/>
      <c r="Y756" s="1918"/>
      <c r="Z756" s="1918"/>
      <c r="AA756" s="1918"/>
      <c r="AB756" s="1918"/>
      <c r="AC756" s="1918"/>
      <c r="AD756" s="191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18"/>
      <c r="F757" s="1918"/>
      <c r="G757" s="1918"/>
      <c r="H757" s="1918"/>
      <c r="I757" s="1918"/>
      <c r="J757" s="1918"/>
      <c r="K757" s="1918"/>
      <c r="L757" s="1918"/>
      <c r="M757" s="1918"/>
      <c r="N757" s="1918"/>
      <c r="O757" s="1918"/>
      <c r="P757" s="1918"/>
      <c r="Q757" s="1918"/>
      <c r="R757" s="1918"/>
      <c r="S757" s="1918"/>
      <c r="T757" s="1918"/>
      <c r="U757" s="1918"/>
      <c r="V757" s="1918"/>
      <c r="W757" s="1918"/>
      <c r="X757" s="1918"/>
      <c r="Y757" s="1918"/>
      <c r="Z757" s="1918"/>
      <c r="AA757" s="1918"/>
      <c r="AB757" s="1918"/>
      <c r="AC757" s="1918"/>
      <c r="AD757" s="191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0" t="s">
        <v>1960</v>
      </c>
      <c r="F759" s="2030"/>
      <c r="G759" s="2030"/>
      <c r="H759" s="2030"/>
      <c r="I759" s="2030"/>
      <c r="J759" s="2030"/>
      <c r="K759" s="2030"/>
      <c r="L759" s="2030"/>
      <c r="M759" s="2030"/>
      <c r="N759" s="2030"/>
      <c r="O759" s="2030"/>
      <c r="P759" s="2030"/>
      <c r="Q759" s="2030"/>
      <c r="R759" s="2030"/>
      <c r="S759" s="2030"/>
      <c r="T759" s="2030"/>
      <c r="U759" s="2030"/>
      <c r="V759" s="2030"/>
      <c r="W759" s="2030"/>
      <c r="X759" s="2030"/>
      <c r="Y759" s="2030"/>
      <c r="Z759" s="2030"/>
      <c r="AA759" s="2030"/>
      <c r="AB759" s="2030"/>
      <c r="AC759" s="2030"/>
      <c r="AD759" s="2030"/>
      <c r="AE759" s="571"/>
      <c r="AF759" s="1998" t="s">
        <v>1527</v>
      </c>
      <c r="AG759" s="1998"/>
      <c r="AH759" s="1998"/>
      <c r="AI759" s="1998"/>
      <c r="AJ759" s="1998"/>
      <c r="AK759" s="1998"/>
      <c r="AL759" s="1998"/>
      <c r="AM759" s="648"/>
      <c r="AN759" s="632"/>
    </row>
    <row r="760" spans="1:81" s="585" customFormat="1" ht="12.75" customHeight="1">
      <c r="B760" s="651"/>
      <c r="C760" s="977"/>
      <c r="D760" s="698"/>
      <c r="E760" s="2030"/>
      <c r="F760" s="2030"/>
      <c r="G760" s="2030"/>
      <c r="H760" s="2030"/>
      <c r="I760" s="2030"/>
      <c r="J760" s="2030"/>
      <c r="K760" s="2030"/>
      <c r="L760" s="2030"/>
      <c r="M760" s="2030"/>
      <c r="N760" s="2030"/>
      <c r="O760" s="2030"/>
      <c r="P760" s="2030"/>
      <c r="Q760" s="2030"/>
      <c r="R760" s="2030"/>
      <c r="S760" s="2030"/>
      <c r="T760" s="2030"/>
      <c r="U760" s="2030"/>
      <c r="V760" s="2030"/>
      <c r="W760" s="2030"/>
      <c r="X760" s="2030"/>
      <c r="Y760" s="2030"/>
      <c r="Z760" s="2030"/>
      <c r="AA760" s="2030"/>
      <c r="AB760" s="2030"/>
      <c r="AC760" s="2030"/>
      <c r="AD760" s="2030"/>
      <c r="AE760" s="629"/>
      <c r="AF760" s="629"/>
      <c r="AG760" s="629"/>
      <c r="AH760" s="629"/>
      <c r="AI760" s="629"/>
      <c r="AJ760" s="629"/>
      <c r="AK760" s="629"/>
      <c r="AL760" s="629"/>
      <c r="AM760" s="648"/>
      <c r="AN760" s="632"/>
    </row>
    <row r="761" spans="1:81" s="585" customFormat="1" ht="12.75" customHeight="1">
      <c r="B761" s="651"/>
      <c r="C761" s="977"/>
      <c r="D761" s="698"/>
      <c r="E761" s="2030"/>
      <c r="F761" s="2030"/>
      <c r="G761" s="2030"/>
      <c r="H761" s="2030"/>
      <c r="I761" s="2030"/>
      <c r="J761" s="2030"/>
      <c r="K761" s="2030"/>
      <c r="L761" s="2030"/>
      <c r="M761" s="2030"/>
      <c r="N761" s="2030"/>
      <c r="O761" s="2030"/>
      <c r="P761" s="2030"/>
      <c r="Q761" s="2030"/>
      <c r="R761" s="2030"/>
      <c r="S761" s="2030"/>
      <c r="T761" s="2030"/>
      <c r="U761" s="2030"/>
      <c r="V761" s="2030"/>
      <c r="W761" s="2030"/>
      <c r="X761" s="2030"/>
      <c r="Y761" s="2030"/>
      <c r="Z761" s="2030"/>
      <c r="AA761" s="2030"/>
      <c r="AB761" s="2030"/>
      <c r="AC761" s="2030"/>
      <c r="AD761" s="2030"/>
      <c r="AE761" s="629"/>
      <c r="AF761" s="629"/>
      <c r="AG761" s="629"/>
      <c r="AH761" s="629"/>
      <c r="AI761" s="629"/>
      <c r="AJ761" s="629"/>
      <c r="AK761" s="629"/>
      <c r="AL761" s="629"/>
      <c r="AM761" s="648"/>
      <c r="AN761" s="632"/>
    </row>
    <row r="762" spans="1:81" s="585" customFormat="1" ht="12.75" customHeight="1">
      <c r="B762" s="651"/>
      <c r="C762" s="977"/>
      <c r="D762" s="698"/>
      <c r="E762" s="2030"/>
      <c r="F762" s="2030"/>
      <c r="G762" s="2030"/>
      <c r="H762" s="2030"/>
      <c r="I762" s="2030"/>
      <c r="J762" s="2030"/>
      <c r="K762" s="2030"/>
      <c r="L762" s="2030"/>
      <c r="M762" s="2030"/>
      <c r="N762" s="2030"/>
      <c r="O762" s="2030"/>
      <c r="P762" s="2030"/>
      <c r="Q762" s="2030"/>
      <c r="R762" s="2030"/>
      <c r="S762" s="2030"/>
      <c r="T762" s="2030"/>
      <c r="U762" s="2030"/>
      <c r="V762" s="2030"/>
      <c r="W762" s="2030"/>
      <c r="X762" s="2030"/>
      <c r="Y762" s="2030"/>
      <c r="Z762" s="2030"/>
      <c r="AA762" s="2030"/>
      <c r="AB762" s="2030"/>
      <c r="AC762" s="2030"/>
      <c r="AD762" s="203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1575</v>
      </c>
      <c r="E764" s="973"/>
      <c r="F764" s="973"/>
      <c r="G764" s="973"/>
      <c r="H764" s="1942" t="s">
        <v>601</v>
      </c>
      <c r="I764" s="1942"/>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1623</v>
      </c>
      <c r="AJ766" s="1925">
        <f>VLOOKUP($H$764,$AP$705:$AQ$707,2,FALSE)</f>
        <v>0</v>
      </c>
      <c r="AK766" s="192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1624</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18" t="s">
        <v>2433</v>
      </c>
      <c r="F770" s="1918"/>
      <c r="G770" s="1918"/>
      <c r="H770" s="1918"/>
      <c r="I770" s="1918"/>
      <c r="J770" s="1918"/>
      <c r="K770" s="1918"/>
      <c r="L770" s="1918"/>
      <c r="M770" s="1918"/>
      <c r="N770" s="1918"/>
      <c r="O770" s="1918"/>
      <c r="P770" s="1918"/>
      <c r="Q770" s="1918"/>
      <c r="R770" s="1918"/>
      <c r="S770" s="1918"/>
      <c r="T770" s="1918"/>
      <c r="U770" s="1918"/>
      <c r="V770" s="1918"/>
      <c r="W770" s="1918"/>
      <c r="X770" s="1918"/>
      <c r="Y770" s="1918"/>
      <c r="Z770" s="1918"/>
      <c r="AA770" s="1918"/>
      <c r="AB770" s="1918"/>
      <c r="AC770" s="1918"/>
      <c r="AD770" s="1918"/>
      <c r="AE770" s="571"/>
      <c r="AF770" s="1998" t="s">
        <v>1527</v>
      </c>
      <c r="AG770" s="1998"/>
      <c r="AH770" s="1998"/>
      <c r="AI770" s="1998"/>
      <c r="AJ770" s="1998"/>
      <c r="AK770" s="1998"/>
      <c r="AL770" s="1998"/>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18"/>
      <c r="F771" s="1918"/>
      <c r="G771" s="1918"/>
      <c r="H771" s="1918"/>
      <c r="I771" s="1918"/>
      <c r="J771" s="1918"/>
      <c r="K771" s="1918"/>
      <c r="L771" s="1918"/>
      <c r="M771" s="1918"/>
      <c r="N771" s="1918"/>
      <c r="O771" s="1918"/>
      <c r="P771" s="1918"/>
      <c r="Q771" s="1918"/>
      <c r="R771" s="1918"/>
      <c r="S771" s="1918"/>
      <c r="T771" s="1918"/>
      <c r="U771" s="1918"/>
      <c r="V771" s="1918"/>
      <c r="W771" s="1918"/>
      <c r="X771" s="1918"/>
      <c r="Y771" s="1918"/>
      <c r="Z771" s="1918"/>
      <c r="AA771" s="1918"/>
      <c r="AB771" s="1918"/>
      <c r="AC771" s="1918"/>
      <c r="AD771" s="191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18"/>
      <c r="F772" s="1918"/>
      <c r="G772" s="1918"/>
      <c r="H772" s="1918"/>
      <c r="I772" s="1918"/>
      <c r="J772" s="1918"/>
      <c r="K772" s="1918"/>
      <c r="L772" s="1918"/>
      <c r="M772" s="1918"/>
      <c r="N772" s="1918"/>
      <c r="O772" s="1918"/>
      <c r="P772" s="1918"/>
      <c r="Q772" s="1918"/>
      <c r="R772" s="1918"/>
      <c r="S772" s="1918"/>
      <c r="T772" s="1918"/>
      <c r="U772" s="1918"/>
      <c r="V772" s="1918"/>
      <c r="W772" s="1918"/>
      <c r="X772" s="1918"/>
      <c r="Y772" s="1918"/>
      <c r="Z772" s="1918"/>
      <c r="AA772" s="1918"/>
      <c r="AB772" s="1918"/>
      <c r="AC772" s="1918"/>
      <c r="AD772" s="191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18"/>
      <c r="F773" s="1918"/>
      <c r="G773" s="1918"/>
      <c r="H773" s="1918"/>
      <c r="I773" s="1918"/>
      <c r="J773" s="1918"/>
      <c r="K773" s="1918"/>
      <c r="L773" s="1918"/>
      <c r="M773" s="1918"/>
      <c r="N773" s="1918"/>
      <c r="O773" s="1918"/>
      <c r="P773" s="1918"/>
      <c r="Q773" s="1918"/>
      <c r="R773" s="1918"/>
      <c r="S773" s="1918"/>
      <c r="T773" s="1918"/>
      <c r="U773" s="1918"/>
      <c r="V773" s="1918"/>
      <c r="W773" s="1918"/>
      <c r="X773" s="1918"/>
      <c r="Y773" s="1918"/>
      <c r="Z773" s="1918"/>
      <c r="AA773" s="1918"/>
      <c r="AB773" s="1918"/>
      <c r="AC773" s="1918"/>
      <c r="AD773" s="191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1575</v>
      </c>
      <c r="E775" s="973"/>
      <c r="F775" s="973"/>
      <c r="G775" s="973"/>
      <c r="H775" s="1942" t="s">
        <v>601</v>
      </c>
      <c r="I775" s="1942"/>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1625</v>
      </c>
      <c r="AJ777" s="1925">
        <f>VLOOKUP($H$775,$AO$769:$AP$770,2,FALSE)</f>
        <v>0</v>
      </c>
      <c r="AK777" s="192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1626</v>
      </c>
      <c r="AK779" s="1925">
        <f>IF(($AJ$610+$AJ$629+$AJ$641+$AJ$676+$AJ$696+$AJ$710+$AJ$722+$AJ$738+$AJ$750+$AJ$766+AJ777)&gt;10,10,($AJ$610+$AJ$629+$AJ$641+$AJ$676+$AJ$696+$AJ$710+$AJ$722+$AJ$738+$AJ$750+$AJ$766+AJ777))</f>
        <v>10</v>
      </c>
      <c r="AL779" s="1926"/>
      <c r="AM779" s="192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89" t="s">
        <v>1748</v>
      </c>
      <c r="B782" s="1990"/>
      <c r="C782" s="1990"/>
      <c r="D782" s="1990"/>
      <c r="E782" s="1990"/>
      <c r="F782" s="1990"/>
      <c r="G782" s="1990"/>
      <c r="H782" s="1990"/>
      <c r="I782" s="1990"/>
      <c r="J782" s="1990"/>
      <c r="K782" s="1990"/>
      <c r="L782" s="1990"/>
      <c r="M782" s="1990"/>
      <c r="N782" s="1990"/>
      <c r="O782" s="1990"/>
      <c r="P782" s="1990"/>
      <c r="Q782" s="1990"/>
      <c r="R782" s="1990"/>
      <c r="S782" s="1990"/>
      <c r="T782" s="1990"/>
      <c r="U782" s="1990"/>
      <c r="V782" s="1990"/>
      <c r="W782" s="1990"/>
      <c r="X782" s="1990"/>
      <c r="Y782" s="1990"/>
      <c r="Z782" s="1990"/>
      <c r="AA782" s="1990"/>
      <c r="AB782" s="1990"/>
      <c r="AC782" s="1990"/>
      <c r="AD782" s="1990"/>
      <c r="AE782" s="1990"/>
      <c r="AF782" s="1990"/>
      <c r="AG782" s="1990"/>
      <c r="AH782" s="1990"/>
      <c r="AI782" s="1990"/>
      <c r="AJ782" s="1990"/>
      <c r="AK782" s="1990"/>
      <c r="AL782" s="1990"/>
      <c r="AM782" s="1990"/>
    </row>
    <row r="783" spans="1:81">
      <c r="A783" s="1991"/>
      <c r="B783" s="1991"/>
      <c r="C783" s="1991"/>
      <c r="D783" s="1991"/>
      <c r="E783" s="1991"/>
      <c r="F783" s="1991"/>
      <c r="G783" s="1991"/>
      <c r="H783" s="1991"/>
      <c r="I783" s="1991"/>
      <c r="J783" s="1991"/>
      <c r="K783" s="1991"/>
      <c r="L783" s="1991"/>
      <c r="M783" s="1991"/>
      <c r="N783" s="1991"/>
      <c r="O783" s="1991"/>
      <c r="P783" s="1991"/>
      <c r="Q783" s="1991"/>
      <c r="R783" s="1991"/>
      <c r="S783" s="1991"/>
      <c r="T783" s="1991"/>
      <c r="U783" s="1991"/>
      <c r="V783" s="1991"/>
      <c r="W783" s="1991"/>
      <c r="X783" s="1991"/>
      <c r="Y783" s="1991"/>
      <c r="Z783" s="1991"/>
      <c r="AA783" s="1991"/>
      <c r="AB783" s="1991"/>
      <c r="AC783" s="1991"/>
      <c r="AD783" s="1991"/>
      <c r="AE783" s="1991"/>
      <c r="AF783" s="1991"/>
      <c r="AG783" s="1991"/>
      <c r="AH783" s="1991"/>
      <c r="AI783" s="1991"/>
      <c r="AJ783" s="1991"/>
      <c r="AK783" s="1991"/>
      <c r="AL783" s="1991"/>
      <c r="AM783" s="1991"/>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28"/>
      <c r="B785" s="1928"/>
      <c r="C785" s="1928"/>
      <c r="D785" s="1928"/>
      <c r="E785" s="1928"/>
      <c r="F785" s="1928"/>
      <c r="G785" s="1928"/>
      <c r="H785" s="1928"/>
      <c r="I785" s="1928"/>
      <c r="J785" s="1928"/>
      <c r="K785" s="1928"/>
      <c r="L785" s="1928"/>
      <c r="M785" s="1928"/>
      <c r="N785" s="1928"/>
      <c r="O785" s="1928"/>
      <c r="P785" s="1928"/>
      <c r="Q785" s="1928"/>
      <c r="R785" s="1928"/>
      <c r="S785" s="1928"/>
      <c r="T785" s="1928"/>
      <c r="U785" s="1928"/>
      <c r="V785" s="1928"/>
      <c r="W785" s="1928"/>
      <c r="X785" s="1928"/>
      <c r="Y785" s="1928"/>
      <c r="Z785" s="1928"/>
      <c r="AA785" s="1928"/>
      <c r="AB785" s="1928"/>
      <c r="AC785" s="1928"/>
      <c r="AD785" s="1928"/>
      <c r="AE785" s="1928"/>
      <c r="AF785" s="1928"/>
      <c r="AG785" s="1928"/>
      <c r="AH785" s="1928"/>
      <c r="AI785" s="1928"/>
      <c r="AJ785" s="1928"/>
      <c r="AK785" s="1928"/>
      <c r="AL785" s="1928"/>
      <c r="AM785" s="1928"/>
      <c r="AP785" s="852"/>
      <c r="AQ785" s="852"/>
    </row>
    <row r="786" spans="1:81">
      <c r="A786" s="1928"/>
      <c r="B786" s="1928"/>
      <c r="C786" s="1928"/>
      <c r="D786" s="1928"/>
      <c r="E786" s="1928"/>
      <c r="F786" s="1928"/>
      <c r="G786" s="1928"/>
      <c r="H786" s="1928"/>
      <c r="I786" s="1928"/>
      <c r="J786" s="1928"/>
      <c r="K786" s="1928"/>
      <c r="L786" s="1928"/>
      <c r="M786" s="1928"/>
      <c r="N786" s="1928"/>
      <c r="O786" s="1928"/>
      <c r="P786" s="1928"/>
      <c r="Q786" s="1928"/>
      <c r="R786" s="1928"/>
      <c r="S786" s="1928"/>
      <c r="T786" s="1928"/>
      <c r="U786" s="1928"/>
      <c r="V786" s="1928"/>
      <c r="W786" s="1928"/>
      <c r="X786" s="1928"/>
      <c r="Y786" s="1928"/>
      <c r="Z786" s="1928"/>
      <c r="AA786" s="1928"/>
      <c r="AB786" s="1928"/>
      <c r="AC786" s="1928"/>
      <c r="AD786" s="1928"/>
      <c r="AE786" s="1928"/>
      <c r="AF786" s="1928"/>
      <c r="AG786" s="1928"/>
      <c r="AH786" s="1928"/>
      <c r="AI786" s="1928"/>
      <c r="AJ786" s="1928"/>
      <c r="AK786" s="1928"/>
      <c r="AL786" s="1928"/>
      <c r="AM786" s="192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92" t="s">
        <v>1749</v>
      </c>
      <c r="U787" s="1993"/>
      <c r="V787" s="1993"/>
      <c r="W787" s="1993"/>
      <c r="X787" s="1993"/>
      <c r="Y787" s="1994"/>
      <c r="Z787" s="1992" t="s">
        <v>1750</v>
      </c>
      <c r="AA787" s="1993"/>
      <c r="AB787" s="1993"/>
      <c r="AC787" s="1993"/>
      <c r="AD787" s="1993"/>
      <c r="AE787" s="1994"/>
      <c r="AF787" s="1992" t="s">
        <v>1751</v>
      </c>
      <c r="AG787" s="1993"/>
      <c r="AH787" s="1993"/>
      <c r="AI787" s="1993"/>
      <c r="AJ787" s="1993"/>
      <c r="AK787" s="1994"/>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5"/>
      <c r="U788" s="1996"/>
      <c r="V788" s="1996"/>
      <c r="W788" s="1996"/>
      <c r="X788" s="1996"/>
      <c r="Y788" s="1997"/>
      <c r="Z788" s="1995"/>
      <c r="AA788" s="1996"/>
      <c r="AB788" s="1996"/>
      <c r="AC788" s="1996"/>
      <c r="AD788" s="1996"/>
      <c r="AE788" s="1997"/>
      <c r="AF788" s="1995"/>
      <c r="AG788" s="1996"/>
      <c r="AH788" s="1996"/>
      <c r="AI788" s="1996"/>
      <c r="AJ788" s="1996"/>
      <c r="AK788" s="1997"/>
      <c r="AL788" s="854"/>
      <c r="AM788" s="631"/>
      <c r="AO788" s="852"/>
      <c r="AP788" s="852"/>
      <c r="AQ788" s="852"/>
    </row>
    <row r="789" spans="1:81">
      <c r="A789" s="855" t="s">
        <v>770</v>
      </c>
      <c r="B789" s="1949" t="s">
        <v>1479</v>
      </c>
      <c r="C789" s="1949"/>
      <c r="D789" s="1949"/>
      <c r="E789" s="1949"/>
      <c r="F789" s="1949"/>
      <c r="G789" s="1949"/>
      <c r="H789" s="1949"/>
      <c r="I789" s="1949"/>
      <c r="J789" s="1949"/>
      <c r="K789" s="1949"/>
      <c r="L789" s="1949"/>
      <c r="M789" s="1949"/>
      <c r="N789" s="1949"/>
      <c r="O789" s="1949"/>
      <c r="P789" s="1949"/>
      <c r="Q789" s="1949"/>
      <c r="R789" s="1949"/>
      <c r="S789" s="1950"/>
      <c r="T789" s="1977">
        <f>AK56</f>
        <v>0</v>
      </c>
      <c r="U789" s="1953"/>
      <c r="V789" s="1953"/>
      <c r="W789" s="1953"/>
      <c r="X789" s="1953"/>
      <c r="Y789" s="1954"/>
      <c r="Z789" s="1952">
        <v>20</v>
      </c>
      <c r="AA789" s="1953"/>
      <c r="AB789" s="1953"/>
      <c r="AC789" s="1953"/>
      <c r="AD789" s="1953"/>
      <c r="AE789" s="1954"/>
      <c r="AF789" s="1938">
        <f>IF(T789&gt;Z789,Z789,T789)</f>
        <v>0</v>
      </c>
      <c r="AG789" s="1938"/>
      <c r="AH789" s="1938"/>
      <c r="AI789" s="1938"/>
      <c r="AJ789" s="1938"/>
      <c r="AK789" s="1938"/>
      <c r="AL789" s="854"/>
      <c r="AM789" s="631"/>
      <c r="AO789" s="852"/>
      <c r="AP789" s="852"/>
      <c r="AQ789" s="852"/>
    </row>
    <row r="790" spans="1:81">
      <c r="A790" s="855" t="s">
        <v>1721</v>
      </c>
      <c r="B790" s="1949" t="s">
        <v>1488</v>
      </c>
      <c r="C790" s="1949"/>
      <c r="D790" s="1949"/>
      <c r="E790" s="1949"/>
      <c r="F790" s="1949"/>
      <c r="G790" s="1949"/>
      <c r="H790" s="1949"/>
      <c r="I790" s="1949"/>
      <c r="J790" s="1949"/>
      <c r="K790" s="1949"/>
      <c r="L790" s="1949"/>
      <c r="M790" s="1949"/>
      <c r="N790" s="1949"/>
      <c r="O790" s="1949"/>
      <c r="P790" s="1949"/>
      <c r="Q790" s="1949"/>
      <c r="R790" s="1949"/>
      <c r="S790" s="1950"/>
      <c r="T790" s="1977">
        <f>AK78</f>
        <v>10</v>
      </c>
      <c r="U790" s="1953"/>
      <c r="V790" s="1953"/>
      <c r="W790" s="1953"/>
      <c r="X790" s="1953"/>
      <c r="Y790" s="1954"/>
      <c r="Z790" s="1952">
        <v>10</v>
      </c>
      <c r="AA790" s="1953"/>
      <c r="AB790" s="1953"/>
      <c r="AC790" s="1953"/>
      <c r="AD790" s="1953"/>
      <c r="AE790" s="1954"/>
      <c r="AF790" s="1938">
        <f>IF(T790&gt;Z790,Z790,T790)</f>
        <v>10</v>
      </c>
      <c r="AG790" s="1938"/>
      <c r="AH790" s="1938"/>
      <c r="AI790" s="1938"/>
      <c r="AJ790" s="1938"/>
      <c r="AK790" s="1938"/>
      <c r="AL790" s="854"/>
      <c r="AM790" s="631"/>
      <c r="AO790" s="852"/>
      <c r="AP790" s="852"/>
      <c r="AQ790" s="852"/>
    </row>
    <row r="791" spans="1:81">
      <c r="A791" s="855" t="s">
        <v>1730</v>
      </c>
      <c r="B791" s="1949" t="s">
        <v>1498</v>
      </c>
      <c r="C791" s="1949"/>
      <c r="D791" s="1949"/>
      <c r="E791" s="1949"/>
      <c r="F791" s="1949"/>
      <c r="G791" s="1949"/>
      <c r="H791" s="1949"/>
      <c r="I791" s="1949"/>
      <c r="J791" s="1949"/>
      <c r="K791" s="1949"/>
      <c r="L791" s="1949"/>
      <c r="M791" s="1949"/>
      <c r="N791" s="1949"/>
      <c r="O791" s="1949"/>
      <c r="P791" s="1949"/>
      <c r="Q791" s="1949"/>
      <c r="R791" s="1949"/>
      <c r="S791" s="1950"/>
      <c r="T791" s="1977">
        <f ca="1">AK103</f>
        <v>20</v>
      </c>
      <c r="U791" s="1953"/>
      <c r="V791" s="1953"/>
      <c r="W791" s="1953"/>
      <c r="X791" s="1953"/>
      <c r="Y791" s="1954"/>
      <c r="Z791" s="1952">
        <v>20</v>
      </c>
      <c r="AA791" s="1953"/>
      <c r="AB791" s="1953"/>
      <c r="AC791" s="1953"/>
      <c r="AD791" s="1953"/>
      <c r="AE791" s="1954"/>
      <c r="AF791" s="1938">
        <f ca="1">IF(T791&gt;Z791,Z791,T791)</f>
        <v>20</v>
      </c>
      <c r="AG791" s="1938"/>
      <c r="AH791" s="1938"/>
      <c r="AI791" s="1938"/>
      <c r="AJ791" s="1938"/>
      <c r="AK791" s="1938"/>
      <c r="AL791" s="854"/>
      <c r="AM791" s="631"/>
      <c r="AO791" s="852"/>
      <c r="AP791" s="852"/>
      <c r="AQ791" s="852"/>
    </row>
    <row r="792" spans="1:81">
      <c r="A792" s="855" t="s">
        <v>1752</v>
      </c>
      <c r="B792" s="1949" t="s">
        <v>1508</v>
      </c>
      <c r="C792" s="1949"/>
      <c r="D792" s="1949"/>
      <c r="E792" s="1949"/>
      <c r="F792" s="1949"/>
      <c r="G792" s="1949"/>
      <c r="H792" s="1949"/>
      <c r="I792" s="1949"/>
      <c r="J792" s="1949"/>
      <c r="K792" s="1949"/>
      <c r="L792" s="1949"/>
      <c r="M792" s="1949"/>
      <c r="N792" s="1949"/>
      <c r="O792" s="1949"/>
      <c r="P792" s="1949"/>
      <c r="Q792" s="1949"/>
      <c r="R792" s="1949"/>
      <c r="S792" s="1950"/>
      <c r="T792" s="1977">
        <f>AK137</f>
        <v>10</v>
      </c>
      <c r="U792" s="1953"/>
      <c r="V792" s="1953"/>
      <c r="W792" s="1953"/>
      <c r="X792" s="1953"/>
      <c r="Y792" s="1954"/>
      <c r="Z792" s="1952">
        <v>10</v>
      </c>
      <c r="AA792" s="1953"/>
      <c r="AB792" s="1953"/>
      <c r="AC792" s="1953"/>
      <c r="AD792" s="1953"/>
      <c r="AE792" s="1954"/>
      <c r="AF792" s="1938">
        <f>IF(T792&gt;Z792,Z792,T792)</f>
        <v>10</v>
      </c>
      <c r="AG792" s="1938"/>
      <c r="AH792" s="1938"/>
      <c r="AI792" s="1938"/>
      <c r="AJ792" s="1938"/>
      <c r="AK792" s="1938"/>
      <c r="AL792" s="854"/>
      <c r="AM792" s="631"/>
      <c r="AO792" s="852"/>
      <c r="AP792" s="852"/>
      <c r="AQ792" s="852"/>
    </row>
    <row r="793" spans="1:81">
      <c r="A793" s="856" t="s">
        <v>1753</v>
      </c>
      <c r="B793" s="1949" t="s">
        <v>1754</v>
      </c>
      <c r="C793" s="1949"/>
      <c r="D793" s="1949"/>
      <c r="E793" s="1949"/>
      <c r="F793" s="1949"/>
      <c r="G793" s="1949"/>
      <c r="H793" s="1949"/>
      <c r="I793" s="1949"/>
      <c r="J793" s="1949"/>
      <c r="K793" s="1949"/>
      <c r="L793" s="1949"/>
      <c r="M793" s="1949"/>
      <c r="N793" s="1949"/>
      <c r="O793" s="1949"/>
      <c r="P793" s="1949"/>
      <c r="Q793" s="1949"/>
      <c r="R793" s="1949"/>
      <c r="S793" s="1950"/>
      <c r="T793" s="1951">
        <f>SUM(T794:Y795)</f>
        <v>10</v>
      </c>
      <c r="U793" s="1951"/>
      <c r="V793" s="1951"/>
      <c r="W793" s="1951"/>
      <c r="X793" s="1951"/>
      <c r="Y793" s="1951"/>
      <c r="Z793" s="1938">
        <v>10</v>
      </c>
      <c r="AA793" s="1938"/>
      <c r="AB793" s="1938"/>
      <c r="AC793" s="1938"/>
      <c r="AD793" s="1938"/>
      <c r="AE793" s="1938"/>
      <c r="AF793" s="1938">
        <f>IF(T793&gt;Z793,Z793,T793)</f>
        <v>10</v>
      </c>
      <c r="AG793" s="1938"/>
      <c r="AH793" s="1938"/>
      <c r="AI793" s="1938"/>
      <c r="AJ793" s="1938"/>
      <c r="AK793" s="1938"/>
      <c r="AL793" s="854"/>
      <c r="AM793" s="631"/>
    </row>
    <row r="794" spans="1:81">
      <c r="A794" s="570"/>
      <c r="B794" s="636"/>
      <c r="C794" s="1955" t="s">
        <v>1755</v>
      </c>
      <c r="D794" s="1955"/>
      <c r="E794" s="1955"/>
      <c r="F794" s="1955"/>
      <c r="G794" s="1955"/>
      <c r="H794" s="1955"/>
      <c r="I794" s="1955"/>
      <c r="J794" s="1955"/>
      <c r="K794" s="1955"/>
      <c r="L794" s="1955"/>
      <c r="M794" s="1955"/>
      <c r="N794" s="1955"/>
      <c r="O794" s="1955"/>
      <c r="P794" s="1955"/>
      <c r="Q794" s="1955"/>
      <c r="R794" s="1955"/>
      <c r="S794" s="1956"/>
      <c r="T794" s="1957">
        <f>AJ155</f>
        <v>7</v>
      </c>
      <c r="U794" s="1957"/>
      <c r="V794" s="1957"/>
      <c r="W794" s="1957"/>
      <c r="X794" s="1957"/>
      <c r="Y794" s="1957"/>
      <c r="Z794" s="1958">
        <v>7</v>
      </c>
      <c r="AA794" s="1958"/>
      <c r="AB794" s="1958"/>
      <c r="AC794" s="1958"/>
      <c r="AD794" s="1958"/>
      <c r="AE794" s="1958"/>
      <c r="AF794" s="1959"/>
      <c r="AG794" s="1959"/>
      <c r="AH794" s="1959"/>
      <c r="AI794" s="1959"/>
      <c r="AJ794" s="1959"/>
      <c r="AK794" s="1959"/>
      <c r="AL794" s="854"/>
      <c r="AM794" s="631"/>
    </row>
    <row r="795" spans="1:81">
      <c r="A795" s="635"/>
      <c r="B795" s="636"/>
      <c r="C795" s="1955" t="s">
        <v>1756</v>
      </c>
      <c r="D795" s="1955"/>
      <c r="E795" s="1955"/>
      <c r="F795" s="1955"/>
      <c r="G795" s="1955"/>
      <c r="H795" s="1955"/>
      <c r="I795" s="1955"/>
      <c r="J795" s="1955"/>
      <c r="K795" s="1955"/>
      <c r="L795" s="1955"/>
      <c r="M795" s="1955"/>
      <c r="N795" s="1955"/>
      <c r="O795" s="1955"/>
      <c r="P795" s="1955"/>
      <c r="Q795" s="1955"/>
      <c r="R795" s="1955"/>
      <c r="S795" s="1956"/>
      <c r="T795" s="1957">
        <f>AJ169</f>
        <v>3</v>
      </c>
      <c r="U795" s="1957"/>
      <c r="V795" s="1957"/>
      <c r="W795" s="1957"/>
      <c r="X795" s="1957"/>
      <c r="Y795" s="1957"/>
      <c r="Z795" s="1958">
        <v>3</v>
      </c>
      <c r="AA795" s="1958"/>
      <c r="AB795" s="1958"/>
      <c r="AC795" s="1958"/>
      <c r="AD795" s="1958"/>
      <c r="AE795" s="1958"/>
      <c r="AF795" s="1959"/>
      <c r="AG795" s="1959"/>
      <c r="AH795" s="1959"/>
      <c r="AI795" s="1959"/>
      <c r="AJ795" s="1959"/>
      <c r="AK795" s="1959"/>
      <c r="AL795" s="854"/>
      <c r="AM795" s="631"/>
      <c r="AO795" s="585"/>
    </row>
    <row r="796" spans="1:81">
      <c r="A796" s="856" t="s">
        <v>1536</v>
      </c>
      <c r="B796" s="1949" t="s">
        <v>1757</v>
      </c>
      <c r="C796" s="1949"/>
      <c r="D796" s="1949"/>
      <c r="E796" s="1949"/>
      <c r="F796" s="1949"/>
      <c r="G796" s="1949"/>
      <c r="H796" s="1949"/>
      <c r="I796" s="1949"/>
      <c r="J796" s="1949"/>
      <c r="K796" s="1949"/>
      <c r="L796" s="1949"/>
      <c r="M796" s="1949"/>
      <c r="N796" s="1949"/>
      <c r="O796" s="1949"/>
      <c r="P796" s="1949"/>
      <c r="Q796" s="1949"/>
      <c r="R796" s="1949"/>
      <c r="S796" s="1950"/>
      <c r="T796" s="1951">
        <f>AK180</f>
        <v>10</v>
      </c>
      <c r="U796" s="1951"/>
      <c r="V796" s="1951"/>
      <c r="W796" s="1951"/>
      <c r="X796" s="1951"/>
      <c r="Y796" s="1951"/>
      <c r="Z796" s="1938">
        <v>10</v>
      </c>
      <c r="AA796" s="1938"/>
      <c r="AB796" s="1938"/>
      <c r="AC796" s="1938"/>
      <c r="AD796" s="1938"/>
      <c r="AE796" s="1938"/>
      <c r="AF796" s="1938">
        <f>IF(T796&gt;Z796,Z796,T796)</f>
        <v>10</v>
      </c>
      <c r="AG796" s="1938"/>
      <c r="AH796" s="1938"/>
      <c r="AI796" s="1938"/>
      <c r="AJ796" s="1938"/>
      <c r="AK796" s="1938"/>
      <c r="AL796" s="854"/>
      <c r="AM796" s="631"/>
    </row>
    <row r="797" spans="1:81">
      <c r="A797" s="855" t="s">
        <v>1545</v>
      </c>
      <c r="B797" s="1949" t="s">
        <v>1546</v>
      </c>
      <c r="C797" s="1949"/>
      <c r="D797" s="1949"/>
      <c r="E797" s="1949"/>
      <c r="F797" s="1949"/>
      <c r="G797" s="1949"/>
      <c r="H797" s="1949"/>
      <c r="I797" s="1949"/>
      <c r="J797" s="1949"/>
      <c r="K797" s="1949"/>
      <c r="L797" s="1949"/>
      <c r="M797" s="1949"/>
      <c r="N797" s="1949"/>
      <c r="O797" s="1949"/>
      <c r="P797" s="1949"/>
      <c r="Q797" s="1949"/>
      <c r="R797" s="1949"/>
      <c r="S797" s="1950"/>
      <c r="T797" s="1951">
        <f>AK262</f>
        <v>8</v>
      </c>
      <c r="U797" s="1951"/>
      <c r="V797" s="1951"/>
      <c r="W797" s="1951"/>
      <c r="X797" s="1951"/>
      <c r="Y797" s="1951"/>
      <c r="Z797" s="1952">
        <v>8</v>
      </c>
      <c r="AA797" s="1953"/>
      <c r="AB797" s="1953"/>
      <c r="AC797" s="1953"/>
      <c r="AD797" s="1953"/>
      <c r="AE797" s="1954"/>
      <c r="AF797" s="1938">
        <f>IF(T797&gt;Z797,Z797,T797)</f>
        <v>8</v>
      </c>
      <c r="AG797" s="1938"/>
      <c r="AH797" s="1938"/>
      <c r="AI797" s="1938"/>
      <c r="AJ797" s="1938"/>
      <c r="AK797" s="1938"/>
      <c r="AL797" s="854"/>
      <c r="AM797" s="631"/>
    </row>
    <row r="798" spans="1:81" s="569" customFormat="1" hidden="1">
      <c r="A798" s="856" t="s">
        <v>599</v>
      </c>
      <c r="B798" s="1949" t="s">
        <v>1758</v>
      </c>
      <c r="C798" s="1949"/>
      <c r="D798" s="1949"/>
      <c r="E798" s="1949"/>
      <c r="F798" s="1949"/>
      <c r="G798" s="1949"/>
      <c r="H798" s="1949"/>
      <c r="I798" s="1949"/>
      <c r="J798" s="1949"/>
      <c r="K798" s="1949"/>
      <c r="L798" s="1949"/>
      <c r="M798" s="1949"/>
      <c r="N798" s="1949"/>
      <c r="O798" s="1949"/>
      <c r="P798" s="1949"/>
      <c r="Q798" s="1949"/>
      <c r="R798" s="1949"/>
      <c r="S798" s="1950"/>
      <c r="T798" s="1951">
        <f>IF(AK524&gt;5,5,AK524)</f>
        <v>0</v>
      </c>
      <c r="U798" s="1951"/>
      <c r="V798" s="1951"/>
      <c r="W798" s="1951"/>
      <c r="X798" s="1951"/>
      <c r="Y798" s="1951"/>
      <c r="Z798" s="1938">
        <v>5</v>
      </c>
      <c r="AA798" s="1938"/>
      <c r="AB798" s="1938"/>
      <c r="AC798" s="1938"/>
      <c r="AD798" s="1938"/>
      <c r="AE798" s="1938"/>
      <c r="AF798" s="1938">
        <f>IF(T798&gt;Z798,5,T798)</f>
        <v>0</v>
      </c>
      <c r="AG798" s="1938"/>
      <c r="AH798" s="1938"/>
      <c r="AI798" s="1938"/>
      <c r="AJ798" s="1938"/>
      <c r="AK798" s="193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1551</v>
      </c>
      <c r="B799" s="1949" t="s">
        <v>1759</v>
      </c>
      <c r="C799" s="1949"/>
      <c r="D799" s="1949"/>
      <c r="E799" s="1949"/>
      <c r="F799" s="1949"/>
      <c r="G799" s="1949"/>
      <c r="H799" s="1949"/>
      <c r="I799" s="1949"/>
      <c r="J799" s="1949"/>
      <c r="K799" s="1949"/>
      <c r="L799" s="1949"/>
      <c r="M799" s="1949"/>
      <c r="N799" s="1949"/>
      <c r="O799" s="1949"/>
      <c r="P799" s="1949"/>
      <c r="Q799" s="1949"/>
      <c r="R799" s="1949"/>
      <c r="S799" s="1950"/>
      <c r="T799" s="1951">
        <f>AK274</f>
        <v>10</v>
      </c>
      <c r="U799" s="1951"/>
      <c r="V799" s="1951"/>
      <c r="W799" s="1951"/>
      <c r="X799" s="1951"/>
      <c r="Y799" s="1951"/>
      <c r="Z799" s="1938">
        <v>10</v>
      </c>
      <c r="AA799" s="1938"/>
      <c r="AB799" s="1938"/>
      <c r="AC799" s="1938"/>
      <c r="AD799" s="1938"/>
      <c r="AE799" s="1938"/>
      <c r="AF799" s="1960">
        <f>IF(T799&gt;Z799,Z799,T799)</f>
        <v>10</v>
      </c>
      <c r="AG799" s="1961"/>
      <c r="AH799" s="1961"/>
      <c r="AI799" s="1961"/>
      <c r="AJ799" s="1961"/>
      <c r="AK799" s="196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1555</v>
      </c>
      <c r="B800" s="1949" t="s">
        <v>1556</v>
      </c>
      <c r="C800" s="1949"/>
      <c r="D800" s="1949"/>
      <c r="E800" s="1949"/>
      <c r="F800" s="1949"/>
      <c r="G800" s="1949"/>
      <c r="H800" s="1949"/>
      <c r="I800" s="1949"/>
      <c r="J800" s="1949"/>
      <c r="K800" s="1949"/>
      <c r="L800" s="1949"/>
      <c r="M800" s="1949"/>
      <c r="N800" s="1949"/>
      <c r="O800" s="1949"/>
      <c r="P800" s="1949"/>
      <c r="Q800" s="1949"/>
      <c r="R800" s="1949"/>
      <c r="S800" s="1950"/>
      <c r="T800" s="1951">
        <f>AK327</f>
        <v>9</v>
      </c>
      <c r="U800" s="1951"/>
      <c r="V800" s="1951"/>
      <c r="W800" s="1951"/>
      <c r="X800" s="1951"/>
      <c r="Y800" s="1951"/>
      <c r="Z800" s="1960">
        <v>10</v>
      </c>
      <c r="AA800" s="1961"/>
      <c r="AB800" s="1961"/>
      <c r="AC800" s="1961"/>
      <c r="AD800" s="1961"/>
      <c r="AE800" s="1962"/>
      <c r="AF800" s="1960">
        <f>IF(T800&gt;Z800,Z800,T800)</f>
        <v>9</v>
      </c>
      <c r="AG800" s="1961"/>
      <c r="AH800" s="1961"/>
      <c r="AI800" s="1961"/>
      <c r="AJ800" s="1961"/>
      <c r="AK800" s="196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1760</v>
      </c>
      <c r="D801" s="859"/>
      <c r="E801" s="859"/>
      <c r="F801" s="859"/>
      <c r="G801" s="859"/>
      <c r="H801" s="859"/>
      <c r="I801" s="859"/>
      <c r="J801" s="859"/>
      <c r="K801" s="859"/>
      <c r="L801" s="859"/>
      <c r="M801" s="859"/>
      <c r="N801" s="859"/>
      <c r="O801" s="859"/>
      <c r="P801" s="859"/>
      <c r="Q801" s="859"/>
      <c r="R801" s="857"/>
      <c r="S801" s="860"/>
      <c r="T801" s="1957">
        <f>AK327</f>
        <v>9</v>
      </c>
      <c r="U801" s="1957"/>
      <c r="V801" s="1957"/>
      <c r="W801" s="1957"/>
      <c r="X801" s="1957"/>
      <c r="Y801" s="1957"/>
      <c r="Z801" s="1925">
        <v>20</v>
      </c>
      <c r="AA801" s="1926"/>
      <c r="AB801" s="1926"/>
      <c r="AC801" s="1926"/>
      <c r="AD801" s="1926"/>
      <c r="AE801" s="1927"/>
      <c r="AF801" s="1959"/>
      <c r="AG801" s="1959"/>
      <c r="AH801" s="1959"/>
      <c r="AI801" s="1959"/>
      <c r="AJ801" s="1959"/>
      <c r="AK801" s="1959"/>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1628</v>
      </c>
      <c r="B802" s="1949" t="s">
        <v>874</v>
      </c>
      <c r="C802" s="1949"/>
      <c r="D802" s="1949"/>
      <c r="E802" s="1949"/>
      <c r="F802" s="1949"/>
      <c r="G802" s="1949"/>
      <c r="H802" s="1949"/>
      <c r="I802" s="1949"/>
      <c r="J802" s="1949"/>
      <c r="K802" s="1949"/>
      <c r="L802" s="1949"/>
      <c r="M802" s="1949"/>
      <c r="N802" s="1949"/>
      <c r="O802" s="1949"/>
      <c r="P802" s="1949"/>
      <c r="Q802" s="1949"/>
      <c r="R802" s="1949"/>
      <c r="S802" s="1950"/>
      <c r="T802" s="1951">
        <f>AK458</f>
        <v>10</v>
      </c>
      <c r="U802" s="1951"/>
      <c r="V802" s="1951"/>
      <c r="W802" s="1951"/>
      <c r="X802" s="1951"/>
      <c r="Y802" s="1951"/>
      <c r="Z802" s="1960">
        <v>10</v>
      </c>
      <c r="AA802" s="1961"/>
      <c r="AB802" s="1961"/>
      <c r="AC802" s="1961"/>
      <c r="AD802" s="1961"/>
      <c r="AE802" s="1962"/>
      <c r="AF802" s="1938">
        <f>IF(T802&gt;Z802,Z802,T802)</f>
        <v>10</v>
      </c>
      <c r="AG802" s="1938"/>
      <c r="AH802" s="1938"/>
      <c r="AI802" s="1938"/>
      <c r="AJ802" s="1938"/>
      <c r="AK802" s="193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1738</v>
      </c>
      <c r="B803" s="1949" t="s">
        <v>1739</v>
      </c>
      <c r="C803" s="1949"/>
      <c r="D803" s="1949"/>
      <c r="E803" s="1949"/>
      <c r="F803" s="1949"/>
      <c r="G803" s="1949"/>
      <c r="H803" s="1949"/>
      <c r="I803" s="1949"/>
      <c r="J803" s="1949"/>
      <c r="K803" s="1949"/>
      <c r="L803" s="1949"/>
      <c r="M803" s="1949"/>
      <c r="N803" s="1949"/>
      <c r="O803" s="1949"/>
      <c r="P803" s="1949"/>
      <c r="Q803" s="1949"/>
      <c r="R803" s="1949"/>
      <c r="S803" s="1950"/>
      <c r="T803" s="1951">
        <f>AK548</f>
        <v>12</v>
      </c>
      <c r="U803" s="1951"/>
      <c r="V803" s="1951"/>
      <c r="W803" s="1951"/>
      <c r="X803" s="1951"/>
      <c r="Y803" s="1951"/>
      <c r="Z803" s="1960">
        <v>12</v>
      </c>
      <c r="AA803" s="1961"/>
      <c r="AB803" s="1961"/>
      <c r="AC803" s="1961"/>
      <c r="AD803" s="1961"/>
      <c r="AE803" s="1962"/>
      <c r="AF803" s="1938">
        <f>IF(T803&gt;Z803,Z803,T803)</f>
        <v>12</v>
      </c>
      <c r="AG803" s="1938"/>
      <c r="AH803" s="1938"/>
      <c r="AI803" s="1938"/>
      <c r="AJ803" s="1938"/>
      <c r="AK803" s="193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2421</v>
      </c>
      <c r="B804" s="1949" t="s">
        <v>1761</v>
      </c>
      <c r="C804" s="1949"/>
      <c r="D804" s="1949"/>
      <c r="E804" s="1949"/>
      <c r="F804" s="1949"/>
      <c r="G804" s="1949"/>
      <c r="H804" s="1949"/>
      <c r="I804" s="1949"/>
      <c r="J804" s="1949"/>
      <c r="K804" s="1949"/>
      <c r="L804" s="1949"/>
      <c r="M804" s="1949"/>
      <c r="N804" s="1949"/>
      <c r="O804" s="1949"/>
      <c r="P804" s="1949"/>
      <c r="Q804" s="1949"/>
      <c r="R804" s="1949"/>
      <c r="S804" s="1950"/>
      <c r="T804" s="1951">
        <f>AK779</f>
        <v>10</v>
      </c>
      <c r="U804" s="1951"/>
      <c r="V804" s="1951"/>
      <c r="W804" s="1951"/>
      <c r="X804" s="1951"/>
      <c r="Y804" s="1951"/>
      <c r="Z804" s="1960">
        <v>10</v>
      </c>
      <c r="AA804" s="1961"/>
      <c r="AB804" s="1961"/>
      <c r="AC804" s="1961"/>
      <c r="AD804" s="1961"/>
      <c r="AE804" s="1962"/>
      <c r="AF804" s="1938">
        <f>IF(T804&gt;Z804,Z804,T804)</f>
        <v>10</v>
      </c>
      <c r="AG804" s="1938"/>
      <c r="AH804" s="1938"/>
      <c r="AI804" s="1938"/>
      <c r="AJ804" s="1938"/>
      <c r="AK804" s="193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63" t="s">
        <v>1762</v>
      </c>
      <c r="B805" s="1949"/>
      <c r="C805" s="1949"/>
      <c r="D805" s="1949"/>
      <c r="E805" s="1949"/>
      <c r="F805" s="1949"/>
      <c r="G805" s="1949"/>
      <c r="H805" s="1949"/>
      <c r="I805" s="1949"/>
      <c r="J805" s="1949"/>
      <c r="K805" s="1949"/>
      <c r="L805" s="1949"/>
      <c r="M805" s="1949"/>
      <c r="N805" s="1949"/>
      <c r="O805" s="1949"/>
      <c r="P805" s="1949"/>
      <c r="Q805" s="1949"/>
      <c r="R805" s="1949"/>
      <c r="S805" s="1950"/>
      <c r="T805" s="1964"/>
      <c r="U805" s="1964"/>
      <c r="V805" s="1964"/>
      <c r="W805" s="1964"/>
      <c r="X805" s="1964"/>
      <c r="Y805" s="1964"/>
      <c r="Z805" s="1958" t="s">
        <v>1763</v>
      </c>
      <c r="AA805" s="1958"/>
      <c r="AB805" s="1958"/>
      <c r="AC805" s="1958"/>
      <c r="AD805" s="1958"/>
      <c r="AE805" s="1958"/>
      <c r="AF805" s="1960">
        <f>IF(T805&gt;0,T805,0)</f>
        <v>0</v>
      </c>
      <c r="AG805" s="1961"/>
      <c r="AH805" s="1961"/>
      <c r="AI805" s="1961"/>
      <c r="AJ805" s="1961"/>
      <c r="AK805" s="196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65" t="s">
        <v>1764</v>
      </c>
      <c r="B806" s="1966"/>
      <c r="C806" s="1966"/>
      <c r="D806" s="1966"/>
      <c r="E806" s="1966"/>
      <c r="F806" s="1966"/>
      <c r="G806" s="1966"/>
      <c r="H806" s="1966"/>
      <c r="I806" s="1966"/>
      <c r="J806" s="1966"/>
      <c r="K806" s="1966"/>
      <c r="L806" s="1966"/>
      <c r="M806" s="1966"/>
      <c r="N806" s="1966"/>
      <c r="O806" s="1966"/>
      <c r="P806" s="1966"/>
      <c r="Q806" s="1966"/>
      <c r="R806" s="1966"/>
      <c r="S806" s="1966"/>
      <c r="T806" s="1966"/>
      <c r="U806" s="1966"/>
      <c r="V806" s="1966"/>
      <c r="W806" s="1966"/>
      <c r="X806" s="1966"/>
      <c r="Y806" s="1966"/>
      <c r="Z806" s="1966"/>
      <c r="AA806" s="1966"/>
      <c r="AB806" s="1966"/>
      <c r="AC806" s="1966"/>
      <c r="AD806" s="1966"/>
      <c r="AE806" s="1967"/>
      <c r="AF806" s="1971">
        <f ca="1">SUM(AF789:AK804)-AF805</f>
        <v>119</v>
      </c>
      <c r="AG806" s="1972"/>
      <c r="AH806" s="1972"/>
      <c r="AI806" s="1972"/>
      <c r="AJ806" s="1972"/>
      <c r="AK806" s="1973"/>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68"/>
      <c r="B807" s="1969"/>
      <c r="C807" s="1969"/>
      <c r="D807" s="1969"/>
      <c r="E807" s="1969"/>
      <c r="F807" s="1969"/>
      <c r="G807" s="1969"/>
      <c r="H807" s="1969"/>
      <c r="I807" s="1969"/>
      <c r="J807" s="1969"/>
      <c r="K807" s="1969"/>
      <c r="L807" s="1969"/>
      <c r="M807" s="1969"/>
      <c r="N807" s="1969"/>
      <c r="O807" s="1969"/>
      <c r="P807" s="1969"/>
      <c r="Q807" s="1969"/>
      <c r="R807" s="1969"/>
      <c r="S807" s="1969"/>
      <c r="T807" s="1969"/>
      <c r="U807" s="1969"/>
      <c r="V807" s="1969"/>
      <c r="W807" s="1969"/>
      <c r="X807" s="1969"/>
      <c r="Y807" s="1969"/>
      <c r="Z807" s="1969"/>
      <c r="AA807" s="1969"/>
      <c r="AB807" s="1969"/>
      <c r="AC807" s="1969"/>
      <c r="AD807" s="1969"/>
      <c r="AE807" s="1970"/>
      <c r="AF807" s="1974"/>
      <c r="AG807" s="1975"/>
      <c r="AH807" s="1975"/>
      <c r="AI807" s="1975"/>
      <c r="AJ807" s="1975"/>
      <c r="AK807" s="1976"/>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15"/>
  <sheetViews>
    <sheetView showGridLines="0" zoomScaleNormal="100" workbookViewId="0">
      <selection activeCell="I32" sqref="I32"/>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47" t="s">
        <v>1765</v>
      </c>
      <c r="B1" s="2147"/>
      <c r="C1" s="2147"/>
      <c r="D1" s="2147"/>
      <c r="E1" s="2147"/>
      <c r="F1" s="2147"/>
      <c r="G1" s="2147"/>
      <c r="H1" s="2147"/>
      <c r="I1" s="2147"/>
      <c r="J1" s="2147"/>
    </row>
    <row r="2" spans="1:13" ht="15" customHeight="1" thickBot="1">
      <c r="A2" s="1090"/>
      <c r="B2" s="1090"/>
      <c r="I2" s="1091"/>
      <c r="K2" s="1092"/>
    </row>
    <row r="3" spans="1:13" s="1095" customFormat="1" ht="20.100000000000001" customHeight="1">
      <c r="A3" s="1149"/>
      <c r="B3" s="1150"/>
      <c r="C3" s="1151"/>
      <c r="D3" s="1156"/>
      <c r="E3" s="1151"/>
      <c r="F3" s="1152" t="s">
        <v>2386</v>
      </c>
      <c r="G3" s="1151"/>
      <c r="H3" s="1153">
        <f>E16</f>
        <v>24335096</v>
      </c>
      <c r="I3" s="1154"/>
    </row>
    <row r="4" spans="1:13" s="1095" customFormat="1" ht="20.100000000000001" customHeight="1">
      <c r="B4" s="1143"/>
      <c r="D4" s="1157"/>
      <c r="F4" s="1141" t="s">
        <v>2388</v>
      </c>
      <c r="G4" s="1140" t="s">
        <v>2387</v>
      </c>
      <c r="H4" s="1142">
        <f>I16</f>
        <v>53842757.222222224</v>
      </c>
      <c r="I4" s="1144"/>
      <c r="K4" s="1099"/>
    </row>
    <row r="5" spans="1:13" s="1095" customFormat="1" ht="20.100000000000001" customHeight="1" thickBot="1">
      <c r="B5" s="1145"/>
      <c r="C5" s="1146"/>
      <c r="D5" s="1158"/>
      <c r="E5" s="1147"/>
      <c r="F5" s="1158" t="s">
        <v>2328</v>
      </c>
      <c r="G5" s="1159"/>
      <c r="H5" s="1155">
        <f>H3/H4</f>
        <v>0.45196600723033387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8" t="s">
        <v>2326</v>
      </c>
      <c r="C8" s="2149"/>
      <c r="D8" s="2149"/>
      <c r="E8" s="2150"/>
      <c r="G8" s="2151" t="s">
        <v>2327</v>
      </c>
      <c r="H8" s="2152"/>
      <c r="I8" s="2153"/>
      <c r="K8" s="1101"/>
    </row>
    <row r="9" spans="1:13" ht="15" customHeight="1">
      <c r="A9" s="1090"/>
      <c r="B9" s="2142" t="s">
        <v>2365</v>
      </c>
      <c r="C9" s="2142"/>
      <c r="D9" s="2142"/>
      <c r="E9" s="1103">
        <f>G31</f>
        <v>6920000</v>
      </c>
      <c r="G9" s="2145" t="s">
        <v>2363</v>
      </c>
      <c r="H9" s="2145"/>
      <c r="I9" s="1104">
        <f>Application!AM550</f>
        <v>36062717</v>
      </c>
      <c r="K9" s="1105"/>
      <c r="M9" s="1106"/>
    </row>
    <row r="10" spans="1:13" ht="15" customHeight="1" thickBot="1">
      <c r="A10" s="1090"/>
      <c r="B10" s="2142" t="s">
        <v>2366</v>
      </c>
      <c r="C10" s="2142"/>
      <c r="D10" s="2142"/>
      <c r="E10" s="1104">
        <f>G40</f>
        <v>7325496.0000000009</v>
      </c>
      <c r="G10" s="2145" t="s">
        <v>2329</v>
      </c>
      <c r="H10" s="2145"/>
      <c r="I10" s="1191">
        <f>'Basis &amp; Credits'!AB77</f>
        <v>19040573</v>
      </c>
      <c r="M10" s="1106"/>
    </row>
    <row r="11" spans="1:13" ht="15" customHeight="1">
      <c r="A11" s="1107"/>
      <c r="B11" s="2142" t="s">
        <v>2367</v>
      </c>
      <c r="C11" s="2142"/>
      <c r="D11" s="2142"/>
      <c r="E11" s="1104">
        <f>G49</f>
        <v>0</v>
      </c>
      <c r="G11" s="2145" t="s">
        <v>2378</v>
      </c>
      <c r="H11" s="2145"/>
      <c r="I11" s="1190">
        <f>I9+I10</f>
        <v>55103290</v>
      </c>
      <c r="M11" s="1106"/>
    </row>
    <row r="12" spans="1:13" ht="15" customHeight="1">
      <c r="A12" s="1093"/>
      <c r="B12" s="2142" t="s">
        <v>2368</v>
      </c>
      <c r="C12" s="2142"/>
      <c r="D12" s="2142"/>
      <c r="E12" s="1104">
        <f>G58</f>
        <v>540000</v>
      </c>
      <c r="G12" s="1192" t="s">
        <v>2403</v>
      </c>
      <c r="H12" s="1193"/>
      <c r="M12" s="1106"/>
    </row>
    <row r="13" spans="1:13" ht="15" customHeight="1">
      <c r="A13" s="1090"/>
      <c r="B13" s="2142" t="s">
        <v>2369</v>
      </c>
      <c r="C13" s="2142"/>
      <c r="D13" s="2142"/>
      <c r="E13" s="1109">
        <f>G83</f>
        <v>9549600</v>
      </c>
      <c r="G13" s="2146" t="s">
        <v>140</v>
      </c>
      <c r="H13" s="2146"/>
      <c r="I13" s="1108">
        <f>15%*(Application!AJ963&gt;0)</f>
        <v>0</v>
      </c>
      <c r="M13" s="1106"/>
    </row>
    <row r="14" spans="1:13" ht="15" customHeight="1">
      <c r="A14" s="1090"/>
      <c r="B14" s="2142" t="s">
        <v>2370</v>
      </c>
      <c r="C14" s="2142"/>
      <c r="D14" s="2142"/>
      <c r="E14" s="1104">
        <f>IF(G96&gt;G106,G96,0)</f>
        <v>0</v>
      </c>
      <c r="G14" s="1188" t="s">
        <v>2379</v>
      </c>
      <c r="H14" s="1188"/>
      <c r="I14" s="1108">
        <f>IF(Application!AJ997&gt;0,10%,IF(Application!AJ1001&gt;0,5%,0))</f>
        <v>0</v>
      </c>
      <c r="M14" s="1106"/>
    </row>
    <row r="15" spans="1:13" ht="15" customHeight="1" thickBot="1">
      <c r="A15" s="1090"/>
      <c r="B15" s="2143" t="s">
        <v>2389</v>
      </c>
      <c r="C15" s="2143"/>
      <c r="D15" s="2143"/>
      <c r="E15" s="1160">
        <f>IF(E14&gt;0,0,G106)</f>
        <v>0</v>
      </c>
      <c r="G15" s="2140" t="s">
        <v>2380</v>
      </c>
      <c r="H15" s="2141"/>
      <c r="I15" s="1162">
        <f>G114</f>
        <v>2.2875816993464051E-2</v>
      </c>
      <c r="M15" s="1106"/>
    </row>
    <row r="16" spans="1:13" ht="15" customHeight="1">
      <c r="A16" s="1090"/>
      <c r="B16" s="2144" t="s">
        <v>2325</v>
      </c>
      <c r="C16" s="2144"/>
      <c r="D16" s="2144"/>
      <c r="E16" s="1161">
        <f>SUM(E9:E15)</f>
        <v>24335096</v>
      </c>
      <c r="G16" s="1189" t="s">
        <v>2364</v>
      </c>
      <c r="H16" s="1189"/>
      <c r="I16" s="1163">
        <f>I11-((I11*I13)+(I11*I14)+(I11*I15))</f>
        <v>53842757.222222224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133</v>
      </c>
      <c r="O18" s="1133" t="s">
        <v>592</v>
      </c>
      <c r="P18" s="1088">
        <f>MATCH(Application!T189,Application!BP656:BP713,0)</f>
        <v>48</v>
      </c>
      <c r="S18" s="1110">
        <f>SUM(Cdlac[Population])</f>
        <v>0</v>
      </c>
    </row>
    <row r="19" spans="1:20" ht="15" customHeight="1">
      <c r="A19" s="1090"/>
      <c r="B19" s="1090"/>
      <c r="I19" s="1116"/>
      <c r="L19" s="1088" t="s">
        <v>2321</v>
      </c>
      <c r="M19" s="1088" t="s">
        <v>2320</v>
      </c>
      <c r="N19" s="1088" t="s">
        <v>2334</v>
      </c>
      <c r="O19" s="1088" t="s">
        <v>2335</v>
      </c>
      <c r="P19" s="1088" t="s">
        <v>2322</v>
      </c>
      <c r="Q19" s="1088" t="s">
        <v>2323</v>
      </c>
      <c r="R19" s="1088" t="s">
        <v>2336</v>
      </c>
      <c r="S19" s="1088" t="s">
        <v>2342</v>
      </c>
      <c r="T19" s="1088" t="s">
        <v>387</v>
      </c>
    </row>
    <row r="20" spans="1:20" ht="15" customHeight="1">
      <c r="A20" s="1093"/>
      <c r="C20" s="2138" t="s">
        <v>2382</v>
      </c>
      <c r="D20" s="2138" t="s">
        <v>2383</v>
      </c>
      <c r="E20" s="2138" t="s">
        <v>2384</v>
      </c>
      <c r="F20" s="2138" t="s">
        <v>2385</v>
      </c>
      <c r="G20" s="2138" t="s">
        <v>2381</v>
      </c>
      <c r="H20" s="1117"/>
      <c r="I20" s="1116"/>
      <c r="L20" s="1088">
        <f>IFERROR(MIN(4,MATCH(Application!B714,UnitSizes,0)-1),"")</f>
        <v>0</v>
      </c>
      <c r="M20" s="1110">
        <f>Application!G714</f>
        <v>2</v>
      </c>
      <c r="N20" s="1118">
        <f>Application!AC714</f>
        <v>0.3</v>
      </c>
      <c r="O20" s="1118">
        <f>IF(Cdlac[[#This Row],[Quantity]]&gt;0,IF(Cdlac[[#This Row],[Federal]],30%,IF($G$36,40%,Cdlac[[#This Row],[iAMI]])),"")</f>
        <v>0.3</v>
      </c>
      <c r="P20" s="1110" cm="1">
        <f t="array" ref="P20">IF(Cdlac[[#This Row],[Quantity]]&gt;0,INDEX(TcacRents,$P$18,Cdlac[[#This Row],[Bedrooms]]+1)*Cdlac[[#This Row],[AMI]],"")</f>
        <v>570.6</v>
      </c>
      <c r="Q20" s="1110" cm="1">
        <f t="array" ref="Q20">IF(Cdlac[[#This Row],[Quantity]]&gt;0,INDEX(HudFmrs,$P$18,Cdlac[[#This Row],[Bedrooms]]+1),"")</f>
        <v>1232</v>
      </c>
      <c r="R20" s="1110">
        <f>IF(Cdlac[[#This Row],[Quantity]]&gt;0,MAX(0,Cdlac[[#This Row],[Fair Market Rent]]-Cdlac[[#This Row],[Restricted Rent]]),"")</f>
        <v>661.4</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39"/>
      <c r="D21" s="2139"/>
      <c r="E21" s="2139"/>
      <c r="F21" s="2139"/>
      <c r="G21" s="2139"/>
      <c r="H21" s="1117"/>
      <c r="I21" s="1116"/>
      <c r="L21" s="1088">
        <f>IFERROR(MIN(4,MATCH(Application!B715,UnitSizes,0)-1),"")</f>
        <v>0</v>
      </c>
      <c r="M21" s="1110">
        <f>Application!G715</f>
        <v>2</v>
      </c>
      <c r="N21" s="1118">
        <f>Application!AC715</f>
        <v>0.3</v>
      </c>
      <c r="O21" s="1118">
        <f>IF(Cdlac[[#This Row],[Quantity]]&gt;0,IF(Cdlac[[#This Row],[Federal]],30%,IF($G$36,40%,Cdlac[[#This Row],[iAMI]])),"")</f>
        <v>0.3</v>
      </c>
      <c r="P21" s="1110" cm="1">
        <f t="array" ref="P21">IF(Cdlac[[#This Row],[Quantity]]&gt;0,INDEX(TcacRents,$P$18,Cdlac[[#This Row],[Bedrooms]]+1)*Cdlac[[#This Row],[AMI]],"")</f>
        <v>570.6</v>
      </c>
      <c r="Q21" s="1110" cm="1">
        <f t="array" ref="Q21">IF(Cdlac[[#This Row],[Quantity]]&gt;0,INDEX(HudFmrs,$P$18,Cdlac[[#This Row],[Bedrooms]]+1),"")</f>
        <v>1232</v>
      </c>
      <c r="R21" s="1110">
        <f>IF(Cdlac[[#This Row],[Quantity]]&gt;0,MAX(0,Cdlac[[#This Row],[Fair Market Rent]]-Cdlac[[#This Row],[Restricted Rent]]),"")</f>
        <v>661.4</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21</v>
      </c>
      <c r="F22" s="1119">
        <f>E22</f>
        <v>21</v>
      </c>
      <c r="G22" s="1119">
        <f>D22*F22</f>
        <v>18.900000000000002</v>
      </c>
      <c r="L22" s="1088">
        <f>IFERROR(MIN(4,MATCH(Application!B716,UnitSizes,0)-1),"")</f>
        <v>0</v>
      </c>
      <c r="M22" s="1110">
        <f>Application!G716</f>
        <v>17</v>
      </c>
      <c r="N22" s="1118">
        <f>Application!AC716</f>
        <v>0.6</v>
      </c>
      <c r="O22" s="1118">
        <f>IF(Cdlac[[#This Row],[Quantity]]&gt;0,IF(Cdlac[[#This Row],[Federal]],30%,IF($G$36,40%,Cdlac[[#This Row],[iAMI]])),"")</f>
        <v>0.6</v>
      </c>
      <c r="P22" s="1110" cm="1">
        <f t="array" ref="P22">IF(Cdlac[[#This Row],[Quantity]]&gt;0,INDEX(TcacRents,$P$18,Cdlac[[#This Row],[Bedrooms]]+1)*Cdlac[[#This Row],[AMI]],"")</f>
        <v>1141.2</v>
      </c>
      <c r="Q22" s="1110" cm="1">
        <f t="array" ref="Q22">IF(Cdlac[[#This Row],[Quantity]]&gt;0,INDEX(HudFmrs,$P$18,Cdlac[[#This Row],[Bedrooms]]+1),"")</f>
        <v>1232</v>
      </c>
      <c r="R22" s="1110">
        <f>IF(Cdlac[[#This Row],[Quantity]]&gt;0,MAX(0,Cdlac[[#This Row],[Fair Market Rent]]-Cdlac[[#This Row],[Restricted Rent]]),"")</f>
        <v>90.799999999999955</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82</v>
      </c>
      <c r="F23" s="1119">
        <f>E23</f>
        <v>82</v>
      </c>
      <c r="G23" s="1119">
        <f>D23*F23</f>
        <v>82</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30</v>
      </c>
      <c r="F24" s="1122">
        <f>SUM(E24:E26)-SUM(F25:F26)</f>
        <v>30</v>
      </c>
      <c r="G24" s="1119">
        <f>D24*F24</f>
        <v>37.5</v>
      </c>
      <c r="H24" s="1121"/>
      <c r="I24" s="1121"/>
      <c r="L24" s="1088">
        <f>IFERROR(MIN(4,MATCH(Application!B718,UnitSizes,0)-1),"")</f>
        <v>1</v>
      </c>
      <c r="M24" s="1110">
        <f>Application!G718</f>
        <v>12</v>
      </c>
      <c r="N24" s="1118">
        <f>Application!AC718</f>
        <v>0.3</v>
      </c>
      <c r="O24" s="1118">
        <f>IF(Cdlac[[#This Row],[Quantity]]&gt;0,IF(Cdlac[[#This Row],[Federal]],30%,IF($G$36,40%,Cdlac[[#This Row],[iAMI]])),"")</f>
        <v>0.3</v>
      </c>
      <c r="P24" s="1110" cm="1">
        <f t="array" ref="P24">IF(Cdlac[[#This Row],[Quantity]]&gt;0,INDEX(TcacRents,$P$18,Cdlac[[#This Row],[Bedrooms]]+1)*Cdlac[[#This Row],[AMI]],"")</f>
        <v>610.79999999999995</v>
      </c>
      <c r="Q24" s="1110" cm="1">
        <f t="array" ref="Q24">IF(Cdlac[[#This Row],[Quantity]]&gt;0,INDEX(HudFmrs,$P$18,Cdlac[[#This Row],[Bedrooms]]+1),"")</f>
        <v>1408</v>
      </c>
      <c r="R24" s="1110">
        <f>IF(Cdlac[[#This Row],[Quantity]]&gt;0,MAX(0,Cdlac[[#This Row],[Fair Market Rent]]-Cdlac[[#This Row],[Restricted Rent]]),"")</f>
        <v>797.2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4</v>
      </c>
      <c r="N25" s="1118">
        <f>Application!AC719</f>
        <v>0.3</v>
      </c>
      <c r="O25" s="1118">
        <f>IF(Cdlac[[#This Row],[Quantity]]&gt;0,IF(Cdlac[[#This Row],[Federal]],30%,IF($G$36,40%,Cdlac[[#This Row],[iAMI]])),"")</f>
        <v>0.3</v>
      </c>
      <c r="P25" s="1110" cm="1">
        <f t="array" ref="P25">IF(Cdlac[[#This Row],[Quantity]]&gt;0,INDEX(TcacRents,$P$18,Cdlac[[#This Row],[Bedrooms]]+1)*Cdlac[[#This Row],[AMI]],"")</f>
        <v>610.79999999999995</v>
      </c>
      <c r="Q25" s="1110" cm="1">
        <f t="array" ref="Q25">IF(Cdlac[[#This Row],[Quantity]]&gt;0,INDEX(HudFmrs,$P$18,Cdlac[[#This Row],[Bedrooms]]+1),"")</f>
        <v>1408</v>
      </c>
      <c r="R25" s="1110">
        <f>IF(Cdlac[[#This Row],[Quantity]]&gt;0,MAX(0,Cdlac[[#This Row],[Fair Market Rent]]-Cdlac[[#This Row],[Restricted Rent]]),"")</f>
        <v>797.2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66</v>
      </c>
      <c r="N26" s="1118">
        <f>Application!AC720</f>
        <v>0.6</v>
      </c>
      <c r="O26" s="1118">
        <f>IF(Cdlac[[#This Row],[Quantity]]&gt;0,IF(Cdlac[[#This Row],[Federal]],30%,IF($G$36,40%,Cdlac[[#This Row],[iAMI]])),"")</f>
        <v>0.6</v>
      </c>
      <c r="P26" s="1110" cm="1">
        <f t="array" ref="P26">IF(Cdlac[[#This Row],[Quantity]]&gt;0,INDEX(TcacRents,$P$18,Cdlac[[#This Row],[Bedrooms]]+1)*Cdlac[[#This Row],[AMI]],"")</f>
        <v>1221.5999999999999</v>
      </c>
      <c r="Q26" s="1110" cm="1">
        <f t="array" ref="Q26">IF(Cdlac[[#This Row],[Quantity]]&gt;0,INDEX(HudFmrs,$P$18,Cdlac[[#This Row],[Bedrooms]]+1),"")</f>
        <v>1408</v>
      </c>
      <c r="R26" s="1110">
        <f>IF(Cdlac[[#This Row],[Quantity]]&gt;0,MAX(0,Cdlac[[#This Row],[Fair Market Rent]]-Cdlac[[#This Row],[Restricted Rent]]),"")</f>
        <v>186.40000000000009</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54" t="s">
        <v>1766</v>
      </c>
      <c r="D27" s="2155"/>
      <c r="E27" s="1138">
        <f>SUM(E22:E26)</f>
        <v>133</v>
      </c>
      <c r="F27" s="1138">
        <f>SUM(F22:F26)</f>
        <v>133</v>
      </c>
      <c r="G27" s="1139">
        <f>SUMPRODUCT(D22:D26,F22:F26)</f>
        <v>138.4</v>
      </c>
      <c r="H27" s="1121"/>
      <c r="I27" s="1121"/>
      <c r="L27" s="1088">
        <f>IFERROR(MIN(4,MATCH(Application!B721,UnitSizes,0)-1),"")</f>
        <v>2</v>
      </c>
      <c r="M27" s="1110">
        <f>Application!G721</f>
        <v>5</v>
      </c>
      <c r="N27" s="1118">
        <f>Application!AC721</f>
        <v>0.3</v>
      </c>
      <c r="O27" s="1118">
        <f>IF(Cdlac[[#This Row],[Quantity]]&gt;0,IF(Cdlac[[#This Row],[Federal]],30%,IF($G$36,40%,Cdlac[[#This Row],[iAMI]])),"")</f>
        <v>0.3</v>
      </c>
      <c r="P27" s="1110" cm="1">
        <f t="array" ref="P27">IF(Cdlac[[#This Row],[Quantity]]&gt;0,INDEX(TcacRents,$P$18,Cdlac[[#This Row],[Bedrooms]]+1)*Cdlac[[#This Row],[AMI]],"")</f>
        <v>733.19999999999993</v>
      </c>
      <c r="Q27" s="1110" cm="1">
        <f t="array" ref="Q27">IF(Cdlac[[#This Row],[Quantity]]&gt;0,INDEX(HudFmrs,$P$18,Cdlac[[#This Row],[Bedrooms]]+1),"")</f>
        <v>1677</v>
      </c>
      <c r="R27" s="1110">
        <f>IF(Cdlac[[#This Row],[Quantity]]&gt;0,MAX(0,Cdlac[[#This Row],[Fair Market Rent]]-Cdlac[[#This Row],[Restricted Rent]]),"")</f>
        <v>943.80000000000007</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2</v>
      </c>
      <c r="N28" s="1118">
        <f>Application!AC722</f>
        <v>0.3</v>
      </c>
      <c r="O28" s="1118">
        <f>IF(Cdlac[[#This Row],[Quantity]]&gt;0,IF(Cdlac[[#This Row],[Federal]],30%,IF($G$36,40%,Cdlac[[#This Row],[iAMI]])),"")</f>
        <v>0.3</v>
      </c>
      <c r="P28" s="1110" cm="1">
        <f t="array" ref="P28">IF(Cdlac[[#This Row],[Quantity]]&gt;0,INDEX(TcacRents,$P$18,Cdlac[[#This Row],[Bedrooms]]+1)*Cdlac[[#This Row],[AMI]],"")</f>
        <v>733.19999999999993</v>
      </c>
      <c r="Q28" s="1110" cm="1">
        <f t="array" ref="Q28">IF(Cdlac[[#This Row],[Quantity]]&gt;0,INDEX(HudFmrs,$P$18,Cdlac[[#This Row],[Bedrooms]]+1),"")</f>
        <v>1677</v>
      </c>
      <c r="R28" s="1110">
        <f>IF(Cdlac[[#This Row],[Quantity]]&gt;0,MAX(0,Cdlac[[#This Row],[Fair Market Rent]]-Cdlac[[#This Row],[Restricted Rent]]),"")</f>
        <v>943.80000000000007</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2381</v>
      </c>
      <c r="G29" s="1165">
        <f>G27</f>
        <v>138.4</v>
      </c>
      <c r="H29" s="1121"/>
      <c r="I29" s="1121"/>
      <c r="L29" s="1088">
        <f>IFERROR(MIN(4,MATCH(Application!B723,UnitSizes,0)-1),"")</f>
        <v>2</v>
      </c>
      <c r="M29" s="1110">
        <f>Application!G723</f>
        <v>23</v>
      </c>
      <c r="N29" s="1118">
        <f>Application!AC723</f>
        <v>0.6</v>
      </c>
      <c r="O29" s="1118">
        <f>IF(Cdlac[[#This Row],[Quantity]]&gt;0,IF(Cdlac[[#This Row],[Federal]],30%,IF($G$36,40%,Cdlac[[#This Row],[iAMI]])),"")</f>
        <v>0.6</v>
      </c>
      <c r="P29" s="1110" cm="1">
        <f t="array" ref="P29">IF(Cdlac[[#This Row],[Quantity]]&gt;0,INDEX(TcacRents,$P$18,Cdlac[[#This Row],[Bedrooms]]+1)*Cdlac[[#This Row],[AMI]],"")</f>
        <v>1466.3999999999999</v>
      </c>
      <c r="Q29" s="1110" cm="1">
        <f t="array" ref="Q29">IF(Cdlac[[#This Row],[Quantity]]&gt;0,INDEX(HudFmrs,$P$18,Cdlac[[#This Row],[Bedrooms]]+1),"")</f>
        <v>1677</v>
      </c>
      <c r="R29" s="1110">
        <f>IF(Cdlac[[#This Row],[Quantity]]&gt;0,MAX(0,Cdlac[[#This Row],[Fair Market Rent]]-Cdlac[[#This Row],[Restricted Rent]]),"")</f>
        <v>210.60000000000014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2333</v>
      </c>
      <c r="F30" s="1164" t="s">
        <v>2390</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2374</v>
      </c>
      <c r="F31" s="1090"/>
      <c r="G31" s="1170">
        <f>G30*G29</f>
        <v>6920000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2401</v>
      </c>
      <c r="G35" s="1171" cm="1">
        <f t="array" ref="G35">SUMPRODUCT(Cdlac[Quantity],Cdlac[iAMI],IF(Cdlac[Federal],0,1))/SUMIFS(Cdlac[Quantity],Cdlac[Federal],FALSE)</f>
        <v>0.5544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2396</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2337</v>
      </c>
      <c r="G38" s="1125">
        <f>SUMPRODUCT(Cdlac[Quantity],Cdlac[Delta])</f>
        <v>40697.200000000004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2402</v>
      </c>
      <c r="F39" s="1164" t="s">
        <v>2390</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2330</v>
      </c>
      <c r="F40" s="1090"/>
      <c r="G40" s="1174">
        <f>G38*G39</f>
        <v>7325496.0000000009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2391</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2392</v>
      </c>
      <c r="G45" s="1176">
        <f>ROUNDDOWN(E27*50%,0)</f>
        <v>66</v>
      </c>
    </row>
    <row r="46" spans="2:20" ht="15" customHeight="1">
      <c r="E46" s="1168"/>
      <c r="G46" s="1176"/>
    </row>
    <row r="47" spans="2:20" ht="15" customHeight="1">
      <c r="E47" s="1168" t="s">
        <v>2343</v>
      </c>
      <c r="G47" s="1165">
        <f>MIN(G44:G45)</f>
        <v>0</v>
      </c>
    </row>
    <row r="48" spans="2:20" ht="15" customHeight="1">
      <c r="E48" s="1168" t="s">
        <v>2333</v>
      </c>
      <c r="F48" s="1164" t="s">
        <v>2390</v>
      </c>
      <c r="G48" s="1175">
        <v>10000</v>
      </c>
    </row>
    <row r="49" spans="2:14" ht="15" customHeight="1">
      <c r="E49" s="1169" t="s">
        <v>2373</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2393</v>
      </c>
      <c r="G53" s="1126">
        <f>SUMIFS(Cdlac[Quantity],Cdlac[iAMI],"&lt;=30%")</f>
        <v>27</v>
      </c>
    </row>
    <row r="54" spans="2:14" ht="15" customHeight="1">
      <c r="E54" s="1168" t="s">
        <v>2392</v>
      </c>
      <c r="G54" s="1126">
        <f>ROUNDDOWN(E27*50%,0)</f>
        <v>66</v>
      </c>
    </row>
    <row r="55" spans="2:14" ht="15" customHeight="1">
      <c r="E55" s="1168"/>
      <c r="G55" s="1126"/>
    </row>
    <row r="56" spans="2:14" ht="15" customHeight="1">
      <c r="E56" s="1168" t="s">
        <v>2343</v>
      </c>
      <c r="G56" s="1165">
        <f>MIN(G53:G54)</f>
        <v>27</v>
      </c>
    </row>
    <row r="57" spans="2:14" ht="15" customHeight="1">
      <c r="E57" s="1168" t="s">
        <v>2333</v>
      </c>
      <c r="F57" s="1164" t="s">
        <v>2390</v>
      </c>
      <c r="G57" s="1175">
        <v>20000</v>
      </c>
    </row>
    <row r="58" spans="2:14" ht="15" customHeight="1">
      <c r="E58" s="1169" t="s">
        <v>2372</v>
      </c>
      <c r="F58" s="1090"/>
      <c r="G58" s="1174">
        <f>G56*G57</f>
        <v>540000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2346</v>
      </c>
      <c r="G62" s="1165">
        <f>VLOOKUP('Points System'!$H$595,'Points System'!$AO$575:$AP$580,2,FALSE)</f>
        <v>7</v>
      </c>
      <c r="L62" s="1178" t="str">
        <f>'Points System'!H627</f>
        <v>(i)</v>
      </c>
      <c r="M62" s="2156" t="s">
        <v>1580</v>
      </c>
      <c r="N62" s="2157"/>
    </row>
    <row r="63" spans="2:14" ht="15" customHeight="1">
      <c r="E63" s="1133" t="s">
        <v>2333</v>
      </c>
      <c r="F63" s="1164" t="s">
        <v>2390</v>
      </c>
      <c r="G63" s="1123">
        <v>4000</v>
      </c>
      <c r="L63" s="1179" t="str">
        <f>'Points System'!H639</f>
        <v>(i)</v>
      </c>
      <c r="M63" s="2158" t="s">
        <v>2347</v>
      </c>
      <c r="N63" s="2159"/>
    </row>
    <row r="64" spans="2:14" ht="15" customHeight="1">
      <c r="E64" s="1133" t="s">
        <v>2394</v>
      </c>
      <c r="F64" s="1164" t="s">
        <v>2390</v>
      </c>
      <c r="G64" s="1177">
        <f>G27</f>
        <v>138.4</v>
      </c>
      <c r="L64" s="1179" t="str">
        <f>'Points System'!H674</f>
        <v>(i)</v>
      </c>
      <c r="M64" s="2158" t="s">
        <v>2348</v>
      </c>
      <c r="N64" s="2159"/>
    </row>
    <row r="65" spans="2:14" ht="15" customHeight="1">
      <c r="E65" s="1169" t="s">
        <v>2352</v>
      </c>
      <c r="F65" s="1090"/>
      <c r="G65" s="1174">
        <f>G62*G63*G64</f>
        <v>3875200</v>
      </c>
      <c r="L65" s="1179" t="str">
        <f>'Points System'!H694</f>
        <v>N/A</v>
      </c>
      <c r="M65" s="2158" t="s">
        <v>2349</v>
      </c>
      <c r="N65" s="2159"/>
    </row>
    <row r="66" spans="2:14" ht="15" customHeight="1">
      <c r="C66" s="1124"/>
      <c r="G66" s="1165"/>
      <c r="L66" s="1180" t="str">
        <f>'Points System'!H708</f>
        <v>N/A</v>
      </c>
      <c r="M66" s="2158" t="s">
        <v>1606</v>
      </c>
      <c r="N66" s="2159"/>
    </row>
    <row r="67" spans="2:14" ht="15" customHeight="1">
      <c r="E67" s="1133" t="s">
        <v>2395</v>
      </c>
      <c r="G67" s="1177">
        <f>COUNTIFS(L62:L69,"(i)")</f>
        <v>4</v>
      </c>
      <c r="L67" s="1179" t="str">
        <f>'Points System'!H720</f>
        <v>N/A</v>
      </c>
      <c r="M67" s="2158" t="s">
        <v>2350</v>
      </c>
      <c r="N67" s="2159"/>
    </row>
    <row r="68" spans="2:14" ht="15" customHeight="1">
      <c r="E68" s="1133" t="s">
        <v>2333</v>
      </c>
      <c r="F68" s="1164" t="s">
        <v>2390</v>
      </c>
      <c r="G68" s="1175">
        <v>4000</v>
      </c>
      <c r="L68" s="1179" t="str">
        <f>'Points System'!H736</f>
        <v>(ii)</v>
      </c>
      <c r="M68" s="2158" t="s">
        <v>2351</v>
      </c>
      <c r="N68" s="2159"/>
    </row>
    <row r="69" spans="2:14" ht="15" customHeight="1" thickBot="1">
      <c r="E69" s="1169" t="s">
        <v>2353</v>
      </c>
      <c r="F69" s="1090"/>
      <c r="G69" s="1174">
        <f>G64*G67*G68</f>
        <v>2214400</v>
      </c>
      <c r="L69" s="1181" t="str">
        <f>'Points System'!H748</f>
        <v>(i)</v>
      </c>
      <c r="M69" s="2164" t="s">
        <v>1609</v>
      </c>
      <c r="N69" s="2165"/>
    </row>
    <row r="70" spans="2:14" ht="15" customHeight="1"/>
    <row r="71" spans="2:14" ht="15" customHeight="1">
      <c r="C71" s="1127" t="s">
        <v>2355</v>
      </c>
    </row>
    <row r="72" spans="2:14" ht="15" customHeight="1">
      <c r="C72" s="1124" t="s">
        <v>2356</v>
      </c>
      <c r="G72" s="1087"/>
    </row>
    <row r="73" spans="2:14" ht="15" customHeight="1">
      <c r="C73" s="1124" t="s">
        <v>2357</v>
      </c>
      <c r="G73" s="1087"/>
    </row>
    <row r="74" spans="2:14" ht="15" customHeight="1">
      <c r="C74" s="1124" t="s">
        <v>2614</v>
      </c>
      <c r="G74" s="1087" t="s">
        <v>555</v>
      </c>
    </row>
    <row r="75" spans="2:14" ht="15" customHeight="1">
      <c r="C75" s="1124" t="s">
        <v>2615</v>
      </c>
      <c r="G75" s="1087"/>
    </row>
    <row r="76" spans="2:14" ht="15" customHeight="1"/>
    <row r="77" spans="2:14" ht="15" customHeight="1">
      <c r="B77" s="1125"/>
      <c r="C77" s="1124"/>
      <c r="E77" s="1133" t="s">
        <v>2397</v>
      </c>
      <c r="G77" s="1126" t="b">
        <f>COUNTIFS(G72:G75,"Yes")&gt;=1</f>
        <v>1</v>
      </c>
    </row>
    <row r="78" spans="2:14" ht="15" customHeight="1">
      <c r="E78" s="1124"/>
    </row>
    <row r="79" spans="2:14" ht="15" customHeight="1">
      <c r="E79" s="1133" t="s">
        <v>2394</v>
      </c>
      <c r="F79" s="1164" t="s">
        <v>2390</v>
      </c>
      <c r="G79" s="1165">
        <f>G27</f>
        <v>138.4</v>
      </c>
    </row>
    <row r="80" spans="2:14" ht="15" customHeight="1">
      <c r="E80" s="1133" t="s">
        <v>2333</v>
      </c>
      <c r="F80" s="1164" t="s">
        <v>2390</v>
      </c>
      <c r="G80" s="1175">
        <v>25000</v>
      </c>
    </row>
    <row r="81" spans="2:14" ht="15" customHeight="1">
      <c r="E81" s="1169" t="s">
        <v>2354</v>
      </c>
      <c r="F81" s="1090"/>
      <c r="G81" s="1174">
        <f>G77*G80*G64</f>
        <v>3460000</v>
      </c>
    </row>
    <row r="82" spans="2:14" ht="15" customHeight="1">
      <c r="C82" s="1124"/>
      <c r="E82" s="1124"/>
    </row>
    <row r="83" spans="2:14" ht="15" customHeight="1">
      <c r="E83" s="1169" t="s">
        <v>2331</v>
      </c>
      <c r="G83" s="1174">
        <f>G81+G69+G65</f>
        <v>9549600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2376</v>
      </c>
      <c r="G87" s="1087" t="s">
        <v>555</v>
      </c>
      <c r="L87" s="2166" t="s">
        <v>2360</v>
      </c>
      <c r="M87" s="2167"/>
      <c r="N87" s="1182">
        <v>30000</v>
      </c>
    </row>
    <row r="88" spans="2:14" ht="15" customHeight="1">
      <c r="C88" s="1124" t="s">
        <v>2377</v>
      </c>
      <c r="G88" s="1128" t="str">
        <f>IF(Application!D210="Large Family","Yes","No")</f>
        <v>No</v>
      </c>
      <c r="L88" s="2160" t="s">
        <v>2324</v>
      </c>
      <c r="M88" s="2161"/>
      <c r="N88" s="1183">
        <v>20000</v>
      </c>
    </row>
    <row r="89" spans="2:14" ht="15" customHeight="1" thickBot="1">
      <c r="C89" s="1124" t="s">
        <v>2358</v>
      </c>
      <c r="G89" s="1087" t="s">
        <v>679</v>
      </c>
      <c r="L89" s="2162" t="s">
        <v>2361</v>
      </c>
      <c r="M89" s="2163"/>
      <c r="N89" s="1184">
        <v>10000</v>
      </c>
    </row>
    <row r="90" spans="2:14" ht="15" customHeight="1">
      <c r="C90" s="1124" t="s">
        <v>2359</v>
      </c>
      <c r="G90" s="1088" t="str">
        <f>Application!T193</f>
        <v>Low Resource</v>
      </c>
    </row>
    <row r="91" spans="2:14" ht="15" customHeight="1">
      <c r="C91" s="1124"/>
    </row>
    <row r="92" spans="2:14" ht="15" customHeight="1">
      <c r="E92" s="1133" t="s">
        <v>2397</v>
      </c>
      <c r="G92" s="1126" t="b">
        <f>AND(COUNTIFS(G88:G89,"Yes")&gt;=1,G87="Yes")</f>
        <v>0</v>
      </c>
    </row>
    <row r="93" spans="2:14" ht="15" customHeight="1">
      <c r="E93" s="1133"/>
      <c r="G93" s="1126"/>
    </row>
    <row r="94" spans="2:14" ht="15" customHeight="1">
      <c r="E94" s="1133" t="s">
        <v>2333</v>
      </c>
      <c r="G94" s="1125">
        <f>IFERROR(INDEX(N87:N89,MATCH(LEFT(G90,17),L87:L89,0)),0)</f>
        <v>0</v>
      </c>
    </row>
    <row r="95" spans="2:14" ht="15" customHeight="1">
      <c r="E95" s="1133" t="str">
        <f>E64</f>
        <v>Bedroom-Adjusted Low-Income Units</v>
      </c>
      <c r="F95" s="1164" t="s">
        <v>2390</v>
      </c>
      <c r="G95" s="1165">
        <f>G27</f>
        <v>138.4</v>
      </c>
    </row>
    <row r="96" spans="2:14" ht="15" customHeight="1">
      <c r="D96" s="1090"/>
      <c r="E96" s="1169" t="s">
        <v>2332</v>
      </c>
      <c r="F96" s="1090"/>
      <c r="G96" s="1174">
        <f>G95*G94*G92</f>
        <v>0</v>
      </c>
    </row>
    <row r="97" spans="2:9" ht="15" customHeight="1"/>
    <row r="98" spans="2:9" ht="15" customHeight="1">
      <c r="B98" s="1113" t="s">
        <v>2345</v>
      </c>
      <c r="C98" s="1114"/>
      <c r="D98" s="1114"/>
      <c r="E98" s="1114"/>
      <c r="F98" s="1114"/>
      <c r="G98" s="1114"/>
      <c r="H98" s="1114"/>
      <c r="I98" s="1115"/>
    </row>
    <row r="99" spans="2:9" ht="15" customHeight="1"/>
    <row r="100" spans="2:9" ht="15" customHeight="1">
      <c r="F100" s="1167" t="s">
        <v>2371</v>
      </c>
      <c r="G100" s="1087" t="s">
        <v>679</v>
      </c>
    </row>
    <row r="101" spans="2:9" ht="15" customHeight="1">
      <c r="F101" s="1167"/>
    </row>
    <row r="102" spans="2:9" ht="15" customHeight="1">
      <c r="E102" s="1133" t="s">
        <v>2397</v>
      </c>
      <c r="G102" s="1126" t="b">
        <f>G100="Yes"</f>
        <v>0</v>
      </c>
    </row>
    <row r="103" spans="2:9" ht="15" customHeight="1"/>
    <row r="104" spans="2:9" ht="15" customHeight="1">
      <c r="E104" s="1133" t="str">
        <f>E64</f>
        <v>Bedroom-Adjusted Low-Income Units</v>
      </c>
      <c r="G104" s="1165">
        <f>G27</f>
        <v>138.4</v>
      </c>
    </row>
    <row r="105" spans="2:9" ht="15" customHeight="1">
      <c r="E105" s="1133" t="s">
        <v>2333</v>
      </c>
      <c r="F105" s="1164" t="s">
        <v>2390</v>
      </c>
      <c r="G105" s="1094">
        <v>20000</v>
      </c>
    </row>
    <row r="106" spans="2:9" ht="15" customHeight="1">
      <c r="E106" s="1169" t="s">
        <v>2362</v>
      </c>
      <c r="F106" s="1090"/>
      <c r="G106" s="1174">
        <f>G102*G105*G104</f>
        <v>0</v>
      </c>
    </row>
    <row r="107" spans="2:9" ht="15" customHeight="1"/>
    <row r="108" spans="2:9" ht="15" customHeight="1">
      <c r="B108" s="1113" t="s">
        <v>2399</v>
      </c>
      <c r="C108" s="1114"/>
      <c r="D108" s="1114"/>
      <c r="E108" s="1114"/>
      <c r="F108" s="1114"/>
      <c r="G108" s="1114"/>
      <c r="H108" s="1114"/>
      <c r="I108" s="1115"/>
    </row>
    <row r="109" spans="2:9" ht="15" customHeight="1"/>
    <row r="110" spans="2:9" ht="15" customHeight="1">
      <c r="E110" s="1133" t="s">
        <v>592</v>
      </c>
      <c r="G110" s="1088" t="str">
        <f>IF(Application!T189="","",Application!T189)</f>
        <v>Solano</v>
      </c>
    </row>
    <row r="111" spans="2:9" ht="15" customHeight="1">
      <c r="E111" s="1133"/>
      <c r="G111" s="1125"/>
    </row>
    <row r="112" spans="2:9" ht="15" customHeight="1">
      <c r="E112" s="1133" t="str">
        <f>"2-Bedroom "&amp;G110&amp;" County Basis Limit"</f>
        <v>2-Bedroom Solano County Basis Limit</v>
      </c>
      <c r="G112" s="1125">
        <f>Application!R957</f>
        <v>534400</v>
      </c>
    </row>
    <row r="113" spans="4:9" ht="15" customHeight="1">
      <c r="E113" s="1133" t="s">
        <v>2398</v>
      </c>
      <c r="G113" s="1125">
        <f>MEDIAN((Application!BR795:BR852))</f>
        <v>489600</v>
      </c>
    </row>
    <row r="114" spans="4:9" ht="15" customHeight="1">
      <c r="D114" s="1090"/>
      <c r="E114" s="1169" t="s">
        <v>2400</v>
      </c>
      <c r="F114" s="1185"/>
      <c r="G114" s="1186">
        <f>((G112-G113)/G113)*0.25</f>
        <v>2.2875816993464051E-2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cp:lastModifiedBy>
  <cp:lastPrinted>2023-05-23T15:20:43Z</cp:lastPrinted>
  <dcterms:created xsi:type="dcterms:W3CDTF">2007-12-27T18:26:28Z</dcterms:created>
  <dcterms:modified xsi:type="dcterms:W3CDTF">2023-05-23T15:52:43Z</dcterms:modified>
</cp:coreProperties>
</file>