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S:\VA Building 210 - Los Angeles - US Vets\3.3 CDLAC\VA Building 210 CTCAC-CDLAC Joint App 9-6-23\Ready For Review\Reviewed\"/>
    </mc:Choice>
  </mc:AlternateContent>
  <xr:revisionPtr revIDLastSave="0" documentId="13_ncr:1_{90932201-C75A-44AB-ACFF-D1251F715E86}" xr6:coauthVersionLast="47" xr6:coauthVersionMax="47" xr10:uidLastSave="{00000000-0000-0000-0000-000000000000}"/>
  <bookViews>
    <workbookView xWindow="30" yWindow="150" windowWidth="28770" windowHeight="1545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System'!$A$550:$AM$781</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7" i="3" l="1"/>
  <c r="Q624" i="3"/>
  <c r="Q623" i="3"/>
  <c r="O521" i="3"/>
  <c r="O518" i="3"/>
  <c r="AD188" i="20" l="1"/>
  <c r="AD189" i="20"/>
  <c r="M930" i="3" l="1"/>
  <c r="AA901" i="3"/>
  <c r="AE695" i="3" l="1"/>
  <c r="G24" i="7"/>
  <c r="AO628" i="3"/>
  <c r="AM556" i="3"/>
  <c r="C45" i="4"/>
  <c r="C41" i="4" l="1"/>
  <c r="C40" i="4"/>
  <c r="C66" i="4"/>
  <c r="AC870" i="3"/>
  <c r="T214" i="20" l="1"/>
  <c r="T213" i="20"/>
  <c r="F7" i="8"/>
  <c r="F6" i="8"/>
  <c r="F5" i="8"/>
  <c r="B189" i="20"/>
  <c r="B188" i="20"/>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53" i="4"/>
  <c r="E52" i="4"/>
  <c r="E51" i="4"/>
  <c r="E50" i="4"/>
  <c r="E49" i="4"/>
  <c r="E48" i="4"/>
  <c r="E47" i="4"/>
  <c r="E46" i="4"/>
  <c r="E45" i="4"/>
  <c r="E43" i="4"/>
  <c r="E41" i="4"/>
  <c r="E40" i="4"/>
  <c r="E37" i="4"/>
  <c r="E36" i="4"/>
  <c r="E35" i="4"/>
  <c r="E34" i="4"/>
  <c r="E33" i="4"/>
  <c r="E32" i="4"/>
  <c r="E31" i="4"/>
  <c r="E30" i="4"/>
  <c r="E29" i="4"/>
  <c r="E15" i="4"/>
  <c r="E14" i="4"/>
  <c r="E13" i="4"/>
  <c r="E10" i="4"/>
  <c r="E9" i="4"/>
  <c r="E7" i="4"/>
  <c r="E6" i="4"/>
  <c r="E5" i="4"/>
  <c r="E4" i="4"/>
  <c r="F37" i="4"/>
  <c r="F36" i="4"/>
  <c r="F35" i="4"/>
  <c r="F34" i="4"/>
  <c r="F33" i="4"/>
  <c r="F32" i="4"/>
  <c r="F31" i="4"/>
  <c r="F30" i="4"/>
  <c r="F29" i="4"/>
  <c r="F13" i="4"/>
  <c r="F5" i="4"/>
  <c r="F10" i="4"/>
  <c r="I30" i="4"/>
  <c r="J30" i="4"/>
  <c r="H4" i="4"/>
  <c r="S93" i="4"/>
  <c r="C83" i="4"/>
  <c r="C79" i="4"/>
  <c r="C91" i="4"/>
  <c r="C88" i="4"/>
  <c r="C72" i="4"/>
  <c r="C65" i="4"/>
  <c r="S43" i="4"/>
  <c r="C30" i="4"/>
  <c r="M928" i="3"/>
  <c r="I920" i="3"/>
  <c r="I919" i="3"/>
  <c r="AA920" i="3"/>
  <c r="AA919" i="3"/>
  <c r="S67" i="4" l="1"/>
  <c r="S29" i="4"/>
  <c r="S30" i="4"/>
  <c r="S49" i="4"/>
  <c r="S34" i="4"/>
  <c r="S90" i="4"/>
  <c r="S91" i="4"/>
  <c r="S35" i="4"/>
  <c r="S66" i="4"/>
  <c r="S99" i="4"/>
  <c r="S79" i="4"/>
  <c r="S48" i="4"/>
  <c r="S33" i="4"/>
  <c r="S32" i="4"/>
  <c r="S31" i="4"/>
  <c r="S10" i="4"/>
  <c r="S86" i="4"/>
  <c r="S40" i="4"/>
  <c r="S41" i="4"/>
  <c r="C33" i="4"/>
  <c r="C32" i="4"/>
  <c r="S85" i="4"/>
  <c r="Z797" i="3" l="1"/>
  <c r="M931" i="3" l="1"/>
  <c r="AG445" i="3" l="1"/>
  <c r="T22" i="15" l="1"/>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E40" i="7"/>
  <c r="S40" i="7" s="1"/>
  <c r="S43" i="7" s="1"/>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DX601" i="3" s="1"/>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CS634" i="3" s="1"/>
  <c r="BN635" i="3"/>
  <c r="CS635" i="3" s="1"/>
  <c r="BN636" i="3"/>
  <c r="CS636" i="3" s="1"/>
  <c r="BN637" i="3"/>
  <c r="BN638" i="3"/>
  <c r="BN639" i="3"/>
  <c r="CS639" i="3" s="1"/>
  <c r="BN640" i="3"/>
  <c r="BN641" i="3"/>
  <c r="BN642" i="3"/>
  <c r="CS642" i="3" s="1"/>
  <c r="BN643" i="3"/>
  <c r="CS643" i="3" s="1"/>
  <c r="BS596" i="3"/>
  <c r="EC596" i="3" s="1"/>
  <c r="BS597" i="3"/>
  <c r="EC597" i="3" s="1"/>
  <c r="BS598" i="3"/>
  <c r="EC598" i="3" s="1"/>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CX636" i="3" s="1"/>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DC639" i="3" s="1"/>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DH636" i="3" s="1"/>
  <c r="CC637" i="3"/>
  <c r="DH637" i="3" s="1"/>
  <c r="CC638" i="3"/>
  <c r="DH638" i="3" s="1"/>
  <c r="CC639" i="3"/>
  <c r="DH639" i="3" s="1"/>
  <c r="CC640" i="3"/>
  <c r="CC641" i="3"/>
  <c r="DH641" i="3" s="1"/>
  <c r="CC642" i="3"/>
  <c r="DH642" i="3" s="1"/>
  <c r="CC643" i="3"/>
  <c r="DH643" i="3" s="1"/>
  <c r="CM634" i="3"/>
  <c r="CM635" i="3"/>
  <c r="DR635" i="3" s="1"/>
  <c r="CM636" i="3"/>
  <c r="DR636" i="3" s="1"/>
  <c r="CM637" i="3"/>
  <c r="DR637" i="3" s="1"/>
  <c r="CM638" i="3"/>
  <c r="DR638" i="3" s="1"/>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R44" i="21"/>
  <c r="B4" i="8"/>
  <c r="G4" i="8" s="1"/>
  <c r="B5" i="8"/>
  <c r="G5" i="8" s="1"/>
  <c r="B6" i="8"/>
  <c r="G6" i="8" s="1"/>
  <c r="G102" i="21"/>
  <c r="G88" i="21"/>
  <c r="G92" i="21" s="1"/>
  <c r="B10" i="8"/>
  <c r="G10" i="8" s="1"/>
  <c r="CS638" i="3"/>
  <c r="CS640" i="3"/>
  <c r="CS641" i="3"/>
  <c r="CX638" i="3"/>
  <c r="CX641" i="3"/>
  <c r="DC634" i="3"/>
  <c r="DC635" i="3"/>
  <c r="DC643" i="3"/>
  <c r="DH640" i="3"/>
  <c r="DM643" i="3"/>
  <c r="DR634"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D31" i="11" s="1"/>
  <c r="C32" i="11"/>
  <c r="C33" i="11"/>
  <c r="C34" i="11"/>
  <c r="C35" i="11"/>
  <c r="C36" i="11"/>
  <c r="D36" i="11" s="1"/>
  <c r="C37" i="11"/>
  <c r="C38" i="11"/>
  <c r="B31" i="11"/>
  <c r="B32" i="11"/>
  <c r="B33" i="11"/>
  <c r="B34" i="11"/>
  <c r="B35" i="11"/>
  <c r="B36" i="11"/>
  <c r="B37" i="11"/>
  <c r="B38" i="11"/>
  <c r="C24" i="11"/>
  <c r="C25" i="11"/>
  <c r="D25" i="11" s="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91" i="4"/>
  <c r="R84" i="4"/>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42" i="4" s="1"/>
  <c r="R37" i="4"/>
  <c r="R35" i="4"/>
  <c r="R34" i="4"/>
  <c r="R33" i="4"/>
  <c r="R32" i="4"/>
  <c r="R31" i="4"/>
  <c r="R30" i="4"/>
  <c r="R29" i="4"/>
  <c r="R27" i="4"/>
  <c r="R25" i="4"/>
  <c r="R23" i="4"/>
  <c r="R22" i="4"/>
  <c r="R26" i="4" s="1"/>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B41" i="11"/>
  <c r="D41" i="11" s="1"/>
  <c r="C41" i="11"/>
  <c r="C42" i="11"/>
  <c r="B42" i="11"/>
  <c r="B44" i="11"/>
  <c r="C44" i="11"/>
  <c r="B46" i="11"/>
  <c r="C46" i="11"/>
  <c r="B47" i="11"/>
  <c r="C47" i="11"/>
  <c r="D47" i="11" s="1"/>
  <c r="B48" i="11"/>
  <c r="B49" i="11"/>
  <c r="B50" i="11"/>
  <c r="D50" i="11" s="1"/>
  <c r="B51" i="11"/>
  <c r="B52" i="11"/>
  <c r="B53" i="11"/>
  <c r="C48" i="11"/>
  <c r="C49" i="11"/>
  <c r="C50" i="11"/>
  <c r="C51" i="11"/>
  <c r="D51" i="11" s="1"/>
  <c r="C52" i="11"/>
  <c r="C53" i="11"/>
  <c r="B57" i="11"/>
  <c r="C57" i="11"/>
  <c r="B58" i="11"/>
  <c r="C58" i="11"/>
  <c r="B59" i="11"/>
  <c r="C59" i="11"/>
  <c r="B60" i="11"/>
  <c r="C60" i="11"/>
  <c r="B61" i="11"/>
  <c r="C61" i="11"/>
  <c r="B62" i="11"/>
  <c r="C62" i="11"/>
  <c r="D62" i="11" s="1"/>
  <c r="B66" i="11"/>
  <c r="C66" i="11"/>
  <c r="D66" i="11" s="1"/>
  <c r="B73" i="11"/>
  <c r="C73" i="11"/>
  <c r="B74" i="11"/>
  <c r="C74" i="11"/>
  <c r="D74" i="11" s="1"/>
  <c r="B75" i="11"/>
  <c r="C75" i="11"/>
  <c r="B76" i="11"/>
  <c r="C76" i="11"/>
  <c r="D76" i="11" s="1"/>
  <c r="B77" i="11"/>
  <c r="C77" i="11"/>
  <c r="D77" i="11" s="1"/>
  <c r="B84" i="11"/>
  <c r="C84" i="11"/>
  <c r="D84" i="11" s="1"/>
  <c r="B100" i="11"/>
  <c r="C100" i="11"/>
  <c r="A4" i="8"/>
  <c r="D4" i="8"/>
  <c r="I4" i="8"/>
  <c r="A5" i="8"/>
  <c r="D5" i="8"/>
  <c r="I5" i="8"/>
  <c r="J5" i="8" s="1"/>
  <c r="A6" i="8"/>
  <c r="D6" i="8"/>
  <c r="I6" i="8" s="1"/>
  <c r="J6" i="8" s="1"/>
  <c r="A7" i="8"/>
  <c r="D7" i="8"/>
  <c r="I7" i="8" s="1"/>
  <c r="J7" i="8" s="1"/>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s="1"/>
  <c r="T96" i="4"/>
  <c r="H96" i="13" s="1"/>
  <c r="DX596" i="3"/>
  <c r="DX599" i="3"/>
  <c r="DX602" i="3"/>
  <c r="DX603" i="3"/>
  <c r="DX604" i="3"/>
  <c r="DX605" i="3"/>
  <c r="DX607" i="3"/>
  <c r="DX608" i="3"/>
  <c r="DX611" i="3"/>
  <c r="DX612" i="3"/>
  <c r="DX613" i="3"/>
  <c r="DX615" i="3"/>
  <c r="DX616" i="3"/>
  <c r="DX617" i="3"/>
  <c r="DX618" i="3"/>
  <c r="DX619" i="3"/>
  <c r="DX620"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600" i="3"/>
  <c r="EW602" i="3"/>
  <c r="EW603" i="3"/>
  <c r="EW605" i="3"/>
  <c r="EW609" i="3"/>
  <c r="EW610" i="3"/>
  <c r="EW611" i="3"/>
  <c r="EW615" i="3"/>
  <c r="EW616" i="3"/>
  <c r="EW617" i="3"/>
  <c r="ER599" i="3"/>
  <c r="ER600" i="3"/>
  <c r="ER602" i="3"/>
  <c r="ER604" i="3"/>
  <c r="ER605" i="3"/>
  <c r="ER608" i="3"/>
  <c r="ER609" i="3"/>
  <c r="ER610" i="3"/>
  <c r="ER612" i="3"/>
  <c r="ER613" i="3"/>
  <c r="ER614" i="3"/>
  <c r="ER615" i="3"/>
  <c r="ER616" i="3"/>
  <c r="ER617" i="3"/>
  <c r="ER620" i="3"/>
  <c r="C11" i="4"/>
  <c r="B11" i="13" s="1"/>
  <c r="C38" i="4"/>
  <c r="B38" i="13" s="1"/>
  <c r="C54" i="4"/>
  <c r="B54" i="13" s="1"/>
  <c r="C62" i="4"/>
  <c r="B62" i="13" s="1"/>
  <c r="C77" i="4"/>
  <c r="B77" i="13" s="1"/>
  <c r="C96" i="4"/>
  <c r="B96" i="13" s="1"/>
  <c r="B104" i="13"/>
  <c r="D8" i="4"/>
  <c r="D12" i="4" s="1"/>
  <c r="D11" i="4"/>
  <c r="D26" i="4"/>
  <c r="D38" i="4"/>
  <c r="D42" i="4"/>
  <c r="D54" i="4"/>
  <c r="D62" i="4"/>
  <c r="D77" i="4"/>
  <c r="D96" i="4"/>
  <c r="D104" i="4"/>
  <c r="B104" i="4"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2" i="4" s="1"/>
  <c r="H11" i="4"/>
  <c r="I8" i="4"/>
  <c r="I11" i="4"/>
  <c r="J8" i="4"/>
  <c r="J11" i="4"/>
  <c r="J26" i="4"/>
  <c r="J38" i="4"/>
  <c r="J63" i="4" s="1"/>
  <c r="J97" i="4" s="1"/>
  <c r="J105" i="4" s="1"/>
  <c r="J42" i="4"/>
  <c r="J54" i="4"/>
  <c r="J62" i="4"/>
  <c r="J70" i="4"/>
  <c r="J77" i="4"/>
  <c r="J96" i="4"/>
  <c r="J104" i="4"/>
  <c r="K8" i="4"/>
  <c r="K11" i="4"/>
  <c r="L8" i="4"/>
  <c r="L11" i="4"/>
  <c r="M8" i="4"/>
  <c r="M12" i="4" s="1"/>
  <c r="M11" i="4"/>
  <c r="N8" i="4"/>
  <c r="O8" i="4"/>
  <c r="Q8" i="4"/>
  <c r="Q11" i="4"/>
  <c r="Q12" i="4" s="1"/>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K63" i="4" s="1"/>
  <c r="K97" i="4" s="1"/>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E63" i="4" s="1"/>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E108" i="4"/>
  <c r="F108" i="4"/>
  <c r="G108" i="4"/>
  <c r="H108" i="4"/>
  <c r="I108" i="4"/>
  <c r="J108" i="4"/>
  <c r="K108" i="4"/>
  <c r="K99" i="4" s="1"/>
  <c r="E99" i="4" s="1"/>
  <c r="R99" i="4" s="1"/>
  <c r="R104" i="4" s="1"/>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AH716" i="3" s="1"/>
  <c r="X717" i="3"/>
  <c r="AH717" i="3" s="1"/>
  <c r="X718" i="3"/>
  <c r="X719" i="3"/>
  <c r="AH719" i="3" s="1"/>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AH720" i="3"/>
  <c r="I63" i="13"/>
  <c r="I97" i="13"/>
  <c r="I105" i="13"/>
  <c r="I107" i="13"/>
  <c r="B81" i="13"/>
  <c r="J63" i="13"/>
  <c r="J97" i="13"/>
  <c r="J105" i="13"/>
  <c r="J107" i="13"/>
  <c r="L12" i="4"/>
  <c r="D48" i="11"/>
  <c r="AH715" i="3"/>
  <c r="AH718" i="3"/>
  <c r="D93" i="11"/>
  <c r="D52" i="11"/>
  <c r="I12" i="4"/>
  <c r="G12" i="4"/>
  <c r="O63" i="4"/>
  <c r="D10" i="11"/>
  <c r="G63" i="13"/>
  <c r="D61" i="11"/>
  <c r="D8" i="11"/>
  <c r="D102" i="11"/>
  <c r="D94" i="11"/>
  <c r="K12" i="4"/>
  <c r="C12" i="13"/>
  <c r="J12" i="4"/>
  <c r="D22" i="11"/>
  <c r="O12" i="4"/>
  <c r="I63" i="4"/>
  <c r="D89" i="11"/>
  <c r="D73" i="11"/>
  <c r="D32" i="11"/>
  <c r="D87" i="11"/>
  <c r="D38" i="11"/>
  <c r="D58" i="11"/>
  <c r="D101" i="11"/>
  <c r="D28" i="11"/>
  <c r="D88" i="11"/>
  <c r="AH714" i="3"/>
  <c r="AD199" i="20"/>
  <c r="C12" i="11"/>
  <c r="B105" i="11"/>
  <c r="AD7" i="15"/>
  <c r="G40" i="7"/>
  <c r="G43" i="7" s="1"/>
  <c r="AG40" i="7"/>
  <c r="AG43" i="7" s="1"/>
  <c r="K28" i="7"/>
  <c r="O28" i="7"/>
  <c r="I28" i="7"/>
  <c r="W28" i="7"/>
  <c r="S28" i="7"/>
  <c r="Y28" i="7"/>
  <c r="AC28" i="7"/>
  <c r="AG28" i="7"/>
  <c r="M28" i="7"/>
  <c r="G28" i="7"/>
  <c r="AA28" i="7"/>
  <c r="Q28" i="7"/>
  <c r="U28" i="7"/>
  <c r="D104" i="11"/>
  <c r="E12" i="4"/>
  <c r="D30" i="8"/>
  <c r="D96" i="11"/>
  <c r="AB223" i="20"/>
  <c r="AB239" i="20" s="1"/>
  <c r="AB241" i="20" s="1"/>
  <c r="AB243" i="20" s="1"/>
  <c r="AB249" i="20" s="1"/>
  <c r="AD198" i="20" s="1"/>
  <c r="G58" i="7" l="1"/>
  <c r="I58" i="7"/>
  <c r="K53" i="7"/>
  <c r="E104" i="4"/>
  <c r="K104" i="4"/>
  <c r="B77" i="4"/>
  <c r="R77" i="4"/>
  <c r="R11" i="4"/>
  <c r="R8" i="4"/>
  <c r="K105" i="4"/>
  <c r="B63" i="11"/>
  <c r="R12" i="4"/>
  <c r="H63" i="4"/>
  <c r="H97" i="4" s="1"/>
  <c r="H105" i="4" s="1"/>
  <c r="D80" i="11"/>
  <c r="R70" i="4"/>
  <c r="G63" i="4"/>
  <c r="G97" i="4" s="1"/>
  <c r="G105" i="4" s="1"/>
  <c r="P63" i="4"/>
  <c r="P97" i="4" s="1"/>
  <c r="P105" i="4" s="1"/>
  <c r="M63" i="4"/>
  <c r="M97" i="4" s="1"/>
  <c r="M105" i="4" s="1"/>
  <c r="N63" i="4"/>
  <c r="N97" i="4" s="1"/>
  <c r="N105" i="4" s="1"/>
  <c r="F12" i="4"/>
  <c r="E97" i="4"/>
  <c r="E105" i="4" s="1"/>
  <c r="D75" i="11"/>
  <c r="D60" i="11"/>
  <c r="D23" i="11"/>
  <c r="D16" i="11"/>
  <c r="D7" i="11"/>
  <c r="R38" i="4"/>
  <c r="R54" i="4"/>
  <c r="R62" i="4"/>
  <c r="R96" i="4"/>
  <c r="G97" i="13"/>
  <c r="G105" i="13" s="1"/>
  <c r="G107" i="13" s="1"/>
  <c r="I97" i="4"/>
  <c r="I105" i="4" s="1"/>
  <c r="L63" i="4"/>
  <c r="L97" i="4" s="1"/>
  <c r="L105" i="4" s="1"/>
  <c r="Q63" i="4"/>
  <c r="Q97" i="4" s="1"/>
  <c r="Q105" i="4" s="1"/>
  <c r="O97" i="4"/>
  <c r="O105" i="4" s="1"/>
  <c r="R81" i="4"/>
  <c r="D63" i="4"/>
  <c r="D97" i="4" s="1"/>
  <c r="D105" i="4" s="1"/>
  <c r="D54" i="11"/>
  <c r="D85" i="11"/>
  <c r="F97" i="13"/>
  <c r="F105" i="13" s="1"/>
  <c r="F107" i="13" s="1"/>
  <c r="D53" i="11"/>
  <c r="D57" i="11"/>
  <c r="D20" i="11"/>
  <c r="D81" i="11"/>
  <c r="S63" i="4"/>
  <c r="E63" i="13" s="1"/>
  <c r="F63" i="4"/>
  <c r="F97" i="4" s="1"/>
  <c r="F105" i="4" s="1"/>
  <c r="N12" i="4"/>
  <c r="D59" i="11"/>
  <c r="D15" i="11"/>
  <c r="C9" i="11"/>
  <c r="C13" i="11" s="1"/>
  <c r="D63" i="13"/>
  <c r="D97" i="13" s="1"/>
  <c r="D105" i="13" s="1"/>
  <c r="C63" i="13"/>
  <c r="C97" i="13" s="1"/>
  <c r="C105" i="13" s="1"/>
  <c r="D95" i="11"/>
  <c r="D103" i="11"/>
  <c r="E26" i="13"/>
  <c r="D100" i="11"/>
  <c r="D21" i="11"/>
  <c r="D14" i="11"/>
  <c r="D5" i="11"/>
  <c r="AD200" i="20"/>
  <c r="T63" i="4"/>
  <c r="AB48" i="15"/>
  <c r="B78" i="11"/>
  <c r="D44" i="11"/>
  <c r="D42" i="11"/>
  <c r="C82" i="11"/>
  <c r="D49" i="11"/>
  <c r="D12" i="13"/>
  <c r="D35" i="11"/>
  <c r="D90" i="11"/>
  <c r="D34" i="11"/>
  <c r="D86" i="11"/>
  <c r="C63" i="11"/>
  <c r="D63" i="11" s="1"/>
  <c r="D46" i="11"/>
  <c r="C78" i="11"/>
  <c r="B62" i="4"/>
  <c r="D24" i="11"/>
  <c r="D18" i="11"/>
  <c r="C105" i="11"/>
  <c r="D105" i="11" s="1"/>
  <c r="D19" i="11"/>
  <c r="B9" i="11"/>
  <c r="D9" i="11" s="1"/>
  <c r="D91" i="11"/>
  <c r="D70" i="11"/>
  <c r="B11" i="4"/>
  <c r="D11" i="11"/>
  <c r="C12" i="4"/>
  <c r="B12" i="13" s="1"/>
  <c r="D6" i="11"/>
  <c r="B71" i="11"/>
  <c r="B43" i="11"/>
  <c r="B8" i="13"/>
  <c r="B8" i="4"/>
  <c r="N158" i="26" s="1"/>
  <c r="B55" i="11"/>
  <c r="C55" i="11"/>
  <c r="B97" i="11"/>
  <c r="C97" i="11"/>
  <c r="B39" i="11"/>
  <c r="B82" i="11"/>
  <c r="D92" i="11"/>
  <c r="B54" i="4"/>
  <c r="C39" i="11"/>
  <c r="D30" i="11"/>
  <c r="B38" i="4"/>
  <c r="B26" i="4"/>
  <c r="C27" i="11"/>
  <c r="B12" i="11"/>
  <c r="C71" i="11"/>
  <c r="B42" i="4"/>
  <c r="C43" i="11"/>
  <c r="B96" i="4"/>
  <c r="N157" i="26"/>
  <c r="C63" i="4"/>
  <c r="B63" i="13" s="1"/>
  <c r="AO637" i="3"/>
  <c r="AO65" i="20"/>
  <c r="AP364" i="20"/>
  <c r="AQ364" i="20" s="1"/>
  <c r="AS351" i="20" s="1"/>
  <c r="AS347" i="20" s="1"/>
  <c r="AK458" i="20" s="1"/>
  <c r="T802" i="20" s="1"/>
  <c r="AF802" i="20" s="1"/>
  <c r="AZ835" i="3"/>
  <c r="AZ840" i="3" s="1"/>
  <c r="BA973" i="3"/>
  <c r="I1013" i="3" s="1"/>
  <c r="AK172" i="20"/>
  <c r="AP355" i="20"/>
  <c r="AQ355" i="20" s="1"/>
  <c r="G67" i="21"/>
  <c r="T801" i="20"/>
  <c r="AO17" i="20"/>
  <c r="T793" i="20"/>
  <c r="AF793" i="20" s="1"/>
  <c r="AK779" i="20"/>
  <c r="T804" i="20" s="1"/>
  <c r="AF804" i="20" s="1"/>
  <c r="AK103" i="20"/>
  <c r="T791" i="20" s="1"/>
  <c r="AF791"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M53" i="7" l="1"/>
  <c r="K58" i="7"/>
  <c r="R63" i="4"/>
  <c r="R97" i="4" s="1"/>
  <c r="R105" i="4" s="1"/>
  <c r="D82" i="11"/>
  <c r="B12" i="4"/>
  <c r="S97" i="4"/>
  <c r="E97" i="13" s="1"/>
  <c r="B13" i="11"/>
  <c r="T97" i="4"/>
  <c r="H63" i="13"/>
  <c r="D78" i="11"/>
  <c r="D55" i="11"/>
  <c r="D39" i="11"/>
  <c r="D27" i="11"/>
  <c r="D97" i="11"/>
  <c r="D43" i="11"/>
  <c r="D13" i="11"/>
  <c r="N164" i="26"/>
  <c r="D71" i="11"/>
  <c r="B63" i="4"/>
  <c r="B64" i="11"/>
  <c r="B98" i="11" s="1"/>
  <c r="B106" i="11" s="1"/>
  <c r="D12" i="11"/>
  <c r="C64" i="11"/>
  <c r="C97" i="4"/>
  <c r="C105" i="4" s="1"/>
  <c r="AG258" i="20" s="1"/>
  <c r="I1017" i="3"/>
  <c r="BA976" i="3" s="1"/>
  <c r="AS349" i="20"/>
  <c r="AC869" i="3"/>
  <c r="EC628" i="3"/>
  <c r="T800" i="20"/>
  <c r="AF800" i="20" s="1"/>
  <c r="Y27" i="15"/>
  <c r="AI27" i="15"/>
  <c r="T789" i="20"/>
  <c r="AF789" i="20" s="1"/>
  <c r="AK78" i="20"/>
  <c r="E35" i="7"/>
  <c r="T27" i="15"/>
  <c r="BH702" i="3"/>
  <c r="BI702" i="3" s="1"/>
  <c r="Y784" i="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2" i="21" s="1"/>
  <c r="P22" i="21" s="1" a="1"/>
  <c r="P22" i="21" s="1"/>
  <c r="R2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M58" i="7" l="1"/>
  <c r="O53" i="7"/>
  <c r="S105" i="4"/>
  <c r="H97" i="13"/>
  <c r="T105" i="4"/>
  <c r="D64" i="11"/>
  <c r="C98" i="11"/>
  <c r="C106" i="11" s="1"/>
  <c r="D106" i="11" s="1"/>
  <c r="B105" i="4"/>
  <c r="AB47" i="15" s="1"/>
  <c r="AB49" i="15" s="1"/>
  <c r="AC454" i="3"/>
  <c r="B97" i="13"/>
  <c r="B105" i="13"/>
  <c r="B97" i="4"/>
  <c r="O25" i="21"/>
  <c r="P25" i="21" s="1" a="1"/>
  <c r="P25" i="21" s="1"/>
  <c r="R25" i="21" s="1"/>
  <c r="O23" i="21"/>
  <c r="P23" i="21" s="1" a="1"/>
  <c r="P23" i="21" s="1"/>
  <c r="R23" i="21" s="1"/>
  <c r="O24" i="21"/>
  <c r="P24" i="21" s="1" a="1"/>
  <c r="P24" i="21" s="1"/>
  <c r="R24" i="21" s="1"/>
  <c r="O20" i="21"/>
  <c r="P20" i="21" s="1" a="1"/>
  <c r="P20" i="21" s="1"/>
  <c r="R20" i="21" s="1"/>
  <c r="O21" i="21"/>
  <c r="P21" i="21" s="1" a="1"/>
  <c r="P21" i="21" s="1"/>
  <c r="R21" i="21" s="1"/>
  <c r="AW116" i="20"/>
  <c r="AK180" i="20"/>
  <c r="T796" i="20" s="1"/>
  <c r="AF796" i="20" s="1"/>
  <c r="T790" i="20"/>
  <c r="AF790" i="20" s="1"/>
  <c r="K8" i="7"/>
  <c r="M8" i="7"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O58" i="7" l="1"/>
  <c r="Q53" i="7"/>
  <c r="E105" i="13"/>
  <c r="S107" i="4"/>
  <c r="E107" i="13" s="1"/>
  <c r="T11" i="15" s="1"/>
  <c r="T23" i="15" s="1"/>
  <c r="T107" i="4"/>
  <c r="H105" i="13"/>
  <c r="D98" i="11"/>
  <c r="N154" i="26"/>
  <c r="N165" i="26" s="1"/>
  <c r="AC453" i="3"/>
  <c r="F456" i="3" s="1"/>
  <c r="AB255" i="20"/>
  <c r="AG257" i="20" s="1"/>
  <c r="AG259" i="20" s="1"/>
  <c r="AK262" i="20" s="1"/>
  <c r="T797" i="20" s="1"/>
  <c r="AF797" i="20" s="1"/>
  <c r="G38" i="21"/>
  <c r="G40" i="21" s="1"/>
  <c r="E10" i="21" s="1"/>
  <c r="I4" i="7"/>
  <c r="I5" i="7" s="1"/>
  <c r="K9" i="7"/>
  <c r="E11" i="7"/>
  <c r="E37" i="7" s="1"/>
  <c r="E49" i="7" s="1"/>
  <c r="AJ961" i="3"/>
  <c r="E132" i="20"/>
  <c r="E133" i="20" s="1"/>
  <c r="AK137" i="20" s="1"/>
  <c r="T792" i="20" s="1"/>
  <c r="AF792" i="20" s="1"/>
  <c r="E87" i="20"/>
  <c r="E88" i="20" s="1"/>
  <c r="E89" i="20" s="1"/>
  <c r="E97" i="20"/>
  <c r="E100" i="20" s="1"/>
  <c r="AB960" i="3"/>
  <c r="CS649" i="3"/>
  <c r="U362" i="20" s="1"/>
  <c r="O742" i="3"/>
  <c r="P420" i="3"/>
  <c r="I6" i="7"/>
  <c r="G7" i="7"/>
  <c r="G11" i="7" s="1"/>
  <c r="G37" i="7" s="1"/>
  <c r="M22" i="7"/>
  <c r="M35" i="7" s="1"/>
  <c r="O15" i="7"/>
  <c r="M9" i="7"/>
  <c r="O8" i="7"/>
  <c r="G25" i="21"/>
  <c r="F24" i="21"/>
  <c r="Q58" i="7" l="1"/>
  <c r="S53" i="7"/>
  <c r="AJ1010" i="3"/>
  <c r="AP541" i="20" s="1"/>
  <c r="AJ1014" i="3"/>
  <c r="AP542" i="20" s="1"/>
  <c r="Y11" i="15"/>
  <c r="Y23" i="15" s="1"/>
  <c r="Y26" i="15" s="1"/>
  <c r="Y28" i="15" s="1"/>
  <c r="Y64" i="15" s="1"/>
  <c r="Y68" i="15" s="1"/>
  <c r="H107" i="13"/>
  <c r="AC455" i="3"/>
  <c r="AF540" i="20"/>
  <c r="T26" i="15"/>
  <c r="T28" i="15" s="1"/>
  <c r="N155" i="26"/>
  <c r="B1025" i="3"/>
  <c r="AJ963" i="3"/>
  <c r="I13" i="21" s="1"/>
  <c r="K4" i="7"/>
  <c r="M4" i="7" s="1"/>
  <c r="E45" i="7"/>
  <c r="E48" i="7" s="1"/>
  <c r="AP539" i="20"/>
  <c r="AP543" i="20" s="1"/>
  <c r="G45" i="7"/>
  <c r="G49" i="7"/>
  <c r="K6" i="7"/>
  <c r="I7" i="7"/>
  <c r="I11" i="7" s="1"/>
  <c r="I37" i="7" s="1"/>
  <c r="G24" i="21"/>
  <c r="F27" i="21"/>
  <c r="G27" i="21"/>
  <c r="O22" i="7"/>
  <c r="O35" i="7" s="1"/>
  <c r="Q15" i="7"/>
  <c r="O9" i="7"/>
  <c r="Q8" i="7"/>
  <c r="S58" i="7" l="1"/>
  <c r="U53" i="7"/>
  <c r="AD11" i="15"/>
  <c r="AD23" i="15" s="1"/>
  <c r="AD26" i="15" s="1"/>
  <c r="AD28" i="15" s="1"/>
  <c r="AI11" i="15"/>
  <c r="AI23" i="15" s="1"/>
  <c r="AI26" i="15" s="1"/>
  <c r="AI28" i="15" s="1"/>
  <c r="AJ1018"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T29" i="15"/>
  <c r="Y38" i="15"/>
  <c r="Y40" i="15" s="1"/>
  <c r="AP546" i="20"/>
  <c r="AP545" i="20" s="1"/>
  <c r="AP548" i="20" s="1"/>
  <c r="AF541" i="20" s="1"/>
  <c r="AF542" i="20" s="1"/>
  <c r="AK548" i="20" s="1"/>
  <c r="T803" i="20" s="1"/>
  <c r="AF803" i="20" s="1"/>
  <c r="AF806" i="20"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W58" i="7" l="1"/>
  <c r="Y53" i="7"/>
  <c r="K49" i="7"/>
  <c r="Y41" i="15"/>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0" i="15"/>
  <c r="AB54" i="15" s="1"/>
  <c r="AB55" i="15" s="1"/>
  <c r="AB56" i="15" s="1"/>
  <c r="U4" i="7"/>
  <c r="S5" i="7"/>
  <c r="M48" i="7"/>
  <c r="M47" i="7"/>
  <c r="M60" i="7"/>
  <c r="O45" i="7"/>
  <c r="O49" i="7"/>
  <c r="K66" i="7"/>
  <c r="K67" i="7"/>
  <c r="K62" i="7"/>
  <c r="Q7" i="7"/>
  <c r="Q11" i="7" s="1"/>
  <c r="Q37" i="7" s="1"/>
  <c r="S6" i="7"/>
  <c r="I70" i="7"/>
  <c r="I72" i="7" s="1"/>
  <c r="W22" i="7"/>
  <c r="W35" i="7" s="1"/>
  <c r="Y15" i="7"/>
  <c r="W9" i="7"/>
  <c r="Y8" i="7"/>
  <c r="AC53" i="7" l="1"/>
  <c r="AA58" i="7"/>
  <c r="M26" i="3"/>
  <c r="P203" i="3" s="1"/>
  <c r="AB57" i="15"/>
  <c r="AB59" i="15" s="1"/>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<sst xmlns="http://schemas.openxmlformats.org/spreadsheetml/2006/main" count="5196" uniqueCount="2750">
  <si>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</si>
  <si>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</si>
  <si>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</si>
  <si>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</si>
  <si>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</si>
  <si>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</si>
  <si>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</si>
  <si>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</si>
  <si>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</si>
  <si>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</si>
  <si>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</si>
  <si>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</si>
  <si>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</si>
  <si>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</si>
  <si>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</si>
  <si>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</si>
  <si>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</si>
  <si>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</si>
  <si>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</si>
  <si>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</si>
  <si>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</si>
  <si>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</si>
  <si>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</si>
  <si>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</si>
  <si>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</si>
  <si>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</si>
  <si>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</si>
  <si>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</si>
  <si>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</si>
  <si>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</si>
  <si>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</si>
  <si>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</si>
  <si>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</si>
  <si>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</si>
  <si>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</si>
  <si>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</si>
  <si>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</si>
  <si>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</si>
  <si>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</si>
  <si>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</si>
  <si>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</si>
  <si>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</si>
  <si>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</si>
  <si>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</si>
  <si>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</si>
  <si>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</si>
  <si>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</si>
  <si>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</si>
  <si>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</si>
  <si>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</si>
  <si>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</si>
  <si>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</si>
  <si>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</si>
  <si>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</si>
  <si>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</si>
  <si>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</si>
  <si>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</si>
  <si>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</si>
  <si>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</si>
  <si>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</si>
  <si>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</si>
  <si>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</si>
  <si>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</si>
  <si>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</si>
  <si>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</si>
  <si>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</si>
  <si>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</si>
  <si>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</si>
  <si>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</si>
  <si>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</si>
  <si>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</si>
  <si>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</si>
  <si>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</si>
  <si>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</si>
  <si>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</si>
  <si>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</si>
  <si>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</si>
  <si>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</si>
  <si>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</si>
  <si>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</si>
  <si>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</si>
  <si>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</si>
  <si>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</si>
  <si>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</si>
  <si>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</si>
  <si>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</si>
  <si>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</si>
  <si>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</si>
  <si>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</si>
  <si>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</si>
  <si>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</si>
  <si>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</si>
  <si>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</si>
  <si>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</si>
  <si>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</si>
  <si>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</si>
  <si>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</si>
  <si>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</si>
  <si>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</si>
  <si>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</si>
  <si>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</si>
  <si>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</si>
  <si>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</si>
  <si>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</si>
  <si>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</si>
  <si>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</si>
  <si>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</si>
  <si>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</si>
  <si>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</si>
  <si>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</si>
  <si>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</si>
  <si>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</si>
  <si>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</si>
  <si>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</si>
  <si>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</si>
  <si>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</si>
  <si>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</si>
  <si>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</si>
  <si>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</si>
  <si>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</si>
  <si>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</si>
  <si>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</si>
  <si>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</si>
  <si>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</si>
  <si>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</si>
  <si>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</si>
  <si>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</si>
  <si>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</si>
  <si>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</si>
  <si>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</si>
  <si>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</si>
  <si>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</si>
  <si>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</si>
  <si>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</si>
  <si>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</si>
  <si>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</si>
  <si>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</si>
  <si>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</si>
  <si>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</si>
  <si>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</si>
  <si>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</si>
  <si>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</si>
  <si>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</si>
  <si>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</si>
  <si>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</si>
  <si>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</si>
  <si>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</si>
  <si>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</si>
  <si>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</si>
  <si>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</si>
  <si>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</si>
  <si>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</si>
  <si>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</si>
  <si>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</si>
  <si>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</si>
  <si>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</si>
  <si>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</si>
  <si>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</si>
  <si>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</si>
  <si>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</si>
  <si>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</si>
  <si>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</si>
  <si>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</si>
  <si>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</si>
  <si>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</si>
  <si>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</si>
  <si>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</si>
  <si>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</si>
  <si>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</si>
  <si>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</si>
  <si>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</si>
  <si>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</si>
  <si>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</si>
  <si>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</si>
  <si>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</si>
  <si>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</si>
  <si>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</si>
  <si>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</si>
  <si>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</si>
  <si>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</si>
  <si>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</si>
  <si>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</si>
  <si>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</si>
  <si>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</si>
  <si>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</si>
  <si>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</si>
  <si>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</si>
  <si>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</si>
  <si>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</si>
  <si>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</si>
  <si>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</si>
  <si>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</si>
  <si>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</si>
  <si>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</si>
  <si>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</si>
  <si>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</si>
  <si>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</si>
  <si>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</si>
  <si>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</si>
  <si>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</si>
  <si>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</si>
  <si>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</si>
  <si>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</si>
  <si>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</si>
  <si>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</si>
  <si>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</si>
  <si>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</si>
  <si>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</si>
  <si>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</si>
  <si>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</si>
  <si>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</si>
  <si>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</si>
  <si>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</si>
  <si>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</si>
  <si>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</si>
  <si>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</si>
  <si>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</si>
  <si>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</si>
  <si>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</si>
  <si>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</si>
  <si>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</si>
  <si>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</si>
  <si>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</si>
  <si>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</si>
  <si>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</si>
  <si>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</si>
  <si>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</si>
  <si>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</si>
  <si>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</si>
  <si>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</si>
  <si>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</si>
  <si>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</si>
  <si>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</si>
  <si>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</si>
  <si>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</si>
  <si>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</si>
  <si>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</si>
  <si>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</si>
  <si>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</si>
  <si>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</si>
  <si>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</si>
  <si>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</si>
  <si>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</si>
  <si>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</si>
  <si>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</si>
  <si>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</si>
  <si>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</si>
  <si>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</si>
  <si>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</si>
  <si>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</si>
  <si>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</si>
  <si>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</si>
  <si>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</si>
  <si>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</si>
  <si>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</si>
  <si>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</si>
  <si>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</si>
  <si>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</si>
  <si>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</si>
  <si>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</si>
  <si>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</si>
  <si>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</si>
  <si>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</si>
  <si>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</si>
  <si>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</si>
  <si>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</si>
  <si>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</si>
  <si>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</si>
  <si>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</si>
  <si>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</si>
  <si>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</si>
  <si>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</si>
  <si>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</si>
  <si>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</si>
  <si>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</si>
  <si>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</si>
  <si>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</si>
  <si>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</si>
  <si>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</si>
  <si>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</si>
  <si>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</si>
  <si>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</si>
  <si>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</si>
  <si>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</si>
  <si>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</si>
  <si>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</si>
  <si>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</si>
  <si>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</si>
  <si>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</si>
  <si>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</si>
  <si>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</si>
  <si>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</si>
  <si>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</si>
  <si>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</si>
  <si>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</si>
  <si>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</si>
  <si>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</si>
  <si>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</si>
  <si>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</si>
  <si>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</si>
  <si>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</si>
  <si>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</si>
  <si>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</si>
  <si>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</si>
  <si>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</si>
  <si>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</si>
  <si>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</si>
  <si>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</si>
  <si>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</si>
  <si>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</si>
  <si>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</si>
  <si>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</si>
  <si>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</si>
  <si>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</si>
  <si>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</si>
  <si>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</si>
  <si>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</si>
  <si>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</si>
  <si>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</si>
  <si>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</si>
  <si>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</si>
  <si>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</si>
  <si>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</si>
  <si>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</si>
  <si>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</si>
  <si>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</si>
  <si>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</si>
  <si>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</si>
  <si>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</si>
  <si>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</si>
  <si>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</si>
  <si>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</si>
  <si>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</si>
  <si>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</si>
  <si>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</si>
  <si>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</si>
  <si>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</si>
  <si>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</si>
  <si>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</si>
  <si>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</si>
  <si>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</si>
  <si>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</si>
  <si>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</si>
  <si>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</si>
  <si>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</si>
  <si>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</si>
  <si>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</si>
  <si>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</si>
  <si>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</si>
  <si>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</si>
  <si>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</si>
  <si>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</si>
  <si>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</si>
  <si>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</si>
  <si>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</si>
  <si>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</si>
  <si>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</si>
  <si>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</si>
  <si>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</si>
  <si>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</si>
  <si>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</si>
  <si>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</si>
  <si>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</si>
  <si>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</si>
  <si>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</si>
  <si>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</si>
  <si>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</si>
  <si>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</si>
  <si>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</si>
  <si>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</si>
  <si>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</si>
  <si>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</si>
  <si>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</si>
  <si>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</si>
  <si>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</si>
  <si>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</si>
  <si>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</si>
  <si>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</si>
  <si>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</si>
  <si>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</si>
  <si>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</si>
  <si>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</si>
  <si>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</si>
  <si>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</si>
  <si>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</si>
  <si>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</si>
  <si>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</si>
  <si>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</si>
  <si>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</si>
  <si>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</si>
  <si>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</si>
  <si>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</si>
  <si>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</si>
  <si>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</si>
  <si>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</si>
  <si>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</si>
  <si>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</si>
  <si>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</si>
  <si>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</si>
  <si>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</si>
  <si>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</si>
  <si>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</si>
  <si>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</si>
  <si>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</si>
  <si>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</si>
  <si>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</si>
  <si>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</si>
  <si>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</si>
  <si>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</si>
  <si>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</si>
  <si>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</si>
  <si>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</si>
  <si>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</si>
  <si>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</si>
  <si>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</si>
  <si>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</si>
  <si>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</si>
  <si>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</si>
  <si>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</si>
  <si>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</si>
  <si>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</si>
  <si>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</si>
  <si>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</si>
  <si>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</si>
  <si>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</si>
  <si>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</si>
  <si>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</si>
  <si>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</si>
  <si>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</si>
  <si>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</si>
  <si>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</si>
  <si>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</si>
  <si>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</si>
  <si>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</si>
  <si>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</si>
  <si>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</si>
  <si>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</si>
  <si>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</si>
  <si>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</si>
  <si>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</si>
  <si>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</si>
  <si>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</si>
  <si>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</si>
  <si>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</si>
  <si>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</si>
  <si>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</si>
  <si>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</si>
  <si>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</si>
  <si>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</si>
  <si>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</si>
  <si>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</si>
  <si>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</si>
  <si>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</si>
  <si>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</si>
  <si>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</si>
  <si>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</si>
  <si>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</si>
  <si>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</si>
  <si>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</si>
  <si>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</si>
  <si>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</si>
  <si>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</si>
  <si>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</si>
  <si>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</si>
  <si>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</si>
  <si>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</si>
  <si>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</si>
  <si>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</si>
  <si>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</si>
  <si>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</si>
  <si>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</si>
  <si>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</si>
  <si>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</si>
  <si>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</si>
  <si>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</si>
  <si>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</si>
  <si>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</si>
  <si>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</si>
  <si>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</si>
  <si>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</si>
  <si>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</si>
  <si>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</si>
  <si>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</si>
  <si>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</si>
  <si>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</si>
  <si>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</si>
  <si>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</si>
  <si>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</si>
  <si>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</si>
  <si>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</si>
  <si>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</si>
  <si>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</si>
  <si>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</si>
  <si>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</si>
  <si>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</si>
  <si>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</si>
  <si>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</si>
  <si>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</si>
  <si>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</si>
  <si>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</si>
  <si>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</si>
  <si>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</si>
  <si>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</si>
  <si>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</si>
  <si>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</si>
  <si>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</si>
  <si>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</si>
  <si>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</si>
  <si>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</si>
  <si>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</si>
  <si>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</si>
  <si>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</si>
  <si>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</si>
  <si>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</si>
  <si>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</si>
  <si>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</si>
  <si>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</si>
  <si>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</si>
  <si>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</si>
  <si>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</si>
  <si>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</si>
  <si>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</si>
  <si>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</si>
  <si>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</si>
  <si>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</si>
  <si>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</si>
  <si>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</si>
  <si>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</si>
  <si>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</si>
  <si>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</si>
  <si>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</si>
  <si>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</si>
  <si>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</si>
  <si>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</si>
  <si>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</si>
  <si>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</si>
  <si>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</si>
  <si>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</si>
  <si>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</si>
  <si>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</si>
  <si>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</si>
  <si>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</si>
  <si>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</si>
  <si>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</si>
  <si>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</si>
  <si>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</si>
  <si>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</si>
  <si>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</si>
  <si>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</si>
  <si>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</si>
  <si>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</si>
  <si>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</si>
  <si>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</si>
  <si>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</si>
  <si>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</si>
  <si>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</si>
  <si>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</si>
  <si>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</si>
  <si>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</si>
  <si>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</si>
  <si>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</si>
  <si>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</si>
  <si>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</si>
  <si>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</si>
  <si>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</si>
  <si>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</si>
  <si>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</si>
  <si>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</si>
  <si>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</si>
  <si>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</si>
  <si>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</si>
  <si>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</si>
  <si>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</si>
  <si>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</si>
  <si>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</si>
  <si>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</si>
  <si>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</si>
  <si>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</si>
  <si>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</si>
  <si>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</si>
  <si>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</si>
  <si>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</si>
  <si>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</si>
  <si>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</si>
  <si>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</si>
  <si>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</si>
  <si>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</si>
  <si>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</si>
  <si>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</si>
  <si>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</si>
  <si>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</si>
  <si>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</si>
  <si>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</si>
  <si>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</si>
  <si>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</si>
  <si>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</si>
  <si>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</si>
  <si>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</si>
  <si>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</si>
  <si>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</si>
  <si>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</si>
  <si>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</si>
  <si>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</si>
  <si>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</si>
  <si>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</si>
  <si>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</si>
  <si>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</si>
  <si>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</si>
  <si>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</si>
  <si>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</si>
  <si>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</si>
  <si>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</si>
  <si>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</si>
  <si>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</si>
  <si>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</si>
  <si>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</si>
  <si>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</si>
  <si>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</si>
  <si>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</si>
  <si>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</si>
  <si>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</si>
  <si>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</si>
  <si>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</si>
  <si>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</si>
  <si>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</si>
  <si>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</si>
  <si>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</si>
  <si>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</si>
  <si>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</si>
  <si>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</si>
  <si>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</si>
  <si>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</si>
  <si>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</si>
  <si>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</si>
  <si>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</si>
  <si>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</si>
  <si>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</si>
  <si>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</si>
  <si>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</si>
  <si>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</si>
  <si>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</si>
  <si>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</si>
  <si>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</si>
  <si>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</si>
  <si>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</si>
  <si>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</si>
  <si>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</si>
  <si>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</si>
  <si>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</si>
  <si>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</si>
  <si>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</si>
  <si>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</si>
  <si>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</si>
  <si>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</si>
  <si>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</si>
  <si>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</si>
  <si>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</si>
  <si>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</si>
  <si>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</si>
  <si>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</si>
  <si>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</si>
  <si>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</si>
  <si>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</si>
  <si>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</si>
  <si>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</si>
  <si>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</si>
  <si>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</si>
  <si>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</si>
  <si>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</si>
  <si>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</si>
  <si>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</si>
  <si>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</si>
  <si>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</si>
  <si>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</si>
  <si>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</si>
  <si>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</si>
  <si>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</si>
  <si>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</si>
  <si>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</si>
  <si>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</si>
  <si>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</si>
  <si>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</si>
  <si>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</si>
  <si>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</si>
  <si>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</si>
  <si>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</si>
  <si>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</si>
  <si>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</si>
  <si>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</si>
  <si>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</si>
  <si>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</si>
  <si>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</si>
  <si>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</si>
  <si>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</si>
  <si>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</si>
  <si>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</si>
  <si>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</si>
  <si>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</si>
  <si>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</si>
  <si>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</si>
  <si>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</si>
  <si>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</si>
  <si>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</si>
  <si>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</si>
  <si>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</si>
  <si>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</si>
  <si>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</si>
  <si>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</si>
  <si>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</si>
  <si>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</si>
  <si>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</si>
  <si>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</si>
  <si>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</si>
  <si>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</si>
  <si>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</si>
  <si>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</si>
  <si>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</si>
  <si>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</si>
  <si>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</si>
  <si>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</si>
  <si>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</si>
  <si>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</si>
  <si>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</si>
  <si>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</si>
  <si>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</si>
  <si>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</si>
  <si>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</si>
  <si>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</si>
  <si>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</si>
  <si>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</si>
  <si>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</si>
  <si>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</si>
  <si>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</si>
  <si>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</si>
  <si>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</si>
  <si>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</si>
  <si>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</si>
  <si>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</si>
  <si>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</si>
  <si>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</si>
  <si>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</si>
  <si>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</si>
  <si>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</si>
  <si>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</si>
  <si>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</si>
  <si>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</si>
  <si>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</si>
  <si>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</si>
  <si>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</si>
  <si>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</si>
  <si>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</si>
  <si>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</si>
  <si>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</si>
  <si>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</si>
  <si>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</si>
  <si>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</si>
  <si>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</si>
  <si>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</si>
  <si>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</si>
  <si>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</si>
  <si>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</si>
  <si>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</si>
  <si>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</si>
  <si>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</si>
  <si>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</si>
  <si>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</si>
  <si>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</si>
  <si>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</si>
  <si>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</si>
  <si>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</si>
  <si>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</si>
  <si>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</si>
  <si>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</si>
  <si>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</si>
  <si>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</si>
  <si>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</si>
  <si>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</si>
  <si>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</si>
  <si>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</si>
  <si>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</si>
  <si>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</si>
  <si>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</si>
  <si>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</si>
  <si>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</si>
  <si>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</si>
  <si>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</si>
  <si>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</si>
  <si>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</si>
  <si>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</si>
  <si>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</si>
  <si>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</si>
  <si>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</si>
  <si>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</si>
  <si>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</si>
  <si>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</si>
  <si>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</si>
  <si>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</si>
  <si>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</si>
  <si>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</si>
  <si>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</si>
  <si>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</si>
  <si>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</si>
  <si>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</si>
  <si>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</si>
  <si>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</si>
  <si>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</si>
  <si>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</si>
  <si>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</si>
  <si>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</si>
  <si>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</si>
  <si>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</si>
  <si>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</si>
  <si>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</si>
  <si>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</si>
  <si>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</si>
  <si>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</si>
  <si>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</si>
  <si>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</si>
  <si>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</si>
  <si>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</si>
  <si>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</si>
  <si>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</si>
  <si>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</si>
  <si>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</si>
  <si>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</si>
  <si>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</si>
  <si>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</si>
  <si>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</si>
  <si>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</si>
  <si>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</si>
  <si>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</si>
  <si>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</si>
  <si>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</si>
  <si>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</si>
  <si>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</si>
  <si>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</si>
  <si>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</si>
  <si>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</si>
  <si>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</si>
  <si>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</si>
  <si>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</si>
  <si>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</si>
  <si>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</si>
  <si>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</si>
  <si>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</si>
  <si>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</si>
  <si>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</si>
  <si>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</si>
  <si>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</si>
  <si>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</si>
  <si>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</si>
  <si>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</si>
  <si>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</si>
  <si>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</si>
  <si>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</si>
  <si>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</si>
  <si>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</si>
  <si>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</si>
  <si>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</si>
  <si>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</si>
  <si>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</si>
  <si>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</si>
  <si>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</si>
  <si>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</si>
  <si>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</si>
  <si>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</si>
  <si>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</si>
  <si>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</si>
  <si>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</si>
  <si>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</si>
  <si>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</si>
  <si>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</si>
  <si>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</si>
  <si>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</si>
  <si>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</si>
  <si>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</si>
  <si>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</si>
  <si>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</si>
  <si>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</si>
  <si>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</si>
  <si>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</si>
  <si>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</si>
  <si>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</si>
  <si>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</si>
  <si>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</si>
  <si>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</si>
  <si>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</si>
  <si>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</si>
  <si>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</si>
  <si>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</si>
  <si>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</si>
  <si>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</si>
  <si>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</si>
  <si>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</si>
  <si>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</si>
  <si>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</si>
  <si>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</si>
  <si>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</si>
  <si>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</si>
  <si>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</si>
  <si>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</si>
  <si>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</si>
  <si>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</si>
  <si>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</si>
  <si>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</si>
  <si>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</si>
  <si>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</si>
  <si>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</si>
  <si>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</si>
  <si>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</si>
  <si>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</si>
  <si>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</si>
  <si>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</si>
  <si>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</si>
  <si>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</si>
  <si>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</si>
  <si>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</si>
  <si>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</si>
  <si>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</si>
  <si>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</si>
  <si>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</si>
  <si>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</si>
  <si>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</si>
  <si>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</si>
  <si>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</si>
  <si>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</si>
  <si>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</si>
  <si>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</si>
  <si>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</si>
  <si>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</si>
  <si>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</si>
  <si>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</si>
  <si>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</si>
  <si>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</si>
  <si>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</si>
  <si>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</si>
  <si>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</si>
  <si>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</si>
  <si>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</si>
  <si>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</si>
  <si>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</si>
  <si>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</si>
  <si>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</si>
  <si>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</si>
  <si>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</si>
  <si>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</si>
  <si>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</si>
  <si>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</si>
  <si>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</si>
  <si>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</si>
  <si>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</si>
  <si>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</si>
  <si>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</si>
  <si>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</si>
  <si>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</si>
  <si>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</si>
  <si>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</si>
  <si>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</si>
  <si>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</si>
  <si>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</si>
  <si>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</si>
  <si>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</si>
  <si>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</si>
  <si>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</si>
  <si>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</si>
  <si>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</si>
  <si>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</si>
  <si>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</si>
  <si>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</si>
  <si>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</si>
  <si>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</si>
  <si>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</si>
  <si>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</si>
  <si>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</si>
  <si>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</si>
  <si>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</si>
  <si>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</si>
  <si>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</si>
  <si>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</si>
  <si>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</si>
  <si>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</si>
  <si>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</si>
  <si>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</si>
  <si>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</si>
  <si>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</si>
  <si>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</si>
  <si>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</si>
  <si>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</si>
  <si>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</si>
  <si>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</si>
  <si>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</si>
  <si>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</si>
  <si>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</si>
  <si>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</si>
  <si>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</si>
  <si>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</si>
  <si>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</si>
  <si>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</si>
  <si>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</si>
  <si>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</si>
  <si>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</si>
  <si>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</si>
  <si>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</si>
  <si>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</si>
  <si>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</si>
  <si>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</si>
  <si>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</si>
  <si>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</si>
  <si>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</si>
  <si>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</si>
  <si>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</si>
  <si>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</si>
  <si>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</si>
  <si>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</si>
  <si>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</si>
  <si>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</si>
  <si>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</si>
  <si>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</si>
  <si>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</si>
  <si>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</si>
  <si>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</si>
  <si>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</si>
  <si>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</si>
  <si>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</si>
  <si>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</si>
  <si>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</si>
  <si>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</si>
  <si>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</si>
  <si>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</si>
  <si>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</si>
  <si>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</si>
  <si>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</si>
  <si>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</si>
  <si>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</si>
  <si>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</si>
  <si>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</si>
  <si>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</si>
  <si>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</si>
  <si>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</si>
  <si>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</si>
  <si>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</si>
  <si>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</si>
  <si>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</si>
  <si>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</si>
  <si>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</si>
  <si>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</si>
  <si>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</si>
  <si>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</si>
  <si>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</si>
  <si>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</si>
  <si>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</si>
  <si>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</si>
  <si>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</si>
  <si>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</si>
  <si>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</si>
  <si>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</si>
  <si>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</si>
  <si>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</si>
  <si>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</si>
  <si>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</si>
  <si>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</si>
  <si>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</si>
  <si>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</si>
  <si>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</si>
  <si>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</si>
  <si>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</si>
  <si>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</si>
  <si>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</si>
  <si>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</si>
  <si>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</si>
  <si>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</si>
  <si>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</si>
  <si>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</si>
  <si>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</si>
  <si>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</si>
  <si>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</si>
  <si>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</si>
  <si>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</si>
  <si>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</si>
  <si>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</si>
  <si>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</si>
  <si>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</si>
  <si>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</si>
  <si>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</si>
  <si>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</si>
  <si>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</si>
  <si>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</si>
  <si>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</si>
  <si>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</si>
  <si>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</si>
  <si>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</si>
  <si>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</si>
  <si>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</si>
  <si>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</si>
  <si>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</si>
  <si>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</si>
  <si>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</si>
  <si>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</si>
  <si>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</si>
  <si>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</si>
  <si>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</si>
  <si>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</si>
  <si>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</si>
  <si>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</si>
  <si>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</si>
  <si>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</si>
  <si>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</si>
  <si>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</si>
  <si>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</si>
  <si>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</si>
  <si>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</si>
  <si>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</si>
  <si>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</si>
  <si>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</si>
  <si>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</si>
  <si>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</si>
  <si>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</si>
  <si>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</si>
  <si>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</si>
  <si>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</si>
  <si>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</si>
  <si>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</si>
  <si>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</si>
  <si>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</si>
  <si>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</si>
  <si>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</si>
  <si>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</si>
  <si>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</si>
  <si>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</si>
  <si>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</si>
  <si>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</si>
  <si>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</si>
  <si>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</si>
  <si>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</si>
  <si>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</si>
  <si>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</si>
  <si>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</si>
  <si>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</si>
  <si>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</si>
  <si>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</si>
  <si>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</si>
  <si>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</si>
  <si>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</si>
  <si>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</si>
  <si>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</si>
  <si>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</si>
  <si>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</si>
  <si>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</si>
  <si>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</si>
  <si>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</si>
  <si>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</si>
  <si>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</si>
  <si>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</si>
  <si>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</si>
  <si>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</si>
  <si>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</si>
  <si>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</si>
  <si>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</si>
  <si>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</si>
  <si>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</si>
  <si>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</si>
  <si>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</si>
  <si>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</si>
  <si>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</si>
  <si>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</si>
  <si>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</si>
  <si>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</si>
  <si>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</si>
  <si>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</si>
  <si>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</si>
  <si>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</si>
  <si>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</si>
  <si>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</si>
  <si>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</si>
  <si>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</si>
  <si>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</si>
  <si>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</si>
  <si>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</si>
  <si>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</si>
  <si>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</si>
  <si>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</si>
  <si>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</si>
  <si>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</si>
  <si>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</si>
  <si>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</si>
  <si>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</si>
  <si>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</si>
  <si>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</si>
  <si>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</si>
  <si>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</si>
  <si>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</si>
  <si>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</si>
  <si>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</si>
  <si>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</si>
  <si>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</si>
  <si>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</si>
  <si>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</si>
  <si>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</si>
  <si>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</si>
  <si>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</si>
  <si>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</si>
  <si>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</si>
  <si>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</si>
  <si>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</si>
  <si>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</si>
  <si>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</si>
  <si>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</si>
  <si>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</si>
  <si>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</si>
  <si>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</si>
  <si>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</si>
  <si>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</si>
  <si>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</si>
  <si>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</si>
  <si>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</si>
  <si>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</si>
  <si>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</si>
  <si>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</si>
  <si>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</si>
  <si>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</si>
  <si>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</si>
  <si>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</si>
  <si>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</si>
  <si>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</si>
  <si>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</si>
  <si>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</si>
  <si>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</si>
  <si>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</si>
  <si>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</si>
  <si>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</si>
  <si>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</si>
  <si>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</si>
  <si>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</si>
  <si>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</si>
  <si>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</si>
  <si>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</si>
  <si>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</si>
  <si>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</si>
  <si>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</si>
  <si>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</si>
  <si>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</si>
  <si>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</si>
  <si>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</si>
  <si>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</si>
  <si>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</si>
  <si>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</si>
  <si>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</si>
  <si>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</si>
  <si>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</si>
  <si>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</si>
  <si>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</si>
  <si>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</si>
  <si>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</si>
  <si>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</si>
  <si>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</si>
  <si>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</si>
  <si>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</si>
  <si>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</si>
  <si>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</si>
  <si>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</si>
  <si>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</si>
  <si>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</si>
  <si>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</si>
  <si>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</si>
  <si>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</si>
  <si>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</si>
  <si>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</si>
  <si>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</si>
  <si>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</si>
  <si>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</si>
  <si>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</si>
  <si>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</si>
  <si>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</si>
  <si>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</si>
  <si>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</si>
  <si>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</si>
  <si>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</si>
  <si>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</si>
  <si>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</si>
  <si>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</si>
  <si>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</si>
  <si>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</si>
  <si>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</si>
  <si>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</si>
  <si>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</si>
  <si>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</si>
  <si>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</si>
  <si>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</si>
  <si>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</si>
  <si>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</si>
  <si>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</si>
  <si>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</si>
  <si>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</si>
  <si>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</si>
  <si>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</si>
  <si>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</si>
  <si>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</si>
  <si>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</si>
  <si>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</si>
  <si>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</si>
  <si>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</si>
  <si>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</si>
  <si>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</si>
  <si>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</si>
  <si>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</si>
  <si>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</si>
  <si>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</si>
  <si>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</si>
  <si>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</si>
  <si>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</si>
  <si>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</si>
  <si>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</si>
  <si>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</si>
  <si>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</si>
  <si>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</si>
  <si>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</si>
  <si>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</si>
  <si>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</si>
  <si>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</si>
  <si>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</si>
  <si>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</si>
  <si>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</si>
  <si>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</si>
  <si>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</si>
  <si>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</si>
  <si>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</si>
  <si>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</si>
  <si>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</si>
  <si>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</si>
  <si>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</si>
  <si>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</si>
  <si>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</si>
  <si>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</si>
  <si>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</si>
  <si>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</si>
  <si>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</si>
  <si>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</si>
  <si>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</si>
  <si>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</si>
  <si>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</si>
  <si>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</si>
  <si>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</si>
  <si>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</si>
  <si>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</si>
  <si>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</si>
  <si>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</si>
  <si>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</si>
  <si>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</si>
  <si>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</si>
  <si>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</si>
  <si>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</si>
  <si>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</si>
  <si>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</si>
  <si>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</si>
  <si>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</si>
  <si>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</si>
  <si>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</si>
  <si>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</si>
  <si>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</si>
  <si>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</si>
  <si>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</si>
  <si>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</si>
  <si>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</si>
  <si>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</si>
  <si>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</si>
  <si>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</si>
  <si>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</si>
  <si>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</si>
  <si>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</si>
  <si>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</si>
  <si>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</si>
  <si>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</si>
  <si>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</si>
  <si>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</si>
  <si>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</si>
  <si>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</si>
  <si>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</si>
  <si>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</si>
  <si>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</si>
  <si>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</si>
  <si>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</si>
  <si>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</si>
  <si>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</si>
  <si>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</si>
  <si>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</si>
  <si>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</si>
  <si>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</si>
  <si>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</si>
  <si>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</si>
  <si>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</si>
  <si>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</si>
  <si>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</si>
  <si>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</si>
  <si>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</si>
  <si>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</si>
  <si>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</si>
  <si>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</si>
  <si>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</si>
  <si>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</si>
  <si>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</si>
  <si>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</si>
  <si>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</si>
  <si>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</si>
  <si>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</si>
  <si>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</si>
  <si>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</si>
  <si>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</si>
  <si>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</si>
  <si>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</si>
  <si>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</si>
  <si>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</si>
  <si>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</si>
  <si>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</si>
  <si>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</si>
  <si>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</si>
  <si>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</si>
  <si>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</si>
  <si>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</si>
  <si>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</si>
  <si>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</si>
  <si>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</si>
  <si>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</si>
  <si>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</si>
  <si>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</si>
  <si>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</si>
  <si>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</si>
  <si>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</si>
  <si>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</si>
  <si>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</si>
  <si>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</si>
  <si>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</si>
  <si>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</si>
  <si>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</si>
  <si>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</si>
  <si>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</si>
  <si>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</si>
  <si>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</si>
  <si>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</si>
  <si>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</si>
  <si>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</si>
  <si>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</si>
  <si>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</si>
  <si>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</si>
  <si>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</si>
  <si>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</si>
  <si>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</si>
  <si>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</si>
  <si>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</si>
  <si>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</si>
  <si>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</si>
  <si>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</si>
  <si>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</si>
  <si>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</si>
  <si>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</si>
  <si>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</si>
  <si>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</si>
  <si>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</si>
  <si>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</si>
  <si>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</si>
  <si>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</si>
  <si>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</si>
  <si>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</si>
  <si>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</si>
  <si>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</si>
  <si>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</si>
  <si>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</si>
  <si>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</si>
  <si>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</si>
  <si>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</si>
  <si>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</si>
  <si>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</si>
  <si>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</si>
  <si>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</si>
  <si>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</si>
  <si>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</si>
  <si>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</si>
  <si>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</si>
  <si>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</si>
  <si>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</si>
  <si>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</si>
  <si>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</si>
  <si>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</si>
  <si>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</si>
  <si>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</si>
  <si>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</si>
  <si>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</si>
  <si>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</si>
  <si>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</si>
  <si>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</si>
  <si>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</si>
  <si>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</si>
  <si>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</si>
  <si>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</si>
  <si>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</si>
  <si>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</si>
  <si>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</si>
  <si>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</si>
  <si>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</si>
  <si>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</si>
  <si>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</si>
  <si>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</si>
  <si>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</si>
  <si>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</si>
  <si>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</si>
  <si>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</si>
  <si>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</si>
  <si>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</si>
  <si>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</si>
  <si>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</si>
  <si>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</si>
  <si>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</si>
  <si>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</si>
  <si>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</si>
  <si>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</si>
  <si>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</si>
  <si>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</si>
  <si>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</si>
  <si>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</si>
  <si>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</si>
  <si>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</si>
  <si>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</si>
  <si>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</si>
  <si>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</si>
  <si>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</si>
  <si>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</si>
  <si>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</si>
  <si>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</si>
  <si>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</si>
  <si>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</si>
  <si>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</si>
  <si>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</si>
  <si>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</si>
  <si>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</si>
  <si>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</si>
  <si>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</si>
  <si>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</si>
  <si>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</si>
  <si>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</si>
  <si>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</si>
  <si>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</si>
  <si>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</si>
  <si>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</si>
  <si>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</si>
  <si>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</si>
  <si>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</si>
  <si>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</si>
  <si>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</si>
  <si>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</si>
  <si>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</si>
  <si>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</si>
  <si>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</si>
  <si>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</si>
  <si>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</si>
  <si>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</si>
  <si>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</si>
  <si>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</si>
  <si>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</si>
  <si>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</si>
  <si>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</si>
  <si>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</si>
  <si>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</si>
  <si>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</si>
  <si>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</si>
  <si>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</si>
  <si>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</si>
  <si>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</si>
  <si>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</si>
  <si>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</si>
  <si>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</si>
  <si>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</si>
  <si>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</si>
  <si>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</si>
  <si>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</si>
  <si>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</si>
  <si>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</si>
  <si>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</si>
  <si>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</si>
  <si>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</si>
  <si>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</si>
  <si>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</si>
  <si>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</si>
  <si>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</si>
  <si>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</si>
  <si>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</si>
  <si>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</si>
  <si>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</si>
  <si>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</si>
  <si>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</si>
  <si>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</si>
  <si>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</si>
  <si>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</si>
  <si>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</si>
  <si>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</si>
  <si>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</si>
  <si>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</si>
  <si>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</si>
  <si>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</si>
  <si>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</si>
  <si>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</si>
  <si>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</si>
  <si>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</si>
  <si>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</si>
  <si>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</si>
  <si>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</si>
  <si>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</si>
  <si>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</si>
  <si>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</si>
  <si>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</si>
  <si>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</si>
  <si>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</si>
  <si>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</si>
  <si>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</si>
  <si>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</si>
  <si>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</si>
  <si>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</si>
  <si>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</si>
  <si>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</si>
  <si>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</si>
  <si>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</si>
  <si>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</si>
  <si>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</si>
  <si>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</si>
  <si>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</si>
  <si>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</si>
  <si>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</si>
  <si>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</si>
  <si>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</si>
  <si>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</si>
  <si>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</si>
  <si>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</si>
  <si>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</si>
  <si>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</si>
  <si>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</si>
  <si>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</si>
  <si>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</si>
  <si>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</si>
  <si>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</si>
  <si>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</si>
  <si>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</si>
  <si>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</si>
  <si>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</si>
  <si>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</si>
  <si>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</si>
  <si>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</si>
  <si>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</si>
  <si>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</si>
  <si>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</si>
  <si>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</si>
  <si>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</si>
  <si>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</si>
  <si>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</si>
  <si>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</si>
  <si>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</si>
  <si>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</si>
  <si>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</si>
  <si>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</si>
  <si>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</si>
  <si>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</si>
  <si>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</si>
  <si>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</si>
  <si>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</si>
  <si>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</si>
  <si>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</si>
  <si>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</si>
  <si>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</si>
  <si>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</si>
  <si>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</si>
  <si>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</si>
  <si>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</si>
  <si>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</si>
  <si>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</si>
  <si>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</si>
  <si>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</si>
  <si>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</si>
  <si>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</si>
  <si>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</si>
  <si>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</si>
  <si>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</si>
  <si>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</si>
  <si>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</si>
  <si>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</si>
  <si>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</si>
  <si>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</si>
  <si>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</si>
  <si>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</si>
  <si>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</si>
  <si>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</si>
  <si>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</si>
  <si>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</si>
  <si>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</si>
  <si>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</si>
  <si>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</si>
  <si>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</si>
  <si>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</si>
  <si>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</si>
  <si>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</si>
  <si>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</si>
  <si>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</si>
  <si>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</si>
  <si>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</si>
  <si>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</si>
  <si>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</si>
  <si>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</si>
  <si>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</si>
  <si>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</si>
  <si>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</si>
  <si>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</si>
  <si>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</si>
  <si>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</si>
  <si>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</si>
  <si>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</si>
  <si>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</si>
  <si>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</si>
  <si>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</si>
  <si>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</si>
  <si>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</si>
  <si>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</si>
  <si>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</si>
  <si>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</si>
  <si>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</si>
  <si>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</si>
  <si>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</si>
  <si>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</si>
  <si>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</si>
  <si>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</si>
  <si>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</si>
  <si>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</si>
  <si>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</si>
  <si>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</si>
  <si>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</si>
  <si>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</si>
  <si>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</si>
  <si>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</si>
  <si>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</si>
  <si>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</si>
  <si>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</si>
  <si>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</si>
  <si>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</si>
  <si>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</si>
  <si>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</si>
  <si>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</si>
  <si>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</si>
  <si>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</si>
  <si>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</si>
  <si>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</si>
  <si>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</si>
  <si>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</si>
  <si>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</si>
  <si>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</si>
  <si>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</si>
  <si>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</si>
  <si>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</si>
  <si>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</si>
  <si>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</si>
  <si>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</si>
  <si>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</si>
  <si>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</si>
  <si>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</si>
  <si>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</si>
  <si>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</si>
  <si>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</si>
  <si>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</si>
  <si>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</si>
  <si>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</si>
  <si>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</si>
  <si>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</si>
  <si>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</si>
  <si>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</si>
  <si>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</si>
  <si>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</si>
  <si>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</si>
  <si>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</si>
  <si>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</si>
  <si>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</si>
  <si>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</si>
  <si>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</si>
  <si>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</si>
  <si>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</si>
  <si>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</si>
  <si>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</si>
  <si>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</si>
  <si>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</si>
  <si>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</si>
  <si>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</si>
  <si>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</si>
  <si>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</si>
  <si>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</si>
  <si>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</si>
  <si>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</si>
  <si>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</si>
  <si>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</si>
  <si>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</si>
  <si>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</si>
  <si>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</si>
  <si>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</si>
  <si>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</si>
  <si>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</si>
  <si>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</si>
  <si>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</si>
  <si>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</si>
  <si>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</si>
  <si>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</si>
  <si>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</si>
  <si>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</si>
  <si>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</si>
  <si>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</si>
  <si>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</si>
  <si>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</si>
  <si>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</si>
  <si>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</si>
  <si>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</si>
  <si>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</si>
  <si>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</si>
  <si>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</si>
  <si>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</si>
  <si>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</si>
  <si>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</si>
  <si>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</si>
  <si>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</si>
  <si>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</si>
  <si>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</si>
  <si>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</si>
  <si>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</si>
  <si>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</si>
  <si>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</si>
  <si>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</si>
  <si>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</si>
  <si>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</si>
  <si>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</si>
  <si>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</si>
  <si>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</si>
  <si>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</si>
  <si>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</si>
  <si>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</si>
  <si>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</si>
  <si>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</si>
  <si>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</si>
  <si>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</si>
  <si>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</si>
  <si>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</si>
  <si>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</si>
  <si>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</si>
  <si>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</si>
  <si>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</si>
  <si>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</si>
  <si>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</si>
  <si>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</si>
  <si>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</si>
  <si>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</si>
  <si>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</si>
  <si>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</si>
  <si>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</si>
  <si>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</si>
  <si>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</si>
  <si>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</si>
  <si>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</si>
  <si>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</si>
  <si>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</si>
  <si>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</si>
  <si>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</si>
  <si>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</si>
  <si>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</si>
  <si>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</si>
  <si>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</si>
  <si>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</si>
  <si>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</si>
  <si>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</si>
  <si>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</si>
  <si>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</si>
  <si>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</si>
  <si>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</si>
  <si>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</si>
  <si>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</si>
  <si>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</si>
  <si>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</si>
  <si>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</si>
  <si>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</si>
  <si>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</si>
  <si>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</si>
  <si>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</si>
  <si>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</si>
  <si>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</si>
  <si>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</si>
  <si>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</si>
  <si>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</si>
  <si>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</si>
  <si>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</si>
  <si>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</si>
  <si>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</si>
  <si>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</si>
  <si>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</si>
  <si>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</si>
  <si>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</si>
  <si>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</si>
  <si>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</si>
  <si>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</si>
  <si>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</si>
  <si>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</si>
  <si>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</si>
  <si>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</si>
  <si>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</si>
  <si>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</si>
  <si>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</si>
  <si>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</si>
  <si>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</si>
  <si>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</si>
  <si>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</si>
  <si>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</si>
  <si>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</si>
  <si>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</si>
  <si>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</si>
  <si>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</si>
  <si>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</si>
  <si>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</si>
  <si>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</si>
  <si>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</si>
  <si>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</si>
  <si>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</si>
  <si>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</si>
  <si>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</si>
  <si>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</si>
  <si>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</si>
  <si>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</si>
  <si>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</si>
  <si>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</si>
  <si>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</si>
  <si>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</si>
  <si>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</si>
  <si>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</si>
  <si>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</si>
  <si>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</si>
  <si>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</si>
  <si>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</si>
  <si>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</si>
  <si>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</si>
  <si>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</si>
  <si>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</si>
  <si>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</si>
  <si>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</si>
  <si>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</si>
  <si>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</si>
  <si>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</si>
  <si>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</si>
  <si>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</si>
  <si>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</si>
  <si>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</si>
  <si>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</si>
  <si>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</si>
  <si>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</si>
  <si>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</si>
  <si>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</si>
  <si>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</si>
  <si>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</si>
  <si>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</si>
  <si>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</si>
  <si>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</si>
  <si>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</si>
  <si>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</si>
  <si>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</si>
  <si>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</si>
  <si>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</si>
  <si>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</si>
  <si>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</si>
  <si>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</si>
  <si>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</si>
  <si>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</si>
  <si>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</si>
  <si>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</si>
  <si>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</si>
  <si>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</si>
  <si>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</si>
  <si>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</si>
  <si>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</si>
  <si>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</si>
  <si>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</si>
  <si>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</si>
  <si>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</si>
  <si>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</si>
  <si>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</si>
  <si>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</si>
  <si>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</si>
  <si>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</si>
  <si>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</si>
  <si>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</si>
  <si>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</si>
  <si>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</si>
  <si>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</si>
  <si>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</si>
  <si>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</si>
  <si>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</si>
  <si>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</si>
  <si>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</si>
  <si>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</si>
  <si>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</si>
  <si>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</si>
  <si>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</si>
  <si>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</si>
  <si>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</si>
  <si>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</si>
  <si>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</si>
  <si>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</si>
  <si>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</si>
  <si>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</si>
  <si>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</si>
  <si>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</si>
  <si>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</si>
  <si>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</si>
  <si>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</si>
  <si>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</si>
  <si>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</si>
  <si>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</si>
  <si>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</si>
  <si>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</si>
  <si>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</si>
  <si>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</si>
  <si>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</si>
  <si>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</si>
  <si>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</si>
  <si>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</si>
  <si>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</si>
  <si>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</si>
  <si>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</si>
  <si>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</si>
  <si>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</si>
  <si>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</si>
  <si>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</si>
  <si>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</si>
  <si>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</si>
  <si>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</si>
  <si>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</si>
  <si>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</si>
  <si>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</si>
  <si>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</si>
  <si>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</si>
  <si>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</si>
  <si>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</si>
  <si>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</si>
  <si>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</si>
  <si>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</si>
  <si>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</si>
  <si>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</si>
  <si>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</si>
  <si>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</si>
  <si>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</si>
  <si>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</si>
  <si>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</si>
  <si>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</si>
  <si>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</si>
  <si>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</si>
  <si>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</si>
  <si>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</si>
  <si>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</si>
  <si>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</si>
  <si>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</si>
  <si>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</si>
  <si>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</si>
  <si>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</si>
  <si>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</si>
  <si>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</si>
  <si>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</si>
  <si>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</si>
  <si>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</si>
  <si>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</si>
  <si>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</si>
  <si>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</si>
  <si>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</si>
  <si>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</si>
  <si>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</si>
  <si>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</si>
  <si>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</si>
  <si>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</si>
  <si>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</si>
  <si>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</si>
  <si>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</si>
  <si>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</si>
  <si>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</si>
  <si>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</si>
  <si>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</si>
  <si>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</si>
  <si>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</si>
  <si>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</si>
  <si>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</si>
  <si>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</si>
  <si>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</si>
  <si>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</si>
  <si>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</si>
  <si>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</si>
  <si>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</si>
  <si>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</si>
  <si>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</si>
  <si>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</si>
  <si>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</si>
  <si>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</si>
  <si>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</si>
  <si>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</si>
  <si>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</si>
  <si>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</si>
  <si>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</si>
  <si>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</si>
  <si>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</si>
  <si>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</si>
  <si>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</si>
  <si>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</si>
  <si>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</si>
  <si>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</si>
  <si>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</si>
  <si>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</si>
  <si>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</si>
  <si>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</si>
  <si>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</si>
  <si>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</si>
  <si>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</si>
  <si>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</si>
  <si>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</si>
  <si>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</si>
  <si>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</si>
  <si>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</si>
  <si>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</si>
  <si>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</si>
  <si>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</si>
  <si>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</si>
  <si>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</si>
  <si>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</si>
  <si>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</si>
  <si>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</si>
  <si>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</si>
  <si>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</si>
  <si>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</si>
  <si>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</si>
  <si>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</si>
  <si>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</si>
  <si>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</si>
  <si>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</si>
  <si>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</si>
  <si>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</si>
  <si>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</si>
  <si>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</si>
  <si>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</si>
  <si>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</si>
  <si>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</si>
  <si>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</si>
  <si>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</si>
  <si>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</si>
  <si>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</si>
  <si>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</si>
  <si>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</si>
  <si>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</si>
  <si>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</si>
  <si>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</si>
  <si>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</si>
  <si>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</si>
  <si>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</si>
  <si>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</si>
  <si>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</si>
  <si>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</si>
  <si>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</si>
  <si>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</si>
  <si>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</si>
  <si>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</si>
  <si>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</si>
  <si>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</si>
  <si>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</si>
  <si>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</si>
  <si>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</si>
  <si>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</si>
  <si>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</si>
  <si>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</si>
  <si>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</si>
  <si>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</si>
  <si>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</si>
  <si>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</si>
  <si>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</si>
  <si>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</si>
  <si>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</si>
  <si>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</si>
  <si>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</si>
  <si>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</si>
  <si>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</si>
  <si>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</si>
  <si>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</si>
  <si>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</si>
  <si>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</si>
  <si>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</si>
  <si>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</si>
  <si>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</si>
  <si>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</si>
  <si>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</si>
  <si>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</si>
  <si>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</si>
  <si>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</si>
  <si>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</si>
  <si>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</si>
  <si>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</si>
  <si>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</si>
  <si>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</si>
  <si>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</si>
  <si>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</si>
  <si>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</si>
  <si>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</si>
  <si>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</si>
  <si>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</si>
  <si>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</si>
  <si>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</si>
  <si>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</si>
  <si>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</si>
  <si>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</si>
  <si>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</si>
  <si>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</si>
  <si>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</si>
  <si>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</si>
  <si>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</si>
  <si>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</si>
  <si>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</si>
  <si>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</si>
  <si>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</si>
  <si>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</si>
  <si>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</si>
  <si>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</si>
  <si>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</si>
  <si>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</si>
  <si>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</si>
  <si>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</si>
  <si>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</si>
  <si>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</si>
  <si>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</si>
  <si>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</si>
  <si>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</si>
  <si>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</si>
  <si>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</si>
  <si>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</si>
  <si>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</si>
  <si>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</si>
  <si>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</si>
  <si>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</si>
  <si>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</si>
  <si>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</si>
  <si>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</si>
  <si>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</si>
  <si>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</si>
  <si>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</si>
  <si>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</si>
  <si>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</si>
  <si>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</si>
  <si>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</si>
  <si>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</si>
  <si>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</si>
  <si>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</si>
  <si>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</si>
  <si>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</si>
  <si>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</si>
  <si>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</si>
  <si>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</si>
  <si>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</si>
  <si>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</si>
  <si>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</si>
  <si>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</si>
  <si>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</si>
  <si>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</si>
  <si>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</si>
  <si>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</si>
  <si>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</si>
  <si>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</si>
  <si>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</si>
  <si>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</si>
  <si>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</si>
  <si>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</si>
  <si>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</si>
  <si>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</si>
  <si>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</si>
  <si>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</si>
  <si>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</si>
  <si>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</si>
  <si>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</si>
  <si>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</si>
  <si>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</si>
  <si>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</si>
  <si>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</si>
  <si>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</si>
  <si>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</si>
  <si>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</si>
  <si>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</si>
  <si>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</si>
  <si>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</si>
  <si>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</si>
  <si>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</si>
  <si>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</si>
  <si>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</si>
  <si>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</si>
  <si>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</si>
  <si>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</si>
  <si>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</si>
  <si>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</si>
  <si>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</si>
  <si>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</si>
  <si>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</si>
  <si>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</si>
  <si>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</si>
  <si>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</si>
  <si>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</si>
  <si>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</si>
  <si>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</si>
  <si>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</si>
  <si>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</si>
  <si>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</si>
  <si>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</si>
  <si>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</si>
  <si>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</si>
  <si>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</si>
  <si>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</si>
  <si>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</si>
  <si>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</si>
  <si>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</si>
  <si>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</si>
  <si>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</si>
  <si>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</si>
  <si>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</si>
  <si>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</si>
  <si>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</si>
  <si>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</si>
  <si>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</si>
  <si>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</si>
  <si>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</si>
  <si>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</si>
  <si>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</si>
  <si>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</si>
  <si>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</si>
  <si>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</si>
  <si>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</si>
  <si>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</si>
  <si>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</si>
  <si>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</si>
  <si>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</si>
  <si>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</si>
  <si>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</si>
  <si>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</si>
  <si>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</si>
  <si>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</si>
  <si>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</si>
  <si>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</si>
  <si>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</si>
  <si>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</si>
  <si>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</si>
  <si>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</si>
  <si>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</si>
  <si>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</si>
  <si>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</si>
  <si>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</si>
  <si>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</si>
  <si>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</si>
  <si>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</si>
  <si>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</si>
  <si>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</si>
  <si>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</si>
  <si>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</si>
  <si>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</si>
  <si>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</si>
  <si>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</si>
  <si>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</si>
  <si>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</si>
  <si>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</si>
  <si>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</si>
  <si>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</si>
  <si>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</si>
  <si>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</si>
  <si>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</si>
  <si>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</si>
  <si>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</si>
  <si>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</si>
  <si>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</si>
  <si>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</si>
  <si>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</si>
  <si>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</si>
  <si>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</si>
  <si>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</si>
  <si>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</si>
  <si>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</si>
  <si>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</si>
  <si>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</si>
  <si>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</si>
  <si>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</si>
  <si>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</si>
  <si>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</si>
  <si>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</si>
  <si>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</si>
  <si>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</si>
  <si>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</si>
  <si>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</si>
  <si>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</si>
  <si>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</si>
  <si>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</si>
  <si>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</si>
  <si>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</si>
  <si>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</si>
  <si>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</si>
  <si>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</si>
  <si>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</si>
  <si>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</si>
  <si>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</si>
  <si>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</si>
  <si>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</si>
  <si>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</si>
  <si>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</si>
  <si>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</si>
  <si>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</si>
  <si>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</si>
  <si>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</si>
  <si>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</si>
  <si>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</si>
  <si>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</si>
  <si>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</si>
  <si>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</si>
  <si>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</si>
  <si>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</si>
  <si>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</si>
  <si>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</si>
  <si>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</si>
  <si>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</si>
  <si>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</si>
  <si>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</si>
  <si>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</si>
  <si>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</si>
  <si>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</si>
  <si>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</si>
  <si>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</si>
  <si>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</si>
  <si>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</si>
  <si>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</si>
  <si>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</si>
  <si>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</si>
  <si>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</si>
  <si>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</si>
  <si>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</si>
  <si>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</si>
  <si>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</si>
  <si>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</si>
  <si>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</si>
  <si>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</si>
  <si>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</si>
  <si>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</si>
  <si>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</si>
  <si>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</si>
  <si>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</si>
  <si>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</si>
  <si>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</si>
  <si>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</si>
  <si>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</si>
  <si>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</si>
  <si>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</si>
  <si>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</si>
  <si>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</si>
  <si>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</si>
  <si>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</si>
  <si>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</si>
  <si>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</si>
  <si>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</si>
  <si>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</si>
  <si>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</si>
  <si>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</si>
  <si>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</si>
  <si>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</si>
  <si>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</si>
  <si>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</si>
  <si>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</si>
  <si>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</si>
  <si>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</si>
  <si>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</si>
  <si>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</si>
  <si>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</si>
  <si>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</si>
  <si>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</si>
  <si>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</si>
  <si>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</si>
  <si>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</si>
  <si>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</si>
  <si>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</si>
  <si>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</si>
  <si>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</si>
  <si>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</si>
  <si>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</si>
  <si>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</si>
  <si>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</si>
  <si>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</si>
  <si>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</si>
  <si>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</si>
  <si>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</si>
  <si>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</si>
  <si>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</si>
  <si>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</si>
  <si>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</si>
  <si>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</si>
  <si>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</si>
  <si>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</si>
  <si>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</si>
  <si>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</si>
  <si>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</si>
  <si>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</si>
  <si>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</si>
  <si>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</si>
  <si>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</si>
  <si>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</si>
  <si>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</si>
  <si>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</si>
  <si>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</si>
  <si>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</si>
  <si>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</si>
  <si>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</si>
  <si>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</si>
  <si>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</si>
  <si>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</si>
  <si>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</si>
  <si>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</si>
  <si>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</si>
  <si>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</si>
  <si>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</si>
  <si>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</si>
  <si>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</si>
  <si>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</si>
  <si>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</si>
  <si>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</si>
  <si>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</si>
  <si>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</si>
  <si>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</si>
  <si>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</si>
  <si>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</si>
  <si>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</si>
  <si>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</si>
  <si>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</si>
  <si>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</si>
  <si>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</si>
  <si>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</si>
  <si>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</si>
  <si>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</si>
  <si>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</si>
  <si>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</si>
  <si>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</si>
  <si>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</si>
  <si>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</si>
  <si>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</si>
  <si>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</si>
  <si>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</si>
  <si>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</si>
  <si>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</si>
  <si>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</si>
  <si>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</si>
  <si>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</si>
  <si>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</si>
  <si>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</si>
  <si>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</si>
  <si>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</si>
  <si>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</si>
  <si>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</si>
  <si>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</si>
  <si>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</si>
  <si>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</si>
  <si>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</si>
  <si>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</si>
  <si>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</si>
  <si>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</si>
  <si>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</si>
  <si>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</si>
  <si>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</si>
  <si>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</si>
  <si>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</si>
  <si>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</si>
  <si>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</si>
  <si>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</si>
  <si>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</si>
  <si>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</si>
  <si>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</si>
  <si>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</si>
  <si>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</si>
  <si>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</si>
  <si>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</si>
  <si>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</si>
  <si>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</si>
  <si>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</si>
  <si>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</si>
  <si>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</si>
  <si>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</si>
  <si>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</si>
  <si>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</si>
  <si>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</si>
  <si>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</si>
  <si>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</si>
  <si>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</si>
  <si>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</si>
  <si>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</si>
  <si>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</si>
  <si>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</si>
  <si>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</si>
  <si>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</si>
  <si>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</si>
  <si>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</si>
  <si>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</si>
  <si>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</si>
  <si>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</si>
  <si>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</si>
  <si>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</si>
  <si>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</si>
  <si>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</si>
  <si>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</si>
  <si>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</si>
  <si>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</si>
  <si>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</si>
  <si>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</si>
  <si>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</si>
  <si>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</si>
  <si>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</si>
  <si>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</si>
  <si>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</si>
  <si>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</si>
  <si>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</si>
  <si>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</si>
  <si>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</si>
  <si>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</si>
  <si>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</si>
  <si>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</si>
  <si>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</si>
  <si>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</si>
  <si>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</si>
  <si>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</si>
  <si>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</si>
  <si>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</si>
  <si>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</si>
  <si>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</si>
  <si>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800 W 6th Street, Suite 1505</t>
  </si>
  <si>
    <t>CA</t>
  </si>
  <si>
    <t>U.S. Vets Housing Corporation</t>
  </si>
  <si>
    <t>6451 Box Springs Blvd</t>
  </si>
  <si>
    <t>William Leach</t>
  </si>
  <si>
    <t>william@kingdomdevelopment.net</t>
  </si>
  <si>
    <t>Managing GP</t>
  </si>
  <si>
    <t>Senior Administrative Clerk</t>
  </si>
  <si>
    <t xml:space="preserve">Los Angeles </t>
  </si>
  <si>
    <t>790 Bonsall Ave</t>
  </si>
  <si>
    <t>(Portion) 4365-007-903</t>
  </si>
  <si>
    <t>Kingdom Development, Inc.</t>
  </si>
  <si>
    <t>Riverside, CA 92507</t>
  </si>
  <si>
    <t>Hyder Property Management Professionals</t>
  </si>
  <si>
    <t>1649 Capalina Road, Suite 1500</t>
  </si>
  <si>
    <t>San Marcos, CA 92069</t>
  </si>
  <si>
    <t>Rory Byrne</t>
  </si>
  <si>
    <t>U.S. VETS Housing Corporation</t>
  </si>
  <si>
    <t>40%/60%</t>
  </si>
  <si>
    <t>800 W. Sixth Street, Suite 1505</t>
  </si>
  <si>
    <t>Los Angeles, CA 90017</t>
  </si>
  <si>
    <t>Lori Allgood</t>
  </si>
  <si>
    <t xml:space="preserve">lallgood@usvets.org </t>
  </si>
  <si>
    <t>Gensler</t>
  </si>
  <si>
    <t>500 South Figueroa</t>
  </si>
  <si>
    <t>Los Angeles, CA 90071</t>
  </si>
  <si>
    <t>James Kelly</t>
  </si>
  <si>
    <t>james_kelly@gensler.com</t>
  </si>
  <si>
    <t>Berman and Allderdice</t>
  </si>
  <si>
    <t>1200 Wilshire Blvd, Suite 610</t>
  </si>
  <si>
    <t>Beth S. Bergman. Esq.</t>
  </si>
  <si>
    <t>bbergman@b-alaw.com</t>
  </si>
  <si>
    <t>CMFA - California Municipal Finance Authority</t>
  </si>
  <si>
    <t>2111 Palomar Airport Rd, Suite 320</t>
  </si>
  <si>
    <t>Carlsbad, CA 92011</t>
  </si>
  <si>
    <t>Anthony Stubbs</t>
  </si>
  <si>
    <t>astubbs@cmfa-ca.com</t>
  </si>
  <si>
    <t>Novogradac</t>
  </si>
  <si>
    <t>6700 Antioch Rd, Suite 450</t>
  </si>
  <si>
    <t>Merriam, KS 66204</t>
  </si>
  <si>
    <t>Kelly Powell</t>
  </si>
  <si>
    <t>kelly.powell@novoco.com</t>
  </si>
  <si>
    <t>U.S. VETS-WLAVA Building 210, LLC</t>
  </si>
  <si>
    <t>U.S. VETS-WLAVA Building 210</t>
  </si>
  <si>
    <t>Shane Hansen PE</t>
  </si>
  <si>
    <t>Green Dinosaur</t>
  </si>
  <si>
    <t>8695 Washington Blvd, Suite 210</t>
  </si>
  <si>
    <t>Culver City</t>
  </si>
  <si>
    <t>shansen @greendinosaur.org</t>
  </si>
  <si>
    <t>Other (Specify below)</t>
  </si>
  <si>
    <t>Three story walkup with elevator.</t>
  </si>
  <si>
    <t>lallgood@usvets.org</t>
  </si>
  <si>
    <t>O-S (open space) by County, owned by Federal Government</t>
  </si>
  <si>
    <t>44'</t>
  </si>
  <si>
    <t>Project-based vouchers (PBVs)</t>
  </si>
  <si>
    <t>Tax Credit Proceeds</t>
  </si>
  <si>
    <t>Home Depot Foundation</t>
  </si>
  <si>
    <t>Historical Tax Credits</t>
  </si>
  <si>
    <t>Deferred Costs</t>
  </si>
  <si>
    <t>PACT Act</t>
  </si>
  <si>
    <t>Veterans</t>
  </si>
  <si>
    <t>Fixed</t>
  </si>
  <si>
    <t>Other: (Prevailing Wage Monitoring)</t>
  </si>
  <si>
    <t>1 bedroom</t>
  </si>
  <si>
    <t>(Office supplies, postage, software)</t>
  </si>
  <si>
    <t>(payroll taxes, benefits)</t>
  </si>
  <si>
    <t>(Fire safety, supplies, HVAC, tools)</t>
  </si>
  <si>
    <t>August</t>
  </si>
  <si>
    <t>2023 at</t>
  </si>
  <si>
    <t>COO, U.S.VETS Housing Corporation</t>
  </si>
  <si>
    <t>Employee Benefits</t>
  </si>
  <si>
    <t>Internet</t>
  </si>
  <si>
    <t>Tunnel to Towers Foundation</t>
  </si>
  <si>
    <t>Construction Loan - Citibank</t>
  </si>
  <si>
    <t>300 S Grand Ave, Suite 3110</t>
  </si>
  <si>
    <t>Zijian Tu</t>
  </si>
  <si>
    <t>Loan, Tax Exempt</t>
  </si>
  <si>
    <t>Matt Marienthal</t>
  </si>
  <si>
    <t>800 W Sixth St, Suite 1505</t>
  </si>
  <si>
    <t>Jeanna Dellaragione</t>
  </si>
  <si>
    <t>Land Donation - US Departments of Veteran Affairs</t>
  </si>
  <si>
    <t>Land Donation/U.S. Department of Veteran Affairs</t>
  </si>
  <si>
    <t>Consultant, General Partner</t>
  </si>
  <si>
    <t>12396 World Trade Dr, Suite 307</t>
  </si>
  <si>
    <t>Los Angeles County Development Authority</t>
  </si>
  <si>
    <t>LACDA-PBVASH</t>
  </si>
  <si>
    <t>Kimberly Doan, CPA</t>
  </si>
  <si>
    <t>kimberly.doan@CohnReznick.com</t>
  </si>
  <si>
    <t>CohnReznick</t>
  </si>
  <si>
    <t>2455 Paces Ferry Road Suite C-17</t>
  </si>
  <si>
    <t>Atlanta, GA 30339</t>
  </si>
  <si>
    <t>Erica Headlee</t>
  </si>
  <si>
    <t>2361 Hylan Blvd.</t>
  </si>
  <si>
    <t>Staten Island, NY 10306</t>
  </si>
  <si>
    <t>2455 Paces Ferry Road, Suite C-17</t>
  </si>
  <si>
    <t>2361 Hylan Blvd</t>
  </si>
  <si>
    <t>Jeanna DellRagione</t>
  </si>
  <si>
    <t>810 Vermont Avenue, N.W.</t>
  </si>
  <si>
    <t>Washington D.C. 20420</t>
  </si>
  <si>
    <t>Brett Simms</t>
  </si>
  <si>
    <t>12396 World Trade Dr., Suite 307</t>
  </si>
  <si>
    <t>San Diego, CA 92128</t>
  </si>
  <si>
    <t>Richard Shea</t>
  </si>
  <si>
    <t>Equity, other investor</t>
  </si>
  <si>
    <t>CREA LLC</t>
  </si>
  <si>
    <t>12396 World Trade Dr. Suite 307</t>
  </si>
  <si>
    <t>858-386-5198</t>
  </si>
  <si>
    <t>rshea@creallc.com</t>
  </si>
  <si>
    <t>rbyrne@hyderco.com</t>
  </si>
  <si>
    <t>Stringer Appraisals</t>
  </si>
  <si>
    <t>1655 Ashland Ave</t>
  </si>
  <si>
    <t>San ta Monica, CA 90405</t>
  </si>
  <si>
    <t>Tom Striner</t>
  </si>
  <si>
    <t>tdstringer@aol.com</t>
  </si>
  <si>
    <t>County of Los Angeles</t>
  </si>
  <si>
    <t>700 W. Main Street</t>
  </si>
  <si>
    <t>Lynn Katano</t>
  </si>
  <si>
    <t>626-586-1806</t>
  </si>
  <si>
    <t>626-943-3815</t>
  </si>
  <si>
    <t>lynn.katano@lacdc.org</t>
  </si>
  <si>
    <t>Secretary Veterans Affairs, an officer of the United States on behalf of the Department of Veterans Affairs</t>
  </si>
  <si>
    <t>202-461-5682</t>
  </si>
  <si>
    <t>Christopher Simms</t>
  </si>
  <si>
    <t>LACDA PBVASH</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</si>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</sst>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6">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166" fontId="12" fillId="5" borderId="6" xfId="271" applyNumberFormat="1" applyFont="1" applyFill="1" applyBorder="1" applyAlignment="1" applyProtection="1">
      <alignment horizontal="left"/>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66" fontId="12" fillId="5" borderId="4" xfId="0" applyNumberFormat="1" applyFont="1" applyFill="1" applyBorder="1" applyAlignment="1" applyProtection="1">
      <alignment horizontal="left"/>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2" t="s">
        <v>2430</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2" t="s">
        <v>2431</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15" customHeight="1">
      <c r="A14" s="218"/>
      <c r="B14" s="218"/>
      <c r="C14" s="219"/>
      <c r="E14" s="1262" t="s">
        <v>2620</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1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5" customHeight="1">
      <c r="A18" s="218"/>
      <c r="B18" s="218"/>
      <c r="C18" s="219"/>
      <c r="D18" s="1262" t="s">
        <v>2432</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1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1.85"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15" customHeight="1">
      <c r="A28" s="218"/>
      <c r="B28" s="218"/>
      <c r="C28" s="219"/>
      <c r="E28" s="1262" t="s">
        <v>2619</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1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5" customHeight="1">
      <c r="A32" s="218"/>
      <c r="B32" s="218"/>
      <c r="C32" s="219"/>
      <c r="D32" s="1262" t="s">
        <v>2433</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c r="A33" s="218"/>
      <c r="B33" s="218"/>
      <c r="C33" s="219"/>
      <c r="D33" s="490"/>
      <c r="E33" s="1269" t="s">
        <v>2615</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c r="A34" s="4"/>
      <c r="C34" s="2"/>
    </row>
    <row r="35" spans="1:38">
      <c r="A35" s="4"/>
      <c r="D35" s="1263" t="s">
        <v>2611</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c r="A37" s="4"/>
      <c r="D37" s="120"/>
      <c r="E37" s="1268" t="s">
        <v>2440</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2441</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15" customHeight="1">
      <c r="A42" s="4"/>
      <c r="B42"/>
      <c r="C42" s="2"/>
      <c r="D42" s="4"/>
      <c r="E42" s="4" t="s">
        <v>662</v>
      </c>
      <c r="F42" s="1262" t="s">
        <v>1307</v>
      </c>
    </row>
    <row r="43" spans="1:38" s="1262" customFormat="1" ht="13.1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5" customHeight="1">
      <c r="A45" s="4"/>
      <c r="B45"/>
      <c r="C45" s="2"/>
      <c r="D45" s="4"/>
      <c r="E45" s="3" t="s">
        <v>350</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c r="A48" s="4"/>
      <c r="C48" s="2"/>
      <c r="D48" s="4"/>
      <c r="E48" s="4"/>
      <c r="F48" s="118" t="s">
        <v>697</v>
      </c>
      <c r="G48" s="3" t="s">
        <v>2434</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2" t="s">
        <v>2435</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5" customHeight="1">
      <c r="A59" s="218"/>
      <c r="B59" s="219"/>
      <c r="C59" s="219"/>
      <c r="D59" s="219"/>
      <c r="E59" s="218"/>
      <c r="F59" s="220" t="s">
        <v>518</v>
      </c>
      <c r="G59" s="1264" t="s">
        <v>2436</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1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2437</v>
      </c>
      <c r="F140" s="2"/>
      <c r="G140" s="2"/>
      <c r="H140" s="2"/>
    </row>
    <row r="141" spans="4:37">
      <c r="E141" t="s">
        <v>113</v>
      </c>
      <c r="F141" t="s">
        <v>52</v>
      </c>
    </row>
    <row r="142" spans="4:37">
      <c r="E142" t="s">
        <v>114</v>
      </c>
      <c r="F142" t="s">
        <v>475</v>
      </c>
    </row>
    <row r="143" spans="4:37"/>
    <row r="144" spans="4:37">
      <c r="D144" s="2" t="s">
        <v>431</v>
      </c>
      <c r="E144" s="2" t="s">
        <v>2438</v>
      </c>
    </row>
    <row r="145" spans="3:7">
      <c r="E145" s="218" t="s">
        <v>2439</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1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1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c r="A369"/>
      <c r="B369" s="2"/>
      <c r="C369"/>
      <c r="D369"/>
      <c r="E369" s="1266" t="s">
        <v>1416</v>
      </c>
    </row>
    <row r="370" spans="1:37" s="1267"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1433</v>
      </c>
      <c r="F392" s="3"/>
      <c r="G392" s="2"/>
      <c r="I392" s="120"/>
      <c r="J392" s="3"/>
      <c r="K392" s="3"/>
      <c r="L392" s="3"/>
      <c r="M392" s="3"/>
      <c r="N392" s="3"/>
      <c r="O392" s="3"/>
      <c r="P392" s="3"/>
      <c r="Q392" s="3"/>
      <c r="R392" s="3"/>
      <c r="S392" s="3"/>
    </row>
    <row r="393" spans="1:38" ht="13.1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204"/>
    <col min="38" max="38" width="3" style="1204" customWidth="1"/>
    <col min="39" max="64" width="2.7109375" style="1204"/>
    <col min="65" max="65" width="10.42578125" style="1204" hidden="1" customWidth="1"/>
    <col min="66" max="70" width="5.5703125" style="1204" bestFit="1" customWidth="1"/>
    <col min="71" max="71" width="6.140625" style="1204" bestFit="1" customWidth="1"/>
    <col min="72" max="76" width="5.5703125" style="1204" bestFit="1" customWidth="1"/>
    <col min="77" max="77" width="6.140625" style="1204" bestFit="1" customWidth="1"/>
    <col min="78" max="78" width="5.5703125" style="1204" bestFit="1" customWidth="1"/>
    <col min="79" max="16384" width="2.7109375" style="1204"/>
  </cols>
  <sheetData>
    <row r="1" spans="1:65" ht="15.75" customHeight="1">
      <c r="A1" s="2457" t="s">
        <v>2514</v>
      </c>
      <c r="B1" s="2458"/>
      <c r="C1" s="2458"/>
      <c r="D1" s="2458"/>
      <c r="E1" s="2458"/>
      <c r="F1" s="2458"/>
      <c r="G1" s="2458"/>
      <c r="H1" s="2458"/>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8"/>
      <c r="AN1" s="2458"/>
      <c r="AO1" s="2458"/>
      <c r="AP1" s="2458"/>
      <c r="AQ1" s="2458"/>
      <c r="AR1" s="2458"/>
      <c r="AS1" s="2458"/>
      <c r="AT1" s="2458"/>
      <c r="AU1" s="2458"/>
      <c r="AV1" s="2458"/>
      <c r="AW1" s="2458"/>
      <c r="AX1" s="2458"/>
      <c r="AY1" s="2458"/>
      <c r="AZ1" s="2458"/>
      <c r="BA1" s="2458"/>
      <c r="BB1" s="2458"/>
      <c r="BC1" s="2458"/>
      <c r="BD1" s="2458"/>
      <c r="BE1" s="2459"/>
    </row>
    <row r="2" spans="1:65" ht="15.75" customHeight="1">
      <c r="A2" s="2460" t="s">
        <v>2562</v>
      </c>
      <c r="B2" s="2461"/>
      <c r="C2" s="2461"/>
      <c r="D2" s="2461"/>
      <c r="E2" s="2461"/>
      <c r="F2" s="2461"/>
      <c r="G2" s="2461"/>
      <c r="H2" s="2461"/>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461"/>
      <c r="AO2" s="2461"/>
      <c r="AP2" s="2461"/>
      <c r="AQ2" s="2461"/>
      <c r="AR2" s="2461"/>
      <c r="AS2" s="2461"/>
      <c r="AT2" s="2461"/>
      <c r="AU2" s="2461"/>
      <c r="AV2" s="2461"/>
      <c r="AW2" s="2461"/>
      <c r="AX2" s="2461"/>
      <c r="AY2" s="2461"/>
      <c r="AZ2" s="2461"/>
      <c r="BA2" s="2461"/>
      <c r="BB2" s="2461"/>
      <c r="BC2" s="2461"/>
      <c r="BD2" s="2461"/>
      <c r="BE2" s="2462"/>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49" t="str">
        <f>IF(Application!H18="","",Application!H18)</f>
        <v>U.S. VETS-WLAVA Building 210</v>
      </c>
      <c r="M4" s="2450"/>
      <c r="N4" s="2450"/>
      <c r="O4" s="2450"/>
      <c r="P4" s="2450"/>
      <c r="Q4" s="2450"/>
      <c r="R4" s="2450"/>
      <c r="S4" s="2450"/>
      <c r="T4" s="2450"/>
      <c r="U4" s="2450"/>
      <c r="V4" s="2450"/>
      <c r="W4" s="2450"/>
      <c r="X4" s="2450"/>
      <c r="Y4" s="2450"/>
      <c r="Z4" s="2450"/>
      <c r="AA4" s="2450"/>
      <c r="AB4" s="2450"/>
      <c r="AC4" s="2451"/>
      <c r="AD4" s="1207"/>
      <c r="AE4" s="1207"/>
      <c r="AF4" s="2463" t="s">
        <v>2563</v>
      </c>
      <c r="AG4" s="2463"/>
      <c r="AH4" s="2463"/>
      <c r="AI4" s="2463"/>
      <c r="AJ4" s="2463"/>
      <c r="AK4" s="2463"/>
      <c r="AL4" s="2463"/>
      <c r="AM4" s="2463"/>
      <c r="AN4" s="2463"/>
      <c r="AO4" s="2463"/>
      <c r="AP4" s="2464"/>
      <c r="AQ4" s="2465"/>
      <c r="AR4" s="2465"/>
      <c r="AS4" s="2465"/>
      <c r="AT4" s="2465"/>
      <c r="AU4" s="2465"/>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3" t="s">
        <v>2564</v>
      </c>
      <c r="AG5" s="2463"/>
      <c r="AH5" s="2463"/>
      <c r="AI5" s="2463"/>
      <c r="AJ5" s="2463"/>
      <c r="AK5" s="2463"/>
      <c r="AL5" s="2463"/>
      <c r="AM5" s="2463"/>
      <c r="AN5" s="2463"/>
      <c r="AO5" s="2463"/>
      <c r="AP5" s="2464"/>
      <c r="AQ5" s="2465"/>
      <c r="AR5" s="2465"/>
      <c r="AS5" s="2465"/>
      <c r="AT5" s="2465"/>
      <c r="AU5" s="2465"/>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49" t="str">
        <f>IF(Application!H16="","",Application!H16)</f>
        <v>U.S. VETS Housing Corporation</v>
      </c>
      <c r="M6" s="2450"/>
      <c r="N6" s="2450"/>
      <c r="O6" s="2450"/>
      <c r="P6" s="2450"/>
      <c r="Q6" s="2450"/>
      <c r="R6" s="2450"/>
      <c r="S6" s="2450"/>
      <c r="T6" s="2450"/>
      <c r="U6" s="2450"/>
      <c r="V6" s="2450"/>
      <c r="W6" s="2450"/>
      <c r="X6" s="2450"/>
      <c r="Y6" s="2450"/>
      <c r="Z6" s="2450"/>
      <c r="AA6" s="2450"/>
      <c r="AB6" s="2450"/>
      <c r="AC6" s="2451"/>
      <c r="AD6" s="1207"/>
      <c r="AE6" s="1207"/>
      <c r="AF6" s="2452" t="s">
        <v>2565</v>
      </c>
      <c r="AG6" s="2452"/>
      <c r="AH6" s="2452"/>
      <c r="AI6" s="2452"/>
      <c r="AJ6" s="2452"/>
      <c r="AK6" s="2452"/>
      <c r="AL6" s="2452"/>
      <c r="AM6" s="2452"/>
      <c r="AN6" s="2452"/>
      <c r="AO6" s="2452"/>
      <c r="AP6" s="2453">
        <v>0</v>
      </c>
      <c r="AQ6" s="2453"/>
      <c r="AR6" s="2453"/>
      <c r="AS6" s="2453"/>
      <c r="AT6" s="2453"/>
      <c r="AU6" s="2453"/>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2" t="s">
        <v>2566</v>
      </c>
      <c r="AG7" s="2452"/>
      <c r="AH7" s="2452"/>
      <c r="AI7" s="2452"/>
      <c r="AJ7" s="2452"/>
      <c r="AK7" s="2452"/>
      <c r="AL7" s="2452"/>
      <c r="AM7" s="2452"/>
      <c r="AN7" s="2452"/>
      <c r="AO7" s="2452"/>
      <c r="AP7" s="2453">
        <v>0</v>
      </c>
      <c r="AQ7" s="2453"/>
      <c r="AR7" s="2453"/>
      <c r="AS7" s="2453"/>
      <c r="AT7" s="2453"/>
      <c r="AU7" s="2453"/>
      <c r="AV7" s="1207"/>
      <c r="AW7" s="1207"/>
      <c r="AX7" s="1207"/>
      <c r="AY7" s="1207"/>
      <c r="AZ7" s="1207"/>
      <c r="BA7" s="1207"/>
      <c r="BB7" s="1207"/>
      <c r="BC7" s="1207"/>
      <c r="BD7" s="1207"/>
      <c r="BE7" s="1208"/>
    </row>
    <row r="8" spans="1:6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4" t="str">
        <f>Application!T196</f>
        <v>No</v>
      </c>
      <c r="AC8" s="2455"/>
      <c r="AD8" s="2456"/>
      <c r="AE8" s="1207"/>
      <c r="AF8" s="2452" t="s">
        <v>2567</v>
      </c>
      <c r="AG8" s="2452"/>
      <c r="AH8" s="2452"/>
      <c r="AI8" s="2452"/>
      <c r="AJ8" s="2452"/>
      <c r="AK8" s="2452"/>
      <c r="AL8" s="2452"/>
      <c r="AM8" s="2452"/>
      <c r="AN8" s="2452"/>
      <c r="AO8" s="2452"/>
      <c r="AP8" s="2453" t="s">
        <v>2519</v>
      </c>
      <c r="AQ8" s="2453"/>
      <c r="AR8" s="2453"/>
      <c r="AS8" s="2453"/>
      <c r="AT8" s="2453"/>
      <c r="AU8" s="2453"/>
      <c r="AV8" s="1207"/>
      <c r="AW8" s="1207"/>
      <c r="AX8" s="1207"/>
      <c r="AY8" s="1207"/>
      <c r="AZ8" s="1207"/>
      <c r="BA8" s="1207"/>
      <c r="BB8" s="1207"/>
      <c r="BC8" s="1207"/>
      <c r="BD8" s="1207"/>
      <c r="BE8" s="1208"/>
      <c r="BM8" s="1204" t="s">
        <v>2374</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2568</v>
      </c>
    </row>
    <row r="10" spans="1:65" ht="15">
      <c r="A10" s="1206"/>
      <c r="B10" s="1209" t="s">
        <v>1859</v>
      </c>
      <c r="C10" s="1209"/>
      <c r="D10" s="1209"/>
      <c r="E10" s="1209"/>
      <c r="F10" s="1209"/>
      <c r="G10" s="1209"/>
      <c r="H10" s="1209"/>
      <c r="I10" s="1209"/>
      <c r="J10" s="1209"/>
      <c r="K10" s="1209"/>
      <c r="L10" s="1209"/>
      <c r="M10" s="1207"/>
      <c r="N10" s="2445">
        <f>Application!AO623</f>
        <v>5750000</v>
      </c>
      <c r="O10" s="2445"/>
      <c r="P10" s="2445"/>
      <c r="Q10" s="2445"/>
      <c r="R10" s="2445"/>
      <c r="S10" s="2445"/>
      <c r="T10" s="2445"/>
      <c r="U10" s="1207"/>
      <c r="V10" s="1207"/>
      <c r="W10" s="1207"/>
      <c r="X10" s="2431" t="s">
        <v>2569</v>
      </c>
      <c r="Y10" s="2431"/>
      <c r="Z10" s="2431"/>
      <c r="AA10" s="2431"/>
      <c r="AB10" s="2431"/>
      <c r="AC10" s="2431"/>
      <c r="AD10" s="2431"/>
      <c r="AE10" s="2431"/>
      <c r="AF10" s="2431"/>
      <c r="AG10" s="2431"/>
      <c r="AH10" s="2431"/>
      <c r="AI10" s="2431"/>
      <c r="AJ10" s="2431"/>
      <c r="AK10" s="2431"/>
      <c r="AL10" s="2446">
        <f>Application!W471</f>
        <v>0</v>
      </c>
      <c r="AM10" s="2447"/>
      <c r="AN10" s="2447"/>
      <c r="AO10" s="2447"/>
      <c r="AP10" s="2447"/>
      <c r="AQ10" s="1210"/>
      <c r="AR10" s="1210"/>
      <c r="AS10" s="1210"/>
      <c r="AT10" s="1210"/>
      <c r="AU10" s="1210"/>
      <c r="AV10" s="1210"/>
      <c r="AW10" s="1210"/>
      <c r="AX10" s="1207"/>
      <c r="AY10" s="1207"/>
      <c r="AZ10" s="1207"/>
      <c r="BA10" s="1207"/>
      <c r="BB10" s="1207"/>
      <c r="BC10" s="1207"/>
      <c r="BD10" s="1207"/>
      <c r="BE10" s="1208"/>
      <c r="BM10" s="1204" t="s">
        <v>2570</v>
      </c>
    </row>
    <row r="11" spans="1:65" ht="15">
      <c r="A11" s="1206"/>
      <c r="B11" s="1209" t="s">
        <v>1860</v>
      </c>
      <c r="C11" s="1209"/>
      <c r="D11" s="1209"/>
      <c r="E11" s="1209"/>
      <c r="F11" s="1209"/>
      <c r="G11" s="1209"/>
      <c r="H11" s="1209"/>
      <c r="I11" s="1209"/>
      <c r="J11" s="1209"/>
      <c r="K11" s="1209"/>
      <c r="L11" s="1209"/>
      <c r="M11" s="1207"/>
      <c r="N11" s="2445">
        <f>Application!AA911</f>
        <v>0</v>
      </c>
      <c r="O11" s="2445"/>
      <c r="P11" s="2445"/>
      <c r="Q11" s="2445"/>
      <c r="R11" s="2445"/>
      <c r="S11" s="2445"/>
      <c r="T11" s="2445"/>
      <c r="U11" s="1207"/>
      <c r="V11" s="1207"/>
      <c r="W11" s="1207"/>
      <c r="X11" s="2448" t="s">
        <v>2571</v>
      </c>
      <c r="Y11" s="2448"/>
      <c r="Z11" s="2448"/>
      <c r="AA11" s="2448"/>
      <c r="AB11" s="2448"/>
      <c r="AC11" s="2448"/>
      <c r="AD11" s="2448"/>
      <c r="AE11" s="2448"/>
      <c r="AF11" s="2448"/>
      <c r="AG11" s="2448"/>
      <c r="AH11" s="2448"/>
      <c r="AI11" s="2448"/>
      <c r="AJ11" s="2448"/>
      <c r="AK11" s="2448"/>
      <c r="AL11" s="2432"/>
      <c r="AM11" s="2433"/>
      <c r="AN11" s="2433"/>
      <c r="AO11" s="2433"/>
      <c r="AP11" s="2433"/>
      <c r="AQ11" s="1211"/>
      <c r="AR11" s="1212"/>
      <c r="AS11" s="1210"/>
      <c r="AT11" s="1210"/>
      <c r="AU11" s="1210"/>
      <c r="AV11" s="1210"/>
      <c r="AW11" s="1210"/>
      <c r="AX11" s="1207"/>
      <c r="AY11" s="1207"/>
      <c r="AZ11" s="1207"/>
      <c r="BA11" s="1207"/>
      <c r="BB11" s="1207"/>
      <c r="BC11" s="1207"/>
      <c r="BD11" s="1207"/>
      <c r="BE11" s="1208"/>
      <c r="BM11" s="1204" t="s">
        <v>2519</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1" t="s">
        <v>2572</v>
      </c>
      <c r="Y12" s="2431"/>
      <c r="Z12" s="2431"/>
      <c r="AA12" s="2431"/>
      <c r="AB12" s="2431"/>
      <c r="AC12" s="2431"/>
      <c r="AD12" s="2431"/>
      <c r="AE12" s="2431"/>
      <c r="AF12" s="2431"/>
      <c r="AG12" s="2431"/>
      <c r="AH12" s="2431"/>
      <c r="AI12" s="2431"/>
      <c r="AJ12" s="2431"/>
      <c r="AK12" s="2431"/>
      <c r="AL12" s="2432"/>
      <c r="AM12" s="2433"/>
      <c r="AN12" s="2433"/>
      <c r="AO12" s="2433"/>
      <c r="AP12" s="2433"/>
      <c r="AQ12" s="1210"/>
      <c r="AR12" s="1210"/>
      <c r="AS12" s="1210"/>
      <c r="AT12" s="1210"/>
      <c r="AU12" s="1210"/>
      <c r="AV12" s="1207"/>
      <c r="AW12" s="1207"/>
      <c r="AX12" s="1207"/>
      <c r="AY12" s="1207"/>
      <c r="AZ12" s="1207"/>
      <c r="BA12" s="1207"/>
      <c r="BB12" s="1207"/>
      <c r="BC12" s="1207"/>
      <c r="BD12" s="1207"/>
      <c r="BE12" s="1213"/>
      <c r="BM12" s="1204" t="s">
        <v>2573</v>
      </c>
    </row>
    <row r="13" spans="1:65" thickBot="1">
      <c r="A13" s="1207"/>
      <c r="B13" s="2434" t="s">
        <v>1861</v>
      </c>
      <c r="C13" s="2435"/>
      <c r="D13" s="2435"/>
      <c r="E13" s="2435"/>
      <c r="F13" s="2435"/>
      <c r="G13" s="2435"/>
      <c r="H13" s="2435"/>
      <c r="I13" s="2435"/>
      <c r="J13" s="2435"/>
      <c r="K13" s="2435"/>
      <c r="L13" s="2435"/>
      <c r="M13" s="2435"/>
      <c r="N13" s="2435"/>
      <c r="O13" s="2435"/>
      <c r="P13" s="2436"/>
      <c r="Q13" s="2437" t="s">
        <v>678</v>
      </c>
      <c r="R13" s="2438"/>
      <c r="S13" s="2438"/>
      <c r="T13" s="243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2574</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440" t="s">
        <v>1862</v>
      </c>
      <c r="C15" s="2441"/>
      <c r="D15" s="2441"/>
      <c r="E15" s="2441"/>
      <c r="F15" s="2441"/>
      <c r="G15" s="2441"/>
      <c r="H15" s="2441"/>
      <c r="I15" s="2441"/>
      <c r="J15" s="2441"/>
      <c r="K15" s="2441"/>
      <c r="L15" s="2441"/>
      <c r="M15" s="2441"/>
      <c r="N15" s="2441"/>
      <c r="O15" s="2441"/>
      <c r="P15" s="2441"/>
      <c r="Q15" s="2441"/>
      <c r="R15" s="2442"/>
      <c r="S15" s="2443" t="str">
        <f>IF(Application!AB214="","",Application!AB214)</f>
        <v/>
      </c>
      <c r="T15" s="2443"/>
      <c r="U15" s="2443"/>
      <c r="V15" s="2443"/>
      <c r="W15" s="244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295" t="s">
        <v>1863</v>
      </c>
      <c r="C17" s="2296"/>
      <c r="D17" s="2296"/>
      <c r="E17" s="2296"/>
      <c r="F17" s="2296"/>
      <c r="G17" s="2296"/>
      <c r="H17" s="2296"/>
      <c r="I17" s="2296"/>
      <c r="J17" s="2296"/>
      <c r="K17" s="2296"/>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c r="AH17" s="2296"/>
      <c r="AI17" s="2296"/>
      <c r="AJ17" s="2296"/>
      <c r="AK17" s="2296"/>
      <c r="AL17" s="2296"/>
      <c r="AM17" s="2296"/>
      <c r="AN17" s="2296"/>
      <c r="AO17" s="2296"/>
      <c r="AP17" s="2296"/>
      <c r="AQ17" s="2296"/>
      <c r="AR17" s="2296"/>
      <c r="AS17" s="2296"/>
      <c r="AT17" s="2296"/>
      <c r="AU17" s="2296"/>
      <c r="AV17" s="2296"/>
      <c r="AW17" s="2296"/>
      <c r="AX17" s="2296"/>
      <c r="AY17" s="2297"/>
      <c r="AZ17" s="1207"/>
      <c r="BA17" s="1207"/>
      <c r="BB17" s="1207"/>
      <c r="BC17" s="1207"/>
      <c r="BD17" s="1207"/>
      <c r="BE17" s="1213"/>
      <c r="BF17" s="1205"/>
    </row>
    <row r="18" spans="1:58" ht="15.75" customHeight="1">
      <c r="A18" s="1207"/>
      <c r="B18" s="2424" t="s">
        <v>1864</v>
      </c>
      <c r="C18" s="2425"/>
      <c r="D18" s="2425"/>
      <c r="E18" s="2425"/>
      <c r="F18" s="2425"/>
      <c r="G18" s="2425"/>
      <c r="H18" s="2425"/>
      <c r="I18" s="2426"/>
      <c r="J18" s="2427" t="s">
        <v>1763</v>
      </c>
      <c r="K18" s="2428"/>
      <c r="L18" s="2428"/>
      <c r="M18" s="2428"/>
      <c r="N18" s="2428"/>
      <c r="O18" s="2429"/>
      <c r="P18" s="2427" t="s">
        <v>326</v>
      </c>
      <c r="Q18" s="2428"/>
      <c r="R18" s="2428"/>
      <c r="S18" s="2428"/>
      <c r="T18" s="2428"/>
      <c r="U18" s="2429"/>
      <c r="V18" s="2427" t="s">
        <v>327</v>
      </c>
      <c r="W18" s="2428"/>
      <c r="X18" s="2428"/>
      <c r="Y18" s="2428"/>
      <c r="Z18" s="2428"/>
      <c r="AA18" s="2429"/>
      <c r="AB18" s="2427" t="s">
        <v>164</v>
      </c>
      <c r="AC18" s="2428"/>
      <c r="AD18" s="2428"/>
      <c r="AE18" s="2428"/>
      <c r="AF18" s="2428"/>
      <c r="AG18" s="2429"/>
      <c r="AH18" s="2427" t="s">
        <v>165</v>
      </c>
      <c r="AI18" s="2428"/>
      <c r="AJ18" s="2428"/>
      <c r="AK18" s="2428"/>
      <c r="AL18" s="2428"/>
      <c r="AM18" s="2429"/>
      <c r="AN18" s="2427" t="s">
        <v>166</v>
      </c>
      <c r="AO18" s="2428"/>
      <c r="AP18" s="2428"/>
      <c r="AQ18" s="2428"/>
      <c r="AR18" s="2428"/>
      <c r="AS18" s="2429"/>
      <c r="AT18" s="2427" t="s">
        <v>1865</v>
      </c>
      <c r="AU18" s="2428"/>
      <c r="AV18" s="2428"/>
      <c r="AW18" s="2428"/>
      <c r="AX18" s="2428"/>
      <c r="AY18" s="2430"/>
      <c r="AZ18" s="1207"/>
      <c r="BA18" s="1207"/>
      <c r="BB18" s="1207"/>
      <c r="BC18" s="1207"/>
      <c r="BD18" s="1207"/>
      <c r="BE18" s="1213"/>
    </row>
    <row r="19" spans="1:58" ht="15">
      <c r="A19" s="1207"/>
      <c r="B19" s="2421">
        <v>0.3</v>
      </c>
      <c r="C19" s="2422"/>
      <c r="D19" s="2422"/>
      <c r="E19" s="2422"/>
      <c r="F19" s="2422"/>
      <c r="G19" s="2422"/>
      <c r="H19" s="2422"/>
      <c r="I19" s="2423"/>
      <c r="J19" s="2406">
        <f>SUM(P19:AS19)</f>
        <v>24</v>
      </c>
      <c r="K19" s="2407"/>
      <c r="L19" s="2407"/>
      <c r="M19" s="2407"/>
      <c r="N19" s="2407"/>
      <c r="O19" s="2408"/>
      <c r="P19" s="2406" cm="1">
        <f t="array" ref="P19">SUMPRODUCT((Application!$B$714:$B$738 = 'CalHFA Addendum'!P$18)*(Application!$AC$714:$AC$738 = 'CalHFA Addendum'!$B19),Application!$G$714:$G$738)</f>
        <v>11</v>
      </c>
      <c r="Q19" s="2407"/>
      <c r="R19" s="2407"/>
      <c r="S19" s="2407"/>
      <c r="T19" s="2407"/>
      <c r="U19" s="2408"/>
      <c r="V19" s="2406" cm="1">
        <f t="array" ref="V19">SUMPRODUCT((Application!$B$714:$B$738 = 'CalHFA Addendum'!V$18)*(Application!$AC$714:$AC$738 = 'CalHFA Addendum'!$B19),Application!$G$714:$G$738)</f>
        <v>13</v>
      </c>
      <c r="W19" s="2407"/>
      <c r="X19" s="2407"/>
      <c r="Y19" s="2407"/>
      <c r="Z19" s="2407"/>
      <c r="AA19" s="2408"/>
      <c r="AB19" s="2406" cm="1">
        <f t="array" ref="AB19">SUMPRODUCT((Application!$B$714:$B$738 = 'CalHFA Addendum'!AB$18)*(Application!$AC$714:$AC$738 = 'CalHFA Addendum'!$B19),Application!$G$714:$G$738)</f>
        <v>0</v>
      </c>
      <c r="AC19" s="2407"/>
      <c r="AD19" s="2407"/>
      <c r="AE19" s="2407"/>
      <c r="AF19" s="2407"/>
      <c r="AG19" s="2408"/>
      <c r="AH19" s="2406" cm="1">
        <f t="array" ref="AH19">SUMPRODUCT((Application!$B$714:$B$738 = 'CalHFA Addendum'!AH$18)*(Application!$AC$714:$AC$738 = 'CalHFA Addendum'!$B19),Application!$G$714:$G$738)</f>
        <v>0</v>
      </c>
      <c r="AI19" s="2407"/>
      <c r="AJ19" s="2407"/>
      <c r="AK19" s="2407"/>
      <c r="AL19" s="2407"/>
      <c r="AM19" s="2408"/>
      <c r="AN19" s="2406" cm="1">
        <f t="array" ref="AN19">SUMPRODUCT((Application!$B$714:$B$738 = 'CalHFA Addendum'!AN$18)*(Application!$AC$714:$AC$738 = 'CalHFA Addendum'!$B19),Application!$G$714:$G$738)</f>
        <v>0</v>
      </c>
      <c r="AO19" s="2407"/>
      <c r="AP19" s="2407"/>
      <c r="AQ19" s="2407"/>
      <c r="AR19" s="2407"/>
      <c r="AS19" s="2408"/>
      <c r="AT19" s="2409">
        <f t="shared" ref="AT19:AT28" si="0">J19/$J$29</f>
        <v>0.63157894736842102</v>
      </c>
      <c r="AU19" s="2410"/>
      <c r="AV19" s="2410"/>
      <c r="AW19" s="2410"/>
      <c r="AX19" s="2410"/>
      <c r="AY19" s="2411"/>
      <c r="AZ19" s="1214"/>
      <c r="BA19" s="1207"/>
      <c r="BB19" s="1207"/>
      <c r="BC19" s="1207"/>
      <c r="BD19" s="1207"/>
      <c r="BE19" s="1213"/>
    </row>
    <row r="20" spans="1:58" ht="15" customHeight="1">
      <c r="A20" s="1207"/>
      <c r="B20" s="2421">
        <v>0.4</v>
      </c>
      <c r="C20" s="2422"/>
      <c r="D20" s="2422"/>
      <c r="E20" s="2422"/>
      <c r="F20" s="2422"/>
      <c r="G20" s="2422"/>
      <c r="H20" s="2422"/>
      <c r="I20" s="2423"/>
      <c r="J20" s="2406">
        <f t="shared" ref="J20:J28" si="1">SUM(P20:AS20)</f>
        <v>0</v>
      </c>
      <c r="K20" s="2407"/>
      <c r="L20" s="2407"/>
      <c r="M20" s="2407"/>
      <c r="N20" s="2407"/>
      <c r="O20" s="2408"/>
      <c r="P20" s="2406" cm="1">
        <f t="array" ref="P20">SUMPRODUCT((Application!$B$714:$B$738 = 'CalHFA Addendum'!P$18)*(Application!$AC$714:$AC$738 = 'CalHFA Addendum'!$B20),Application!$G$714:$G$738)</f>
        <v>0</v>
      </c>
      <c r="Q20" s="2407"/>
      <c r="R20" s="2407"/>
      <c r="S20" s="2407"/>
      <c r="T20" s="2407"/>
      <c r="U20" s="2408"/>
      <c r="V20" s="2406" cm="1">
        <f t="array" ref="V20">SUMPRODUCT((Application!$B$714:$B$738 = 'CalHFA Addendum'!V$18)*(Application!$AC$714:$AC$738 = 'CalHFA Addendum'!$B20),Application!$G$714:$G$738)</f>
        <v>0</v>
      </c>
      <c r="W20" s="2407"/>
      <c r="X20" s="2407"/>
      <c r="Y20" s="2407"/>
      <c r="Z20" s="2407"/>
      <c r="AA20" s="2408"/>
      <c r="AB20" s="2406" cm="1">
        <f t="array" ref="AB20">SUMPRODUCT((Application!$B$714:$B$738 = 'CalHFA Addendum'!AB$18)*(Application!$AC$714:$AC$738 = 'CalHFA Addendum'!$B20),Application!$G$714:$G$738)</f>
        <v>0</v>
      </c>
      <c r="AC20" s="2407"/>
      <c r="AD20" s="2407"/>
      <c r="AE20" s="2407"/>
      <c r="AF20" s="2407"/>
      <c r="AG20" s="2408"/>
      <c r="AH20" s="2406" cm="1">
        <f t="array" ref="AH20">SUMPRODUCT((Application!$B$714:$B$738 = 'CalHFA Addendum'!AH$18)*(Application!$AC$714:$AC$738 = 'CalHFA Addendum'!$B20),Application!$G$714:$G$738)</f>
        <v>0</v>
      </c>
      <c r="AI20" s="2407"/>
      <c r="AJ20" s="2407"/>
      <c r="AK20" s="2407"/>
      <c r="AL20" s="2407"/>
      <c r="AM20" s="2408"/>
      <c r="AN20" s="2406" cm="1">
        <f t="array" ref="AN20">SUMPRODUCT((Application!$B$714:$B$738 = 'CalHFA Addendum'!AN$18)*(Application!$AC$714:$AC$738 = 'CalHFA Addendum'!$B20),Application!$G$714:$G$738)</f>
        <v>0</v>
      </c>
      <c r="AO20" s="2407"/>
      <c r="AP20" s="2407"/>
      <c r="AQ20" s="2407"/>
      <c r="AR20" s="2407"/>
      <c r="AS20" s="2408"/>
      <c r="AT20" s="2409">
        <f t="shared" si="0"/>
        <v>0</v>
      </c>
      <c r="AU20" s="2410"/>
      <c r="AV20" s="2410"/>
      <c r="AW20" s="2410"/>
      <c r="AX20" s="2410"/>
      <c r="AY20" s="2411"/>
      <c r="AZ20" s="1207"/>
      <c r="BA20" s="1207"/>
      <c r="BB20" s="1207"/>
      <c r="BC20" s="1207"/>
      <c r="BD20" s="1207"/>
      <c r="BE20" s="1213"/>
    </row>
    <row r="21" spans="1:58" ht="15">
      <c r="A21" s="1207"/>
      <c r="B21" s="2421">
        <v>0.5</v>
      </c>
      <c r="C21" s="2422"/>
      <c r="D21" s="2422"/>
      <c r="E21" s="2422"/>
      <c r="F21" s="2422"/>
      <c r="G21" s="2422"/>
      <c r="H21" s="2422"/>
      <c r="I21" s="2423"/>
      <c r="J21" s="2406">
        <f t="shared" si="1"/>
        <v>13</v>
      </c>
      <c r="K21" s="2407"/>
      <c r="L21" s="2407"/>
      <c r="M21" s="2407"/>
      <c r="N21" s="2407"/>
      <c r="O21" s="2408"/>
      <c r="P21" s="2406" cm="1">
        <f t="array" ref="P21">SUMPRODUCT((Application!$B$714:$B$738 = 'CalHFA Addendum'!P$18)*(Application!$AC$714:$AC$738 = 'CalHFA Addendum'!$B21),Application!$G$714:$G$738)</f>
        <v>0</v>
      </c>
      <c r="Q21" s="2407"/>
      <c r="R21" s="2407"/>
      <c r="S21" s="2407"/>
      <c r="T21" s="2407"/>
      <c r="U21" s="2408"/>
      <c r="V21" s="2406" cm="1">
        <f t="array" ref="V21">SUMPRODUCT((Application!$B$714:$B$738 = 'CalHFA Addendum'!V$18)*(Application!$AC$714:$AC$738 = 'CalHFA Addendum'!$B21),Application!$G$714:$G$738)</f>
        <v>13</v>
      </c>
      <c r="W21" s="2407"/>
      <c r="X21" s="2407"/>
      <c r="Y21" s="2407"/>
      <c r="Z21" s="2407"/>
      <c r="AA21" s="2408"/>
      <c r="AB21" s="2406" cm="1">
        <f t="array" ref="AB21">SUMPRODUCT((Application!$B$714:$B$738 = 'CalHFA Addendum'!AB$18)*(Application!$AC$714:$AC$738 = 'CalHFA Addendum'!$B21),Application!$G$714:$G$738)</f>
        <v>0</v>
      </c>
      <c r="AC21" s="2407"/>
      <c r="AD21" s="2407"/>
      <c r="AE21" s="2407"/>
      <c r="AF21" s="2407"/>
      <c r="AG21" s="2408"/>
      <c r="AH21" s="2406" cm="1">
        <f t="array" ref="AH21">SUMPRODUCT((Application!$B$714:$B$738 = 'CalHFA Addendum'!AH$18)*(Application!$AC$714:$AC$738 = 'CalHFA Addendum'!$B21),Application!$G$714:$G$738)</f>
        <v>0</v>
      </c>
      <c r="AI21" s="2407"/>
      <c r="AJ21" s="2407"/>
      <c r="AK21" s="2407"/>
      <c r="AL21" s="2407"/>
      <c r="AM21" s="2408"/>
      <c r="AN21" s="2406" cm="1">
        <f t="array" ref="AN21">SUMPRODUCT((Application!$B$714:$B$738 = 'CalHFA Addendum'!AN$18)*(Application!$AC$714:$AC$738 = 'CalHFA Addendum'!$B21),Application!$G$714:$G$738)</f>
        <v>0</v>
      </c>
      <c r="AO21" s="2407"/>
      <c r="AP21" s="2407"/>
      <c r="AQ21" s="2407"/>
      <c r="AR21" s="2407"/>
      <c r="AS21" s="2408"/>
      <c r="AT21" s="2409">
        <f t="shared" si="0"/>
        <v>0.34210526315789475</v>
      </c>
      <c r="AU21" s="2410"/>
      <c r="AV21" s="2410"/>
      <c r="AW21" s="2410"/>
      <c r="AX21" s="2410"/>
      <c r="AY21" s="2411"/>
      <c r="AZ21" s="1207"/>
      <c r="BA21" s="1207"/>
      <c r="BB21" s="1207"/>
      <c r="BC21" s="1207"/>
      <c r="BD21" s="1207"/>
      <c r="BE21" s="1213"/>
    </row>
    <row r="22" spans="1:58" ht="15">
      <c r="A22" s="1207"/>
      <c r="B22" s="2421">
        <v>0.6</v>
      </c>
      <c r="C22" s="2422"/>
      <c r="D22" s="2422"/>
      <c r="E22" s="2422"/>
      <c r="F22" s="2422"/>
      <c r="G22" s="2422"/>
      <c r="H22" s="2422"/>
      <c r="I22" s="2423"/>
      <c r="J22" s="2406">
        <f t="shared" si="1"/>
        <v>0</v>
      </c>
      <c r="K22" s="2407"/>
      <c r="L22" s="2407"/>
      <c r="M22" s="2407"/>
      <c r="N22" s="2407"/>
      <c r="O22" s="2408"/>
      <c r="P22" s="2406" cm="1">
        <f t="array" ref="P22">SUMPRODUCT((Application!$B$714:$B$738 = 'CalHFA Addendum'!P$18)*(Application!$AC$714:$AC$738 = 'CalHFA Addendum'!$B22),Application!$G$714:$G$738)</f>
        <v>0</v>
      </c>
      <c r="Q22" s="2407"/>
      <c r="R22" s="2407"/>
      <c r="S22" s="2407"/>
      <c r="T22" s="2407"/>
      <c r="U22" s="2408"/>
      <c r="V22" s="2406" cm="1">
        <f t="array" ref="V22">SUMPRODUCT((Application!$B$714:$B$738 = 'CalHFA Addendum'!V$18)*(Application!$AC$714:$AC$738 = 'CalHFA Addendum'!$B22),Application!$G$714:$G$738)</f>
        <v>0</v>
      </c>
      <c r="W22" s="2407"/>
      <c r="X22" s="2407"/>
      <c r="Y22" s="2407"/>
      <c r="Z22" s="2407"/>
      <c r="AA22" s="2408"/>
      <c r="AB22" s="2406" cm="1">
        <f t="array" ref="AB22">SUMPRODUCT((Application!$B$714:$B$738 = 'CalHFA Addendum'!AB$18)*(Application!$AC$714:$AC$738 = 'CalHFA Addendum'!$B22),Application!$G$714:$G$738)</f>
        <v>0</v>
      </c>
      <c r="AC22" s="2407"/>
      <c r="AD22" s="2407"/>
      <c r="AE22" s="2407"/>
      <c r="AF22" s="2407"/>
      <c r="AG22" s="2408"/>
      <c r="AH22" s="2406" cm="1">
        <f t="array" ref="AH22">SUMPRODUCT((Application!$B$714:$B$738 = 'CalHFA Addendum'!AH$18)*(Application!$AC$714:$AC$738 = 'CalHFA Addendum'!$B22),Application!$G$714:$G$738)</f>
        <v>0</v>
      </c>
      <c r="AI22" s="2407"/>
      <c r="AJ22" s="2407"/>
      <c r="AK22" s="2407"/>
      <c r="AL22" s="2407"/>
      <c r="AM22" s="2408"/>
      <c r="AN22" s="2406" cm="1">
        <f t="array" ref="AN22">SUMPRODUCT((Application!$B$714:$B$738 = 'CalHFA Addendum'!AN$18)*(Application!$AC$714:$AC$738 = 'CalHFA Addendum'!$B22),Application!$G$714:$G$738)</f>
        <v>0</v>
      </c>
      <c r="AO22" s="2407"/>
      <c r="AP22" s="2407"/>
      <c r="AQ22" s="2407"/>
      <c r="AR22" s="2407"/>
      <c r="AS22" s="2408"/>
      <c r="AT22" s="2409">
        <f t="shared" si="0"/>
        <v>0</v>
      </c>
      <c r="AU22" s="2410"/>
      <c r="AV22" s="2410"/>
      <c r="AW22" s="2410"/>
      <c r="AX22" s="2410"/>
      <c r="AY22" s="2411"/>
      <c r="AZ22" s="1207"/>
      <c r="BA22" s="1207"/>
      <c r="BB22" s="1207"/>
      <c r="BC22" s="1207"/>
      <c r="BD22" s="1207"/>
      <c r="BE22" s="1213"/>
    </row>
    <row r="23" spans="1:58" ht="15">
      <c r="A23" s="1207"/>
      <c r="B23" s="2421">
        <v>0.7</v>
      </c>
      <c r="C23" s="2422"/>
      <c r="D23" s="2422"/>
      <c r="E23" s="2422"/>
      <c r="F23" s="2422"/>
      <c r="G23" s="2422"/>
      <c r="H23" s="2422"/>
      <c r="I23" s="2423"/>
      <c r="J23" s="2406">
        <f t="shared" si="1"/>
        <v>0</v>
      </c>
      <c r="K23" s="2407"/>
      <c r="L23" s="2407"/>
      <c r="M23" s="2407"/>
      <c r="N23" s="2407"/>
      <c r="O23" s="2408"/>
      <c r="P23" s="2406" cm="1">
        <f t="array" ref="P23">SUMPRODUCT((Application!$B$714:$B$738 = 'CalHFA Addendum'!P$18)*(Application!$AC$714:$AC$738 = 'CalHFA Addendum'!$B23),Application!$G$714:$G$738)</f>
        <v>0</v>
      </c>
      <c r="Q23" s="2407"/>
      <c r="R23" s="2407"/>
      <c r="S23" s="2407"/>
      <c r="T23" s="2407"/>
      <c r="U23" s="2408"/>
      <c r="V23" s="2406" cm="1">
        <f t="array" ref="V23">SUMPRODUCT((Application!$B$714:$B$738 = 'CalHFA Addendum'!V$18)*(Application!$AC$714:$AC$738 = 'CalHFA Addendum'!$B23),Application!$G$714:$G$738)</f>
        <v>0</v>
      </c>
      <c r="W23" s="2407"/>
      <c r="X23" s="2407"/>
      <c r="Y23" s="2407"/>
      <c r="Z23" s="2407"/>
      <c r="AA23" s="2408"/>
      <c r="AB23" s="2406" cm="1">
        <f t="array" ref="AB23">SUMPRODUCT((Application!$B$714:$B$738 = 'CalHFA Addendum'!AB$18)*(Application!$AC$714:$AC$738 = 'CalHFA Addendum'!$B23),Application!$G$714:$G$738)</f>
        <v>0</v>
      </c>
      <c r="AC23" s="2407"/>
      <c r="AD23" s="2407"/>
      <c r="AE23" s="2407"/>
      <c r="AF23" s="2407"/>
      <c r="AG23" s="2408"/>
      <c r="AH23" s="2406" cm="1">
        <f t="array" ref="AH23">SUMPRODUCT((Application!$B$714:$B$738 = 'CalHFA Addendum'!AH$18)*(Application!$AC$714:$AC$738 = 'CalHFA Addendum'!$B23),Application!$G$714:$G$738)</f>
        <v>0</v>
      </c>
      <c r="AI23" s="2407"/>
      <c r="AJ23" s="2407"/>
      <c r="AK23" s="2407"/>
      <c r="AL23" s="2407"/>
      <c r="AM23" s="2408"/>
      <c r="AN23" s="2406" cm="1">
        <f t="array" ref="AN23">SUMPRODUCT((Application!$B$714:$B$738 = 'CalHFA Addendum'!AN$18)*(Application!$AC$714:$AC$738 = 'CalHFA Addendum'!$B23),Application!$G$714:$G$738)</f>
        <v>0</v>
      </c>
      <c r="AO23" s="2407"/>
      <c r="AP23" s="2407"/>
      <c r="AQ23" s="2407"/>
      <c r="AR23" s="2407"/>
      <c r="AS23" s="2408"/>
      <c r="AT23" s="2409">
        <f t="shared" si="0"/>
        <v>0</v>
      </c>
      <c r="AU23" s="2410"/>
      <c r="AV23" s="2410"/>
      <c r="AW23" s="2410"/>
      <c r="AX23" s="2410"/>
      <c r="AY23" s="2411"/>
      <c r="AZ23" s="1207"/>
      <c r="BA23" s="1207"/>
      <c r="BB23" s="1207"/>
      <c r="BC23" s="1207"/>
      <c r="BD23" s="1207"/>
      <c r="BE23" s="1213"/>
    </row>
    <row r="24" spans="1:58" ht="15">
      <c r="A24" s="1207"/>
      <c r="B24" s="2421">
        <v>0.8</v>
      </c>
      <c r="C24" s="2422"/>
      <c r="D24" s="2422"/>
      <c r="E24" s="2422"/>
      <c r="F24" s="2422"/>
      <c r="G24" s="2422"/>
      <c r="H24" s="2422"/>
      <c r="I24" s="2423"/>
      <c r="J24" s="2406">
        <f t="shared" si="1"/>
        <v>0</v>
      </c>
      <c r="K24" s="2407"/>
      <c r="L24" s="2407"/>
      <c r="M24" s="2407"/>
      <c r="N24" s="2407"/>
      <c r="O24" s="2408"/>
      <c r="P24" s="2406" cm="1">
        <f t="array" ref="P24">SUMPRODUCT((Application!$B$714:$B$738 = 'CalHFA Addendum'!P$18)*(Application!$AC$714:$AC$738 = 'CalHFA Addendum'!$B24),Application!$G$714:$G$738)</f>
        <v>0</v>
      </c>
      <c r="Q24" s="2407"/>
      <c r="R24" s="2407"/>
      <c r="S24" s="2407"/>
      <c r="T24" s="2407"/>
      <c r="U24" s="2408"/>
      <c r="V24" s="2406" cm="1">
        <f t="array" ref="V24">SUMPRODUCT((Application!$B$714:$B$738 = 'CalHFA Addendum'!V$18)*(Application!$AC$714:$AC$738 = 'CalHFA Addendum'!$B24),Application!$G$714:$G$738)</f>
        <v>0</v>
      </c>
      <c r="W24" s="2407"/>
      <c r="X24" s="2407"/>
      <c r="Y24" s="2407"/>
      <c r="Z24" s="2407"/>
      <c r="AA24" s="2408"/>
      <c r="AB24" s="2406" cm="1">
        <f t="array" ref="AB24">SUMPRODUCT((Application!$B$714:$B$738 = 'CalHFA Addendum'!AB$18)*(Application!$AC$714:$AC$738 = 'CalHFA Addendum'!$B24),Application!$G$714:$G$738)</f>
        <v>0</v>
      </c>
      <c r="AC24" s="2407"/>
      <c r="AD24" s="2407"/>
      <c r="AE24" s="2407"/>
      <c r="AF24" s="2407"/>
      <c r="AG24" s="2408"/>
      <c r="AH24" s="2406" cm="1">
        <f t="array" ref="AH24">SUMPRODUCT((Application!$B$714:$B$738 = 'CalHFA Addendum'!AH$18)*(Application!$AC$714:$AC$738 = 'CalHFA Addendum'!$B24),Application!$G$714:$G$738)</f>
        <v>0</v>
      </c>
      <c r="AI24" s="2407"/>
      <c r="AJ24" s="2407"/>
      <c r="AK24" s="2407"/>
      <c r="AL24" s="2407"/>
      <c r="AM24" s="2408"/>
      <c r="AN24" s="2406" cm="1">
        <f t="array" ref="AN24">SUMPRODUCT((Application!$B$714:$B$738 = 'CalHFA Addendum'!AN$18)*(Application!$AC$714:$AC$738 = 'CalHFA Addendum'!$B24),Application!$G$714:$G$738)</f>
        <v>0</v>
      </c>
      <c r="AO24" s="2407"/>
      <c r="AP24" s="2407"/>
      <c r="AQ24" s="2407"/>
      <c r="AR24" s="2407"/>
      <c r="AS24" s="2408"/>
      <c r="AT24" s="2409">
        <f t="shared" si="0"/>
        <v>0</v>
      </c>
      <c r="AU24" s="2410"/>
      <c r="AV24" s="2410"/>
      <c r="AW24" s="2410"/>
      <c r="AX24" s="2410"/>
      <c r="AY24" s="2411"/>
      <c r="AZ24" s="1207"/>
      <c r="BA24" s="1207"/>
      <c r="BB24" s="1207"/>
      <c r="BC24" s="1207"/>
      <c r="BD24" s="1207"/>
      <c r="BE24" s="1213"/>
    </row>
    <row r="25" spans="1:58" ht="15">
      <c r="A25" s="1207"/>
      <c r="B25" s="2421">
        <v>0.9</v>
      </c>
      <c r="C25" s="2422"/>
      <c r="D25" s="2422"/>
      <c r="E25" s="2422"/>
      <c r="F25" s="2422"/>
      <c r="G25" s="2422"/>
      <c r="H25" s="2422"/>
      <c r="I25" s="2423"/>
      <c r="J25" s="2406">
        <f t="shared" si="1"/>
        <v>0</v>
      </c>
      <c r="K25" s="2407"/>
      <c r="L25" s="2407"/>
      <c r="M25" s="2407"/>
      <c r="N25" s="2407"/>
      <c r="O25" s="2408"/>
      <c r="P25" s="2406" cm="1">
        <f t="array" ref="P25">SUMPRODUCT((Application!$B$714:$B$738 = 'CalHFA Addendum'!P$18)*(Application!$AC$714:$AC$738 = 'CalHFA Addendum'!$B25),Application!$G$714:$G$738)</f>
        <v>0</v>
      </c>
      <c r="Q25" s="2407"/>
      <c r="R25" s="2407"/>
      <c r="S25" s="2407"/>
      <c r="T25" s="2407"/>
      <c r="U25" s="2408"/>
      <c r="V25" s="2406" cm="1">
        <f t="array" ref="V25">SUMPRODUCT((Application!$B$714:$B$738 = 'CalHFA Addendum'!V$18)*(Application!$AC$714:$AC$738 = 'CalHFA Addendum'!$B25),Application!$G$714:$G$738)</f>
        <v>0</v>
      </c>
      <c r="W25" s="2407"/>
      <c r="X25" s="2407"/>
      <c r="Y25" s="2407"/>
      <c r="Z25" s="2407"/>
      <c r="AA25" s="2408"/>
      <c r="AB25" s="2406" cm="1">
        <f t="array" ref="AB25">SUMPRODUCT((Application!$B$714:$B$738 = 'CalHFA Addendum'!AB$18)*(Application!$AC$714:$AC$738 = 'CalHFA Addendum'!$B25),Application!$G$714:$G$738)</f>
        <v>0</v>
      </c>
      <c r="AC25" s="2407"/>
      <c r="AD25" s="2407"/>
      <c r="AE25" s="2407"/>
      <c r="AF25" s="2407"/>
      <c r="AG25" s="2408"/>
      <c r="AH25" s="2406" cm="1">
        <f t="array" ref="AH25">SUMPRODUCT((Application!$B$714:$B$738 = 'CalHFA Addendum'!AH$18)*(Application!$AC$714:$AC$738 = 'CalHFA Addendum'!$B25),Application!$G$714:$G$738)</f>
        <v>0</v>
      </c>
      <c r="AI25" s="2407"/>
      <c r="AJ25" s="2407"/>
      <c r="AK25" s="2407"/>
      <c r="AL25" s="2407"/>
      <c r="AM25" s="2408"/>
      <c r="AN25" s="2406" cm="1">
        <f t="array" ref="AN25">SUMPRODUCT((Application!$B$714:$B$738 = 'CalHFA Addendum'!AN$18)*(Application!$AC$714:$AC$738 = 'CalHFA Addendum'!$B25),Application!$G$714:$G$738)</f>
        <v>0</v>
      </c>
      <c r="AO25" s="2407"/>
      <c r="AP25" s="2407"/>
      <c r="AQ25" s="2407"/>
      <c r="AR25" s="2407"/>
      <c r="AS25" s="2408"/>
      <c r="AT25" s="2409">
        <f t="shared" si="0"/>
        <v>0</v>
      </c>
      <c r="AU25" s="2410"/>
      <c r="AV25" s="2410"/>
      <c r="AW25" s="2410"/>
      <c r="AX25" s="2410"/>
      <c r="AY25" s="2411"/>
      <c r="AZ25" s="1207"/>
      <c r="BA25" s="1207"/>
      <c r="BB25" s="1207"/>
      <c r="BC25" s="1207"/>
      <c r="BD25" s="1207"/>
      <c r="BE25" s="1213"/>
    </row>
    <row r="26" spans="1:58" ht="15">
      <c r="A26" s="1207"/>
      <c r="B26" s="2421">
        <v>1</v>
      </c>
      <c r="C26" s="2422"/>
      <c r="D26" s="2422"/>
      <c r="E26" s="2422"/>
      <c r="F26" s="2422"/>
      <c r="G26" s="2422"/>
      <c r="H26" s="2422"/>
      <c r="I26" s="2423"/>
      <c r="J26" s="2406">
        <f t="shared" si="1"/>
        <v>0</v>
      </c>
      <c r="K26" s="2407"/>
      <c r="L26" s="2407"/>
      <c r="M26" s="2407"/>
      <c r="N26" s="2407"/>
      <c r="O26" s="2408"/>
      <c r="P26" s="2406" cm="1">
        <f t="array" ref="P26">SUMPRODUCT((Application!$B$714:$B$738 = 'CalHFA Addendum'!P$18)*(Application!$AC$714:$AC$738 = 'CalHFA Addendum'!$B26),Application!$G$714:$G$738)</f>
        <v>0</v>
      </c>
      <c r="Q26" s="2407"/>
      <c r="R26" s="2407"/>
      <c r="S26" s="2407"/>
      <c r="T26" s="2407"/>
      <c r="U26" s="2408"/>
      <c r="V26" s="2406" cm="1">
        <f t="array" ref="V26">SUMPRODUCT((Application!$B$714:$B$738 = 'CalHFA Addendum'!V$18)*(Application!$AC$714:$AC$738 = 'CalHFA Addendum'!$B26),Application!$G$714:$G$738)</f>
        <v>0</v>
      </c>
      <c r="W26" s="2407"/>
      <c r="X26" s="2407"/>
      <c r="Y26" s="2407"/>
      <c r="Z26" s="2407"/>
      <c r="AA26" s="2408"/>
      <c r="AB26" s="2406" cm="1">
        <f t="array" ref="AB26">SUMPRODUCT((Application!$B$714:$B$738 = 'CalHFA Addendum'!AB$18)*(Application!$AC$714:$AC$738 = 'CalHFA Addendum'!$B26),Application!$G$714:$G$738)</f>
        <v>0</v>
      </c>
      <c r="AC26" s="2407"/>
      <c r="AD26" s="2407"/>
      <c r="AE26" s="2407"/>
      <c r="AF26" s="2407"/>
      <c r="AG26" s="2408"/>
      <c r="AH26" s="2406" cm="1">
        <f t="array" ref="AH26">SUMPRODUCT((Application!$B$714:$B$738 = 'CalHFA Addendum'!AH$18)*(Application!$AC$714:$AC$738 = 'CalHFA Addendum'!$B26),Application!$G$714:$G$738)</f>
        <v>0</v>
      </c>
      <c r="AI26" s="2407"/>
      <c r="AJ26" s="2407"/>
      <c r="AK26" s="2407"/>
      <c r="AL26" s="2407"/>
      <c r="AM26" s="2408"/>
      <c r="AN26" s="2406" cm="1">
        <f t="array" ref="AN26">SUMPRODUCT((Application!$B$714:$B$738 = 'CalHFA Addendum'!AN$18)*(Application!$AC$714:$AC$738 = 'CalHFA Addendum'!$B26),Application!$G$714:$G$738)</f>
        <v>0</v>
      </c>
      <c r="AO26" s="2407"/>
      <c r="AP26" s="2407"/>
      <c r="AQ26" s="2407"/>
      <c r="AR26" s="2407"/>
      <c r="AS26" s="2408"/>
      <c r="AT26" s="2409">
        <f t="shared" si="0"/>
        <v>0</v>
      </c>
      <c r="AU26" s="2410"/>
      <c r="AV26" s="2410"/>
      <c r="AW26" s="2410"/>
      <c r="AX26" s="2410"/>
      <c r="AY26" s="2411"/>
      <c r="AZ26" s="1207"/>
      <c r="BA26" s="1207"/>
      <c r="BB26" s="1207"/>
      <c r="BC26" s="1207"/>
      <c r="BD26" s="1207"/>
      <c r="BE26" s="1213"/>
    </row>
    <row r="27" spans="1:58" ht="15">
      <c r="A27" s="1207"/>
      <c r="B27" s="2421">
        <v>1.1000000000000001</v>
      </c>
      <c r="C27" s="2422"/>
      <c r="D27" s="2422"/>
      <c r="E27" s="2422"/>
      <c r="F27" s="2422"/>
      <c r="G27" s="2422"/>
      <c r="H27" s="2422"/>
      <c r="I27" s="2423"/>
      <c r="J27" s="2406">
        <f t="shared" si="1"/>
        <v>0</v>
      </c>
      <c r="K27" s="2407"/>
      <c r="L27" s="2407"/>
      <c r="M27" s="2407"/>
      <c r="N27" s="2407"/>
      <c r="O27" s="2408"/>
      <c r="P27" s="2406" cm="1">
        <f t="array" ref="P27">SUMPRODUCT((Application!$B$714:$B$738 = 'CalHFA Addendum'!P$18)*(Application!$AC$714:$AC$738 = 'CalHFA Addendum'!$B27),Application!$G$714:$G$738)</f>
        <v>0</v>
      </c>
      <c r="Q27" s="2407"/>
      <c r="R27" s="2407"/>
      <c r="S27" s="2407"/>
      <c r="T27" s="2407"/>
      <c r="U27" s="2408"/>
      <c r="V27" s="2406" cm="1">
        <f t="array" ref="V27">SUMPRODUCT((Application!$B$714:$B$738 = 'CalHFA Addendum'!V$18)*(Application!$AC$714:$AC$738 = 'CalHFA Addendum'!$B27),Application!$G$714:$G$738)</f>
        <v>0</v>
      </c>
      <c r="W27" s="2407"/>
      <c r="X27" s="2407"/>
      <c r="Y27" s="2407"/>
      <c r="Z27" s="2407"/>
      <c r="AA27" s="2408"/>
      <c r="AB27" s="2406" cm="1">
        <f t="array" ref="AB27">SUMPRODUCT((Application!$B$714:$B$738 = 'CalHFA Addendum'!AB$18)*(Application!$AC$714:$AC$738 = 'CalHFA Addendum'!$B27),Application!$G$714:$G$738)</f>
        <v>0</v>
      </c>
      <c r="AC27" s="2407"/>
      <c r="AD27" s="2407"/>
      <c r="AE27" s="2407"/>
      <c r="AF27" s="2407"/>
      <c r="AG27" s="2408"/>
      <c r="AH27" s="2406" cm="1">
        <f t="array" ref="AH27">SUMPRODUCT((Application!$B$714:$B$738 = 'CalHFA Addendum'!AH$18)*(Application!$AC$714:$AC$738 = 'CalHFA Addendum'!$B27),Application!$G$714:$G$738)</f>
        <v>0</v>
      </c>
      <c r="AI27" s="2407"/>
      <c r="AJ27" s="2407"/>
      <c r="AK27" s="2407"/>
      <c r="AL27" s="2407"/>
      <c r="AM27" s="2408"/>
      <c r="AN27" s="2406" cm="1">
        <f t="array" ref="AN27">SUMPRODUCT((Application!$B$714:$B$738 = 'CalHFA Addendum'!AN$18)*(Application!$AC$714:$AC$738 = 'CalHFA Addendum'!$B27),Application!$G$714:$G$738)</f>
        <v>0</v>
      </c>
      <c r="AO27" s="2407"/>
      <c r="AP27" s="2407"/>
      <c r="AQ27" s="2407"/>
      <c r="AR27" s="2407"/>
      <c r="AS27" s="2408"/>
      <c r="AT27" s="2409">
        <f t="shared" si="0"/>
        <v>0</v>
      </c>
      <c r="AU27" s="2410"/>
      <c r="AV27" s="2410"/>
      <c r="AW27" s="2410"/>
      <c r="AX27" s="2410"/>
      <c r="AY27" s="2411"/>
      <c r="AZ27" s="1207"/>
      <c r="BA27" s="1207"/>
      <c r="BB27" s="1207"/>
      <c r="BC27" s="1207"/>
      <c r="BD27" s="1207"/>
      <c r="BE27" s="1213"/>
    </row>
    <row r="28" spans="1:58" thickBot="1">
      <c r="A28" s="1207"/>
      <c r="B28" s="2412" t="s">
        <v>1866</v>
      </c>
      <c r="C28" s="2413"/>
      <c r="D28" s="2413"/>
      <c r="E28" s="2413"/>
      <c r="F28" s="2413"/>
      <c r="G28" s="2413"/>
      <c r="H28" s="2413"/>
      <c r="I28" s="2414"/>
      <c r="J28" s="2415">
        <f t="shared" si="1"/>
        <v>1</v>
      </c>
      <c r="K28" s="2416"/>
      <c r="L28" s="2416"/>
      <c r="M28" s="2416"/>
      <c r="N28" s="2416"/>
      <c r="O28" s="2417"/>
      <c r="P28" s="2415">
        <f>_xlfn.IFNA(VLOOKUP(P$18,Application!$J$758:$S$761,6,FALSE), 0)</f>
        <v>1</v>
      </c>
      <c r="Q28" s="2416"/>
      <c r="R28" s="2416"/>
      <c r="S28" s="2416"/>
      <c r="T28" s="2416"/>
      <c r="U28" s="2417"/>
      <c r="V28" s="2415">
        <f>_xlfn.IFNA(VLOOKUP(V$18,Application!$J$758:$S$761,6,FALSE), 0)</f>
        <v>0</v>
      </c>
      <c r="W28" s="2416"/>
      <c r="X28" s="2416"/>
      <c r="Y28" s="2416"/>
      <c r="Z28" s="2416"/>
      <c r="AA28" s="2417"/>
      <c r="AB28" s="2415">
        <f>_xlfn.IFNA(VLOOKUP(AB$18,Application!$J$758:$S$761,6,FALSE), 0)</f>
        <v>0</v>
      </c>
      <c r="AC28" s="2416"/>
      <c r="AD28" s="2416"/>
      <c r="AE28" s="2416"/>
      <c r="AF28" s="2416"/>
      <c r="AG28" s="2417"/>
      <c r="AH28" s="2415">
        <f>_xlfn.IFNA(VLOOKUP(AH$18,Application!$J$758:$S$761,6,FALSE), 0)</f>
        <v>0</v>
      </c>
      <c r="AI28" s="2416"/>
      <c r="AJ28" s="2416"/>
      <c r="AK28" s="2416"/>
      <c r="AL28" s="2416"/>
      <c r="AM28" s="2417"/>
      <c r="AN28" s="2415">
        <f>_xlfn.IFNA(VLOOKUP(AN$18,Application!$J$758:$S$761,6,FALSE), 0)</f>
        <v>0</v>
      </c>
      <c r="AO28" s="2416"/>
      <c r="AP28" s="2416"/>
      <c r="AQ28" s="2416"/>
      <c r="AR28" s="2416"/>
      <c r="AS28" s="2417"/>
      <c r="AT28" s="2418">
        <f t="shared" si="0"/>
        <v>2.6315789473684209E-2</v>
      </c>
      <c r="AU28" s="2419"/>
      <c r="AV28" s="2419"/>
      <c r="AW28" s="2419"/>
      <c r="AX28" s="2419"/>
      <c r="AY28" s="2420"/>
      <c r="AZ28" s="1207"/>
      <c r="BA28" s="1207"/>
      <c r="BB28" s="1207"/>
      <c r="BC28" s="1207"/>
      <c r="BD28" s="1207"/>
      <c r="BE28" s="1213"/>
    </row>
    <row r="29" spans="1:58" thickBot="1">
      <c r="A29" s="1207"/>
      <c r="B29" s="2405" t="s">
        <v>1763</v>
      </c>
      <c r="C29" s="2394"/>
      <c r="D29" s="2394"/>
      <c r="E29" s="2394"/>
      <c r="F29" s="2394"/>
      <c r="G29" s="2394"/>
      <c r="H29" s="2394"/>
      <c r="I29" s="2395"/>
      <c r="J29" s="2393">
        <f>SUM(J19:O28)</f>
        <v>38</v>
      </c>
      <c r="K29" s="2394"/>
      <c r="L29" s="2394"/>
      <c r="M29" s="2394"/>
      <c r="N29" s="2394"/>
      <c r="O29" s="2395"/>
      <c r="P29" s="2393">
        <f>SUM(P19:U28)</f>
        <v>12</v>
      </c>
      <c r="Q29" s="2394"/>
      <c r="R29" s="2394"/>
      <c r="S29" s="2394"/>
      <c r="T29" s="2394"/>
      <c r="U29" s="2395"/>
      <c r="V29" s="2393">
        <f>SUM(V19:AA28)</f>
        <v>26</v>
      </c>
      <c r="W29" s="2394"/>
      <c r="X29" s="2394"/>
      <c r="Y29" s="2394"/>
      <c r="Z29" s="2394"/>
      <c r="AA29" s="2395"/>
      <c r="AB29" s="2393">
        <f>SUM(AB19:AG28)</f>
        <v>0</v>
      </c>
      <c r="AC29" s="2394"/>
      <c r="AD29" s="2394"/>
      <c r="AE29" s="2394"/>
      <c r="AF29" s="2394"/>
      <c r="AG29" s="2395"/>
      <c r="AH29" s="2393">
        <f>SUM(AH19:AM28)</f>
        <v>0</v>
      </c>
      <c r="AI29" s="2394"/>
      <c r="AJ29" s="2394"/>
      <c r="AK29" s="2394"/>
      <c r="AL29" s="2394"/>
      <c r="AM29" s="2395"/>
      <c r="AN29" s="2393">
        <f>SUM(AN19:AS28)</f>
        <v>0</v>
      </c>
      <c r="AO29" s="2394"/>
      <c r="AP29" s="2394"/>
      <c r="AQ29" s="2394"/>
      <c r="AR29" s="2394"/>
      <c r="AS29" s="2395"/>
      <c r="AT29" s="2396">
        <f>J29/$J$29</f>
        <v>1</v>
      </c>
      <c r="AU29" s="2397"/>
      <c r="AV29" s="2397"/>
      <c r="AW29" s="2397"/>
      <c r="AX29" s="2397"/>
      <c r="AY29" s="2398"/>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73" t="s">
        <v>1867</v>
      </c>
      <c r="C31" s="2239"/>
      <c r="D31" s="2239"/>
      <c r="E31" s="2239"/>
      <c r="F31" s="2239"/>
      <c r="G31" s="2239"/>
      <c r="H31" s="2239"/>
      <c r="I31" s="2239"/>
      <c r="J31" s="2239"/>
      <c r="K31" s="2239"/>
      <c r="L31" s="2239"/>
      <c r="M31" s="2239"/>
      <c r="N31" s="2239"/>
      <c r="O31" s="2239"/>
      <c r="P31" s="2239"/>
      <c r="Q31" s="2239"/>
      <c r="R31" s="2239"/>
      <c r="S31" s="2239"/>
      <c r="T31" s="2239"/>
      <c r="U31" s="2239"/>
      <c r="V31" s="2239"/>
      <c r="W31" s="2239"/>
      <c r="X31" s="2239"/>
      <c r="Y31" s="2239"/>
      <c r="Z31" s="2239"/>
      <c r="AA31" s="2239"/>
      <c r="AB31" s="2239"/>
      <c r="AC31" s="2239"/>
      <c r="AD31" s="2239"/>
      <c r="AE31" s="2239"/>
      <c r="AF31" s="2239"/>
      <c r="AG31" s="2239"/>
      <c r="AH31" s="2239"/>
      <c r="AI31" s="2239"/>
      <c r="AJ31" s="2239"/>
      <c r="AK31" s="2239"/>
      <c r="AL31" s="2239"/>
      <c r="AM31" s="2239"/>
      <c r="AN31" s="2239"/>
      <c r="AO31" s="2239"/>
      <c r="AP31" s="2239"/>
      <c r="AQ31" s="2239"/>
      <c r="AR31" s="2239"/>
      <c r="AS31" s="2239"/>
      <c r="AT31" s="2239"/>
      <c r="AU31" s="2239"/>
      <c r="AV31" s="2239"/>
      <c r="AW31" s="2239"/>
      <c r="AX31" s="2239"/>
      <c r="AY31" s="2239"/>
      <c r="AZ31" s="2240"/>
      <c r="BA31" s="1207"/>
      <c r="BB31" s="1207"/>
      <c r="BC31" s="1207"/>
      <c r="BD31" s="1207"/>
      <c r="BE31" s="1213"/>
    </row>
    <row r="32" spans="1:58" ht="15">
      <c r="A32" s="1207"/>
      <c r="B32" s="2399" t="s">
        <v>2575</v>
      </c>
      <c r="C32" s="2400"/>
      <c r="D32" s="2400"/>
      <c r="E32" s="2400"/>
      <c r="F32" s="2400"/>
      <c r="G32" s="2400"/>
      <c r="H32" s="2400"/>
      <c r="I32" s="2400"/>
      <c r="J32" s="2402" t="s">
        <v>2576</v>
      </c>
      <c r="K32" s="2403"/>
      <c r="L32" s="2403"/>
      <c r="M32" s="2403"/>
      <c r="N32" s="2402" t="s">
        <v>1868</v>
      </c>
      <c r="O32" s="2403"/>
      <c r="P32" s="2403"/>
      <c r="Q32" s="2403"/>
      <c r="R32" s="2274" t="s">
        <v>1869</v>
      </c>
      <c r="S32" s="2274"/>
      <c r="T32" s="2274"/>
      <c r="U32" s="2274"/>
      <c r="V32" s="2274"/>
      <c r="W32" s="2274"/>
      <c r="X32" s="2274"/>
      <c r="Y32" s="2274"/>
      <c r="Z32" s="2274"/>
      <c r="AA32" s="2274"/>
      <c r="AB32" s="2274"/>
      <c r="AC32" s="2274"/>
      <c r="AD32" s="2274"/>
      <c r="AE32" s="2274"/>
      <c r="AF32" s="2274"/>
      <c r="AG32" s="2274"/>
      <c r="AH32" s="2274"/>
      <c r="AI32" s="2274"/>
      <c r="AJ32" s="2274"/>
      <c r="AK32" s="2274"/>
      <c r="AL32" s="2274"/>
      <c r="AM32" s="2274"/>
      <c r="AN32" s="2274"/>
      <c r="AO32" s="2274"/>
      <c r="AP32" s="2274"/>
      <c r="AQ32" s="2274"/>
      <c r="AR32" s="2274"/>
      <c r="AS32" s="2274"/>
      <c r="AT32" s="2274"/>
      <c r="AU32" s="2274"/>
      <c r="AV32" s="2274"/>
      <c r="AW32" s="2274"/>
      <c r="AX32" s="2274"/>
      <c r="AY32" s="2274"/>
      <c r="AZ32" s="2324"/>
      <c r="BA32" s="1207"/>
      <c r="BB32" s="1207"/>
      <c r="BC32" s="1207"/>
      <c r="BD32" s="1207"/>
      <c r="BE32" s="1213"/>
    </row>
    <row r="33" spans="1:58" ht="15" customHeight="1">
      <c r="A33" s="1207"/>
      <c r="B33" s="2401"/>
      <c r="C33" s="2400"/>
      <c r="D33" s="2400"/>
      <c r="E33" s="2400"/>
      <c r="F33" s="2400"/>
      <c r="G33" s="2400"/>
      <c r="H33" s="2400"/>
      <c r="I33" s="2400"/>
      <c r="J33" s="2403"/>
      <c r="K33" s="2403"/>
      <c r="L33" s="2403"/>
      <c r="M33" s="2403"/>
      <c r="N33" s="2403"/>
      <c r="O33" s="2403"/>
      <c r="P33" s="2403"/>
      <c r="Q33" s="2403"/>
      <c r="R33" s="2375" t="s">
        <v>1870</v>
      </c>
      <c r="S33" s="2402"/>
      <c r="T33" s="2402"/>
      <c r="U33" s="2402"/>
      <c r="V33" s="2402"/>
      <c r="W33" s="2402"/>
      <c r="X33" s="2402"/>
      <c r="Y33" s="2402"/>
      <c r="Z33" s="2402"/>
      <c r="AA33" s="2402"/>
      <c r="AB33" s="2402"/>
      <c r="AC33" s="2402"/>
      <c r="AD33" s="2402"/>
      <c r="AE33" s="2402"/>
      <c r="AF33" s="2402"/>
      <c r="AG33" s="2402"/>
      <c r="AH33" s="2402"/>
      <c r="AI33" s="2402"/>
      <c r="AJ33" s="2402"/>
      <c r="AK33" s="2402"/>
      <c r="AL33" s="2402"/>
      <c r="AM33" s="2402"/>
      <c r="AN33" s="2402"/>
      <c r="AO33" s="2402"/>
      <c r="AP33" s="2402"/>
      <c r="AQ33" s="2402"/>
      <c r="AR33" s="2402"/>
      <c r="AS33" s="2402"/>
      <c r="AT33" s="2402"/>
      <c r="AU33" s="2402"/>
      <c r="AV33" s="2402"/>
      <c r="AW33" s="2402"/>
      <c r="AX33" s="2402"/>
      <c r="AY33" s="2402"/>
      <c r="AZ33" s="2404"/>
      <c r="BA33" s="1214"/>
      <c r="BB33" s="1207"/>
      <c r="BC33" s="1207"/>
      <c r="BD33" s="1207"/>
      <c r="BE33" s="1213"/>
    </row>
    <row r="34" spans="1:58" ht="15.75" customHeight="1">
      <c r="A34" s="1207"/>
      <c r="B34" s="2401"/>
      <c r="C34" s="2400"/>
      <c r="D34" s="2400"/>
      <c r="E34" s="2400"/>
      <c r="F34" s="2400"/>
      <c r="G34" s="2400"/>
      <c r="H34" s="2400"/>
      <c r="I34" s="2400"/>
      <c r="J34" s="2403"/>
      <c r="K34" s="2403"/>
      <c r="L34" s="2403"/>
      <c r="M34" s="2403"/>
      <c r="N34" s="2403"/>
      <c r="O34" s="2403"/>
      <c r="P34" s="2403"/>
      <c r="Q34" s="2403"/>
      <c r="R34" s="2402"/>
      <c r="S34" s="2402"/>
      <c r="T34" s="2402"/>
      <c r="U34" s="2402"/>
      <c r="V34" s="2402"/>
      <c r="W34" s="2402"/>
      <c r="X34" s="2402"/>
      <c r="Y34" s="2402"/>
      <c r="Z34" s="2402"/>
      <c r="AA34" s="2402"/>
      <c r="AB34" s="2402"/>
      <c r="AC34" s="2402"/>
      <c r="AD34" s="2402"/>
      <c r="AE34" s="2402"/>
      <c r="AF34" s="2402"/>
      <c r="AG34" s="2402"/>
      <c r="AH34" s="2402"/>
      <c r="AI34" s="2402"/>
      <c r="AJ34" s="2402"/>
      <c r="AK34" s="2402"/>
      <c r="AL34" s="2402"/>
      <c r="AM34" s="2402"/>
      <c r="AN34" s="2402"/>
      <c r="AO34" s="2402"/>
      <c r="AP34" s="2402"/>
      <c r="AQ34" s="2402"/>
      <c r="AR34" s="2402"/>
      <c r="AS34" s="2402"/>
      <c r="AT34" s="2402"/>
      <c r="AU34" s="2402"/>
      <c r="AV34" s="2402"/>
      <c r="AW34" s="2402"/>
      <c r="AX34" s="2402"/>
      <c r="AY34" s="2402"/>
      <c r="AZ34" s="2404"/>
      <c r="BA34" s="1214"/>
      <c r="BB34" s="1207"/>
      <c r="BC34" s="1207"/>
      <c r="BD34" s="1207"/>
      <c r="BE34" s="1213"/>
    </row>
    <row r="35" spans="1:58" ht="15.75" customHeight="1">
      <c r="A35" s="1207"/>
      <c r="B35" s="2401"/>
      <c r="C35" s="2400"/>
      <c r="D35" s="2400"/>
      <c r="E35" s="2400"/>
      <c r="F35" s="2400"/>
      <c r="G35" s="2400"/>
      <c r="H35" s="2400"/>
      <c r="I35" s="2400"/>
      <c r="J35" s="2403"/>
      <c r="K35" s="2403"/>
      <c r="L35" s="2403"/>
      <c r="M35" s="2403"/>
      <c r="N35" s="2403"/>
      <c r="O35" s="2403"/>
      <c r="P35" s="2403"/>
      <c r="Q35" s="2403"/>
      <c r="R35" s="2389">
        <v>0.3</v>
      </c>
      <c r="S35" s="2389"/>
      <c r="T35" s="2389"/>
      <c r="U35" s="2389"/>
      <c r="V35" s="2389">
        <v>0.4</v>
      </c>
      <c r="W35" s="2389"/>
      <c r="X35" s="2389"/>
      <c r="Y35" s="2389"/>
      <c r="Z35" s="2389">
        <v>0.5</v>
      </c>
      <c r="AA35" s="2389"/>
      <c r="AB35" s="2389"/>
      <c r="AC35" s="2389"/>
      <c r="AD35" s="2389">
        <v>0.6</v>
      </c>
      <c r="AE35" s="2389"/>
      <c r="AF35" s="2389"/>
      <c r="AG35" s="2389"/>
      <c r="AH35" s="2389">
        <v>0.8</v>
      </c>
      <c r="AI35" s="2389"/>
      <c r="AJ35" s="2389"/>
      <c r="AK35" s="2389"/>
      <c r="AL35" s="2390">
        <v>1</v>
      </c>
      <c r="AM35" s="2390"/>
      <c r="AN35" s="2390"/>
      <c r="AO35" s="2391" t="s">
        <v>1871</v>
      </c>
      <c r="AP35" s="2391"/>
      <c r="AQ35" s="2391"/>
      <c r="AR35" s="2391"/>
      <c r="AS35" s="2391"/>
      <c r="AT35" s="2391"/>
      <c r="AU35" s="2391" t="s">
        <v>1872</v>
      </c>
      <c r="AV35" s="2391"/>
      <c r="AW35" s="2391"/>
      <c r="AX35" s="2391"/>
      <c r="AY35" s="2391"/>
      <c r="AZ35" s="2392"/>
      <c r="BA35" s="1214"/>
      <c r="BB35" s="1207"/>
      <c r="BC35" s="1207"/>
      <c r="BD35" s="1207"/>
      <c r="BE35" s="1213"/>
      <c r="BF35" s="1205"/>
    </row>
    <row r="36" spans="1:58" ht="15.75" customHeight="1">
      <c r="A36" s="1207"/>
      <c r="B36" s="2328" t="s">
        <v>1873</v>
      </c>
      <c r="C36" s="2329"/>
      <c r="D36" s="2329"/>
      <c r="E36" s="2329"/>
      <c r="F36" s="2329"/>
      <c r="G36" s="2329"/>
      <c r="H36" s="2329"/>
      <c r="I36" s="2329"/>
      <c r="J36" s="2388" t="s">
        <v>1874</v>
      </c>
      <c r="K36" s="2388"/>
      <c r="L36" s="2388"/>
      <c r="M36" s="2388"/>
      <c r="N36" s="2388">
        <v>55</v>
      </c>
      <c r="O36" s="2388"/>
      <c r="P36" s="2388"/>
      <c r="Q36" s="2388"/>
      <c r="R36" s="2381">
        <v>0</v>
      </c>
      <c r="S36" s="2381"/>
      <c r="T36" s="2381"/>
      <c r="U36" s="2381"/>
      <c r="V36" s="2381">
        <v>0</v>
      </c>
      <c r="W36" s="2381"/>
      <c r="X36" s="2381"/>
      <c r="Y36" s="2381"/>
      <c r="Z36" s="2381">
        <v>10</v>
      </c>
      <c r="AA36" s="2381"/>
      <c r="AB36" s="2381"/>
      <c r="AC36" s="2381"/>
      <c r="AD36" s="2381">
        <v>30</v>
      </c>
      <c r="AE36" s="2381"/>
      <c r="AF36" s="2381"/>
      <c r="AG36" s="2381"/>
      <c r="AH36" s="2381">
        <v>0</v>
      </c>
      <c r="AI36" s="2381"/>
      <c r="AJ36" s="2381"/>
      <c r="AK36" s="2381"/>
      <c r="AL36" s="2381">
        <v>0</v>
      </c>
      <c r="AM36" s="2381"/>
      <c r="AN36" s="2381"/>
      <c r="AO36" s="2382">
        <f>SUM(R36:AN36)</f>
        <v>40</v>
      </c>
      <c r="AP36" s="2382"/>
      <c r="AQ36" s="2382"/>
      <c r="AR36" s="2382"/>
      <c r="AS36" s="2382"/>
      <c r="AT36" s="2382"/>
      <c r="AU36" s="2383">
        <f>AO36/$J$29</f>
        <v>1.0526315789473684</v>
      </c>
      <c r="AV36" s="2383"/>
      <c r="AW36" s="2383"/>
      <c r="AX36" s="2383"/>
      <c r="AY36" s="2383"/>
      <c r="AZ36" s="2384"/>
      <c r="BA36" s="1207"/>
      <c r="BB36" s="1207"/>
      <c r="BC36" s="1207"/>
      <c r="BD36" s="1207"/>
      <c r="BE36" s="1213"/>
      <c r="BF36" s="1205"/>
    </row>
    <row r="37" spans="1:58" ht="15.75" customHeight="1">
      <c r="A37" s="1207"/>
      <c r="B37" s="2328" t="s">
        <v>2577</v>
      </c>
      <c r="C37" s="2329"/>
      <c r="D37" s="2329"/>
      <c r="E37" s="2329"/>
      <c r="F37" s="2329"/>
      <c r="G37" s="2329"/>
      <c r="H37" s="2329"/>
      <c r="I37" s="2329"/>
      <c r="J37" s="2388" t="s">
        <v>1875</v>
      </c>
      <c r="K37" s="2388"/>
      <c r="L37" s="2388"/>
      <c r="M37" s="2388"/>
      <c r="N37" s="2388">
        <v>55</v>
      </c>
      <c r="O37" s="2388"/>
      <c r="P37" s="2388"/>
      <c r="Q37" s="2388"/>
      <c r="R37" s="2381">
        <v>10</v>
      </c>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2">
        <f t="shared" ref="AO37:AO47" si="2">SUM(R37:AN37)</f>
        <v>10</v>
      </c>
      <c r="AP37" s="2382"/>
      <c r="AQ37" s="2382"/>
      <c r="AR37" s="2382"/>
      <c r="AS37" s="2382"/>
      <c r="AT37" s="2382"/>
      <c r="AU37" s="2383">
        <f t="shared" ref="AU37:AU47" si="3">AO37/$J$29</f>
        <v>0.26315789473684209</v>
      </c>
      <c r="AV37" s="2383"/>
      <c r="AW37" s="2383"/>
      <c r="AX37" s="2383"/>
      <c r="AY37" s="2383"/>
      <c r="AZ37" s="2384"/>
      <c r="BA37" s="1207"/>
      <c r="BB37" s="1207"/>
      <c r="BC37" s="1207"/>
      <c r="BD37" s="1207"/>
      <c r="BE37" s="1213"/>
      <c r="BF37" s="1205"/>
    </row>
    <row r="38" spans="1:58" ht="15.75" customHeight="1">
      <c r="A38" s="1207"/>
      <c r="B38" s="2328" t="s">
        <v>2515</v>
      </c>
      <c r="C38" s="2329"/>
      <c r="D38" s="2329"/>
      <c r="E38" s="2329"/>
      <c r="F38" s="2329"/>
      <c r="G38" s="2329"/>
      <c r="H38" s="2329"/>
      <c r="I38" s="2329"/>
      <c r="J38" s="2388" t="s">
        <v>1876</v>
      </c>
      <c r="K38" s="2388"/>
      <c r="L38" s="2388"/>
      <c r="M38" s="2388"/>
      <c r="N38" s="2388">
        <v>55</v>
      </c>
      <c r="O38" s="2388"/>
      <c r="P38" s="2388"/>
      <c r="Q38" s="2388"/>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2">
        <f t="shared" si="2"/>
        <v>0</v>
      </c>
      <c r="AP38" s="2382"/>
      <c r="AQ38" s="2382"/>
      <c r="AR38" s="2382"/>
      <c r="AS38" s="2382"/>
      <c r="AT38" s="2382"/>
      <c r="AU38" s="2383">
        <f t="shared" si="3"/>
        <v>0</v>
      </c>
      <c r="AV38" s="2383"/>
      <c r="AW38" s="2383"/>
      <c r="AX38" s="2383"/>
      <c r="AY38" s="2383"/>
      <c r="AZ38" s="2384"/>
      <c r="BA38" s="1207"/>
      <c r="BB38" s="1207"/>
      <c r="BC38" s="1207"/>
      <c r="BD38" s="1207"/>
      <c r="BE38" s="1213"/>
      <c r="BF38" s="1205"/>
    </row>
    <row r="39" spans="1:58" ht="15.75" customHeight="1">
      <c r="A39" s="1207"/>
      <c r="B39" s="2328" t="s">
        <v>1877</v>
      </c>
      <c r="C39" s="2329"/>
      <c r="D39" s="2329"/>
      <c r="E39" s="2329"/>
      <c r="F39" s="2329"/>
      <c r="G39" s="2329"/>
      <c r="H39" s="2329"/>
      <c r="I39" s="2329"/>
      <c r="J39" s="2388"/>
      <c r="K39" s="2388"/>
      <c r="L39" s="2388"/>
      <c r="M39" s="2388"/>
      <c r="N39" s="2388"/>
      <c r="O39" s="2388"/>
      <c r="P39" s="2388"/>
      <c r="Q39" s="2388"/>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2">
        <f t="shared" si="2"/>
        <v>0</v>
      </c>
      <c r="AP39" s="2382"/>
      <c r="AQ39" s="2382"/>
      <c r="AR39" s="2382"/>
      <c r="AS39" s="2382"/>
      <c r="AT39" s="2382"/>
      <c r="AU39" s="2383">
        <f t="shared" si="3"/>
        <v>0</v>
      </c>
      <c r="AV39" s="2383"/>
      <c r="AW39" s="2383"/>
      <c r="AX39" s="2383"/>
      <c r="AY39" s="2383"/>
      <c r="AZ39" s="2384"/>
      <c r="BA39" s="1207"/>
      <c r="BB39" s="1207"/>
      <c r="BC39" s="1207"/>
      <c r="BD39" s="1207"/>
      <c r="BE39" s="1213"/>
    </row>
    <row r="40" spans="1:58" ht="15.75" customHeight="1">
      <c r="A40" s="1207"/>
      <c r="B40" s="2328" t="s">
        <v>1877</v>
      </c>
      <c r="C40" s="2329"/>
      <c r="D40" s="2329"/>
      <c r="E40" s="2329"/>
      <c r="F40" s="2329"/>
      <c r="G40" s="2329"/>
      <c r="H40" s="2329"/>
      <c r="I40" s="2329"/>
      <c r="J40" s="2388"/>
      <c r="K40" s="2388"/>
      <c r="L40" s="2388"/>
      <c r="M40" s="2388"/>
      <c r="N40" s="2388"/>
      <c r="O40" s="2388"/>
      <c r="P40" s="2388"/>
      <c r="Q40" s="2388"/>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2">
        <f t="shared" si="2"/>
        <v>0</v>
      </c>
      <c r="AP40" s="2382"/>
      <c r="AQ40" s="2382"/>
      <c r="AR40" s="2382"/>
      <c r="AS40" s="2382"/>
      <c r="AT40" s="2382"/>
      <c r="AU40" s="2383">
        <f t="shared" si="3"/>
        <v>0</v>
      </c>
      <c r="AV40" s="2383"/>
      <c r="AW40" s="2383"/>
      <c r="AX40" s="2383"/>
      <c r="AY40" s="2383"/>
      <c r="AZ40" s="2384"/>
      <c r="BA40" s="1207"/>
      <c r="BB40" s="1207"/>
      <c r="BC40" s="1207"/>
      <c r="BD40" s="1207"/>
      <c r="BE40" s="1213"/>
    </row>
    <row r="41" spans="1:58" ht="15.75" customHeight="1">
      <c r="A41" s="1207"/>
      <c r="B41" s="2328" t="s">
        <v>1878</v>
      </c>
      <c r="C41" s="2329"/>
      <c r="D41" s="2329"/>
      <c r="E41" s="2329"/>
      <c r="F41" s="2329"/>
      <c r="G41" s="2329"/>
      <c r="H41" s="2329"/>
      <c r="I41" s="2329"/>
      <c r="J41" s="2388"/>
      <c r="K41" s="2388"/>
      <c r="L41" s="2388"/>
      <c r="M41" s="2388"/>
      <c r="N41" s="2388"/>
      <c r="O41" s="2388"/>
      <c r="P41" s="2388"/>
      <c r="Q41" s="2388"/>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2">
        <f t="shared" si="2"/>
        <v>0</v>
      </c>
      <c r="AP41" s="2382"/>
      <c r="AQ41" s="2382"/>
      <c r="AR41" s="2382"/>
      <c r="AS41" s="2382"/>
      <c r="AT41" s="2382"/>
      <c r="AU41" s="2383">
        <f t="shared" si="3"/>
        <v>0</v>
      </c>
      <c r="AV41" s="2383"/>
      <c r="AW41" s="2383"/>
      <c r="AX41" s="2383"/>
      <c r="AY41" s="2383"/>
      <c r="AZ41" s="2384"/>
      <c r="BA41" s="1207"/>
      <c r="BB41" s="1207"/>
      <c r="BC41" s="1207"/>
      <c r="BD41" s="1207"/>
      <c r="BE41" s="1213"/>
    </row>
    <row r="42" spans="1:58" ht="15.75" customHeight="1">
      <c r="A42" s="1207"/>
      <c r="B42" s="2328" t="s">
        <v>1878</v>
      </c>
      <c r="C42" s="2329"/>
      <c r="D42" s="2329"/>
      <c r="E42" s="2329"/>
      <c r="F42" s="2329"/>
      <c r="G42" s="2329"/>
      <c r="H42" s="2329"/>
      <c r="I42" s="2329"/>
      <c r="J42" s="2388"/>
      <c r="K42" s="2388"/>
      <c r="L42" s="2388"/>
      <c r="M42" s="2388"/>
      <c r="N42" s="2388"/>
      <c r="O42" s="2388"/>
      <c r="P42" s="2388"/>
      <c r="Q42" s="2388"/>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2">
        <f t="shared" si="2"/>
        <v>0</v>
      </c>
      <c r="AP42" s="2382"/>
      <c r="AQ42" s="2382"/>
      <c r="AR42" s="2382"/>
      <c r="AS42" s="2382"/>
      <c r="AT42" s="2382"/>
      <c r="AU42" s="2383">
        <f t="shared" si="3"/>
        <v>0</v>
      </c>
      <c r="AV42" s="2383"/>
      <c r="AW42" s="2383"/>
      <c r="AX42" s="2383"/>
      <c r="AY42" s="2383"/>
      <c r="AZ42" s="2384"/>
      <c r="BA42" s="1207"/>
      <c r="BB42" s="1207"/>
      <c r="BC42" s="1207"/>
      <c r="BD42" s="1207"/>
      <c r="BE42" s="1213"/>
    </row>
    <row r="43" spans="1:58" ht="15.75" customHeight="1">
      <c r="A43" s="1207"/>
      <c r="B43" s="2333" t="s">
        <v>1879</v>
      </c>
      <c r="C43" s="2334"/>
      <c r="D43" s="2334"/>
      <c r="E43" s="2334"/>
      <c r="F43" s="2334"/>
      <c r="G43" s="2334"/>
      <c r="H43" s="2334"/>
      <c r="I43" s="2334"/>
      <c r="J43" s="2388"/>
      <c r="K43" s="2388"/>
      <c r="L43" s="2388"/>
      <c r="M43" s="2388"/>
      <c r="N43" s="2388"/>
      <c r="O43" s="2388"/>
      <c r="P43" s="2388"/>
      <c r="Q43" s="2388"/>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2">
        <f t="shared" si="2"/>
        <v>0</v>
      </c>
      <c r="AP43" s="2382"/>
      <c r="AQ43" s="2382"/>
      <c r="AR43" s="2382"/>
      <c r="AS43" s="2382"/>
      <c r="AT43" s="2382"/>
      <c r="AU43" s="2383">
        <f t="shared" si="3"/>
        <v>0</v>
      </c>
      <c r="AV43" s="2383"/>
      <c r="AW43" s="2383"/>
      <c r="AX43" s="2383"/>
      <c r="AY43" s="2383"/>
      <c r="AZ43" s="2384"/>
      <c r="BA43" s="1207"/>
      <c r="BB43" s="1207"/>
      <c r="BC43" s="1207"/>
      <c r="BD43" s="1207"/>
      <c r="BE43" s="1213"/>
    </row>
    <row r="44" spans="1:58" ht="15.75" customHeight="1">
      <c r="A44" s="1207"/>
      <c r="B44" s="2333" t="s">
        <v>1880</v>
      </c>
      <c r="C44" s="2334"/>
      <c r="D44" s="2334"/>
      <c r="E44" s="2334"/>
      <c r="F44" s="2334"/>
      <c r="G44" s="2334"/>
      <c r="H44" s="2334"/>
      <c r="I44" s="2334"/>
      <c r="J44" s="2388"/>
      <c r="K44" s="2388"/>
      <c r="L44" s="2388"/>
      <c r="M44" s="2388"/>
      <c r="N44" s="2388"/>
      <c r="O44" s="2388"/>
      <c r="P44" s="2388"/>
      <c r="Q44" s="2388"/>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2">
        <f t="shared" si="2"/>
        <v>0</v>
      </c>
      <c r="AP44" s="2382"/>
      <c r="AQ44" s="2382"/>
      <c r="AR44" s="2382"/>
      <c r="AS44" s="2382"/>
      <c r="AT44" s="2382"/>
      <c r="AU44" s="2383">
        <f t="shared" si="3"/>
        <v>0</v>
      </c>
      <c r="AV44" s="2383"/>
      <c r="AW44" s="2383"/>
      <c r="AX44" s="2383"/>
      <c r="AY44" s="2383"/>
      <c r="AZ44" s="2384"/>
      <c r="BA44" s="1207"/>
      <c r="BB44" s="1207"/>
      <c r="BC44" s="1207"/>
      <c r="BD44" s="1207"/>
      <c r="BE44" s="1213"/>
    </row>
    <row r="45" spans="1:58" ht="15.75" customHeight="1">
      <c r="A45" s="1207"/>
      <c r="B45" s="2333" t="s">
        <v>1881</v>
      </c>
      <c r="C45" s="2334"/>
      <c r="D45" s="2334"/>
      <c r="E45" s="2334"/>
      <c r="F45" s="2334"/>
      <c r="G45" s="2334"/>
      <c r="H45" s="2334"/>
      <c r="I45" s="2334"/>
      <c r="J45" s="2388"/>
      <c r="K45" s="2388"/>
      <c r="L45" s="2388"/>
      <c r="M45" s="2388"/>
      <c r="N45" s="2388"/>
      <c r="O45" s="2388"/>
      <c r="P45" s="2388"/>
      <c r="Q45" s="2388"/>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2">
        <f t="shared" si="2"/>
        <v>0</v>
      </c>
      <c r="AP45" s="2382"/>
      <c r="AQ45" s="2382"/>
      <c r="AR45" s="2382"/>
      <c r="AS45" s="2382"/>
      <c r="AT45" s="2382"/>
      <c r="AU45" s="2383">
        <f t="shared" si="3"/>
        <v>0</v>
      </c>
      <c r="AV45" s="2383"/>
      <c r="AW45" s="2383"/>
      <c r="AX45" s="2383"/>
      <c r="AY45" s="2383"/>
      <c r="AZ45" s="2384"/>
      <c r="BA45" s="1207"/>
      <c r="BB45" s="1207"/>
      <c r="BC45" s="1207"/>
      <c r="BD45" s="1207"/>
      <c r="BE45" s="1213"/>
    </row>
    <row r="46" spans="1:58" ht="15.75" customHeight="1">
      <c r="A46" s="1207"/>
      <c r="B46" s="2333" t="s">
        <v>1882</v>
      </c>
      <c r="C46" s="2334"/>
      <c r="D46" s="2334"/>
      <c r="E46" s="2334"/>
      <c r="F46" s="2334"/>
      <c r="G46" s="2334"/>
      <c r="H46" s="2334"/>
      <c r="I46" s="2334"/>
      <c r="J46" s="2388"/>
      <c r="K46" s="2388"/>
      <c r="L46" s="2388"/>
      <c r="M46" s="2388"/>
      <c r="N46" s="2388">
        <v>99</v>
      </c>
      <c r="O46" s="2388"/>
      <c r="P46" s="2388"/>
      <c r="Q46" s="2388"/>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2">
        <f t="shared" si="2"/>
        <v>0</v>
      </c>
      <c r="AP46" s="2382"/>
      <c r="AQ46" s="2382"/>
      <c r="AR46" s="2382"/>
      <c r="AS46" s="2382"/>
      <c r="AT46" s="2382"/>
      <c r="AU46" s="2383">
        <f t="shared" si="3"/>
        <v>0</v>
      </c>
      <c r="AV46" s="2383"/>
      <c r="AW46" s="2383"/>
      <c r="AX46" s="2383"/>
      <c r="AY46" s="2383"/>
      <c r="AZ46" s="2384"/>
      <c r="BA46" s="1207"/>
      <c r="BB46" s="1207"/>
      <c r="BC46" s="1207"/>
      <c r="BD46" s="1207"/>
      <c r="BE46" s="1213"/>
    </row>
    <row r="47" spans="1:58" ht="15.75" customHeight="1" thickBot="1">
      <c r="A47" s="1207"/>
      <c r="B47" s="2385" t="s">
        <v>302</v>
      </c>
      <c r="C47" s="2386"/>
      <c r="D47" s="2386"/>
      <c r="E47" s="2386"/>
      <c r="F47" s="2386"/>
      <c r="G47" s="2386"/>
      <c r="H47" s="2386"/>
      <c r="I47" s="2386"/>
      <c r="J47" s="2387"/>
      <c r="K47" s="2387"/>
      <c r="L47" s="2387"/>
      <c r="M47" s="2387"/>
      <c r="N47" s="2387"/>
      <c r="O47" s="2387"/>
      <c r="P47" s="2387"/>
      <c r="Q47" s="2387"/>
      <c r="R47" s="2377"/>
      <c r="S47" s="2377"/>
      <c r="T47" s="2377"/>
      <c r="U47" s="2377"/>
      <c r="V47" s="2377"/>
      <c r="W47" s="2377"/>
      <c r="X47" s="2377"/>
      <c r="Y47" s="2377"/>
      <c r="Z47" s="2377"/>
      <c r="AA47" s="2377"/>
      <c r="AB47" s="2377"/>
      <c r="AC47" s="2377"/>
      <c r="AD47" s="2377"/>
      <c r="AE47" s="2377"/>
      <c r="AF47" s="2377"/>
      <c r="AG47" s="2377"/>
      <c r="AH47" s="2377"/>
      <c r="AI47" s="2377"/>
      <c r="AJ47" s="2377"/>
      <c r="AK47" s="2377"/>
      <c r="AL47" s="2377"/>
      <c r="AM47" s="2377"/>
      <c r="AN47" s="2377"/>
      <c r="AO47" s="2378">
        <f t="shared" si="2"/>
        <v>0</v>
      </c>
      <c r="AP47" s="2378"/>
      <c r="AQ47" s="2378"/>
      <c r="AR47" s="2378"/>
      <c r="AS47" s="2378"/>
      <c r="AT47" s="2378"/>
      <c r="AU47" s="2379">
        <f t="shared" si="3"/>
        <v>0</v>
      </c>
      <c r="AV47" s="2379"/>
      <c r="AW47" s="2379"/>
      <c r="AX47" s="2379"/>
      <c r="AY47" s="2379"/>
      <c r="AZ47" s="2380"/>
      <c r="BA47" s="1207"/>
      <c r="BB47" s="1207"/>
      <c r="BC47" s="1207"/>
      <c r="BD47" s="1207"/>
      <c r="BE47" s="1213"/>
    </row>
    <row r="48" spans="1:58" ht="15.75" customHeight="1">
      <c r="A48" s="1207"/>
      <c r="B48" s="1215" t="s">
        <v>2578</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3" t="s">
        <v>1883</v>
      </c>
      <c r="C50" s="2239"/>
      <c r="D50" s="2239"/>
      <c r="E50" s="2239"/>
      <c r="F50" s="2239"/>
      <c r="G50" s="2239"/>
      <c r="H50" s="2239"/>
      <c r="I50" s="2239"/>
      <c r="J50" s="2239"/>
      <c r="K50" s="2239"/>
      <c r="L50" s="2239"/>
      <c r="M50" s="2239"/>
      <c r="N50" s="2239"/>
      <c r="O50" s="2239"/>
      <c r="P50" s="2239"/>
      <c r="Q50" s="2239"/>
      <c r="R50" s="2239"/>
      <c r="S50" s="2239"/>
      <c r="T50" s="2239"/>
      <c r="U50" s="2239"/>
      <c r="V50" s="2239"/>
      <c r="W50" s="2239"/>
      <c r="X50" s="2239"/>
      <c r="Y50" s="2239"/>
      <c r="Z50" s="2239"/>
      <c r="AA50" s="2239"/>
      <c r="AB50" s="2239"/>
      <c r="AC50" s="2239"/>
      <c r="AD50" s="2239"/>
      <c r="AE50" s="2239"/>
      <c r="AF50" s="2239"/>
      <c r="AG50" s="2239"/>
      <c r="AH50" s="2239"/>
      <c r="AI50" s="2239"/>
      <c r="AJ50" s="2239"/>
      <c r="AK50" s="2239"/>
      <c r="AL50" s="2239"/>
      <c r="AM50" s="2239"/>
      <c r="AN50" s="2239"/>
      <c r="AO50" s="2240"/>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18" t="s">
        <v>1884</v>
      </c>
      <c r="C51" s="2307"/>
      <c r="D51" s="2307"/>
      <c r="E51" s="2307"/>
      <c r="F51" s="2307"/>
      <c r="G51" s="2307"/>
      <c r="H51" s="2307"/>
      <c r="I51" s="2307"/>
      <c r="J51" s="2307" t="s">
        <v>2579</v>
      </c>
      <c r="K51" s="2307"/>
      <c r="L51" s="2307"/>
      <c r="M51" s="2307"/>
      <c r="N51" s="2307"/>
      <c r="O51" s="2307"/>
      <c r="P51" s="2307"/>
      <c r="Q51" s="2307"/>
      <c r="R51" s="2375" t="s">
        <v>2580</v>
      </c>
      <c r="S51" s="2375"/>
      <c r="T51" s="2375"/>
      <c r="U51" s="2375"/>
      <c r="V51" s="2375"/>
      <c r="W51" s="2375"/>
      <c r="X51" s="2375"/>
      <c r="Y51" s="2375"/>
      <c r="Z51" s="2375" t="s">
        <v>1885</v>
      </c>
      <c r="AA51" s="2375"/>
      <c r="AB51" s="2375"/>
      <c r="AC51" s="2375"/>
      <c r="AD51" s="2375"/>
      <c r="AE51" s="2375"/>
      <c r="AF51" s="2375"/>
      <c r="AG51" s="2375"/>
      <c r="AH51" s="2375" t="s">
        <v>1886</v>
      </c>
      <c r="AI51" s="2375"/>
      <c r="AJ51" s="2375"/>
      <c r="AK51" s="2375"/>
      <c r="AL51" s="2375"/>
      <c r="AM51" s="2375"/>
      <c r="AN51" s="2375"/>
      <c r="AO51" s="2376"/>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3" t="s">
        <v>2259</v>
      </c>
      <c r="C52" s="2334"/>
      <c r="D52" s="2334"/>
      <c r="E52" s="2334"/>
      <c r="F52" s="2334"/>
      <c r="G52" s="2334"/>
      <c r="H52" s="2334"/>
      <c r="I52" s="2334"/>
      <c r="J52" s="2198">
        <v>0</v>
      </c>
      <c r="K52" s="2198"/>
      <c r="L52" s="2198"/>
      <c r="M52" s="2198"/>
      <c r="N52" s="2198"/>
      <c r="O52" s="2198"/>
      <c r="P52" s="2198"/>
      <c r="Q52" s="2198"/>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3" t="s">
        <v>2260</v>
      </c>
      <c r="C53" s="2334"/>
      <c r="D53" s="2334"/>
      <c r="E53" s="2334"/>
      <c r="F53" s="2334"/>
      <c r="G53" s="2334"/>
      <c r="H53" s="2334"/>
      <c r="I53" s="2334"/>
      <c r="J53" s="2198">
        <v>0</v>
      </c>
      <c r="K53" s="2198"/>
      <c r="L53" s="2198"/>
      <c r="M53" s="2198"/>
      <c r="N53" s="2198"/>
      <c r="O53" s="2198"/>
      <c r="P53" s="2198"/>
      <c r="Q53" s="2198"/>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3"/>
      <c r="C54" s="2334"/>
      <c r="D54" s="2334"/>
      <c r="E54" s="2334"/>
      <c r="F54" s="2334"/>
      <c r="G54" s="2334"/>
      <c r="H54" s="2334"/>
      <c r="I54" s="2334"/>
      <c r="J54" s="2198"/>
      <c r="K54" s="2198"/>
      <c r="L54" s="2198"/>
      <c r="M54" s="2198"/>
      <c r="N54" s="2198"/>
      <c r="O54" s="2198"/>
      <c r="P54" s="2198"/>
      <c r="Q54" s="2198"/>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3"/>
      <c r="C55" s="2334"/>
      <c r="D55" s="2334"/>
      <c r="E55" s="2334"/>
      <c r="F55" s="2334"/>
      <c r="G55" s="2334"/>
      <c r="H55" s="2334"/>
      <c r="I55" s="2334"/>
      <c r="J55" s="2198"/>
      <c r="K55" s="2198"/>
      <c r="L55" s="2198"/>
      <c r="M55" s="2198"/>
      <c r="N55" s="2198"/>
      <c r="O55" s="2198"/>
      <c r="P55" s="2198"/>
      <c r="Q55" s="2198"/>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3"/>
      <c r="C56" s="2334"/>
      <c r="D56" s="2334"/>
      <c r="E56" s="2334"/>
      <c r="F56" s="2334"/>
      <c r="G56" s="2334"/>
      <c r="H56" s="2334"/>
      <c r="I56" s="2334"/>
      <c r="J56" s="2198"/>
      <c r="K56" s="2198"/>
      <c r="L56" s="2198"/>
      <c r="M56" s="2198"/>
      <c r="N56" s="2198"/>
      <c r="O56" s="2198"/>
      <c r="P56" s="2198"/>
      <c r="Q56" s="2198"/>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16" t="s">
        <v>1763</v>
      </c>
      <c r="C57" s="2317"/>
      <c r="D57" s="2317"/>
      <c r="E57" s="2317"/>
      <c r="F57" s="2317"/>
      <c r="G57" s="2317"/>
      <c r="H57" s="2317"/>
      <c r="I57" s="2317"/>
      <c r="J57" s="2317"/>
      <c r="K57" s="2317"/>
      <c r="L57" s="2317"/>
      <c r="M57" s="2317"/>
      <c r="N57" s="2317"/>
      <c r="O57" s="2317"/>
      <c r="P57" s="2317"/>
      <c r="Q57" s="2317"/>
      <c r="R57" s="2371">
        <f>SUM(R52:Y56)</f>
        <v>0</v>
      </c>
      <c r="S57" s="2371"/>
      <c r="T57" s="2371"/>
      <c r="U57" s="2371"/>
      <c r="V57" s="2371"/>
      <c r="W57" s="2371"/>
      <c r="X57" s="2371"/>
      <c r="Y57" s="2371"/>
      <c r="Z57" s="2372">
        <f>SUM(Z52:AG56)</f>
        <v>0</v>
      </c>
      <c r="AA57" s="2372"/>
      <c r="AB57" s="2372"/>
      <c r="AC57" s="2372"/>
      <c r="AD57" s="2372"/>
      <c r="AE57" s="2372"/>
      <c r="AF57" s="2372"/>
      <c r="AG57" s="2372"/>
      <c r="AH57" s="2373"/>
      <c r="AI57" s="2373"/>
      <c r="AJ57" s="2373"/>
      <c r="AK57" s="2373"/>
      <c r="AL57" s="2373"/>
      <c r="AM57" s="2373"/>
      <c r="AN57" s="2373"/>
      <c r="AO57" s="2374"/>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4" t="s">
        <v>1884</v>
      </c>
      <c r="C59" s="2365"/>
      <c r="D59" s="2365"/>
      <c r="E59" s="2365"/>
      <c r="F59" s="2365"/>
      <c r="G59" s="2365"/>
      <c r="H59" s="2365"/>
      <c r="I59" s="2366"/>
      <c r="J59" s="2296" t="s">
        <v>2581</v>
      </c>
      <c r="K59" s="2296"/>
      <c r="L59" s="2296"/>
      <c r="M59" s="2296"/>
      <c r="N59" s="2296"/>
      <c r="O59" s="2296"/>
      <c r="P59" s="2296"/>
      <c r="Q59" s="2296"/>
      <c r="R59" s="2296"/>
      <c r="S59" s="2296"/>
      <c r="T59" s="2296"/>
      <c r="U59" s="2296"/>
      <c r="V59" s="2296"/>
      <c r="W59" s="2296"/>
      <c r="X59" s="2296"/>
      <c r="Y59" s="2296"/>
      <c r="Z59" s="2296"/>
      <c r="AA59" s="2296"/>
      <c r="AB59" s="2296"/>
      <c r="AC59" s="2296"/>
      <c r="AD59" s="2296"/>
      <c r="AE59" s="2296"/>
      <c r="AF59" s="2296"/>
      <c r="AG59" s="2296"/>
      <c r="AH59" s="2296"/>
      <c r="AI59" s="2296"/>
      <c r="AJ59" s="2296"/>
      <c r="AK59" s="2296"/>
      <c r="AL59" s="2296"/>
      <c r="AM59" s="2296"/>
      <c r="AN59" s="2296"/>
      <c r="AO59" s="2296"/>
      <c r="AP59" s="2296"/>
      <c r="AQ59" s="2296"/>
      <c r="AR59" s="2296"/>
      <c r="AS59" s="2296"/>
      <c r="AT59" s="2296"/>
      <c r="AU59" s="2296"/>
      <c r="AV59" s="2296"/>
      <c r="AW59" s="2297"/>
      <c r="AX59" s="1207"/>
      <c r="AY59" s="1207"/>
      <c r="AZ59" s="1207"/>
      <c r="BA59" s="1207"/>
      <c r="BB59" s="1207"/>
      <c r="BC59" s="1207"/>
      <c r="BD59" s="1207"/>
      <c r="BE59" s="1213"/>
    </row>
    <row r="60" spans="1:58" ht="15.75" customHeight="1">
      <c r="A60" s="1207"/>
      <c r="B60" s="2356" t="str">
        <f>IF(B52="", "", B52)</f>
        <v>Services Company 1</v>
      </c>
      <c r="C60" s="2357"/>
      <c r="D60" s="2357"/>
      <c r="E60" s="2357"/>
      <c r="F60" s="2357"/>
      <c r="G60" s="2357"/>
      <c r="H60" s="2357"/>
      <c r="I60" s="2358"/>
      <c r="J60" s="2359"/>
      <c r="K60" s="2201"/>
      <c r="L60" s="2201"/>
      <c r="M60" s="2201"/>
      <c r="N60" s="2201"/>
      <c r="O60" s="2201"/>
      <c r="P60" s="2201"/>
      <c r="Q60" s="2201"/>
      <c r="R60" s="2201"/>
      <c r="S60" s="2201"/>
      <c r="T60" s="2201"/>
      <c r="U60" s="2201"/>
      <c r="V60" s="2201"/>
      <c r="W60" s="2201"/>
      <c r="X60" s="2201"/>
      <c r="Y60" s="2201"/>
      <c r="Z60" s="2201"/>
      <c r="AA60" s="2201"/>
      <c r="AB60" s="2201"/>
      <c r="AC60" s="2201"/>
      <c r="AD60" s="2201"/>
      <c r="AE60" s="2201"/>
      <c r="AF60" s="2201"/>
      <c r="AG60" s="2201"/>
      <c r="AH60" s="2201"/>
      <c r="AI60" s="2201"/>
      <c r="AJ60" s="2201"/>
      <c r="AK60" s="2201"/>
      <c r="AL60" s="2201"/>
      <c r="AM60" s="2201"/>
      <c r="AN60" s="2201"/>
      <c r="AO60" s="2201"/>
      <c r="AP60" s="2201"/>
      <c r="AQ60" s="2201"/>
      <c r="AR60" s="2201"/>
      <c r="AS60" s="2201"/>
      <c r="AT60" s="2201"/>
      <c r="AU60" s="2201"/>
      <c r="AV60" s="2201"/>
      <c r="AW60" s="2202"/>
      <c r="AX60" s="1207"/>
      <c r="AY60" s="1207"/>
      <c r="AZ60" s="1207"/>
      <c r="BA60" s="1207"/>
      <c r="BB60" s="1207"/>
      <c r="BC60" s="1207"/>
      <c r="BD60" s="1207"/>
      <c r="BE60" s="1213"/>
    </row>
    <row r="61" spans="1:58" ht="15.75" customHeight="1">
      <c r="A61" s="1207"/>
      <c r="B61" s="2356" t="str">
        <f>IF(B53="", "", B53)</f>
        <v>Services Company 2</v>
      </c>
      <c r="C61" s="2357"/>
      <c r="D61" s="2357"/>
      <c r="E61" s="2357"/>
      <c r="F61" s="2357"/>
      <c r="G61" s="2357"/>
      <c r="H61" s="2357"/>
      <c r="I61" s="2358"/>
      <c r="J61" s="2359"/>
      <c r="K61" s="2201"/>
      <c r="L61" s="2201"/>
      <c r="M61" s="2201"/>
      <c r="N61" s="2201"/>
      <c r="O61" s="2201"/>
      <c r="P61" s="2201"/>
      <c r="Q61" s="2201"/>
      <c r="R61" s="2201"/>
      <c r="S61" s="2201"/>
      <c r="T61" s="2201"/>
      <c r="U61" s="2201"/>
      <c r="V61" s="2201"/>
      <c r="W61" s="2201"/>
      <c r="X61" s="2201"/>
      <c r="Y61" s="2201"/>
      <c r="Z61" s="2201"/>
      <c r="AA61" s="2201"/>
      <c r="AB61" s="2201"/>
      <c r="AC61" s="2201"/>
      <c r="AD61" s="2201"/>
      <c r="AE61" s="2201"/>
      <c r="AF61" s="2201"/>
      <c r="AG61" s="2201"/>
      <c r="AH61" s="2201"/>
      <c r="AI61" s="2201"/>
      <c r="AJ61" s="2201"/>
      <c r="AK61" s="2201"/>
      <c r="AL61" s="2201"/>
      <c r="AM61" s="2201"/>
      <c r="AN61" s="2201"/>
      <c r="AO61" s="2201"/>
      <c r="AP61" s="2201"/>
      <c r="AQ61" s="2201"/>
      <c r="AR61" s="2201"/>
      <c r="AS61" s="2201"/>
      <c r="AT61" s="2201"/>
      <c r="AU61" s="2201"/>
      <c r="AV61" s="2201"/>
      <c r="AW61" s="2202"/>
      <c r="AX61" s="1207"/>
      <c r="AY61" s="1207"/>
      <c r="AZ61" s="1207"/>
      <c r="BA61" s="1207"/>
      <c r="BB61" s="1207"/>
      <c r="BC61" s="1207"/>
      <c r="BD61" s="1207"/>
      <c r="BE61" s="1213"/>
    </row>
    <row r="62" spans="1:58" ht="15.75" customHeight="1">
      <c r="A62" s="1207"/>
      <c r="B62" s="2356" t="str">
        <f>IF(B54="", "", B54)</f>
        <v/>
      </c>
      <c r="C62" s="2357"/>
      <c r="D62" s="2357"/>
      <c r="E62" s="2357"/>
      <c r="F62" s="2357"/>
      <c r="G62" s="2357"/>
      <c r="H62" s="2357"/>
      <c r="I62" s="2358"/>
      <c r="J62" s="2359"/>
      <c r="K62" s="2201"/>
      <c r="L62" s="2201"/>
      <c r="M62" s="2201"/>
      <c r="N62" s="2201"/>
      <c r="O62" s="2201"/>
      <c r="P62" s="2201"/>
      <c r="Q62" s="2201"/>
      <c r="R62" s="2201"/>
      <c r="S62" s="2201"/>
      <c r="T62" s="2201"/>
      <c r="U62" s="2201"/>
      <c r="V62" s="2201"/>
      <c r="W62" s="2201"/>
      <c r="X62" s="2201"/>
      <c r="Y62" s="2201"/>
      <c r="Z62" s="2201"/>
      <c r="AA62" s="2201"/>
      <c r="AB62" s="2201"/>
      <c r="AC62" s="2201"/>
      <c r="AD62" s="2201"/>
      <c r="AE62" s="2201"/>
      <c r="AF62" s="2201"/>
      <c r="AG62" s="2201"/>
      <c r="AH62" s="2201"/>
      <c r="AI62" s="2201"/>
      <c r="AJ62" s="2201"/>
      <c r="AK62" s="2201"/>
      <c r="AL62" s="2201"/>
      <c r="AM62" s="2201"/>
      <c r="AN62" s="2201"/>
      <c r="AO62" s="2201"/>
      <c r="AP62" s="2201"/>
      <c r="AQ62" s="2201"/>
      <c r="AR62" s="2201"/>
      <c r="AS62" s="2201"/>
      <c r="AT62" s="2201"/>
      <c r="AU62" s="2201"/>
      <c r="AV62" s="2201"/>
      <c r="AW62" s="2202"/>
      <c r="AX62" s="1207"/>
      <c r="AY62" s="1207"/>
      <c r="AZ62" s="1207"/>
      <c r="BA62" s="1207"/>
      <c r="BB62" s="1207"/>
      <c r="BC62" s="1207"/>
      <c r="BD62" s="1207"/>
      <c r="BE62" s="1213"/>
    </row>
    <row r="63" spans="1:58" ht="15.75" customHeight="1">
      <c r="A63" s="1207"/>
      <c r="B63" s="2356" t="str">
        <f>IF(B55="", "", B55)</f>
        <v/>
      </c>
      <c r="C63" s="2357"/>
      <c r="D63" s="2357"/>
      <c r="E63" s="2357"/>
      <c r="F63" s="2357"/>
      <c r="G63" s="2357"/>
      <c r="H63" s="2357"/>
      <c r="I63" s="2358"/>
      <c r="J63" s="2359"/>
      <c r="K63" s="2201"/>
      <c r="L63" s="2201"/>
      <c r="M63" s="2201"/>
      <c r="N63" s="2201"/>
      <c r="O63" s="2201"/>
      <c r="P63" s="2201"/>
      <c r="Q63" s="2201"/>
      <c r="R63" s="2201"/>
      <c r="S63" s="2201"/>
      <c r="T63" s="2201"/>
      <c r="U63" s="2201"/>
      <c r="V63" s="2201"/>
      <c r="W63" s="2201"/>
      <c r="X63" s="2201"/>
      <c r="Y63" s="2201"/>
      <c r="Z63" s="2201"/>
      <c r="AA63" s="2201"/>
      <c r="AB63" s="2201"/>
      <c r="AC63" s="2201"/>
      <c r="AD63" s="2201"/>
      <c r="AE63" s="2201"/>
      <c r="AF63" s="2201"/>
      <c r="AG63" s="2201"/>
      <c r="AH63" s="2201"/>
      <c r="AI63" s="2201"/>
      <c r="AJ63" s="2201"/>
      <c r="AK63" s="2201"/>
      <c r="AL63" s="2201"/>
      <c r="AM63" s="2201"/>
      <c r="AN63" s="2201"/>
      <c r="AO63" s="2201"/>
      <c r="AP63" s="2201"/>
      <c r="AQ63" s="2201"/>
      <c r="AR63" s="2201"/>
      <c r="AS63" s="2201"/>
      <c r="AT63" s="2201"/>
      <c r="AU63" s="2201"/>
      <c r="AV63" s="2201"/>
      <c r="AW63" s="2202"/>
      <c r="AX63" s="1207"/>
      <c r="AY63" s="1207"/>
      <c r="AZ63" s="1207"/>
      <c r="BA63" s="1207"/>
      <c r="BB63" s="1207"/>
      <c r="BC63" s="1207"/>
      <c r="BD63" s="1207"/>
      <c r="BE63" s="1213"/>
    </row>
    <row r="64" spans="1:58" ht="15.75" customHeight="1" thickBot="1">
      <c r="A64" s="1207"/>
      <c r="B64" s="2360" t="str">
        <f>IF(B56="", "", B56)</f>
        <v/>
      </c>
      <c r="C64" s="2361"/>
      <c r="D64" s="2361"/>
      <c r="E64" s="2361"/>
      <c r="F64" s="2361"/>
      <c r="G64" s="2361"/>
      <c r="H64" s="2361"/>
      <c r="I64" s="2362"/>
      <c r="J64" s="2363"/>
      <c r="K64" s="2343"/>
      <c r="L64" s="2343"/>
      <c r="M64" s="2343"/>
      <c r="N64" s="2343"/>
      <c r="O64" s="2343"/>
      <c r="P64" s="2343"/>
      <c r="Q64" s="2343"/>
      <c r="R64" s="2343"/>
      <c r="S64" s="2343"/>
      <c r="T64" s="2343"/>
      <c r="U64" s="2343"/>
      <c r="V64" s="2343"/>
      <c r="W64" s="2343"/>
      <c r="X64" s="2343"/>
      <c r="Y64" s="2343"/>
      <c r="Z64" s="2343"/>
      <c r="AA64" s="2343"/>
      <c r="AB64" s="2343"/>
      <c r="AC64" s="2343"/>
      <c r="AD64" s="2343"/>
      <c r="AE64" s="2343"/>
      <c r="AF64" s="2343"/>
      <c r="AG64" s="2343"/>
      <c r="AH64" s="2343"/>
      <c r="AI64" s="2343"/>
      <c r="AJ64" s="2343"/>
      <c r="AK64" s="2343"/>
      <c r="AL64" s="2343"/>
      <c r="AM64" s="2343"/>
      <c r="AN64" s="2343"/>
      <c r="AO64" s="2343"/>
      <c r="AP64" s="2343"/>
      <c r="AQ64" s="2343"/>
      <c r="AR64" s="2343"/>
      <c r="AS64" s="2343"/>
      <c r="AT64" s="2343"/>
      <c r="AU64" s="2343"/>
      <c r="AV64" s="2343"/>
      <c r="AW64" s="2344"/>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5" t="s">
        <v>1888</v>
      </c>
      <c r="C68" s="2296"/>
      <c r="D68" s="2296"/>
      <c r="E68" s="2296"/>
      <c r="F68" s="2296"/>
      <c r="G68" s="2296"/>
      <c r="H68" s="2296"/>
      <c r="I68" s="2296"/>
      <c r="J68" s="2296"/>
      <c r="K68" s="2296"/>
      <c r="L68" s="2296"/>
      <c r="M68" s="2296"/>
      <c r="N68" s="2296"/>
      <c r="O68" s="2296"/>
      <c r="P68" s="2296"/>
      <c r="Q68" s="2296"/>
      <c r="R68" s="2296"/>
      <c r="S68" s="2296"/>
      <c r="T68" s="2296"/>
      <c r="U68" s="2296"/>
      <c r="V68" s="2296"/>
      <c r="W68" s="2296"/>
      <c r="X68" s="2296"/>
      <c r="Y68" s="2296"/>
      <c r="Z68" s="2296"/>
      <c r="AA68" s="2297"/>
      <c r="AB68" s="1207"/>
      <c r="AC68" s="2237" t="s">
        <v>1889</v>
      </c>
      <c r="AD68" s="2238"/>
      <c r="AE68" s="2238"/>
      <c r="AF68" s="2238"/>
      <c r="AG68" s="2238"/>
      <c r="AH68" s="2238"/>
      <c r="AI68" s="2238"/>
      <c r="AJ68" s="2238"/>
      <c r="AK68" s="2238"/>
      <c r="AL68" s="2238"/>
      <c r="AM68" s="2238"/>
      <c r="AN68" s="2238"/>
      <c r="AO68" s="2238"/>
      <c r="AP68" s="2238"/>
      <c r="AQ68" s="2238"/>
      <c r="AR68" s="2238"/>
      <c r="AS68" s="2238"/>
      <c r="AT68" s="2238"/>
      <c r="AU68" s="2238"/>
      <c r="AV68" s="2345" t="s">
        <v>678</v>
      </c>
      <c r="AW68" s="2281"/>
      <c r="AX68" s="2281"/>
      <c r="AY68" s="2281"/>
      <c r="AZ68" s="2281"/>
      <c r="BA68" s="2281"/>
      <c r="BB68" s="2281"/>
      <c r="BC68" s="2282"/>
      <c r="BD68" s="1207"/>
      <c r="BE68" s="1213"/>
      <c r="BM68" s="1218" t="s">
        <v>2582</v>
      </c>
    </row>
    <row r="69" spans="1:65" ht="15.75" customHeight="1" thickTop="1" thickBot="1">
      <c r="A69" s="1207"/>
      <c r="B69" s="2346" t="s">
        <v>1890</v>
      </c>
      <c r="C69" s="2347"/>
      <c r="D69" s="2347"/>
      <c r="E69" s="2347"/>
      <c r="F69" s="2347"/>
      <c r="G69" s="2347"/>
      <c r="H69" s="2347"/>
      <c r="I69" s="2347"/>
      <c r="J69" s="2347"/>
      <c r="K69" s="2347"/>
      <c r="L69" s="2347"/>
      <c r="M69" s="2347"/>
      <c r="N69" s="2347"/>
      <c r="O69" s="2348" t="s">
        <v>1891</v>
      </c>
      <c r="P69" s="2349"/>
      <c r="Q69" s="2349"/>
      <c r="R69" s="2349"/>
      <c r="S69" s="2349"/>
      <c r="T69" s="2349"/>
      <c r="U69" s="2349"/>
      <c r="V69" s="2349"/>
      <c r="W69" s="2349"/>
      <c r="X69" s="2349"/>
      <c r="Y69" s="2349"/>
      <c r="Z69" s="2349"/>
      <c r="AA69" s="2350"/>
      <c r="AB69" s="1207"/>
      <c r="AC69" s="2351" t="s">
        <v>1892</v>
      </c>
      <c r="AD69" s="2352"/>
      <c r="AE69" s="2352"/>
      <c r="AF69" s="2352"/>
      <c r="AG69" s="2352"/>
      <c r="AH69" s="2352"/>
      <c r="AI69" s="2352"/>
      <c r="AJ69" s="2352"/>
      <c r="AK69" s="2352"/>
      <c r="AL69" s="2352"/>
      <c r="AM69" s="2352"/>
      <c r="AN69" s="2352"/>
      <c r="AO69" s="2352"/>
      <c r="AP69" s="2352"/>
      <c r="AQ69" s="2352"/>
      <c r="AR69" s="2352"/>
      <c r="AS69" s="2352"/>
      <c r="AT69" s="2352"/>
      <c r="AU69" s="2352"/>
      <c r="AV69" s="2353"/>
      <c r="AW69" s="2354"/>
      <c r="AX69" s="2354"/>
      <c r="AY69" s="2354"/>
      <c r="AZ69" s="2354"/>
      <c r="BA69" s="2354"/>
      <c r="BB69" s="2354"/>
      <c r="BC69" s="2355"/>
      <c r="BD69" s="1207"/>
      <c r="BE69" s="1213"/>
      <c r="BM69" s="1219" t="s">
        <v>554</v>
      </c>
    </row>
    <row r="70" spans="1:65" ht="15.75" customHeight="1">
      <c r="A70" s="1207"/>
      <c r="B70" s="2328" t="s">
        <v>2583</v>
      </c>
      <c r="C70" s="2329"/>
      <c r="D70" s="2329"/>
      <c r="E70" s="2329"/>
      <c r="F70" s="2329"/>
      <c r="G70" s="2329"/>
      <c r="H70" s="2329"/>
      <c r="I70" s="2329"/>
      <c r="J70" s="2329"/>
      <c r="K70" s="2329"/>
      <c r="L70" s="2329"/>
      <c r="M70" s="2329"/>
      <c r="N70" s="2329"/>
      <c r="O70" s="2231">
        <v>0</v>
      </c>
      <c r="P70" s="2231"/>
      <c r="Q70" s="2231"/>
      <c r="R70" s="2231"/>
      <c r="S70" s="2231"/>
      <c r="T70" s="2231"/>
      <c r="U70" s="2231"/>
      <c r="V70" s="2231"/>
      <c r="W70" s="2231"/>
      <c r="X70" s="2231"/>
      <c r="Y70" s="2231"/>
      <c r="Z70" s="2231"/>
      <c r="AA70" s="2330"/>
      <c r="AB70" s="1207"/>
      <c r="AC70" s="2273" t="s">
        <v>1893</v>
      </c>
      <c r="AD70" s="2239"/>
      <c r="AE70" s="2239"/>
      <c r="AF70" s="2339"/>
      <c r="AG70" s="2339"/>
      <c r="AH70" s="2339"/>
      <c r="AI70" s="2339"/>
      <c r="AJ70" s="2339"/>
      <c r="AK70" s="2339"/>
      <c r="AL70" s="2339"/>
      <c r="AM70" s="2339"/>
      <c r="AN70" s="2339"/>
      <c r="AO70" s="2339"/>
      <c r="AP70" s="2339"/>
      <c r="AQ70" s="2339"/>
      <c r="AR70" s="2339"/>
      <c r="AS70" s="2339"/>
      <c r="AT70" s="2339"/>
      <c r="AU70" s="2340"/>
      <c r="AV70" s="1207"/>
      <c r="AW70" s="1207"/>
      <c r="AX70" s="1207"/>
      <c r="AY70" s="1207"/>
      <c r="AZ70" s="1207"/>
      <c r="BA70" s="1207"/>
      <c r="BB70" s="1207"/>
      <c r="BC70" s="1207"/>
      <c r="BD70" s="1207"/>
      <c r="BE70" s="1213"/>
      <c r="BM70" s="1220" t="s">
        <v>678</v>
      </c>
    </row>
    <row r="71" spans="1:65" ht="15.75" customHeight="1" thickBot="1">
      <c r="A71" s="1207"/>
      <c r="B71" s="2328" t="s">
        <v>2584</v>
      </c>
      <c r="C71" s="2329"/>
      <c r="D71" s="2329"/>
      <c r="E71" s="2329"/>
      <c r="F71" s="2329"/>
      <c r="G71" s="2329"/>
      <c r="H71" s="2329"/>
      <c r="I71" s="2329"/>
      <c r="J71" s="2329"/>
      <c r="K71" s="2329"/>
      <c r="L71" s="2329"/>
      <c r="M71" s="2329"/>
      <c r="N71" s="2329"/>
      <c r="O71" s="2231">
        <v>0</v>
      </c>
      <c r="P71" s="2231"/>
      <c r="Q71" s="2231"/>
      <c r="R71" s="2231"/>
      <c r="S71" s="2231"/>
      <c r="T71" s="2231"/>
      <c r="U71" s="2231"/>
      <c r="V71" s="2231"/>
      <c r="W71" s="2231"/>
      <c r="X71" s="2231"/>
      <c r="Y71" s="2231"/>
      <c r="Z71" s="2231"/>
      <c r="AA71" s="2330"/>
      <c r="AB71" s="1207"/>
      <c r="AC71" s="2341" t="s">
        <v>1894</v>
      </c>
      <c r="AD71" s="2342"/>
      <c r="AE71" s="2342"/>
      <c r="AF71" s="2343"/>
      <c r="AG71" s="2343"/>
      <c r="AH71" s="2343"/>
      <c r="AI71" s="2343"/>
      <c r="AJ71" s="2343"/>
      <c r="AK71" s="2343"/>
      <c r="AL71" s="2343"/>
      <c r="AM71" s="2343"/>
      <c r="AN71" s="2343"/>
      <c r="AO71" s="2343"/>
      <c r="AP71" s="2343"/>
      <c r="AQ71" s="2343"/>
      <c r="AR71" s="2343"/>
      <c r="AS71" s="2343"/>
      <c r="AT71" s="2343"/>
      <c r="AU71" s="2344"/>
      <c r="AV71" s="1207"/>
      <c r="AW71" s="1207"/>
      <c r="AX71" s="1207"/>
      <c r="AY71" s="1207"/>
      <c r="AZ71" s="1207"/>
      <c r="BA71" s="1207"/>
      <c r="BB71" s="1207"/>
      <c r="BC71" s="1207"/>
      <c r="BD71" s="1207"/>
      <c r="BE71" s="1213"/>
      <c r="BM71" s="1204" t="s">
        <v>2585</v>
      </c>
    </row>
    <row r="72" spans="1:65" ht="15.75" customHeight="1">
      <c r="A72" s="1207"/>
      <c r="B72" s="2328" t="s">
        <v>2586</v>
      </c>
      <c r="C72" s="2329"/>
      <c r="D72" s="2329"/>
      <c r="E72" s="2329"/>
      <c r="F72" s="2329"/>
      <c r="G72" s="2329"/>
      <c r="H72" s="2329"/>
      <c r="I72" s="2329"/>
      <c r="J72" s="2329"/>
      <c r="K72" s="2329"/>
      <c r="L72" s="2329"/>
      <c r="M72" s="2329"/>
      <c r="N72" s="2329"/>
      <c r="O72" s="2231">
        <v>0</v>
      </c>
      <c r="P72" s="2231"/>
      <c r="Q72" s="2231"/>
      <c r="R72" s="2231"/>
      <c r="S72" s="2231"/>
      <c r="T72" s="2231"/>
      <c r="U72" s="2231"/>
      <c r="V72" s="2231"/>
      <c r="W72" s="2231"/>
      <c r="X72" s="2231"/>
      <c r="Y72" s="2231"/>
      <c r="Z72" s="2231"/>
      <c r="AA72" s="2330"/>
      <c r="AB72" s="1207"/>
      <c r="AC72" s="2331" t="s">
        <v>2587</v>
      </c>
      <c r="AD72" s="2332"/>
      <c r="AE72" s="2332"/>
      <c r="AF72" s="2332"/>
      <c r="AG72" s="2332"/>
      <c r="AH72" s="2332"/>
      <c r="AI72" s="2332"/>
      <c r="AJ72" s="2332"/>
      <c r="AK72" s="2332"/>
      <c r="AL72" s="2332"/>
      <c r="AM72" s="2332"/>
      <c r="AN72" s="2332"/>
      <c r="AO72" s="2332"/>
      <c r="AP72" s="2332"/>
      <c r="AQ72" s="2332"/>
      <c r="AR72" s="2332"/>
      <c r="AS72" s="2332"/>
      <c r="AT72" s="2332"/>
      <c r="AU72" s="2332"/>
      <c r="AV72" s="2239"/>
      <c r="AW72" s="2239"/>
      <c r="AX72" s="2239"/>
      <c r="AY72" s="2239"/>
      <c r="AZ72" s="2239"/>
      <c r="BA72" s="2239"/>
      <c r="BB72" s="2239"/>
      <c r="BC72" s="2240"/>
      <c r="BD72" s="1207"/>
      <c r="BE72" s="1213"/>
    </row>
    <row r="73" spans="1:65" ht="15.75" customHeight="1">
      <c r="A73" s="1207"/>
      <c r="B73" s="2333" t="s">
        <v>2588</v>
      </c>
      <c r="C73" s="2334"/>
      <c r="D73" s="2334"/>
      <c r="E73" s="2334"/>
      <c r="F73" s="2334"/>
      <c r="G73" s="2334"/>
      <c r="H73" s="2334"/>
      <c r="I73" s="2334"/>
      <c r="J73" s="2334"/>
      <c r="K73" s="2334"/>
      <c r="L73" s="2334"/>
      <c r="M73" s="2334"/>
      <c r="N73" s="2334"/>
      <c r="O73" s="2231">
        <v>0</v>
      </c>
      <c r="P73" s="2231"/>
      <c r="Q73" s="2231"/>
      <c r="R73" s="2231"/>
      <c r="S73" s="2231"/>
      <c r="T73" s="2231"/>
      <c r="U73" s="2231"/>
      <c r="V73" s="2231"/>
      <c r="W73" s="2231"/>
      <c r="X73" s="2231"/>
      <c r="Y73" s="2231"/>
      <c r="Z73" s="2231"/>
      <c r="AA73" s="2330"/>
      <c r="AB73" s="1207"/>
      <c r="AC73" s="2250" t="s">
        <v>2261</v>
      </c>
      <c r="AD73" s="2251"/>
      <c r="AE73" s="2251"/>
      <c r="AF73" s="2251"/>
      <c r="AG73" s="2251"/>
      <c r="AH73" s="2251"/>
      <c r="AI73" s="2251"/>
      <c r="AJ73" s="2251"/>
      <c r="AK73" s="2251"/>
      <c r="AL73" s="2251"/>
      <c r="AM73" s="2251"/>
      <c r="AN73" s="2251"/>
      <c r="AO73" s="2251"/>
      <c r="AP73" s="2251"/>
      <c r="AQ73" s="2251"/>
      <c r="AR73" s="2251"/>
      <c r="AS73" s="2251"/>
      <c r="AT73" s="2251"/>
      <c r="AU73" s="2251"/>
      <c r="AV73" s="2251"/>
      <c r="AW73" s="2251"/>
      <c r="AX73" s="2251"/>
      <c r="AY73" s="2251"/>
      <c r="AZ73" s="2251"/>
      <c r="BA73" s="2251"/>
      <c r="BB73" s="2251"/>
      <c r="BC73" s="2252"/>
      <c r="BD73" s="1207"/>
      <c r="BE73" s="1213"/>
    </row>
    <row r="74" spans="1:65" ht="15.75" customHeight="1">
      <c r="A74" s="1207"/>
      <c r="B74" s="2197"/>
      <c r="C74" s="2198"/>
      <c r="D74" s="2198"/>
      <c r="E74" s="2198"/>
      <c r="F74" s="2198"/>
      <c r="G74" s="2198"/>
      <c r="H74" s="2198"/>
      <c r="I74" s="2198"/>
      <c r="J74" s="2198"/>
      <c r="K74" s="2198"/>
      <c r="L74" s="2198"/>
      <c r="M74" s="2198"/>
      <c r="N74" s="2198"/>
      <c r="O74" s="2231"/>
      <c r="P74" s="2231"/>
      <c r="Q74" s="2231"/>
      <c r="R74" s="2231"/>
      <c r="S74" s="2231"/>
      <c r="T74" s="2231"/>
      <c r="U74" s="2231"/>
      <c r="V74" s="2231"/>
      <c r="W74" s="2231"/>
      <c r="X74" s="2231"/>
      <c r="Y74" s="2231"/>
      <c r="Z74" s="2231"/>
      <c r="AA74" s="2330"/>
      <c r="AB74" s="1207"/>
      <c r="AC74" s="2250"/>
      <c r="AD74" s="2251"/>
      <c r="AE74" s="2251"/>
      <c r="AF74" s="2251"/>
      <c r="AG74" s="2251"/>
      <c r="AH74" s="2251"/>
      <c r="AI74" s="2251"/>
      <c r="AJ74" s="2251"/>
      <c r="AK74" s="2251"/>
      <c r="AL74" s="2251"/>
      <c r="AM74" s="2251"/>
      <c r="AN74" s="2251"/>
      <c r="AO74" s="2251"/>
      <c r="AP74" s="2251"/>
      <c r="AQ74" s="2251"/>
      <c r="AR74" s="2251"/>
      <c r="AS74" s="2251"/>
      <c r="AT74" s="2251"/>
      <c r="AU74" s="2251"/>
      <c r="AV74" s="2251"/>
      <c r="AW74" s="2251"/>
      <c r="AX74" s="2251"/>
      <c r="AY74" s="2251"/>
      <c r="AZ74" s="2251"/>
      <c r="BA74" s="2251"/>
      <c r="BB74" s="2251"/>
      <c r="BC74" s="2252"/>
      <c r="BD74" s="1207"/>
      <c r="BE74" s="1213"/>
    </row>
    <row r="75" spans="1:65" ht="15.75" customHeight="1" thickBot="1">
      <c r="A75" s="1207"/>
      <c r="B75" s="2335" t="s">
        <v>125</v>
      </c>
      <c r="C75" s="2336"/>
      <c r="D75" s="2336"/>
      <c r="E75" s="2336"/>
      <c r="F75" s="2336"/>
      <c r="G75" s="2336"/>
      <c r="H75" s="2336"/>
      <c r="I75" s="2336"/>
      <c r="J75" s="2336"/>
      <c r="K75" s="2336"/>
      <c r="L75" s="2336"/>
      <c r="M75" s="2336"/>
      <c r="N75" s="2336"/>
      <c r="O75" s="2337">
        <f>SUM(O70:AA74)</f>
        <v>0</v>
      </c>
      <c r="P75" s="2337"/>
      <c r="Q75" s="2337"/>
      <c r="R75" s="2337"/>
      <c r="S75" s="2337"/>
      <c r="T75" s="2337"/>
      <c r="U75" s="2337"/>
      <c r="V75" s="2337"/>
      <c r="W75" s="2337"/>
      <c r="X75" s="2337"/>
      <c r="Y75" s="2337"/>
      <c r="Z75" s="2337"/>
      <c r="AA75" s="2338"/>
      <c r="AB75" s="1207"/>
      <c r="AC75" s="2250"/>
      <c r="AD75" s="2251"/>
      <c r="AE75" s="2251"/>
      <c r="AF75" s="2251"/>
      <c r="AG75" s="2251"/>
      <c r="AH75" s="2251"/>
      <c r="AI75" s="2251"/>
      <c r="AJ75" s="2251"/>
      <c r="AK75" s="2251"/>
      <c r="AL75" s="2251"/>
      <c r="AM75" s="2251"/>
      <c r="AN75" s="2251"/>
      <c r="AO75" s="2251"/>
      <c r="AP75" s="2251"/>
      <c r="AQ75" s="2251"/>
      <c r="AR75" s="2251"/>
      <c r="AS75" s="2251"/>
      <c r="AT75" s="2251"/>
      <c r="AU75" s="2251"/>
      <c r="AV75" s="2251"/>
      <c r="AW75" s="2251"/>
      <c r="AX75" s="2251"/>
      <c r="AY75" s="2251"/>
      <c r="AZ75" s="2251"/>
      <c r="BA75" s="2251"/>
      <c r="BB75" s="2251"/>
      <c r="BC75" s="2252"/>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0"/>
      <c r="AD76" s="2251"/>
      <c r="AE76" s="2251"/>
      <c r="AF76" s="2251"/>
      <c r="AG76" s="2251"/>
      <c r="AH76" s="2251"/>
      <c r="AI76" s="2251"/>
      <c r="AJ76" s="2251"/>
      <c r="AK76" s="2251"/>
      <c r="AL76" s="2251"/>
      <c r="AM76" s="2251"/>
      <c r="AN76" s="2251"/>
      <c r="AO76" s="2251"/>
      <c r="AP76" s="2251"/>
      <c r="AQ76" s="2251"/>
      <c r="AR76" s="2251"/>
      <c r="AS76" s="2251"/>
      <c r="AT76" s="2251"/>
      <c r="AU76" s="2251"/>
      <c r="AV76" s="2251"/>
      <c r="AW76" s="2251"/>
      <c r="AX76" s="2251"/>
      <c r="AY76" s="2251"/>
      <c r="AZ76" s="2251"/>
      <c r="BA76" s="2251"/>
      <c r="BB76" s="2251"/>
      <c r="BC76" s="2252"/>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3"/>
      <c r="AD77" s="2254"/>
      <c r="AE77" s="2254"/>
      <c r="AF77" s="2254"/>
      <c r="AG77" s="2254"/>
      <c r="AH77" s="2254"/>
      <c r="AI77" s="2254"/>
      <c r="AJ77" s="2254"/>
      <c r="AK77" s="2254"/>
      <c r="AL77" s="2254"/>
      <c r="AM77" s="2254"/>
      <c r="AN77" s="2254"/>
      <c r="AO77" s="2254"/>
      <c r="AP77" s="2254"/>
      <c r="AQ77" s="2254"/>
      <c r="AR77" s="2254"/>
      <c r="AS77" s="2254"/>
      <c r="AT77" s="2254"/>
      <c r="AU77" s="2254"/>
      <c r="AV77" s="2254"/>
      <c r="AW77" s="2254"/>
      <c r="AX77" s="2254"/>
      <c r="AY77" s="2254"/>
      <c r="AZ77" s="2254"/>
      <c r="BA77" s="2254"/>
      <c r="BB77" s="2254"/>
      <c r="BC77" s="2255"/>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5" t="s">
        <v>2244</v>
      </c>
      <c r="C79" s="2326"/>
      <c r="D79" s="2326"/>
      <c r="E79" s="2326"/>
      <c r="F79" s="2326"/>
      <c r="G79" s="2326"/>
      <c r="H79" s="2326"/>
      <c r="I79" s="2326"/>
      <c r="J79" s="2326"/>
      <c r="K79" s="2326"/>
      <c r="L79" s="2326"/>
      <c r="M79" s="2326"/>
      <c r="N79" s="2326"/>
      <c r="O79" s="2326"/>
      <c r="P79" s="2326"/>
      <c r="Q79" s="2326"/>
      <c r="R79" s="2326"/>
      <c r="S79" s="2326"/>
      <c r="T79" s="2326"/>
      <c r="U79" s="2326"/>
      <c r="V79" s="2326"/>
      <c r="W79" s="2326"/>
      <c r="X79" s="2326"/>
      <c r="Y79" s="2326"/>
      <c r="Z79" s="2326"/>
      <c r="AA79" s="2326"/>
      <c r="AB79" s="2326"/>
      <c r="AC79" s="2326"/>
      <c r="AD79" s="2326"/>
      <c r="AE79" s="2326"/>
      <c r="AF79" s="2326"/>
      <c r="AG79" s="2326"/>
      <c r="AH79" s="2327"/>
      <c r="AI79" s="1207"/>
      <c r="AJ79" s="2298" t="s">
        <v>2589</v>
      </c>
      <c r="AK79" s="2299"/>
      <c r="AL79" s="2299"/>
      <c r="AM79" s="2299"/>
      <c r="AN79" s="2299"/>
      <c r="AO79" s="2299"/>
      <c r="AP79" s="2299"/>
      <c r="AQ79" s="2299"/>
      <c r="AR79" s="2299"/>
      <c r="AS79" s="2299"/>
      <c r="AT79" s="2299"/>
      <c r="AU79" s="2299"/>
      <c r="AV79" s="2299"/>
      <c r="AW79" s="2299"/>
      <c r="AX79" s="2299"/>
      <c r="AY79" s="2319" t="s">
        <v>554</v>
      </c>
      <c r="AZ79" s="2319"/>
      <c r="BA79" s="2319"/>
      <c r="BB79" s="2320"/>
      <c r="BC79" s="1207"/>
      <c r="BD79" s="1207"/>
      <c r="BE79" s="1213"/>
    </row>
    <row r="80" spans="1:65" ht="15.75" customHeight="1">
      <c r="A80" s="1207"/>
      <c r="B80" s="2318"/>
      <c r="C80" s="2307"/>
      <c r="D80" s="2307"/>
      <c r="E80" s="2307"/>
      <c r="F80" s="2307"/>
      <c r="G80" s="2307"/>
      <c r="H80" s="2307"/>
      <c r="I80" s="2307" t="s">
        <v>1896</v>
      </c>
      <c r="J80" s="2307"/>
      <c r="K80" s="2307"/>
      <c r="L80" s="2307"/>
      <c r="M80" s="2307"/>
      <c r="N80" s="2307"/>
      <c r="O80" s="2307" t="s">
        <v>1897</v>
      </c>
      <c r="P80" s="2307"/>
      <c r="Q80" s="2307"/>
      <c r="R80" s="2307"/>
      <c r="S80" s="2307"/>
      <c r="T80" s="2307"/>
      <c r="U80" s="2307"/>
      <c r="V80" s="2323" t="s">
        <v>2262</v>
      </c>
      <c r="W80" s="2323"/>
      <c r="X80" s="2323"/>
      <c r="Y80" s="2323"/>
      <c r="Z80" s="2323"/>
      <c r="AA80" s="2323"/>
      <c r="AB80" s="2274" t="s">
        <v>1898</v>
      </c>
      <c r="AC80" s="2274"/>
      <c r="AD80" s="2274"/>
      <c r="AE80" s="2274"/>
      <c r="AF80" s="2274"/>
      <c r="AG80" s="2274"/>
      <c r="AH80" s="2324"/>
      <c r="AI80" s="1207"/>
      <c r="AJ80" s="2301"/>
      <c r="AK80" s="2302"/>
      <c r="AL80" s="2302"/>
      <c r="AM80" s="2302"/>
      <c r="AN80" s="2302"/>
      <c r="AO80" s="2302"/>
      <c r="AP80" s="2302"/>
      <c r="AQ80" s="2302"/>
      <c r="AR80" s="2302"/>
      <c r="AS80" s="2302"/>
      <c r="AT80" s="2302"/>
      <c r="AU80" s="2302"/>
      <c r="AV80" s="2302"/>
      <c r="AW80" s="2302"/>
      <c r="AX80" s="2302"/>
      <c r="AY80" s="2321"/>
      <c r="AZ80" s="2321"/>
      <c r="BA80" s="2321"/>
      <c r="BB80" s="2322"/>
      <c r="BC80" s="1207"/>
      <c r="BD80" s="1207"/>
      <c r="BE80" s="1213"/>
    </row>
    <row r="81" spans="1:57" ht="15.75" customHeight="1">
      <c r="A81" s="1207"/>
      <c r="B81" s="2318"/>
      <c r="C81" s="2307"/>
      <c r="D81" s="2307"/>
      <c r="E81" s="2307"/>
      <c r="F81" s="2307"/>
      <c r="G81" s="2307"/>
      <c r="H81" s="2307"/>
      <c r="I81" s="2307"/>
      <c r="J81" s="2307"/>
      <c r="K81" s="2307"/>
      <c r="L81" s="2307"/>
      <c r="M81" s="2307"/>
      <c r="N81" s="2307"/>
      <c r="O81" s="2307"/>
      <c r="P81" s="2307"/>
      <c r="Q81" s="2307"/>
      <c r="R81" s="2307"/>
      <c r="S81" s="2307"/>
      <c r="T81" s="2307"/>
      <c r="U81" s="2307"/>
      <c r="V81" s="2323"/>
      <c r="W81" s="2323"/>
      <c r="X81" s="2323"/>
      <c r="Y81" s="2323"/>
      <c r="Z81" s="2323"/>
      <c r="AA81" s="2323"/>
      <c r="AB81" s="2274"/>
      <c r="AC81" s="2274"/>
      <c r="AD81" s="2274"/>
      <c r="AE81" s="2274"/>
      <c r="AF81" s="2274"/>
      <c r="AG81" s="2274"/>
      <c r="AH81" s="2324"/>
      <c r="AI81" s="1207"/>
      <c r="AJ81" s="2301"/>
      <c r="AK81" s="2302"/>
      <c r="AL81" s="2302"/>
      <c r="AM81" s="2302"/>
      <c r="AN81" s="2302"/>
      <c r="AO81" s="2302"/>
      <c r="AP81" s="2302"/>
      <c r="AQ81" s="2302"/>
      <c r="AR81" s="2302"/>
      <c r="AS81" s="2302"/>
      <c r="AT81" s="2302"/>
      <c r="AU81" s="2302"/>
      <c r="AV81" s="2302"/>
      <c r="AW81" s="2302"/>
      <c r="AX81" s="2302"/>
      <c r="AY81" s="2321"/>
      <c r="AZ81" s="2321"/>
      <c r="BA81" s="2321"/>
      <c r="BB81" s="2322"/>
      <c r="BC81" s="1207"/>
      <c r="BD81" s="1207"/>
      <c r="BE81" s="1213"/>
    </row>
    <row r="82" spans="1:57" ht="15.75" customHeight="1">
      <c r="A82" s="1207"/>
      <c r="B82" s="2318" t="s">
        <v>2245</v>
      </c>
      <c r="C82" s="2307"/>
      <c r="D82" s="2307"/>
      <c r="E82" s="2307"/>
      <c r="F82" s="2307"/>
      <c r="G82" s="2307"/>
      <c r="H82" s="2307"/>
      <c r="I82" s="2277">
        <v>0</v>
      </c>
      <c r="J82" s="2277"/>
      <c r="K82" s="2277"/>
      <c r="L82" s="2277"/>
      <c r="M82" s="2277"/>
      <c r="N82" s="2277"/>
      <c r="O82" s="2277">
        <v>0</v>
      </c>
      <c r="P82" s="2277"/>
      <c r="Q82" s="2277"/>
      <c r="R82" s="2277"/>
      <c r="S82" s="2277"/>
      <c r="T82" s="2277"/>
      <c r="U82" s="2277"/>
      <c r="V82" s="2277">
        <v>0</v>
      </c>
      <c r="W82" s="2277"/>
      <c r="X82" s="2277"/>
      <c r="Y82" s="2277"/>
      <c r="Z82" s="2277"/>
      <c r="AA82" s="2277"/>
      <c r="AB82" s="2277">
        <v>0</v>
      </c>
      <c r="AC82" s="2277"/>
      <c r="AD82" s="2277"/>
      <c r="AE82" s="2277"/>
      <c r="AF82" s="2277"/>
      <c r="AG82" s="2277"/>
      <c r="AH82" s="2278"/>
      <c r="AI82" s="1207"/>
      <c r="AJ82" s="2301"/>
      <c r="AK82" s="2302"/>
      <c r="AL82" s="2302"/>
      <c r="AM82" s="2302"/>
      <c r="AN82" s="2302"/>
      <c r="AO82" s="2302"/>
      <c r="AP82" s="2302"/>
      <c r="AQ82" s="2302"/>
      <c r="AR82" s="2302"/>
      <c r="AS82" s="2302"/>
      <c r="AT82" s="2302"/>
      <c r="AU82" s="2302"/>
      <c r="AV82" s="2302"/>
      <c r="AW82" s="2302"/>
      <c r="AX82" s="2302"/>
      <c r="AY82" s="2321"/>
      <c r="AZ82" s="2321"/>
      <c r="BA82" s="2321"/>
      <c r="BB82" s="2322"/>
      <c r="BC82" s="1207"/>
      <c r="BD82" s="1207"/>
      <c r="BE82" s="1213"/>
    </row>
    <row r="83" spans="1:57" ht="15.75" customHeight="1">
      <c r="A83" s="1207"/>
      <c r="B83" s="2318" t="s">
        <v>2246</v>
      </c>
      <c r="C83" s="2307"/>
      <c r="D83" s="2307"/>
      <c r="E83" s="2307"/>
      <c r="F83" s="2307"/>
      <c r="G83" s="2307"/>
      <c r="H83" s="2307"/>
      <c r="I83" s="2277">
        <v>0</v>
      </c>
      <c r="J83" s="2277"/>
      <c r="K83" s="2277"/>
      <c r="L83" s="2277"/>
      <c r="M83" s="2277"/>
      <c r="N83" s="2277"/>
      <c r="O83" s="2277">
        <v>0</v>
      </c>
      <c r="P83" s="2277"/>
      <c r="Q83" s="2277"/>
      <c r="R83" s="2277"/>
      <c r="S83" s="2277"/>
      <c r="T83" s="2277"/>
      <c r="U83" s="2277"/>
      <c r="V83" s="2277">
        <v>0</v>
      </c>
      <c r="W83" s="2277"/>
      <c r="X83" s="2277"/>
      <c r="Y83" s="2277"/>
      <c r="Z83" s="2277"/>
      <c r="AA83" s="2277"/>
      <c r="AB83" s="2277">
        <v>0</v>
      </c>
      <c r="AC83" s="2277"/>
      <c r="AD83" s="2277"/>
      <c r="AE83" s="2277"/>
      <c r="AF83" s="2277"/>
      <c r="AG83" s="2277"/>
      <c r="AH83" s="2278"/>
      <c r="AI83" s="1207"/>
      <c r="AJ83" s="2310" t="s">
        <v>2590</v>
      </c>
      <c r="AK83" s="2311"/>
      <c r="AL83" s="2311"/>
      <c r="AM83" s="2311"/>
      <c r="AN83" s="2311"/>
      <c r="AO83" s="2311"/>
      <c r="AP83" s="2311"/>
      <c r="AQ83" s="2311"/>
      <c r="AR83" s="2311"/>
      <c r="AS83" s="2311"/>
      <c r="AT83" s="2311"/>
      <c r="AU83" s="2311"/>
      <c r="AV83" s="2311"/>
      <c r="AW83" s="2311"/>
      <c r="AX83" s="2311"/>
      <c r="AY83" s="2311"/>
      <c r="AZ83" s="2311"/>
      <c r="BA83" s="2311"/>
      <c r="BB83" s="2312"/>
      <c r="BC83" s="1207"/>
      <c r="BD83" s="1207"/>
      <c r="BE83" s="1213"/>
    </row>
    <row r="84" spans="1:57" ht="15.75" customHeight="1" thickBot="1">
      <c r="A84" s="1207"/>
      <c r="B84" s="2316" t="s">
        <v>1899</v>
      </c>
      <c r="C84" s="2317"/>
      <c r="D84" s="2317"/>
      <c r="E84" s="2317"/>
      <c r="F84" s="2317"/>
      <c r="G84" s="2317"/>
      <c r="H84" s="2317"/>
      <c r="I84" s="2271">
        <v>0</v>
      </c>
      <c r="J84" s="2271"/>
      <c r="K84" s="2271"/>
      <c r="L84" s="2271"/>
      <c r="M84" s="2271"/>
      <c r="N84" s="2271"/>
      <c r="O84" s="2271">
        <v>0</v>
      </c>
      <c r="P84" s="2271"/>
      <c r="Q84" s="2271"/>
      <c r="R84" s="2271"/>
      <c r="S84" s="2271"/>
      <c r="T84" s="2271"/>
      <c r="U84" s="2271"/>
      <c r="V84" s="2271">
        <v>0</v>
      </c>
      <c r="W84" s="2271"/>
      <c r="X84" s="2271"/>
      <c r="Y84" s="2271"/>
      <c r="Z84" s="2271"/>
      <c r="AA84" s="2271"/>
      <c r="AB84" s="2271">
        <v>0</v>
      </c>
      <c r="AC84" s="2271"/>
      <c r="AD84" s="2271"/>
      <c r="AE84" s="2271"/>
      <c r="AF84" s="2271"/>
      <c r="AG84" s="2271"/>
      <c r="AH84" s="2272"/>
      <c r="AI84" s="1207"/>
      <c r="AJ84" s="2313"/>
      <c r="AK84" s="2314"/>
      <c r="AL84" s="2314"/>
      <c r="AM84" s="2314"/>
      <c r="AN84" s="2314"/>
      <c r="AO84" s="2314"/>
      <c r="AP84" s="2314"/>
      <c r="AQ84" s="2314"/>
      <c r="AR84" s="2314"/>
      <c r="AS84" s="2314"/>
      <c r="AT84" s="2314"/>
      <c r="AU84" s="2314"/>
      <c r="AV84" s="2314"/>
      <c r="AW84" s="2314"/>
      <c r="AX84" s="2314"/>
      <c r="AY84" s="2314"/>
      <c r="AZ84" s="2314"/>
      <c r="BA84" s="2314"/>
      <c r="BB84" s="2315"/>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37" t="s">
        <v>1901</v>
      </c>
      <c r="C88" s="2238"/>
      <c r="D88" s="2238"/>
      <c r="E88" s="2238"/>
      <c r="F88" s="2238"/>
      <c r="G88" s="2238"/>
      <c r="H88" s="2238"/>
      <c r="I88" s="2238"/>
      <c r="J88" s="2238"/>
      <c r="K88" s="2238"/>
      <c r="L88" s="2238"/>
      <c r="M88" s="2238"/>
      <c r="N88" s="2238"/>
      <c r="O88" s="2238"/>
      <c r="P88" s="2238"/>
      <c r="Q88" s="2238"/>
      <c r="R88" s="2238"/>
      <c r="S88" s="2238"/>
      <c r="T88" s="2238"/>
      <c r="U88" s="2238"/>
      <c r="V88" s="2238"/>
      <c r="W88" s="2238"/>
      <c r="X88" s="2238"/>
      <c r="Y88" s="2238"/>
      <c r="Z88" s="2238"/>
      <c r="AA88" s="2238"/>
      <c r="AB88" s="2238"/>
      <c r="AC88" s="2238"/>
      <c r="AD88" s="2238"/>
      <c r="AE88" s="2238"/>
      <c r="AF88" s="2238"/>
      <c r="AG88" s="2238"/>
      <c r="AH88" s="2243"/>
      <c r="AI88" s="1207"/>
      <c r="AJ88" s="2298" t="s">
        <v>2591</v>
      </c>
      <c r="AK88" s="2299"/>
      <c r="AL88" s="2299"/>
      <c r="AM88" s="2299"/>
      <c r="AN88" s="2299"/>
      <c r="AO88" s="2299"/>
      <c r="AP88" s="2299"/>
      <c r="AQ88" s="2299"/>
      <c r="AR88" s="2299"/>
      <c r="AS88" s="2299"/>
      <c r="AT88" s="2299"/>
      <c r="AU88" s="2299"/>
      <c r="AV88" s="2299"/>
      <c r="AW88" s="2299"/>
      <c r="AX88" s="2299"/>
      <c r="AY88" s="2319" t="s">
        <v>554</v>
      </c>
      <c r="AZ88" s="2319"/>
      <c r="BA88" s="2319"/>
      <c r="BB88" s="2320"/>
      <c r="BC88" s="1207"/>
      <c r="BD88" s="1207"/>
      <c r="BE88" s="1213"/>
    </row>
    <row r="89" spans="1:57" ht="16.5" customHeight="1">
      <c r="A89" s="1207"/>
      <c r="B89" s="2318"/>
      <c r="C89" s="2307"/>
      <c r="D89" s="2307"/>
      <c r="E89" s="2307"/>
      <c r="F89" s="2307"/>
      <c r="G89" s="2307"/>
      <c r="H89" s="2307"/>
      <c r="I89" s="2307" t="s">
        <v>1896</v>
      </c>
      <c r="J89" s="2307"/>
      <c r="K89" s="2307"/>
      <c r="L89" s="2307"/>
      <c r="M89" s="2307"/>
      <c r="N89" s="2307"/>
      <c r="O89" s="2307" t="s">
        <v>1897</v>
      </c>
      <c r="P89" s="2307"/>
      <c r="Q89" s="2307"/>
      <c r="R89" s="2307"/>
      <c r="S89" s="2307"/>
      <c r="T89" s="2307"/>
      <c r="U89" s="2307"/>
      <c r="V89" s="2323" t="s">
        <v>2262</v>
      </c>
      <c r="W89" s="2323"/>
      <c r="X89" s="2323"/>
      <c r="Y89" s="2323"/>
      <c r="Z89" s="2323"/>
      <c r="AA89" s="2323"/>
      <c r="AB89" s="2274" t="s">
        <v>1898</v>
      </c>
      <c r="AC89" s="2274"/>
      <c r="AD89" s="2274"/>
      <c r="AE89" s="2274"/>
      <c r="AF89" s="2274"/>
      <c r="AG89" s="2274"/>
      <c r="AH89" s="2324"/>
      <c r="AI89" s="1207"/>
      <c r="AJ89" s="2301"/>
      <c r="AK89" s="2302"/>
      <c r="AL89" s="2302"/>
      <c r="AM89" s="2302"/>
      <c r="AN89" s="2302"/>
      <c r="AO89" s="2302"/>
      <c r="AP89" s="2302"/>
      <c r="AQ89" s="2302"/>
      <c r="AR89" s="2302"/>
      <c r="AS89" s="2302"/>
      <c r="AT89" s="2302"/>
      <c r="AU89" s="2302"/>
      <c r="AV89" s="2302"/>
      <c r="AW89" s="2302"/>
      <c r="AX89" s="2302"/>
      <c r="AY89" s="2321"/>
      <c r="AZ89" s="2321"/>
      <c r="BA89" s="2321"/>
      <c r="BB89" s="2322"/>
      <c r="BC89" s="1207"/>
      <c r="BD89" s="1207"/>
      <c r="BE89" s="1213"/>
    </row>
    <row r="90" spans="1:57" ht="16.5" customHeight="1">
      <c r="A90" s="1207"/>
      <c r="B90" s="2318"/>
      <c r="C90" s="2307"/>
      <c r="D90" s="2307"/>
      <c r="E90" s="2307"/>
      <c r="F90" s="2307"/>
      <c r="G90" s="2307"/>
      <c r="H90" s="2307"/>
      <c r="I90" s="2307"/>
      <c r="J90" s="2307"/>
      <c r="K90" s="2307"/>
      <c r="L90" s="2307"/>
      <c r="M90" s="2307"/>
      <c r="N90" s="2307"/>
      <c r="O90" s="2307"/>
      <c r="P90" s="2307"/>
      <c r="Q90" s="2307"/>
      <c r="R90" s="2307"/>
      <c r="S90" s="2307"/>
      <c r="T90" s="2307"/>
      <c r="U90" s="2307"/>
      <c r="V90" s="2323"/>
      <c r="W90" s="2323"/>
      <c r="X90" s="2323"/>
      <c r="Y90" s="2323"/>
      <c r="Z90" s="2323"/>
      <c r="AA90" s="2323"/>
      <c r="AB90" s="2274"/>
      <c r="AC90" s="2274"/>
      <c r="AD90" s="2274"/>
      <c r="AE90" s="2274"/>
      <c r="AF90" s="2274"/>
      <c r="AG90" s="2274"/>
      <c r="AH90" s="2324"/>
      <c r="AI90" s="1207"/>
      <c r="AJ90" s="2301"/>
      <c r="AK90" s="2302"/>
      <c r="AL90" s="2302"/>
      <c r="AM90" s="2302"/>
      <c r="AN90" s="2302"/>
      <c r="AO90" s="2302"/>
      <c r="AP90" s="2302"/>
      <c r="AQ90" s="2302"/>
      <c r="AR90" s="2302"/>
      <c r="AS90" s="2302"/>
      <c r="AT90" s="2302"/>
      <c r="AU90" s="2302"/>
      <c r="AV90" s="2302"/>
      <c r="AW90" s="2302"/>
      <c r="AX90" s="2302"/>
      <c r="AY90" s="2321"/>
      <c r="AZ90" s="2321"/>
      <c r="BA90" s="2321"/>
      <c r="BB90" s="2322"/>
      <c r="BC90" s="1207"/>
      <c r="BD90" s="1207"/>
      <c r="BE90" s="1213"/>
    </row>
    <row r="91" spans="1:57" ht="15.75" customHeight="1">
      <c r="A91" s="1207"/>
      <c r="B91" s="2318" t="s">
        <v>2245</v>
      </c>
      <c r="C91" s="2307"/>
      <c r="D91" s="2307"/>
      <c r="E91" s="2307"/>
      <c r="F91" s="2307"/>
      <c r="G91" s="2307"/>
      <c r="H91" s="2307"/>
      <c r="I91" s="2277">
        <v>0</v>
      </c>
      <c r="J91" s="2277"/>
      <c r="K91" s="2277"/>
      <c r="L91" s="2277"/>
      <c r="M91" s="2277"/>
      <c r="N91" s="2277"/>
      <c r="O91" s="2277">
        <v>0</v>
      </c>
      <c r="P91" s="2277"/>
      <c r="Q91" s="2277"/>
      <c r="R91" s="2277"/>
      <c r="S91" s="2277"/>
      <c r="T91" s="2277"/>
      <c r="U91" s="2277"/>
      <c r="V91" s="2277">
        <v>0</v>
      </c>
      <c r="W91" s="2277"/>
      <c r="X91" s="2277"/>
      <c r="Y91" s="2277"/>
      <c r="Z91" s="2277"/>
      <c r="AA91" s="2277"/>
      <c r="AB91" s="2277">
        <v>0</v>
      </c>
      <c r="AC91" s="2277"/>
      <c r="AD91" s="2277"/>
      <c r="AE91" s="2277"/>
      <c r="AF91" s="2277"/>
      <c r="AG91" s="2277"/>
      <c r="AH91" s="2278"/>
      <c r="AI91" s="1207"/>
      <c r="AJ91" s="2301"/>
      <c r="AK91" s="2302"/>
      <c r="AL91" s="2302"/>
      <c r="AM91" s="2302"/>
      <c r="AN91" s="2302"/>
      <c r="AO91" s="2302"/>
      <c r="AP91" s="2302"/>
      <c r="AQ91" s="2302"/>
      <c r="AR91" s="2302"/>
      <c r="AS91" s="2302"/>
      <c r="AT91" s="2302"/>
      <c r="AU91" s="2302"/>
      <c r="AV91" s="2302"/>
      <c r="AW91" s="2302"/>
      <c r="AX91" s="2302"/>
      <c r="AY91" s="2321"/>
      <c r="AZ91" s="2321"/>
      <c r="BA91" s="2321"/>
      <c r="BB91" s="2322"/>
      <c r="BC91" s="1207"/>
      <c r="BD91" s="1207"/>
      <c r="BE91" s="1213"/>
    </row>
    <row r="92" spans="1:57" ht="15.75" customHeight="1">
      <c r="A92" s="1207"/>
      <c r="B92" s="2318" t="s">
        <v>2246</v>
      </c>
      <c r="C92" s="2307"/>
      <c r="D92" s="2307"/>
      <c r="E92" s="2307"/>
      <c r="F92" s="2307"/>
      <c r="G92" s="2307"/>
      <c r="H92" s="2307"/>
      <c r="I92" s="2277">
        <v>0</v>
      </c>
      <c r="J92" s="2277"/>
      <c r="K92" s="2277"/>
      <c r="L92" s="2277"/>
      <c r="M92" s="2277"/>
      <c r="N92" s="2277"/>
      <c r="O92" s="2277">
        <v>0</v>
      </c>
      <c r="P92" s="2277"/>
      <c r="Q92" s="2277"/>
      <c r="R92" s="2277"/>
      <c r="S92" s="2277"/>
      <c r="T92" s="2277"/>
      <c r="U92" s="2277"/>
      <c r="V92" s="2277">
        <v>0</v>
      </c>
      <c r="W92" s="2277"/>
      <c r="X92" s="2277"/>
      <c r="Y92" s="2277"/>
      <c r="Z92" s="2277"/>
      <c r="AA92" s="2277"/>
      <c r="AB92" s="2277">
        <v>0</v>
      </c>
      <c r="AC92" s="2277"/>
      <c r="AD92" s="2277"/>
      <c r="AE92" s="2277"/>
      <c r="AF92" s="2277"/>
      <c r="AG92" s="2277"/>
      <c r="AH92" s="2278"/>
      <c r="AI92" s="1207"/>
      <c r="AJ92" s="2310" t="s">
        <v>2263</v>
      </c>
      <c r="AK92" s="2311"/>
      <c r="AL92" s="2311"/>
      <c r="AM92" s="2311"/>
      <c r="AN92" s="2311"/>
      <c r="AO92" s="2311"/>
      <c r="AP92" s="2311"/>
      <c r="AQ92" s="2311"/>
      <c r="AR92" s="2311"/>
      <c r="AS92" s="2311"/>
      <c r="AT92" s="2311"/>
      <c r="AU92" s="2311"/>
      <c r="AV92" s="2311"/>
      <c r="AW92" s="2311"/>
      <c r="AX92" s="2311"/>
      <c r="AY92" s="2311"/>
      <c r="AZ92" s="2311"/>
      <c r="BA92" s="2311"/>
      <c r="BB92" s="2312"/>
      <c r="BC92" s="1207"/>
      <c r="BD92" s="1207"/>
      <c r="BE92" s="1213"/>
    </row>
    <row r="93" spans="1:57" ht="15.75" customHeight="1" thickBot="1">
      <c r="A93" s="1207"/>
      <c r="B93" s="2316" t="s">
        <v>1899</v>
      </c>
      <c r="C93" s="2317"/>
      <c r="D93" s="2317"/>
      <c r="E93" s="2317"/>
      <c r="F93" s="2317"/>
      <c r="G93" s="2317"/>
      <c r="H93" s="2317"/>
      <c r="I93" s="2271">
        <v>0</v>
      </c>
      <c r="J93" s="2271"/>
      <c r="K93" s="2271"/>
      <c r="L93" s="2271"/>
      <c r="M93" s="2271"/>
      <c r="N93" s="2271"/>
      <c r="O93" s="2271">
        <v>0</v>
      </c>
      <c r="P93" s="2271"/>
      <c r="Q93" s="2271"/>
      <c r="R93" s="2271"/>
      <c r="S93" s="2271"/>
      <c r="T93" s="2271"/>
      <c r="U93" s="2271"/>
      <c r="V93" s="2271">
        <v>0</v>
      </c>
      <c r="W93" s="2271"/>
      <c r="X93" s="2271"/>
      <c r="Y93" s="2271"/>
      <c r="Z93" s="2271"/>
      <c r="AA93" s="2271"/>
      <c r="AB93" s="2271">
        <v>0</v>
      </c>
      <c r="AC93" s="2271"/>
      <c r="AD93" s="2271"/>
      <c r="AE93" s="2271"/>
      <c r="AF93" s="2271"/>
      <c r="AG93" s="2271"/>
      <c r="AH93" s="2272"/>
      <c r="AI93" s="1207"/>
      <c r="AJ93" s="2313"/>
      <c r="AK93" s="2314"/>
      <c r="AL93" s="2314"/>
      <c r="AM93" s="2314"/>
      <c r="AN93" s="2314"/>
      <c r="AO93" s="2314"/>
      <c r="AP93" s="2314"/>
      <c r="AQ93" s="2314"/>
      <c r="AR93" s="2314"/>
      <c r="AS93" s="2314"/>
      <c r="AT93" s="2314"/>
      <c r="AU93" s="2314"/>
      <c r="AV93" s="2314"/>
      <c r="AW93" s="2314"/>
      <c r="AX93" s="2314"/>
      <c r="AY93" s="2314"/>
      <c r="AZ93" s="2314"/>
      <c r="BA93" s="2314"/>
      <c r="BB93" s="2315"/>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298" t="s">
        <v>2247</v>
      </c>
      <c r="Y96" s="2299"/>
      <c r="Z96" s="2299"/>
      <c r="AA96" s="2299"/>
      <c r="AB96" s="2299"/>
      <c r="AC96" s="2299"/>
      <c r="AD96" s="2299"/>
      <c r="AE96" s="2299"/>
      <c r="AF96" s="2299"/>
      <c r="AG96" s="2299"/>
      <c r="AH96" s="2299"/>
      <c r="AI96" s="2299"/>
      <c r="AJ96" s="2299"/>
      <c r="AK96" s="2299"/>
      <c r="AL96" s="2299"/>
      <c r="AM96" s="2299"/>
      <c r="AN96" s="2299"/>
      <c r="AO96" s="2299"/>
      <c r="AP96" s="2299"/>
      <c r="AQ96" s="2299"/>
      <c r="AR96" s="2299"/>
      <c r="AS96" s="2299"/>
      <c r="AT96" s="2299"/>
      <c r="AU96" s="2299"/>
      <c r="AV96" s="2299"/>
      <c r="AW96" s="2299"/>
      <c r="AX96" s="2299"/>
      <c r="AY96" s="2299"/>
      <c r="AZ96" s="2299"/>
      <c r="BA96" s="2299"/>
      <c r="BB96" s="2299"/>
      <c r="BC96" s="2299"/>
      <c r="BD96" s="2300"/>
      <c r="BE96" s="1213"/>
    </row>
    <row r="97" spans="1:57" ht="15.75" customHeight="1">
      <c r="A97" s="1207"/>
      <c r="B97" s="2304" t="s">
        <v>1753</v>
      </c>
      <c r="C97" s="2305"/>
      <c r="D97" s="2305"/>
      <c r="E97" s="2305"/>
      <c r="F97" s="2305"/>
      <c r="G97" s="2305"/>
      <c r="H97" s="2305"/>
      <c r="I97" s="2305"/>
      <c r="J97" s="2305"/>
      <c r="K97" s="2305"/>
      <c r="L97" s="2305"/>
      <c r="M97" s="2305"/>
      <c r="N97" s="2305"/>
      <c r="O97" s="2305"/>
      <c r="P97" s="2305"/>
      <c r="Q97" s="2305"/>
      <c r="R97" s="2305"/>
      <c r="S97" s="2305"/>
      <c r="T97" s="2305"/>
      <c r="U97" s="2306"/>
      <c r="V97" s="1207"/>
      <c r="W97" s="1207"/>
      <c r="X97" s="2301"/>
      <c r="Y97" s="2302"/>
      <c r="Z97" s="2302"/>
      <c r="AA97" s="2302"/>
      <c r="AB97" s="2302"/>
      <c r="AC97" s="2302"/>
      <c r="AD97" s="2302"/>
      <c r="AE97" s="2302"/>
      <c r="AF97" s="2302"/>
      <c r="AG97" s="2302"/>
      <c r="AH97" s="2302"/>
      <c r="AI97" s="2302"/>
      <c r="AJ97" s="2302"/>
      <c r="AK97" s="2302"/>
      <c r="AL97" s="2302"/>
      <c r="AM97" s="2302"/>
      <c r="AN97" s="2302"/>
      <c r="AO97" s="2302"/>
      <c r="AP97" s="2302"/>
      <c r="AQ97" s="2302"/>
      <c r="AR97" s="2302"/>
      <c r="AS97" s="2302"/>
      <c r="AT97" s="2302"/>
      <c r="AU97" s="2302"/>
      <c r="AV97" s="2302"/>
      <c r="AW97" s="2302"/>
      <c r="AX97" s="2302"/>
      <c r="AY97" s="2302"/>
      <c r="AZ97" s="2302"/>
      <c r="BA97" s="2302"/>
      <c r="BB97" s="2302"/>
      <c r="BC97" s="2302"/>
      <c r="BD97" s="2303"/>
      <c r="BE97" s="1213"/>
    </row>
    <row r="98" spans="1:57" ht="15.75" customHeight="1">
      <c r="A98" s="1207"/>
      <c r="B98" s="2247"/>
      <c r="C98" s="2248"/>
      <c r="D98" s="2248"/>
      <c r="E98" s="2248"/>
      <c r="F98" s="2248"/>
      <c r="G98" s="2248"/>
      <c r="H98" s="2248"/>
      <c r="I98" s="2307" t="s">
        <v>2248</v>
      </c>
      <c r="J98" s="2307"/>
      <c r="K98" s="2307"/>
      <c r="L98" s="2307"/>
      <c r="M98" s="2307"/>
      <c r="N98" s="2307"/>
      <c r="O98" s="2308" t="s">
        <v>2249</v>
      </c>
      <c r="P98" s="2308"/>
      <c r="Q98" s="2308"/>
      <c r="R98" s="2308"/>
      <c r="S98" s="2308"/>
      <c r="T98" s="2308"/>
      <c r="U98" s="2309"/>
      <c r="V98" s="1207"/>
      <c r="W98" s="1207"/>
      <c r="X98" s="2250" t="s">
        <v>2261</v>
      </c>
      <c r="Y98" s="2251"/>
      <c r="Z98" s="2251"/>
      <c r="AA98" s="2251"/>
      <c r="AB98" s="2251"/>
      <c r="AC98" s="2251"/>
      <c r="AD98" s="2251"/>
      <c r="AE98" s="2251"/>
      <c r="AF98" s="2251"/>
      <c r="AG98" s="2251"/>
      <c r="AH98" s="2251"/>
      <c r="AI98" s="2251"/>
      <c r="AJ98" s="2251"/>
      <c r="AK98" s="2251"/>
      <c r="AL98" s="2251"/>
      <c r="AM98" s="2251"/>
      <c r="AN98" s="2251"/>
      <c r="AO98" s="2251"/>
      <c r="AP98" s="2251"/>
      <c r="AQ98" s="2251"/>
      <c r="AR98" s="2251"/>
      <c r="AS98" s="2251"/>
      <c r="AT98" s="2251"/>
      <c r="AU98" s="2251"/>
      <c r="AV98" s="2251"/>
      <c r="AW98" s="2251"/>
      <c r="AX98" s="2251"/>
      <c r="AY98" s="2251"/>
      <c r="AZ98" s="2251"/>
      <c r="BA98" s="2251"/>
      <c r="BB98" s="2251"/>
      <c r="BC98" s="2251"/>
      <c r="BD98" s="2252"/>
      <c r="BE98" s="1213"/>
    </row>
    <row r="99" spans="1:57" ht="15.75" customHeight="1">
      <c r="A99" s="1207"/>
      <c r="B99" s="2275" t="s">
        <v>2250</v>
      </c>
      <c r="C99" s="2276"/>
      <c r="D99" s="2276"/>
      <c r="E99" s="2276"/>
      <c r="F99" s="2276"/>
      <c r="G99" s="2276"/>
      <c r="H99" s="2276"/>
      <c r="I99" s="2277">
        <v>0</v>
      </c>
      <c r="J99" s="2277"/>
      <c r="K99" s="2277"/>
      <c r="L99" s="2277"/>
      <c r="M99" s="2277"/>
      <c r="N99" s="2277"/>
      <c r="O99" s="2277">
        <v>0</v>
      </c>
      <c r="P99" s="2277"/>
      <c r="Q99" s="2277"/>
      <c r="R99" s="2277"/>
      <c r="S99" s="2277"/>
      <c r="T99" s="2277"/>
      <c r="U99" s="2278"/>
      <c r="V99" s="1207"/>
      <c r="W99" s="1207"/>
      <c r="X99" s="2250"/>
      <c r="Y99" s="2251"/>
      <c r="Z99" s="2251"/>
      <c r="AA99" s="2251"/>
      <c r="AB99" s="2251"/>
      <c r="AC99" s="2251"/>
      <c r="AD99" s="2251"/>
      <c r="AE99" s="2251"/>
      <c r="AF99" s="2251"/>
      <c r="AG99" s="2251"/>
      <c r="AH99" s="2251"/>
      <c r="AI99" s="2251"/>
      <c r="AJ99" s="2251"/>
      <c r="AK99" s="2251"/>
      <c r="AL99" s="2251"/>
      <c r="AM99" s="2251"/>
      <c r="AN99" s="2251"/>
      <c r="AO99" s="2251"/>
      <c r="AP99" s="2251"/>
      <c r="AQ99" s="2251"/>
      <c r="AR99" s="2251"/>
      <c r="AS99" s="2251"/>
      <c r="AT99" s="2251"/>
      <c r="AU99" s="2251"/>
      <c r="AV99" s="2251"/>
      <c r="AW99" s="2251"/>
      <c r="AX99" s="2251"/>
      <c r="AY99" s="2251"/>
      <c r="AZ99" s="2251"/>
      <c r="BA99" s="2251"/>
      <c r="BB99" s="2251"/>
      <c r="BC99" s="2251"/>
      <c r="BD99" s="2252"/>
      <c r="BE99" s="1213"/>
    </row>
    <row r="100" spans="1:57" ht="15.75" customHeight="1" thickBot="1">
      <c r="A100" s="1207"/>
      <c r="B100" s="2269" t="s">
        <v>2251</v>
      </c>
      <c r="C100" s="2270"/>
      <c r="D100" s="2270"/>
      <c r="E100" s="2270"/>
      <c r="F100" s="2270"/>
      <c r="G100" s="2270"/>
      <c r="H100" s="2270"/>
      <c r="I100" s="2271">
        <v>0</v>
      </c>
      <c r="J100" s="2271"/>
      <c r="K100" s="2271"/>
      <c r="L100" s="2271"/>
      <c r="M100" s="2271"/>
      <c r="N100" s="2271"/>
      <c r="O100" s="2293"/>
      <c r="P100" s="2293"/>
      <c r="Q100" s="2293"/>
      <c r="R100" s="2293"/>
      <c r="S100" s="2293"/>
      <c r="T100" s="2293"/>
      <c r="U100" s="2294"/>
      <c r="V100" s="1207"/>
      <c r="W100" s="1207"/>
      <c r="X100" s="2250"/>
      <c r="Y100" s="2251"/>
      <c r="Z100" s="2251"/>
      <c r="AA100" s="2251"/>
      <c r="AB100" s="2251"/>
      <c r="AC100" s="2251"/>
      <c r="AD100" s="2251"/>
      <c r="AE100" s="2251"/>
      <c r="AF100" s="2251"/>
      <c r="AG100" s="2251"/>
      <c r="AH100" s="2251"/>
      <c r="AI100" s="2251"/>
      <c r="AJ100" s="2251"/>
      <c r="AK100" s="2251"/>
      <c r="AL100" s="2251"/>
      <c r="AM100" s="2251"/>
      <c r="AN100" s="2251"/>
      <c r="AO100" s="2251"/>
      <c r="AP100" s="2251"/>
      <c r="AQ100" s="2251"/>
      <c r="AR100" s="2251"/>
      <c r="AS100" s="2251"/>
      <c r="AT100" s="2251"/>
      <c r="AU100" s="2251"/>
      <c r="AV100" s="2251"/>
      <c r="AW100" s="2251"/>
      <c r="AX100" s="2251"/>
      <c r="AY100" s="2251"/>
      <c r="AZ100" s="2251"/>
      <c r="BA100" s="2251"/>
      <c r="BB100" s="2251"/>
      <c r="BC100" s="2251"/>
      <c r="BD100" s="2252"/>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0"/>
      <c r="Y101" s="2251"/>
      <c r="Z101" s="2251"/>
      <c r="AA101" s="2251"/>
      <c r="AB101" s="2251"/>
      <c r="AC101" s="2251"/>
      <c r="AD101" s="2251"/>
      <c r="AE101" s="2251"/>
      <c r="AF101" s="2251"/>
      <c r="AG101" s="2251"/>
      <c r="AH101" s="2251"/>
      <c r="AI101" s="2251"/>
      <c r="AJ101" s="2251"/>
      <c r="AK101" s="2251"/>
      <c r="AL101" s="2251"/>
      <c r="AM101" s="2251"/>
      <c r="AN101" s="2251"/>
      <c r="AO101" s="2251"/>
      <c r="AP101" s="2251"/>
      <c r="AQ101" s="2251"/>
      <c r="AR101" s="2251"/>
      <c r="AS101" s="2251"/>
      <c r="AT101" s="2251"/>
      <c r="AU101" s="2251"/>
      <c r="AV101" s="2251"/>
      <c r="AW101" s="2251"/>
      <c r="AX101" s="2251"/>
      <c r="AY101" s="2251"/>
      <c r="AZ101" s="2251"/>
      <c r="BA101" s="2251"/>
      <c r="BB101" s="2251"/>
      <c r="BC101" s="2251"/>
      <c r="BD101" s="2252"/>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0"/>
      <c r="Y102" s="2251"/>
      <c r="Z102" s="2251"/>
      <c r="AA102" s="2251"/>
      <c r="AB102" s="2251"/>
      <c r="AC102" s="2251"/>
      <c r="AD102" s="2251"/>
      <c r="AE102" s="2251"/>
      <c r="AF102" s="2251"/>
      <c r="AG102" s="2251"/>
      <c r="AH102" s="2251"/>
      <c r="AI102" s="2251"/>
      <c r="AJ102" s="2251"/>
      <c r="AK102" s="2251"/>
      <c r="AL102" s="2251"/>
      <c r="AM102" s="2251"/>
      <c r="AN102" s="2251"/>
      <c r="AO102" s="2251"/>
      <c r="AP102" s="2251"/>
      <c r="AQ102" s="2251"/>
      <c r="AR102" s="2251"/>
      <c r="AS102" s="2251"/>
      <c r="AT102" s="2251"/>
      <c r="AU102" s="2251"/>
      <c r="AV102" s="2251"/>
      <c r="AW102" s="2251"/>
      <c r="AX102" s="2251"/>
      <c r="AY102" s="2251"/>
      <c r="AZ102" s="2251"/>
      <c r="BA102" s="2251"/>
      <c r="BB102" s="2251"/>
      <c r="BC102" s="2251"/>
      <c r="BD102" s="2252"/>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0"/>
      <c r="Y103" s="2251"/>
      <c r="Z103" s="2251"/>
      <c r="AA103" s="2251"/>
      <c r="AB103" s="2251"/>
      <c r="AC103" s="2251"/>
      <c r="AD103" s="2251"/>
      <c r="AE103" s="2251"/>
      <c r="AF103" s="2251"/>
      <c r="AG103" s="2251"/>
      <c r="AH103" s="2251"/>
      <c r="AI103" s="2251"/>
      <c r="AJ103" s="2251"/>
      <c r="AK103" s="2251"/>
      <c r="AL103" s="2251"/>
      <c r="AM103" s="2251"/>
      <c r="AN103" s="2251"/>
      <c r="AO103" s="2251"/>
      <c r="AP103" s="2251"/>
      <c r="AQ103" s="2251"/>
      <c r="AR103" s="2251"/>
      <c r="AS103" s="2251"/>
      <c r="AT103" s="2251"/>
      <c r="AU103" s="2251"/>
      <c r="AV103" s="2251"/>
      <c r="AW103" s="2251"/>
      <c r="AX103" s="2251"/>
      <c r="AY103" s="2251"/>
      <c r="AZ103" s="2251"/>
      <c r="BA103" s="2251"/>
      <c r="BB103" s="2251"/>
      <c r="BC103" s="2251"/>
      <c r="BD103" s="2252"/>
      <c r="BE103" s="1213"/>
    </row>
    <row r="104" spans="1:57" ht="15.75" customHeight="1">
      <c r="A104" s="1207"/>
      <c r="B104" s="2295" t="s">
        <v>1904</v>
      </c>
      <c r="C104" s="2296"/>
      <c r="D104" s="2296"/>
      <c r="E104" s="2296"/>
      <c r="F104" s="2296"/>
      <c r="G104" s="2296"/>
      <c r="H104" s="2296"/>
      <c r="I104" s="2296"/>
      <c r="J104" s="2296"/>
      <c r="K104" s="2296"/>
      <c r="L104" s="2296"/>
      <c r="M104" s="2296"/>
      <c r="N104" s="2296"/>
      <c r="O104" s="2296"/>
      <c r="P104" s="2296"/>
      <c r="Q104" s="2296"/>
      <c r="R104" s="2296"/>
      <c r="S104" s="2296"/>
      <c r="T104" s="2296"/>
      <c r="U104" s="2297"/>
      <c r="V104" s="1207"/>
      <c r="W104" s="1207"/>
      <c r="X104" s="2250"/>
      <c r="Y104" s="2251"/>
      <c r="Z104" s="2251"/>
      <c r="AA104" s="2251"/>
      <c r="AB104" s="2251"/>
      <c r="AC104" s="2251"/>
      <c r="AD104" s="2251"/>
      <c r="AE104" s="2251"/>
      <c r="AF104" s="2251"/>
      <c r="AG104" s="2251"/>
      <c r="AH104" s="2251"/>
      <c r="AI104" s="2251"/>
      <c r="AJ104" s="2251"/>
      <c r="AK104" s="2251"/>
      <c r="AL104" s="2251"/>
      <c r="AM104" s="2251"/>
      <c r="AN104" s="2251"/>
      <c r="AO104" s="2251"/>
      <c r="AP104" s="2251"/>
      <c r="AQ104" s="2251"/>
      <c r="AR104" s="2251"/>
      <c r="AS104" s="2251"/>
      <c r="AT104" s="2251"/>
      <c r="AU104" s="2251"/>
      <c r="AV104" s="2251"/>
      <c r="AW104" s="2251"/>
      <c r="AX104" s="2251"/>
      <c r="AY104" s="2251"/>
      <c r="AZ104" s="2251"/>
      <c r="BA104" s="2251"/>
      <c r="BB104" s="2251"/>
      <c r="BC104" s="2251"/>
      <c r="BD104" s="2252"/>
      <c r="BE104" s="1213"/>
    </row>
    <row r="105" spans="1:57" ht="15.75" customHeight="1">
      <c r="A105" s="1207"/>
      <c r="B105" s="2247"/>
      <c r="C105" s="2248"/>
      <c r="D105" s="2248"/>
      <c r="E105" s="2248"/>
      <c r="F105" s="2248"/>
      <c r="G105" s="2248"/>
      <c r="H105" s="2248"/>
      <c r="I105" s="2279" t="s">
        <v>1897</v>
      </c>
      <c r="J105" s="2279"/>
      <c r="K105" s="2279"/>
      <c r="L105" s="2279"/>
      <c r="M105" s="2279"/>
      <c r="N105" s="2279"/>
      <c r="O105" s="2279"/>
      <c r="P105" s="2279" t="s">
        <v>2262</v>
      </c>
      <c r="Q105" s="2279"/>
      <c r="R105" s="2279"/>
      <c r="S105" s="2279"/>
      <c r="T105" s="2279"/>
      <c r="U105" s="2280"/>
      <c r="V105" s="1207"/>
      <c r="W105" s="1207"/>
      <c r="X105" s="2250"/>
      <c r="Y105" s="2251"/>
      <c r="Z105" s="2251"/>
      <c r="AA105" s="2251"/>
      <c r="AB105" s="2251"/>
      <c r="AC105" s="2251"/>
      <c r="AD105" s="2251"/>
      <c r="AE105" s="2251"/>
      <c r="AF105" s="2251"/>
      <c r="AG105" s="2251"/>
      <c r="AH105" s="2251"/>
      <c r="AI105" s="2251"/>
      <c r="AJ105" s="2251"/>
      <c r="AK105" s="2251"/>
      <c r="AL105" s="2251"/>
      <c r="AM105" s="2251"/>
      <c r="AN105" s="2251"/>
      <c r="AO105" s="2251"/>
      <c r="AP105" s="2251"/>
      <c r="AQ105" s="2251"/>
      <c r="AR105" s="2251"/>
      <c r="AS105" s="2251"/>
      <c r="AT105" s="2251"/>
      <c r="AU105" s="2251"/>
      <c r="AV105" s="2251"/>
      <c r="AW105" s="2251"/>
      <c r="AX105" s="2251"/>
      <c r="AY105" s="2251"/>
      <c r="AZ105" s="2251"/>
      <c r="BA105" s="2251"/>
      <c r="BB105" s="2251"/>
      <c r="BC105" s="2251"/>
      <c r="BD105" s="2252"/>
      <c r="BE105" s="1213"/>
    </row>
    <row r="106" spans="1:57" ht="15.75" customHeight="1">
      <c r="A106" s="1207"/>
      <c r="B106" s="2247"/>
      <c r="C106" s="2248"/>
      <c r="D106" s="2248"/>
      <c r="E106" s="2248"/>
      <c r="F106" s="2248"/>
      <c r="G106" s="2248"/>
      <c r="H106" s="2248"/>
      <c r="I106" s="2279"/>
      <c r="J106" s="2279"/>
      <c r="K106" s="2279"/>
      <c r="L106" s="2279"/>
      <c r="M106" s="2279"/>
      <c r="N106" s="2279"/>
      <c r="O106" s="2279"/>
      <c r="P106" s="2279"/>
      <c r="Q106" s="2279"/>
      <c r="R106" s="2279"/>
      <c r="S106" s="2279"/>
      <c r="T106" s="2279"/>
      <c r="U106" s="2280"/>
      <c r="V106" s="1207"/>
      <c r="W106" s="1207"/>
      <c r="X106" s="2250"/>
      <c r="Y106" s="2251"/>
      <c r="Z106" s="2251"/>
      <c r="AA106" s="2251"/>
      <c r="AB106" s="2251"/>
      <c r="AC106" s="2251"/>
      <c r="AD106" s="2251"/>
      <c r="AE106" s="2251"/>
      <c r="AF106" s="2251"/>
      <c r="AG106" s="2251"/>
      <c r="AH106" s="2251"/>
      <c r="AI106" s="2251"/>
      <c r="AJ106" s="2251"/>
      <c r="AK106" s="2251"/>
      <c r="AL106" s="2251"/>
      <c r="AM106" s="2251"/>
      <c r="AN106" s="2251"/>
      <c r="AO106" s="2251"/>
      <c r="AP106" s="2251"/>
      <c r="AQ106" s="2251"/>
      <c r="AR106" s="2251"/>
      <c r="AS106" s="2251"/>
      <c r="AT106" s="2251"/>
      <c r="AU106" s="2251"/>
      <c r="AV106" s="2251"/>
      <c r="AW106" s="2251"/>
      <c r="AX106" s="2251"/>
      <c r="AY106" s="2251"/>
      <c r="AZ106" s="2251"/>
      <c r="BA106" s="2251"/>
      <c r="BB106" s="2251"/>
      <c r="BC106" s="2251"/>
      <c r="BD106" s="2252"/>
      <c r="BE106" s="1213"/>
    </row>
    <row r="107" spans="1:57" ht="15.75" customHeight="1">
      <c r="A107" s="1207"/>
      <c r="B107" s="2275" t="s">
        <v>2250</v>
      </c>
      <c r="C107" s="2276"/>
      <c r="D107" s="2276"/>
      <c r="E107" s="2276"/>
      <c r="F107" s="2276"/>
      <c r="G107" s="2276"/>
      <c r="H107" s="2276"/>
      <c r="I107" s="2277">
        <v>0</v>
      </c>
      <c r="J107" s="2277"/>
      <c r="K107" s="2277"/>
      <c r="L107" s="2277"/>
      <c r="M107" s="2277"/>
      <c r="N107" s="2277"/>
      <c r="O107" s="2277"/>
      <c r="P107" s="2277">
        <v>0</v>
      </c>
      <c r="Q107" s="2277"/>
      <c r="R107" s="2277"/>
      <c r="S107" s="2277"/>
      <c r="T107" s="2277"/>
      <c r="U107" s="2278"/>
      <c r="V107" s="1207"/>
      <c r="W107" s="1207"/>
      <c r="X107" s="2250"/>
      <c r="Y107" s="2251"/>
      <c r="Z107" s="2251"/>
      <c r="AA107" s="2251"/>
      <c r="AB107" s="2251"/>
      <c r="AC107" s="2251"/>
      <c r="AD107" s="2251"/>
      <c r="AE107" s="2251"/>
      <c r="AF107" s="2251"/>
      <c r="AG107" s="2251"/>
      <c r="AH107" s="2251"/>
      <c r="AI107" s="2251"/>
      <c r="AJ107" s="2251"/>
      <c r="AK107" s="2251"/>
      <c r="AL107" s="2251"/>
      <c r="AM107" s="2251"/>
      <c r="AN107" s="2251"/>
      <c r="AO107" s="2251"/>
      <c r="AP107" s="2251"/>
      <c r="AQ107" s="2251"/>
      <c r="AR107" s="2251"/>
      <c r="AS107" s="2251"/>
      <c r="AT107" s="2251"/>
      <c r="AU107" s="2251"/>
      <c r="AV107" s="2251"/>
      <c r="AW107" s="2251"/>
      <c r="AX107" s="2251"/>
      <c r="AY107" s="2251"/>
      <c r="AZ107" s="2251"/>
      <c r="BA107" s="2251"/>
      <c r="BB107" s="2251"/>
      <c r="BC107" s="2251"/>
      <c r="BD107" s="2252"/>
      <c r="BE107" s="1213"/>
    </row>
    <row r="108" spans="1:57" ht="15.75" customHeight="1" thickBot="1">
      <c r="A108" s="1207"/>
      <c r="B108" s="2269" t="s">
        <v>2251</v>
      </c>
      <c r="C108" s="2270"/>
      <c r="D108" s="2270"/>
      <c r="E108" s="2270"/>
      <c r="F108" s="2270"/>
      <c r="G108" s="2270"/>
      <c r="H108" s="2270"/>
      <c r="I108" s="2271">
        <v>0</v>
      </c>
      <c r="J108" s="2271"/>
      <c r="K108" s="2271"/>
      <c r="L108" s="2271"/>
      <c r="M108" s="2271"/>
      <c r="N108" s="2271"/>
      <c r="O108" s="2271"/>
      <c r="P108" s="2271">
        <v>0</v>
      </c>
      <c r="Q108" s="2271"/>
      <c r="R108" s="2271"/>
      <c r="S108" s="2271"/>
      <c r="T108" s="2271"/>
      <c r="U108" s="2272"/>
      <c r="V108" s="1207"/>
      <c r="W108" s="1207"/>
      <c r="X108" s="2253"/>
      <c r="Y108" s="2254"/>
      <c r="Z108" s="2254"/>
      <c r="AA108" s="2254"/>
      <c r="AB108" s="2254"/>
      <c r="AC108" s="2254"/>
      <c r="AD108" s="2254"/>
      <c r="AE108" s="2254"/>
      <c r="AF108" s="2254"/>
      <c r="AG108" s="2254"/>
      <c r="AH108" s="2254"/>
      <c r="AI108" s="2254"/>
      <c r="AJ108" s="2254"/>
      <c r="AK108" s="2254"/>
      <c r="AL108" s="2254"/>
      <c r="AM108" s="2254"/>
      <c r="AN108" s="2254"/>
      <c r="AO108" s="2254"/>
      <c r="AP108" s="2254"/>
      <c r="AQ108" s="2254"/>
      <c r="AR108" s="2254"/>
      <c r="AS108" s="2254"/>
      <c r="AT108" s="2254"/>
      <c r="AU108" s="2254"/>
      <c r="AV108" s="2254"/>
      <c r="AW108" s="2254"/>
      <c r="AX108" s="2254"/>
      <c r="AY108" s="2254"/>
      <c r="AZ108" s="2254"/>
      <c r="BA108" s="2254"/>
      <c r="BB108" s="2254"/>
      <c r="BC108" s="2254"/>
      <c r="BD108" s="2255"/>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4" t="s">
        <v>1905</v>
      </c>
      <c r="C110" s="2245"/>
      <c r="D110" s="2245"/>
      <c r="E110" s="2245"/>
      <c r="F110" s="2245"/>
      <c r="G110" s="2245"/>
      <c r="H110" s="2245"/>
      <c r="I110" s="2245"/>
      <c r="J110" s="2245"/>
      <c r="K110" s="2245"/>
      <c r="L110" s="2245"/>
      <c r="M110" s="2245"/>
      <c r="N110" s="2245"/>
      <c r="O110" s="2245"/>
      <c r="P110" s="2245"/>
      <c r="Q110" s="2245"/>
      <c r="R110" s="2245"/>
      <c r="S110" s="2245"/>
      <c r="T110" s="2245"/>
      <c r="U110" s="2245"/>
      <c r="V110" s="2245"/>
      <c r="W110" s="2245"/>
      <c r="X110" s="2245"/>
      <c r="Y110" s="2245"/>
      <c r="Z110" s="2245"/>
      <c r="AA110" s="2245"/>
      <c r="AB110" s="2245"/>
      <c r="AC110" s="2245"/>
      <c r="AD110" s="2245"/>
      <c r="AE110" s="2245"/>
      <c r="AF110" s="2245"/>
      <c r="AG110" s="2245"/>
      <c r="AH110" s="2281" t="s">
        <v>554</v>
      </c>
      <c r="AI110" s="2281"/>
      <c r="AJ110" s="2281"/>
      <c r="AK110" s="2281"/>
      <c r="AL110" s="2281"/>
      <c r="AM110" s="2281"/>
      <c r="AN110" s="2281"/>
      <c r="AO110" s="2281"/>
      <c r="AP110" s="2281"/>
      <c r="AQ110" s="2281"/>
      <c r="AR110" s="2281"/>
      <c r="AS110" s="2281"/>
      <c r="AT110" s="2281"/>
      <c r="AU110" s="2281"/>
      <c r="AV110" s="2281"/>
      <c r="AW110" s="2281"/>
      <c r="AX110" s="2282"/>
      <c r="AY110" s="1207"/>
      <c r="AZ110" s="1207"/>
      <c r="BA110" s="1207"/>
      <c r="BB110" s="1207"/>
      <c r="BC110" s="1207"/>
      <c r="BD110" s="1207"/>
      <c r="BE110" s="1213"/>
    </row>
    <row r="111" spans="1:57" ht="15.75" customHeight="1">
      <c r="A111" s="1207"/>
      <c r="B111" s="2283" t="s">
        <v>1906</v>
      </c>
      <c r="C111" s="2284"/>
      <c r="D111" s="2284"/>
      <c r="E111" s="2284"/>
      <c r="F111" s="2284"/>
      <c r="G111" s="2284"/>
      <c r="H111" s="2284"/>
      <c r="I111" s="2284"/>
      <c r="J111" s="2284"/>
      <c r="K111" s="2284"/>
      <c r="L111" s="2284"/>
      <c r="M111" s="2284"/>
      <c r="N111" s="2284"/>
      <c r="O111" s="2284"/>
      <c r="P111" s="2284"/>
      <c r="Q111" s="2284"/>
      <c r="R111" s="2285" t="s">
        <v>2264</v>
      </c>
      <c r="S111" s="2285"/>
      <c r="T111" s="2285"/>
      <c r="U111" s="2285"/>
      <c r="V111" s="2285"/>
      <c r="W111" s="2285"/>
      <c r="X111" s="2285"/>
      <c r="Y111" s="2285"/>
      <c r="Z111" s="2285"/>
      <c r="AA111" s="2285"/>
      <c r="AB111" s="2285"/>
      <c r="AC111" s="2285"/>
      <c r="AD111" s="2285"/>
      <c r="AE111" s="2285"/>
      <c r="AF111" s="2285"/>
      <c r="AG111" s="2285"/>
      <c r="AH111" s="2285"/>
      <c r="AI111" s="2285"/>
      <c r="AJ111" s="2285"/>
      <c r="AK111" s="2285"/>
      <c r="AL111" s="2285"/>
      <c r="AM111" s="2285"/>
      <c r="AN111" s="2285"/>
      <c r="AO111" s="2285"/>
      <c r="AP111" s="2285"/>
      <c r="AQ111" s="2285"/>
      <c r="AR111" s="2285"/>
      <c r="AS111" s="2285"/>
      <c r="AT111" s="2285"/>
      <c r="AU111" s="2285"/>
      <c r="AV111" s="2285"/>
      <c r="AW111" s="2285"/>
      <c r="AX111" s="2286"/>
      <c r="AY111" s="1207"/>
      <c r="AZ111" s="1207"/>
      <c r="BA111" s="1207"/>
      <c r="BB111" s="1207"/>
      <c r="BC111" s="1207" t="s">
        <v>252</v>
      </c>
      <c r="BD111" s="1207"/>
      <c r="BE111" s="1213"/>
    </row>
    <row r="112" spans="1:57" ht="15.75" customHeight="1">
      <c r="A112" s="1207"/>
      <c r="B112" s="2287" t="s">
        <v>2265</v>
      </c>
      <c r="C112" s="2288"/>
      <c r="D112" s="2288"/>
      <c r="E112" s="2288"/>
      <c r="F112" s="2288"/>
      <c r="G112" s="2288"/>
      <c r="H112" s="2288"/>
      <c r="I112" s="2288"/>
      <c r="J112" s="2288"/>
      <c r="K112" s="2288"/>
      <c r="L112" s="2288"/>
      <c r="M112" s="2288"/>
      <c r="N112" s="2288"/>
      <c r="O112" s="2288"/>
      <c r="P112" s="2288"/>
      <c r="Q112" s="2288"/>
      <c r="R112" s="2288"/>
      <c r="S112" s="2288"/>
      <c r="T112" s="2288"/>
      <c r="U112" s="2288"/>
      <c r="V112" s="2288"/>
      <c r="W112" s="2288"/>
      <c r="X112" s="2288"/>
      <c r="Y112" s="2288"/>
      <c r="Z112" s="2288"/>
      <c r="AA112" s="2288"/>
      <c r="AB112" s="2288"/>
      <c r="AC112" s="2288"/>
      <c r="AD112" s="2288"/>
      <c r="AE112" s="2288"/>
      <c r="AF112" s="2288"/>
      <c r="AG112" s="2288"/>
      <c r="AH112" s="2288"/>
      <c r="AI112" s="2288"/>
      <c r="AJ112" s="2288"/>
      <c r="AK112" s="2288"/>
      <c r="AL112" s="2288"/>
      <c r="AM112" s="2288"/>
      <c r="AN112" s="2288"/>
      <c r="AO112" s="2288"/>
      <c r="AP112" s="2288"/>
      <c r="AQ112" s="2288"/>
      <c r="AR112" s="2288"/>
      <c r="AS112" s="2288"/>
      <c r="AT112" s="2288"/>
      <c r="AU112" s="2288"/>
      <c r="AV112" s="2288"/>
      <c r="AW112" s="2288"/>
      <c r="AX112" s="2289"/>
      <c r="AY112" s="1207"/>
      <c r="AZ112" s="1207"/>
      <c r="BA112" s="1207"/>
      <c r="BB112" s="1207"/>
      <c r="BC112" s="1207"/>
      <c r="BD112" s="1207"/>
      <c r="BE112" s="1213"/>
    </row>
    <row r="113" spans="1:57" ht="15.75" customHeight="1">
      <c r="A113" s="1207"/>
      <c r="B113" s="2287"/>
      <c r="C113" s="2288"/>
      <c r="D113" s="2288"/>
      <c r="E113" s="2288"/>
      <c r="F113" s="2288"/>
      <c r="G113" s="2288"/>
      <c r="H113" s="2288"/>
      <c r="I113" s="2288"/>
      <c r="J113" s="2288"/>
      <c r="K113" s="2288"/>
      <c r="L113" s="2288"/>
      <c r="M113" s="2288"/>
      <c r="N113" s="2288"/>
      <c r="O113" s="2288"/>
      <c r="P113" s="2288"/>
      <c r="Q113" s="2288"/>
      <c r="R113" s="2288"/>
      <c r="S113" s="2288"/>
      <c r="T113" s="2288"/>
      <c r="U113" s="2288"/>
      <c r="V113" s="2288"/>
      <c r="W113" s="2288"/>
      <c r="X113" s="2288"/>
      <c r="Y113" s="2288"/>
      <c r="Z113" s="2288"/>
      <c r="AA113" s="2288"/>
      <c r="AB113" s="2288"/>
      <c r="AC113" s="2288"/>
      <c r="AD113" s="2288"/>
      <c r="AE113" s="2288"/>
      <c r="AF113" s="2288"/>
      <c r="AG113" s="2288"/>
      <c r="AH113" s="2288"/>
      <c r="AI113" s="2288"/>
      <c r="AJ113" s="2288"/>
      <c r="AK113" s="2288"/>
      <c r="AL113" s="2288"/>
      <c r="AM113" s="2288"/>
      <c r="AN113" s="2288"/>
      <c r="AO113" s="2288"/>
      <c r="AP113" s="2288"/>
      <c r="AQ113" s="2288"/>
      <c r="AR113" s="2288"/>
      <c r="AS113" s="2288"/>
      <c r="AT113" s="2288"/>
      <c r="AU113" s="2288"/>
      <c r="AV113" s="2288"/>
      <c r="AW113" s="2288"/>
      <c r="AX113" s="2289"/>
      <c r="AY113" s="1207"/>
      <c r="AZ113" s="1207"/>
      <c r="BA113" s="1207"/>
      <c r="BB113" s="1207"/>
      <c r="BC113" s="1207"/>
      <c r="BD113" s="1207"/>
      <c r="BE113" s="1213"/>
    </row>
    <row r="114" spans="1:57" ht="15.75" customHeight="1">
      <c r="A114" s="1207"/>
      <c r="B114" s="2287"/>
      <c r="C114" s="2288"/>
      <c r="D114" s="2288"/>
      <c r="E114" s="2288"/>
      <c r="F114" s="2288"/>
      <c r="G114" s="2288"/>
      <c r="H114" s="2288"/>
      <c r="I114" s="2288"/>
      <c r="J114" s="2288"/>
      <c r="K114" s="2288"/>
      <c r="L114" s="2288"/>
      <c r="M114" s="2288"/>
      <c r="N114" s="2288"/>
      <c r="O114" s="2288"/>
      <c r="P114" s="2288"/>
      <c r="Q114" s="2288"/>
      <c r="R114" s="2288"/>
      <c r="S114" s="2288"/>
      <c r="T114" s="2288"/>
      <c r="U114" s="2288"/>
      <c r="V114" s="2288"/>
      <c r="W114" s="2288"/>
      <c r="X114" s="2288"/>
      <c r="Y114" s="2288"/>
      <c r="Z114" s="2288"/>
      <c r="AA114" s="2288"/>
      <c r="AB114" s="2288"/>
      <c r="AC114" s="2288"/>
      <c r="AD114" s="2288"/>
      <c r="AE114" s="2288"/>
      <c r="AF114" s="2288"/>
      <c r="AG114" s="2288"/>
      <c r="AH114" s="2288"/>
      <c r="AI114" s="2288"/>
      <c r="AJ114" s="2288"/>
      <c r="AK114" s="2288"/>
      <c r="AL114" s="2288"/>
      <c r="AM114" s="2288"/>
      <c r="AN114" s="2288"/>
      <c r="AO114" s="2288"/>
      <c r="AP114" s="2288"/>
      <c r="AQ114" s="2288"/>
      <c r="AR114" s="2288"/>
      <c r="AS114" s="2288"/>
      <c r="AT114" s="2288"/>
      <c r="AU114" s="2288"/>
      <c r="AV114" s="2288"/>
      <c r="AW114" s="2288"/>
      <c r="AX114" s="2289"/>
      <c r="AY114" s="1207"/>
      <c r="AZ114" s="1207"/>
      <c r="BA114" s="1207"/>
      <c r="BB114" s="1207"/>
      <c r="BC114" s="1207"/>
      <c r="BD114" s="1207"/>
      <c r="BE114" s="1213"/>
    </row>
    <row r="115" spans="1:57" ht="15.75" customHeight="1">
      <c r="A115" s="1207"/>
      <c r="B115" s="2287"/>
      <c r="C115" s="2288"/>
      <c r="D115" s="2288"/>
      <c r="E115" s="2288"/>
      <c r="F115" s="2288"/>
      <c r="G115" s="2288"/>
      <c r="H115" s="2288"/>
      <c r="I115" s="2288"/>
      <c r="J115" s="2288"/>
      <c r="K115" s="2288"/>
      <c r="L115" s="2288"/>
      <c r="M115" s="2288"/>
      <c r="N115" s="2288"/>
      <c r="O115" s="2288"/>
      <c r="P115" s="2288"/>
      <c r="Q115" s="2288"/>
      <c r="R115" s="2288"/>
      <c r="S115" s="2288"/>
      <c r="T115" s="2288"/>
      <c r="U115" s="2288"/>
      <c r="V115" s="2288"/>
      <c r="W115" s="2288"/>
      <c r="X115" s="2288"/>
      <c r="Y115" s="2288"/>
      <c r="Z115" s="2288"/>
      <c r="AA115" s="2288"/>
      <c r="AB115" s="2288"/>
      <c r="AC115" s="2288"/>
      <c r="AD115" s="2288"/>
      <c r="AE115" s="2288"/>
      <c r="AF115" s="2288"/>
      <c r="AG115" s="2288"/>
      <c r="AH115" s="2288"/>
      <c r="AI115" s="2288"/>
      <c r="AJ115" s="2288"/>
      <c r="AK115" s="2288"/>
      <c r="AL115" s="2288"/>
      <c r="AM115" s="2288"/>
      <c r="AN115" s="2288"/>
      <c r="AO115" s="2288"/>
      <c r="AP115" s="2288"/>
      <c r="AQ115" s="2288"/>
      <c r="AR115" s="2288"/>
      <c r="AS115" s="2288"/>
      <c r="AT115" s="2288"/>
      <c r="AU115" s="2288"/>
      <c r="AV115" s="2288"/>
      <c r="AW115" s="2288"/>
      <c r="AX115" s="2289"/>
      <c r="AY115" s="1207"/>
      <c r="AZ115" s="1207"/>
      <c r="BA115" s="1207"/>
      <c r="BB115" s="1207"/>
      <c r="BC115" s="1207"/>
      <c r="BD115" s="1207"/>
      <c r="BE115" s="1213"/>
    </row>
    <row r="116" spans="1:57" ht="15.75" customHeight="1">
      <c r="A116" s="1207"/>
      <c r="B116" s="2287"/>
      <c r="C116" s="2288"/>
      <c r="D116" s="2288"/>
      <c r="E116" s="2288"/>
      <c r="F116" s="2288"/>
      <c r="G116" s="2288"/>
      <c r="H116" s="2288"/>
      <c r="I116" s="2288"/>
      <c r="J116" s="2288"/>
      <c r="K116" s="2288"/>
      <c r="L116" s="2288"/>
      <c r="M116" s="2288"/>
      <c r="N116" s="2288"/>
      <c r="O116" s="2288"/>
      <c r="P116" s="2288"/>
      <c r="Q116" s="2288"/>
      <c r="R116" s="2288"/>
      <c r="S116" s="2288"/>
      <c r="T116" s="2288"/>
      <c r="U116" s="2288"/>
      <c r="V116" s="2288"/>
      <c r="W116" s="2288"/>
      <c r="X116" s="2288"/>
      <c r="Y116" s="2288"/>
      <c r="Z116" s="2288"/>
      <c r="AA116" s="2288"/>
      <c r="AB116" s="2288"/>
      <c r="AC116" s="2288"/>
      <c r="AD116" s="2288"/>
      <c r="AE116" s="2288"/>
      <c r="AF116" s="2288"/>
      <c r="AG116" s="2288"/>
      <c r="AH116" s="2288"/>
      <c r="AI116" s="2288"/>
      <c r="AJ116" s="2288"/>
      <c r="AK116" s="2288"/>
      <c r="AL116" s="2288"/>
      <c r="AM116" s="2288"/>
      <c r="AN116" s="2288"/>
      <c r="AO116" s="2288"/>
      <c r="AP116" s="2288"/>
      <c r="AQ116" s="2288"/>
      <c r="AR116" s="2288"/>
      <c r="AS116" s="2288"/>
      <c r="AT116" s="2288"/>
      <c r="AU116" s="2288"/>
      <c r="AV116" s="2288"/>
      <c r="AW116" s="2288"/>
      <c r="AX116" s="2289"/>
      <c r="AY116" s="1207"/>
      <c r="AZ116" s="1207"/>
      <c r="BA116" s="1207"/>
      <c r="BB116" s="1207"/>
      <c r="BC116" s="1207"/>
      <c r="BD116" s="1207"/>
      <c r="BE116" s="1213"/>
    </row>
    <row r="117" spans="1:57" ht="15.75" customHeight="1">
      <c r="A117" s="1207"/>
      <c r="B117" s="2287"/>
      <c r="C117" s="2288"/>
      <c r="D117" s="2288"/>
      <c r="E117" s="2288"/>
      <c r="F117" s="2288"/>
      <c r="G117" s="2288"/>
      <c r="H117" s="2288"/>
      <c r="I117" s="2288"/>
      <c r="J117" s="2288"/>
      <c r="K117" s="2288"/>
      <c r="L117" s="2288"/>
      <c r="M117" s="2288"/>
      <c r="N117" s="2288"/>
      <c r="O117" s="2288"/>
      <c r="P117" s="2288"/>
      <c r="Q117" s="2288"/>
      <c r="R117" s="2288"/>
      <c r="S117" s="2288"/>
      <c r="T117" s="2288"/>
      <c r="U117" s="2288"/>
      <c r="V117" s="2288"/>
      <c r="W117" s="2288"/>
      <c r="X117" s="2288"/>
      <c r="Y117" s="2288"/>
      <c r="Z117" s="2288"/>
      <c r="AA117" s="2288"/>
      <c r="AB117" s="2288"/>
      <c r="AC117" s="2288"/>
      <c r="AD117" s="2288"/>
      <c r="AE117" s="2288"/>
      <c r="AF117" s="2288"/>
      <c r="AG117" s="2288"/>
      <c r="AH117" s="2288"/>
      <c r="AI117" s="2288"/>
      <c r="AJ117" s="2288"/>
      <c r="AK117" s="2288"/>
      <c r="AL117" s="2288"/>
      <c r="AM117" s="2288"/>
      <c r="AN117" s="2288"/>
      <c r="AO117" s="2288"/>
      <c r="AP117" s="2288"/>
      <c r="AQ117" s="2288"/>
      <c r="AR117" s="2288"/>
      <c r="AS117" s="2288"/>
      <c r="AT117" s="2288"/>
      <c r="AU117" s="2288"/>
      <c r="AV117" s="2288"/>
      <c r="AW117" s="2288"/>
      <c r="AX117" s="2289"/>
      <c r="AY117" s="1207"/>
      <c r="AZ117" s="1207"/>
      <c r="BA117" s="1207"/>
      <c r="BB117" s="1207"/>
      <c r="BC117" s="1207"/>
      <c r="BD117" s="1207"/>
      <c r="BE117" s="1213"/>
    </row>
    <row r="118" spans="1:57" ht="15.75" customHeight="1">
      <c r="A118" s="1207"/>
      <c r="B118" s="2287"/>
      <c r="C118" s="2288"/>
      <c r="D118" s="2288"/>
      <c r="E118" s="2288"/>
      <c r="F118" s="2288"/>
      <c r="G118" s="2288"/>
      <c r="H118" s="2288"/>
      <c r="I118" s="2288"/>
      <c r="J118" s="2288"/>
      <c r="K118" s="2288"/>
      <c r="L118" s="2288"/>
      <c r="M118" s="2288"/>
      <c r="N118" s="2288"/>
      <c r="O118" s="2288"/>
      <c r="P118" s="2288"/>
      <c r="Q118" s="2288"/>
      <c r="R118" s="2288"/>
      <c r="S118" s="2288"/>
      <c r="T118" s="2288"/>
      <c r="U118" s="2288"/>
      <c r="V118" s="2288"/>
      <c r="W118" s="2288"/>
      <c r="X118" s="2288"/>
      <c r="Y118" s="2288"/>
      <c r="Z118" s="2288"/>
      <c r="AA118" s="2288"/>
      <c r="AB118" s="2288"/>
      <c r="AC118" s="2288"/>
      <c r="AD118" s="2288"/>
      <c r="AE118" s="2288"/>
      <c r="AF118" s="2288"/>
      <c r="AG118" s="2288"/>
      <c r="AH118" s="2288"/>
      <c r="AI118" s="2288"/>
      <c r="AJ118" s="2288"/>
      <c r="AK118" s="2288"/>
      <c r="AL118" s="2288"/>
      <c r="AM118" s="2288"/>
      <c r="AN118" s="2288"/>
      <c r="AO118" s="2288"/>
      <c r="AP118" s="2288"/>
      <c r="AQ118" s="2288"/>
      <c r="AR118" s="2288"/>
      <c r="AS118" s="2288"/>
      <c r="AT118" s="2288"/>
      <c r="AU118" s="2288"/>
      <c r="AV118" s="2288"/>
      <c r="AW118" s="2288"/>
      <c r="AX118" s="2289"/>
      <c r="AY118" s="1207"/>
      <c r="AZ118" s="1207"/>
      <c r="BA118" s="1207"/>
      <c r="BB118" s="1207"/>
      <c r="BC118" s="1207"/>
      <c r="BD118" s="1207"/>
      <c r="BE118" s="1213"/>
    </row>
    <row r="119" spans="1:57" ht="15.75" customHeight="1">
      <c r="A119" s="1207"/>
      <c r="B119" s="2287"/>
      <c r="C119" s="2288"/>
      <c r="D119" s="2288"/>
      <c r="E119" s="2288"/>
      <c r="F119" s="2288"/>
      <c r="G119" s="2288"/>
      <c r="H119" s="2288"/>
      <c r="I119" s="2288"/>
      <c r="J119" s="2288"/>
      <c r="K119" s="2288"/>
      <c r="L119" s="2288"/>
      <c r="M119" s="2288"/>
      <c r="N119" s="2288"/>
      <c r="O119" s="2288"/>
      <c r="P119" s="2288"/>
      <c r="Q119" s="2288"/>
      <c r="R119" s="2288"/>
      <c r="S119" s="2288"/>
      <c r="T119" s="2288"/>
      <c r="U119" s="2288"/>
      <c r="V119" s="2288"/>
      <c r="W119" s="2288"/>
      <c r="X119" s="2288"/>
      <c r="Y119" s="2288"/>
      <c r="Z119" s="2288"/>
      <c r="AA119" s="2288"/>
      <c r="AB119" s="2288"/>
      <c r="AC119" s="2288"/>
      <c r="AD119" s="2288"/>
      <c r="AE119" s="2288"/>
      <c r="AF119" s="2288"/>
      <c r="AG119" s="2288"/>
      <c r="AH119" s="2288"/>
      <c r="AI119" s="2288"/>
      <c r="AJ119" s="2288"/>
      <c r="AK119" s="2288"/>
      <c r="AL119" s="2288"/>
      <c r="AM119" s="2288"/>
      <c r="AN119" s="2288"/>
      <c r="AO119" s="2288"/>
      <c r="AP119" s="2288"/>
      <c r="AQ119" s="2288"/>
      <c r="AR119" s="2288"/>
      <c r="AS119" s="2288"/>
      <c r="AT119" s="2288"/>
      <c r="AU119" s="2288"/>
      <c r="AV119" s="2288"/>
      <c r="AW119" s="2288"/>
      <c r="AX119" s="2289"/>
      <c r="AY119" s="1207"/>
      <c r="AZ119" s="1207"/>
      <c r="BA119" s="1207"/>
      <c r="BB119" s="1207"/>
      <c r="BC119" s="1207"/>
      <c r="BD119" s="1207"/>
      <c r="BE119" s="1213"/>
    </row>
    <row r="120" spans="1:57" ht="15.75" customHeight="1">
      <c r="A120" s="1207"/>
      <c r="B120" s="2287"/>
      <c r="C120" s="2288"/>
      <c r="D120" s="2288"/>
      <c r="E120" s="2288"/>
      <c r="F120" s="2288"/>
      <c r="G120" s="2288"/>
      <c r="H120" s="2288"/>
      <c r="I120" s="2288"/>
      <c r="J120" s="2288"/>
      <c r="K120" s="2288"/>
      <c r="L120" s="2288"/>
      <c r="M120" s="2288"/>
      <c r="N120" s="2288"/>
      <c r="O120" s="2288"/>
      <c r="P120" s="2288"/>
      <c r="Q120" s="2288"/>
      <c r="R120" s="2288"/>
      <c r="S120" s="2288"/>
      <c r="T120" s="2288"/>
      <c r="U120" s="2288"/>
      <c r="V120" s="2288"/>
      <c r="W120" s="2288"/>
      <c r="X120" s="2288"/>
      <c r="Y120" s="2288"/>
      <c r="Z120" s="2288"/>
      <c r="AA120" s="2288"/>
      <c r="AB120" s="2288"/>
      <c r="AC120" s="2288"/>
      <c r="AD120" s="2288"/>
      <c r="AE120" s="2288"/>
      <c r="AF120" s="2288"/>
      <c r="AG120" s="2288"/>
      <c r="AH120" s="2288"/>
      <c r="AI120" s="2288"/>
      <c r="AJ120" s="2288"/>
      <c r="AK120" s="2288"/>
      <c r="AL120" s="2288"/>
      <c r="AM120" s="2288"/>
      <c r="AN120" s="2288"/>
      <c r="AO120" s="2288"/>
      <c r="AP120" s="2288"/>
      <c r="AQ120" s="2288"/>
      <c r="AR120" s="2288"/>
      <c r="AS120" s="2288"/>
      <c r="AT120" s="2288"/>
      <c r="AU120" s="2288"/>
      <c r="AV120" s="2288"/>
      <c r="AW120" s="2288"/>
      <c r="AX120" s="2289"/>
      <c r="AY120" s="1207"/>
      <c r="AZ120" s="1207"/>
      <c r="BA120" s="1207"/>
      <c r="BB120" s="1207"/>
      <c r="BC120" s="1207"/>
      <c r="BD120" s="1207"/>
      <c r="BE120" s="1213"/>
    </row>
    <row r="121" spans="1:57" ht="15.75" customHeight="1" thickBot="1">
      <c r="A121" s="1207"/>
      <c r="B121" s="2290"/>
      <c r="C121" s="2291"/>
      <c r="D121" s="2291"/>
      <c r="E121" s="2291"/>
      <c r="F121" s="2291"/>
      <c r="G121" s="2291"/>
      <c r="H121" s="2291"/>
      <c r="I121" s="2291"/>
      <c r="J121" s="2291"/>
      <c r="K121" s="2291"/>
      <c r="L121" s="2291"/>
      <c r="M121" s="2291"/>
      <c r="N121" s="2291"/>
      <c r="O121" s="2291"/>
      <c r="P121" s="2291"/>
      <c r="Q121" s="2291"/>
      <c r="R121" s="2291"/>
      <c r="S121" s="2291"/>
      <c r="T121" s="2291"/>
      <c r="U121" s="2291"/>
      <c r="V121" s="2291"/>
      <c r="W121" s="2291"/>
      <c r="X121" s="2291"/>
      <c r="Y121" s="2291"/>
      <c r="Z121" s="2291"/>
      <c r="AA121" s="2291"/>
      <c r="AB121" s="2291"/>
      <c r="AC121" s="2291"/>
      <c r="AD121" s="2291"/>
      <c r="AE121" s="2291"/>
      <c r="AF121" s="2291"/>
      <c r="AG121" s="2291"/>
      <c r="AH121" s="2291"/>
      <c r="AI121" s="2291"/>
      <c r="AJ121" s="2291"/>
      <c r="AK121" s="2291"/>
      <c r="AL121" s="2291"/>
      <c r="AM121" s="2291"/>
      <c r="AN121" s="2291"/>
      <c r="AO121" s="2291"/>
      <c r="AP121" s="2291"/>
      <c r="AQ121" s="2291"/>
      <c r="AR121" s="2291"/>
      <c r="AS121" s="2291"/>
      <c r="AT121" s="2291"/>
      <c r="AU121" s="2291"/>
      <c r="AV121" s="2291"/>
      <c r="AW121" s="2291"/>
      <c r="AX121" s="2292"/>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3" t="s">
        <v>1908</v>
      </c>
      <c r="C125" s="2239"/>
      <c r="D125" s="2239"/>
      <c r="E125" s="2239"/>
      <c r="F125" s="2239"/>
      <c r="G125" s="2239"/>
      <c r="H125" s="2239"/>
      <c r="I125" s="2239"/>
      <c r="J125" s="2239"/>
      <c r="K125" s="2239"/>
      <c r="L125" s="2239"/>
      <c r="M125" s="2239"/>
      <c r="N125" s="2239"/>
      <c r="O125" s="2239"/>
      <c r="P125" s="2239"/>
      <c r="Q125" s="2239"/>
      <c r="R125" s="2239"/>
      <c r="S125" s="2239"/>
      <c r="T125" s="2239"/>
      <c r="U125" s="2240"/>
      <c r="V125" s="1207"/>
      <c r="W125" s="1209"/>
      <c r="X125" s="2273" t="s">
        <v>2267</v>
      </c>
      <c r="Y125" s="2239"/>
      <c r="Z125" s="2239"/>
      <c r="AA125" s="2239"/>
      <c r="AB125" s="2239"/>
      <c r="AC125" s="2239"/>
      <c r="AD125" s="2239"/>
      <c r="AE125" s="2239"/>
      <c r="AF125" s="2239"/>
      <c r="AG125" s="2239"/>
      <c r="AH125" s="2239"/>
      <c r="AI125" s="2239"/>
      <c r="AJ125" s="2239"/>
      <c r="AK125" s="2239"/>
      <c r="AL125" s="2239"/>
      <c r="AM125" s="2239"/>
      <c r="AN125" s="2239"/>
      <c r="AO125" s="2239"/>
      <c r="AP125" s="2239"/>
      <c r="AQ125" s="2240"/>
      <c r="AR125" s="1207"/>
      <c r="AS125" s="1207"/>
      <c r="AT125" s="1207"/>
      <c r="AU125" s="1207"/>
      <c r="AV125" s="1207"/>
      <c r="AW125" s="1207"/>
      <c r="AX125" s="1207"/>
      <c r="AY125" s="1207"/>
      <c r="AZ125" s="1207"/>
      <c r="BA125" s="1207"/>
      <c r="BB125" s="1207"/>
      <c r="BC125" s="1207"/>
      <c r="BD125" s="1207"/>
      <c r="BE125" s="1213"/>
    </row>
    <row r="126" spans="1:57" ht="15.75" customHeight="1">
      <c r="A126" s="1207"/>
      <c r="B126" s="2247"/>
      <c r="C126" s="2248"/>
      <c r="D126" s="2248"/>
      <c r="E126" s="2248"/>
      <c r="F126" s="2248"/>
      <c r="G126" s="2248"/>
      <c r="H126" s="2248"/>
      <c r="I126" s="2279" t="s">
        <v>1897</v>
      </c>
      <c r="J126" s="2279"/>
      <c r="K126" s="2279"/>
      <c r="L126" s="2279"/>
      <c r="M126" s="2279"/>
      <c r="N126" s="2279"/>
      <c r="O126" s="2279"/>
      <c r="P126" s="2279" t="s">
        <v>2268</v>
      </c>
      <c r="Q126" s="2279"/>
      <c r="R126" s="2279"/>
      <c r="S126" s="2279"/>
      <c r="T126" s="2279"/>
      <c r="U126" s="2280"/>
      <c r="V126" s="1207"/>
      <c r="W126" s="1207"/>
      <c r="X126" s="2247"/>
      <c r="Y126" s="2248"/>
      <c r="Z126" s="2248"/>
      <c r="AA126" s="2248"/>
      <c r="AB126" s="2248"/>
      <c r="AC126" s="2248"/>
      <c r="AD126" s="2248"/>
      <c r="AE126" s="2279" t="s">
        <v>1897</v>
      </c>
      <c r="AF126" s="2279"/>
      <c r="AG126" s="2279"/>
      <c r="AH126" s="2279"/>
      <c r="AI126" s="2279"/>
      <c r="AJ126" s="2279"/>
      <c r="AK126" s="2279"/>
      <c r="AL126" s="2279" t="s">
        <v>2262</v>
      </c>
      <c r="AM126" s="2279"/>
      <c r="AN126" s="2279"/>
      <c r="AO126" s="2279"/>
      <c r="AP126" s="2279"/>
      <c r="AQ126" s="2280"/>
      <c r="AR126" s="1207"/>
      <c r="AS126" s="1207"/>
      <c r="AT126" s="1207"/>
      <c r="AU126" s="1207"/>
      <c r="AV126" s="1207"/>
      <c r="AW126" s="1207"/>
      <c r="AX126" s="1207"/>
      <c r="AY126" s="1207"/>
      <c r="AZ126" s="1207"/>
      <c r="BA126" s="1207"/>
      <c r="BB126" s="1207"/>
      <c r="BC126" s="1207"/>
      <c r="BD126" s="1207"/>
      <c r="BE126" s="1213"/>
    </row>
    <row r="127" spans="1:57" ht="15.75" customHeight="1">
      <c r="A127" s="1207"/>
      <c r="B127" s="2247"/>
      <c r="C127" s="2248"/>
      <c r="D127" s="2248"/>
      <c r="E127" s="2248"/>
      <c r="F127" s="2248"/>
      <c r="G127" s="2248"/>
      <c r="H127" s="2248"/>
      <c r="I127" s="2279"/>
      <c r="J127" s="2279"/>
      <c r="K127" s="2279"/>
      <c r="L127" s="2279"/>
      <c r="M127" s="2279"/>
      <c r="N127" s="2279"/>
      <c r="O127" s="2279"/>
      <c r="P127" s="2279"/>
      <c r="Q127" s="2279"/>
      <c r="R127" s="2279"/>
      <c r="S127" s="2279"/>
      <c r="T127" s="2279"/>
      <c r="U127" s="2280"/>
      <c r="V127" s="1207"/>
      <c r="W127" s="1207"/>
      <c r="X127" s="2247"/>
      <c r="Y127" s="2248"/>
      <c r="Z127" s="2248"/>
      <c r="AA127" s="2248"/>
      <c r="AB127" s="2248"/>
      <c r="AC127" s="2248"/>
      <c r="AD127" s="2248"/>
      <c r="AE127" s="2279"/>
      <c r="AF127" s="2279"/>
      <c r="AG127" s="2279"/>
      <c r="AH127" s="2279"/>
      <c r="AI127" s="2279"/>
      <c r="AJ127" s="2279"/>
      <c r="AK127" s="2279"/>
      <c r="AL127" s="2279"/>
      <c r="AM127" s="2279"/>
      <c r="AN127" s="2279"/>
      <c r="AO127" s="2279"/>
      <c r="AP127" s="2279"/>
      <c r="AQ127" s="228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5" t="s">
        <v>2250</v>
      </c>
      <c r="C128" s="2276"/>
      <c r="D128" s="2276"/>
      <c r="E128" s="2276"/>
      <c r="F128" s="2276"/>
      <c r="G128" s="2276"/>
      <c r="H128" s="2276"/>
      <c r="I128" s="2277">
        <v>0</v>
      </c>
      <c r="J128" s="2277"/>
      <c r="K128" s="2277"/>
      <c r="L128" s="2277"/>
      <c r="M128" s="2277"/>
      <c r="N128" s="2277"/>
      <c r="O128" s="2277"/>
      <c r="P128" s="2277">
        <v>0</v>
      </c>
      <c r="Q128" s="2277"/>
      <c r="R128" s="2277"/>
      <c r="S128" s="2277"/>
      <c r="T128" s="2277"/>
      <c r="U128" s="2278"/>
      <c r="V128" s="1207"/>
      <c r="W128" s="1207"/>
      <c r="X128" s="2269" t="s">
        <v>2250</v>
      </c>
      <c r="Y128" s="2270"/>
      <c r="Z128" s="2270"/>
      <c r="AA128" s="2270"/>
      <c r="AB128" s="2270"/>
      <c r="AC128" s="2270"/>
      <c r="AD128" s="2270"/>
      <c r="AE128" s="2271">
        <v>0</v>
      </c>
      <c r="AF128" s="2271"/>
      <c r="AG128" s="2271"/>
      <c r="AH128" s="2271"/>
      <c r="AI128" s="2271"/>
      <c r="AJ128" s="2271"/>
      <c r="AK128" s="2271"/>
      <c r="AL128" s="2271">
        <v>0</v>
      </c>
      <c r="AM128" s="2271"/>
      <c r="AN128" s="2271"/>
      <c r="AO128" s="2271"/>
      <c r="AP128" s="2271"/>
      <c r="AQ128" s="227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69" t="s">
        <v>2251</v>
      </c>
      <c r="C129" s="2270"/>
      <c r="D129" s="2270"/>
      <c r="E129" s="2270"/>
      <c r="F129" s="2270"/>
      <c r="G129" s="2270"/>
      <c r="H129" s="2270"/>
      <c r="I129" s="2271">
        <v>0</v>
      </c>
      <c r="J129" s="2271"/>
      <c r="K129" s="2271"/>
      <c r="L129" s="2271"/>
      <c r="M129" s="2271"/>
      <c r="N129" s="2271"/>
      <c r="O129" s="2271"/>
      <c r="P129" s="2271">
        <v>0</v>
      </c>
      <c r="Q129" s="2271"/>
      <c r="R129" s="2271"/>
      <c r="S129" s="2271"/>
      <c r="T129" s="2271"/>
      <c r="U129" s="227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3" t="s">
        <v>2252</v>
      </c>
      <c r="D131" s="2239"/>
      <c r="E131" s="2239"/>
      <c r="F131" s="2239"/>
      <c r="G131" s="2239"/>
      <c r="H131" s="2239"/>
      <c r="I131" s="2239"/>
      <c r="J131" s="2239"/>
      <c r="K131" s="2239"/>
      <c r="L131" s="2239"/>
      <c r="M131" s="2239"/>
      <c r="N131" s="2239"/>
      <c r="O131" s="2239"/>
      <c r="P131" s="2239"/>
      <c r="Q131" s="2239"/>
      <c r="R131" s="2239"/>
      <c r="S131" s="2239"/>
      <c r="T131" s="2239"/>
      <c r="U131" s="2239"/>
      <c r="V131" s="2239"/>
      <c r="W131" s="2239"/>
      <c r="X131" s="2239"/>
      <c r="Y131" s="2239"/>
      <c r="Z131" s="2239"/>
      <c r="AA131" s="2239"/>
      <c r="AB131" s="2239"/>
      <c r="AC131" s="2239"/>
      <c r="AD131" s="2239"/>
      <c r="AE131" s="2239"/>
      <c r="AF131" s="2239"/>
      <c r="AG131" s="2240"/>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47" t="s">
        <v>1909</v>
      </c>
      <c r="D132" s="2248"/>
      <c r="E132" s="2248"/>
      <c r="F132" s="2248"/>
      <c r="G132" s="2248"/>
      <c r="H132" s="2248"/>
      <c r="I132" s="2248"/>
      <c r="J132" s="2248"/>
      <c r="K132" s="2248"/>
      <c r="L132" s="2248"/>
      <c r="M132" s="2248"/>
      <c r="N132" s="2248"/>
      <c r="O132" s="2248"/>
      <c r="P132" s="2248"/>
      <c r="Q132" s="2248" t="s">
        <v>1910</v>
      </c>
      <c r="R132" s="2248"/>
      <c r="S132" s="2248"/>
      <c r="T132" s="2274" t="s">
        <v>2253</v>
      </c>
      <c r="U132" s="2274"/>
      <c r="V132" s="2274"/>
      <c r="W132" s="2274"/>
      <c r="X132" s="2274"/>
      <c r="Y132" s="2274"/>
      <c r="Z132" s="2274"/>
      <c r="AA132" s="2274"/>
      <c r="AB132" s="2248" t="s">
        <v>1911</v>
      </c>
      <c r="AC132" s="2248"/>
      <c r="AD132" s="2248"/>
      <c r="AE132" s="2248"/>
      <c r="AF132" s="2248"/>
      <c r="AG132" s="2249"/>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56" t="s">
        <v>1912</v>
      </c>
      <c r="D133" s="2257"/>
      <c r="E133" s="2257"/>
      <c r="F133" s="2257"/>
      <c r="G133" s="2257"/>
      <c r="H133" s="2257"/>
      <c r="I133" s="2257"/>
      <c r="J133" s="2257"/>
      <c r="K133" s="2257"/>
      <c r="L133" s="2257"/>
      <c r="M133" s="2257"/>
      <c r="N133" s="2257"/>
      <c r="O133" s="2257"/>
      <c r="P133" s="2257"/>
      <c r="Q133" s="2204">
        <v>55</v>
      </c>
      <c r="R133" s="2204"/>
      <c r="S133" s="2204"/>
      <c r="T133" s="2241"/>
      <c r="U133" s="2241"/>
      <c r="V133" s="2241"/>
      <c r="W133" s="2241"/>
      <c r="X133" s="2241"/>
      <c r="Y133" s="2241"/>
      <c r="Z133" s="2241"/>
      <c r="AA133" s="2241"/>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56" t="s">
        <v>1913</v>
      </c>
      <c r="D134" s="2257"/>
      <c r="E134" s="2257"/>
      <c r="F134" s="2257"/>
      <c r="G134" s="2257"/>
      <c r="H134" s="2257"/>
      <c r="I134" s="2257"/>
      <c r="J134" s="2257"/>
      <c r="K134" s="2257"/>
      <c r="L134" s="2257"/>
      <c r="M134" s="2257"/>
      <c r="N134" s="2257"/>
      <c r="O134" s="2257"/>
      <c r="P134" s="2257"/>
      <c r="Q134" s="2204">
        <v>55</v>
      </c>
      <c r="R134" s="2204"/>
      <c r="S134" s="2204"/>
      <c r="T134" s="2259"/>
      <c r="U134" s="2259"/>
      <c r="V134" s="2259"/>
      <c r="W134" s="2259"/>
      <c r="X134" s="2259"/>
      <c r="Y134" s="2259"/>
      <c r="Z134" s="2259"/>
      <c r="AA134" s="2259"/>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56" t="s">
        <v>1914</v>
      </c>
      <c r="D135" s="2257"/>
      <c r="E135" s="2257"/>
      <c r="F135" s="2257"/>
      <c r="G135" s="2257"/>
      <c r="H135" s="2257"/>
      <c r="I135" s="2257"/>
      <c r="J135" s="2257"/>
      <c r="K135" s="2257"/>
      <c r="L135" s="2257"/>
      <c r="M135" s="2257"/>
      <c r="N135" s="2257"/>
      <c r="O135" s="2257"/>
      <c r="P135" s="2257"/>
      <c r="Q135" s="2204">
        <v>55</v>
      </c>
      <c r="R135" s="2204"/>
      <c r="S135" s="2204"/>
      <c r="T135" s="2241"/>
      <c r="U135" s="2241"/>
      <c r="V135" s="2241"/>
      <c r="W135" s="2241"/>
      <c r="X135" s="2241"/>
      <c r="Y135" s="2241"/>
      <c r="Z135" s="2241"/>
      <c r="AA135" s="2241"/>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56" t="s">
        <v>1882</v>
      </c>
      <c r="D136" s="2257"/>
      <c r="E136" s="2257"/>
      <c r="F136" s="2257"/>
      <c r="G136" s="2257"/>
      <c r="H136" s="2257"/>
      <c r="I136" s="2257"/>
      <c r="J136" s="2257"/>
      <c r="K136" s="2257"/>
      <c r="L136" s="2257"/>
      <c r="M136" s="2257"/>
      <c r="N136" s="2257"/>
      <c r="O136" s="2257"/>
      <c r="P136" s="2257"/>
      <c r="Q136" s="2204">
        <v>55</v>
      </c>
      <c r="R136" s="2204"/>
      <c r="S136" s="2204"/>
      <c r="T136" s="2241"/>
      <c r="U136" s="2241"/>
      <c r="V136" s="2241"/>
      <c r="W136" s="2241"/>
      <c r="X136" s="2241"/>
      <c r="Y136" s="2241"/>
      <c r="Z136" s="2241"/>
      <c r="AA136" s="2241"/>
      <c r="AB136" s="2260">
        <v>0</v>
      </c>
      <c r="AC136" s="2260"/>
      <c r="AD136" s="2260"/>
      <c r="AE136" s="2260"/>
      <c r="AF136" s="2260"/>
      <c r="AG136" s="2261"/>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56" t="s">
        <v>171</v>
      </c>
      <c r="D137" s="2257"/>
      <c r="E137" s="2257"/>
      <c r="F137" s="2258" t="s">
        <v>1915</v>
      </c>
      <c r="G137" s="2258"/>
      <c r="H137" s="2258"/>
      <c r="I137" s="2258"/>
      <c r="J137" s="2258"/>
      <c r="K137" s="2258"/>
      <c r="L137" s="2258"/>
      <c r="M137" s="2258"/>
      <c r="N137" s="2258"/>
      <c r="O137" s="2258"/>
      <c r="P137" s="2258"/>
      <c r="Q137" s="2204">
        <v>55</v>
      </c>
      <c r="R137" s="2204"/>
      <c r="S137" s="2204"/>
      <c r="T137" s="2259"/>
      <c r="U137" s="2259"/>
      <c r="V137" s="2259"/>
      <c r="W137" s="2259"/>
      <c r="X137" s="2259"/>
      <c r="Y137" s="2259"/>
      <c r="Z137" s="2259"/>
      <c r="AA137" s="2259"/>
      <c r="AB137" s="2260">
        <v>0</v>
      </c>
      <c r="AC137" s="2260"/>
      <c r="AD137" s="2260"/>
      <c r="AE137" s="2260"/>
      <c r="AF137" s="2260"/>
      <c r="AG137" s="2261"/>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56" t="s">
        <v>171</v>
      </c>
      <c r="D138" s="2257"/>
      <c r="E138" s="2257"/>
      <c r="F138" s="2258" t="s">
        <v>1915</v>
      </c>
      <c r="G138" s="2258"/>
      <c r="H138" s="2258"/>
      <c r="I138" s="2258"/>
      <c r="J138" s="2258"/>
      <c r="K138" s="2258"/>
      <c r="L138" s="2258"/>
      <c r="M138" s="2258"/>
      <c r="N138" s="2258"/>
      <c r="O138" s="2258"/>
      <c r="P138" s="2258"/>
      <c r="Q138" s="2204">
        <v>55</v>
      </c>
      <c r="R138" s="2204"/>
      <c r="S138" s="2204"/>
      <c r="T138" s="2259"/>
      <c r="U138" s="2259"/>
      <c r="V138" s="2259"/>
      <c r="W138" s="2259"/>
      <c r="X138" s="2259"/>
      <c r="Y138" s="2259"/>
      <c r="Z138" s="2259"/>
      <c r="AA138" s="2259"/>
      <c r="AB138" s="2260">
        <v>0</v>
      </c>
      <c r="AC138" s="2260"/>
      <c r="AD138" s="2260"/>
      <c r="AE138" s="2260"/>
      <c r="AF138" s="2260"/>
      <c r="AG138" s="2261"/>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2" t="s">
        <v>171</v>
      </c>
      <c r="D139" s="2263"/>
      <c r="E139" s="2263"/>
      <c r="F139" s="2264" t="s">
        <v>1915</v>
      </c>
      <c r="G139" s="2264"/>
      <c r="H139" s="2264"/>
      <c r="I139" s="2264"/>
      <c r="J139" s="2264"/>
      <c r="K139" s="2264"/>
      <c r="L139" s="2264"/>
      <c r="M139" s="2264"/>
      <c r="N139" s="2264"/>
      <c r="O139" s="2264"/>
      <c r="P139" s="2264"/>
      <c r="Q139" s="2265">
        <v>55</v>
      </c>
      <c r="R139" s="2265"/>
      <c r="S139" s="2265"/>
      <c r="T139" s="2266"/>
      <c r="U139" s="2266"/>
      <c r="V139" s="2266"/>
      <c r="W139" s="2266"/>
      <c r="X139" s="2266"/>
      <c r="Y139" s="2266"/>
      <c r="Z139" s="2266"/>
      <c r="AA139" s="2266"/>
      <c r="AB139" s="2267">
        <v>0</v>
      </c>
      <c r="AC139" s="2267"/>
      <c r="AD139" s="2267"/>
      <c r="AE139" s="2267"/>
      <c r="AF139" s="2267"/>
      <c r="AG139" s="2268"/>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37" t="s">
        <v>1916</v>
      </c>
      <c r="D141" s="2238"/>
      <c r="E141" s="2238"/>
      <c r="F141" s="2238"/>
      <c r="G141" s="2238"/>
      <c r="H141" s="2238"/>
      <c r="I141" s="2238"/>
      <c r="J141" s="2238"/>
      <c r="K141" s="2238"/>
      <c r="L141" s="2238"/>
      <c r="M141" s="2238"/>
      <c r="N141" s="2243"/>
      <c r="O141" s="1207"/>
      <c r="P141" s="2244" t="s">
        <v>1917</v>
      </c>
      <c r="Q141" s="2245"/>
      <c r="R141" s="2245"/>
      <c r="S141" s="2245"/>
      <c r="T141" s="2245"/>
      <c r="U141" s="2245"/>
      <c r="V141" s="2245"/>
      <c r="W141" s="2245"/>
      <c r="X141" s="2245"/>
      <c r="Y141" s="2245"/>
      <c r="Z141" s="2245"/>
      <c r="AA141" s="2245"/>
      <c r="AB141" s="2245"/>
      <c r="AC141" s="2245"/>
      <c r="AD141" s="2245"/>
      <c r="AE141" s="2245"/>
      <c r="AF141" s="2245"/>
      <c r="AG141" s="2245"/>
      <c r="AH141" s="2245"/>
      <c r="AI141" s="2245"/>
      <c r="AJ141" s="2245"/>
      <c r="AK141" s="2245"/>
      <c r="AL141" s="2245"/>
      <c r="AM141" s="2245"/>
      <c r="AN141" s="2245"/>
      <c r="AO141" s="2246"/>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47" t="s">
        <v>1918</v>
      </c>
      <c r="D142" s="2248"/>
      <c r="E142" s="2248"/>
      <c r="F142" s="2248"/>
      <c r="G142" s="2248"/>
      <c r="H142" s="2248"/>
      <c r="I142" s="2248" t="s">
        <v>1919</v>
      </c>
      <c r="J142" s="2248"/>
      <c r="K142" s="2248"/>
      <c r="L142" s="2248"/>
      <c r="M142" s="2248"/>
      <c r="N142" s="2249"/>
      <c r="O142" s="1207"/>
      <c r="P142" s="2250" t="s">
        <v>2261</v>
      </c>
      <c r="Q142" s="2251"/>
      <c r="R142" s="2251"/>
      <c r="S142" s="2251"/>
      <c r="T142" s="2251"/>
      <c r="U142" s="2251"/>
      <c r="V142" s="2251"/>
      <c r="W142" s="2251"/>
      <c r="X142" s="2251"/>
      <c r="Y142" s="2251"/>
      <c r="Z142" s="2251"/>
      <c r="AA142" s="2251"/>
      <c r="AB142" s="2251"/>
      <c r="AC142" s="2251"/>
      <c r="AD142" s="2251"/>
      <c r="AE142" s="2251"/>
      <c r="AF142" s="2251"/>
      <c r="AG142" s="2251"/>
      <c r="AH142" s="2251"/>
      <c r="AI142" s="2251"/>
      <c r="AJ142" s="2251"/>
      <c r="AK142" s="2251"/>
      <c r="AL142" s="2251"/>
      <c r="AM142" s="2251"/>
      <c r="AN142" s="2251"/>
      <c r="AO142" s="2252"/>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197"/>
      <c r="D143" s="2198"/>
      <c r="E143" s="2198"/>
      <c r="F143" s="2198"/>
      <c r="G143" s="2198"/>
      <c r="H143" s="2198"/>
      <c r="I143" s="2241"/>
      <c r="J143" s="2241"/>
      <c r="K143" s="2241"/>
      <c r="L143" s="2241"/>
      <c r="M143" s="2241"/>
      <c r="N143" s="2242"/>
      <c r="O143" s="1207"/>
      <c r="P143" s="2250"/>
      <c r="Q143" s="2251"/>
      <c r="R143" s="2251"/>
      <c r="S143" s="2251"/>
      <c r="T143" s="2251"/>
      <c r="U143" s="2251"/>
      <c r="V143" s="2251"/>
      <c r="W143" s="2251"/>
      <c r="X143" s="2251"/>
      <c r="Y143" s="2251"/>
      <c r="Z143" s="2251"/>
      <c r="AA143" s="2251"/>
      <c r="AB143" s="2251"/>
      <c r="AC143" s="2251"/>
      <c r="AD143" s="2251"/>
      <c r="AE143" s="2251"/>
      <c r="AF143" s="2251"/>
      <c r="AG143" s="2251"/>
      <c r="AH143" s="2251"/>
      <c r="AI143" s="2251"/>
      <c r="AJ143" s="2251"/>
      <c r="AK143" s="2251"/>
      <c r="AL143" s="2251"/>
      <c r="AM143" s="2251"/>
      <c r="AN143" s="2251"/>
      <c r="AO143" s="2252"/>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197"/>
      <c r="D144" s="2198"/>
      <c r="E144" s="2198"/>
      <c r="F144" s="2198"/>
      <c r="G144" s="2198"/>
      <c r="H144" s="2198"/>
      <c r="I144" s="2241"/>
      <c r="J144" s="2241"/>
      <c r="K144" s="2241"/>
      <c r="L144" s="2241"/>
      <c r="M144" s="2241"/>
      <c r="N144" s="2242"/>
      <c r="O144" s="1207"/>
      <c r="P144" s="2250"/>
      <c r="Q144" s="2251"/>
      <c r="R144" s="2251"/>
      <c r="S144" s="2251"/>
      <c r="T144" s="2251"/>
      <c r="U144" s="2251"/>
      <c r="V144" s="2251"/>
      <c r="W144" s="2251"/>
      <c r="X144" s="2251"/>
      <c r="Y144" s="2251"/>
      <c r="Z144" s="2251"/>
      <c r="AA144" s="2251"/>
      <c r="AB144" s="2251"/>
      <c r="AC144" s="2251"/>
      <c r="AD144" s="2251"/>
      <c r="AE144" s="2251"/>
      <c r="AF144" s="2251"/>
      <c r="AG144" s="2251"/>
      <c r="AH144" s="2251"/>
      <c r="AI144" s="2251"/>
      <c r="AJ144" s="2251"/>
      <c r="AK144" s="2251"/>
      <c r="AL144" s="2251"/>
      <c r="AM144" s="2251"/>
      <c r="AN144" s="2251"/>
      <c r="AO144" s="2252"/>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197"/>
      <c r="D145" s="2198"/>
      <c r="E145" s="2198"/>
      <c r="F145" s="2198"/>
      <c r="G145" s="2198"/>
      <c r="H145" s="2198"/>
      <c r="I145" s="2241"/>
      <c r="J145" s="2241"/>
      <c r="K145" s="2241"/>
      <c r="L145" s="2241"/>
      <c r="M145" s="2241"/>
      <c r="N145" s="2242"/>
      <c r="O145" s="1207"/>
      <c r="P145" s="2250"/>
      <c r="Q145" s="2251"/>
      <c r="R145" s="2251"/>
      <c r="S145" s="2251"/>
      <c r="T145" s="2251"/>
      <c r="U145" s="2251"/>
      <c r="V145" s="2251"/>
      <c r="W145" s="2251"/>
      <c r="X145" s="2251"/>
      <c r="Y145" s="2251"/>
      <c r="Z145" s="2251"/>
      <c r="AA145" s="2251"/>
      <c r="AB145" s="2251"/>
      <c r="AC145" s="2251"/>
      <c r="AD145" s="2251"/>
      <c r="AE145" s="2251"/>
      <c r="AF145" s="2251"/>
      <c r="AG145" s="2251"/>
      <c r="AH145" s="2251"/>
      <c r="AI145" s="2251"/>
      <c r="AJ145" s="2251"/>
      <c r="AK145" s="2251"/>
      <c r="AL145" s="2251"/>
      <c r="AM145" s="2251"/>
      <c r="AN145" s="2251"/>
      <c r="AO145" s="2252"/>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197"/>
      <c r="D146" s="2198"/>
      <c r="E146" s="2198"/>
      <c r="F146" s="2198"/>
      <c r="G146" s="2198"/>
      <c r="H146" s="2198"/>
      <c r="I146" s="2241"/>
      <c r="J146" s="2241"/>
      <c r="K146" s="2241"/>
      <c r="L146" s="2241"/>
      <c r="M146" s="2241"/>
      <c r="N146" s="2242"/>
      <c r="O146" s="1207"/>
      <c r="P146" s="2250"/>
      <c r="Q146" s="2251"/>
      <c r="R146" s="2251"/>
      <c r="S146" s="2251"/>
      <c r="T146" s="2251"/>
      <c r="U146" s="2251"/>
      <c r="V146" s="2251"/>
      <c r="W146" s="2251"/>
      <c r="X146" s="2251"/>
      <c r="Y146" s="2251"/>
      <c r="Z146" s="2251"/>
      <c r="AA146" s="2251"/>
      <c r="AB146" s="2251"/>
      <c r="AC146" s="2251"/>
      <c r="AD146" s="2251"/>
      <c r="AE146" s="2251"/>
      <c r="AF146" s="2251"/>
      <c r="AG146" s="2251"/>
      <c r="AH146" s="2251"/>
      <c r="AI146" s="2251"/>
      <c r="AJ146" s="2251"/>
      <c r="AK146" s="2251"/>
      <c r="AL146" s="2251"/>
      <c r="AM146" s="2251"/>
      <c r="AN146" s="2251"/>
      <c r="AO146" s="2252"/>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197"/>
      <c r="D147" s="2198"/>
      <c r="E147" s="2198"/>
      <c r="F147" s="2198"/>
      <c r="G147" s="2198"/>
      <c r="H147" s="2198"/>
      <c r="I147" s="2241"/>
      <c r="J147" s="2241"/>
      <c r="K147" s="2241"/>
      <c r="L147" s="2241"/>
      <c r="M147" s="2241"/>
      <c r="N147" s="2242"/>
      <c r="O147" s="1207"/>
      <c r="P147" s="2250"/>
      <c r="Q147" s="2251"/>
      <c r="R147" s="2251"/>
      <c r="S147" s="2251"/>
      <c r="T147" s="2251"/>
      <c r="U147" s="2251"/>
      <c r="V147" s="2251"/>
      <c r="W147" s="2251"/>
      <c r="X147" s="2251"/>
      <c r="Y147" s="2251"/>
      <c r="Z147" s="2251"/>
      <c r="AA147" s="2251"/>
      <c r="AB147" s="2251"/>
      <c r="AC147" s="2251"/>
      <c r="AD147" s="2251"/>
      <c r="AE147" s="2251"/>
      <c r="AF147" s="2251"/>
      <c r="AG147" s="2251"/>
      <c r="AH147" s="2251"/>
      <c r="AI147" s="2251"/>
      <c r="AJ147" s="2251"/>
      <c r="AK147" s="2251"/>
      <c r="AL147" s="2251"/>
      <c r="AM147" s="2251"/>
      <c r="AN147" s="2251"/>
      <c r="AO147" s="2252"/>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197"/>
      <c r="D148" s="2198"/>
      <c r="E148" s="2198"/>
      <c r="F148" s="2198"/>
      <c r="G148" s="2198"/>
      <c r="H148" s="2198"/>
      <c r="I148" s="2241"/>
      <c r="J148" s="2241"/>
      <c r="K148" s="2241"/>
      <c r="L148" s="2241"/>
      <c r="M148" s="2241"/>
      <c r="N148" s="2242"/>
      <c r="O148" s="1207"/>
      <c r="P148" s="2250"/>
      <c r="Q148" s="2251"/>
      <c r="R148" s="2251"/>
      <c r="S148" s="2251"/>
      <c r="T148" s="2251"/>
      <c r="U148" s="2251"/>
      <c r="V148" s="2251"/>
      <c r="W148" s="2251"/>
      <c r="X148" s="2251"/>
      <c r="Y148" s="2251"/>
      <c r="Z148" s="2251"/>
      <c r="AA148" s="2251"/>
      <c r="AB148" s="2251"/>
      <c r="AC148" s="2251"/>
      <c r="AD148" s="2251"/>
      <c r="AE148" s="2251"/>
      <c r="AF148" s="2251"/>
      <c r="AG148" s="2251"/>
      <c r="AH148" s="2251"/>
      <c r="AI148" s="2251"/>
      <c r="AJ148" s="2251"/>
      <c r="AK148" s="2251"/>
      <c r="AL148" s="2251"/>
      <c r="AM148" s="2251"/>
      <c r="AN148" s="2251"/>
      <c r="AO148" s="2252"/>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2"/>
      <c r="D149" s="2233"/>
      <c r="E149" s="2233"/>
      <c r="F149" s="2233"/>
      <c r="G149" s="2233"/>
      <c r="H149" s="2233"/>
      <c r="I149" s="2234"/>
      <c r="J149" s="2234"/>
      <c r="K149" s="2234"/>
      <c r="L149" s="2234"/>
      <c r="M149" s="2234"/>
      <c r="N149" s="2235"/>
      <c r="O149" s="1207"/>
      <c r="P149" s="2253"/>
      <c r="Q149" s="2254"/>
      <c r="R149" s="2254"/>
      <c r="S149" s="2254"/>
      <c r="T149" s="2254"/>
      <c r="U149" s="2254"/>
      <c r="V149" s="2254"/>
      <c r="W149" s="2254"/>
      <c r="X149" s="2254"/>
      <c r="Y149" s="2254"/>
      <c r="Z149" s="2254"/>
      <c r="AA149" s="2254"/>
      <c r="AB149" s="2254"/>
      <c r="AC149" s="2254"/>
      <c r="AD149" s="2254"/>
      <c r="AE149" s="2254"/>
      <c r="AF149" s="2254"/>
      <c r="AG149" s="2254"/>
      <c r="AH149" s="2254"/>
      <c r="AI149" s="2254"/>
      <c r="AJ149" s="2254"/>
      <c r="AK149" s="2254"/>
      <c r="AL149" s="2254"/>
      <c r="AM149" s="2254"/>
      <c r="AN149" s="2254"/>
      <c r="AO149" s="2255"/>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36" t="s">
        <v>2592</v>
      </c>
      <c r="D151" s="2236"/>
      <c r="E151" s="2236"/>
      <c r="F151" s="2236"/>
      <c r="G151" s="2236"/>
      <c r="H151" s="2236"/>
      <c r="I151" s="2236"/>
      <c r="J151" s="2236"/>
      <c r="K151" s="2236"/>
      <c r="L151" s="2236"/>
      <c r="M151" s="2236"/>
      <c r="N151" s="2236"/>
      <c r="O151" s="2236"/>
      <c r="P151" s="2236"/>
      <c r="Q151" s="2236"/>
      <c r="R151" s="2236"/>
      <c r="S151" s="2236"/>
      <c r="T151" s="2236"/>
      <c r="U151" s="2236"/>
      <c r="V151" s="2236"/>
      <c r="W151" s="2236"/>
      <c r="X151" s="2236"/>
      <c r="Y151" s="2236"/>
      <c r="Z151" s="2236"/>
      <c r="AA151" s="2236"/>
      <c r="AB151" s="2236"/>
      <c r="AC151" s="2236"/>
      <c r="AD151" s="2236"/>
      <c r="AE151" s="2236"/>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36"/>
      <c r="D152" s="2236"/>
      <c r="E152" s="2236"/>
      <c r="F152" s="2236"/>
      <c r="G152" s="2236"/>
      <c r="H152" s="2236"/>
      <c r="I152" s="2236"/>
      <c r="J152" s="2236"/>
      <c r="K152" s="2236"/>
      <c r="L152" s="2236"/>
      <c r="M152" s="2236"/>
      <c r="N152" s="2236"/>
      <c r="O152" s="2236"/>
      <c r="P152" s="2236"/>
      <c r="Q152" s="2236"/>
      <c r="R152" s="2236"/>
      <c r="S152" s="2236"/>
      <c r="T152" s="2236"/>
      <c r="U152" s="2236"/>
      <c r="V152" s="2236"/>
      <c r="W152" s="2236"/>
      <c r="X152" s="2236"/>
      <c r="Y152" s="2236"/>
      <c r="Z152" s="2236"/>
      <c r="AA152" s="2236"/>
      <c r="AB152" s="2236"/>
      <c r="AC152" s="2236"/>
      <c r="AD152" s="2236"/>
      <c r="AE152" s="2236"/>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37" t="s">
        <v>1909</v>
      </c>
      <c r="D153" s="2238"/>
      <c r="E153" s="2238"/>
      <c r="F153" s="2238"/>
      <c r="G153" s="2238"/>
      <c r="H153" s="2238"/>
      <c r="I153" s="2238"/>
      <c r="J153" s="2238"/>
      <c r="K153" s="2238"/>
      <c r="L153" s="2238"/>
      <c r="M153" s="2238"/>
      <c r="N153" s="2238" t="s">
        <v>1920</v>
      </c>
      <c r="O153" s="2238"/>
      <c r="P153" s="2238"/>
      <c r="Q153" s="2238"/>
      <c r="R153" s="2238"/>
      <c r="S153" s="2238"/>
      <c r="T153" s="2238"/>
      <c r="U153" s="2239" t="s">
        <v>1909</v>
      </c>
      <c r="V153" s="2239"/>
      <c r="W153" s="2239"/>
      <c r="X153" s="2239"/>
      <c r="Y153" s="2239"/>
      <c r="Z153" s="2239"/>
      <c r="AA153" s="2239"/>
      <c r="AB153" s="2239"/>
      <c r="AC153" s="2239"/>
      <c r="AD153" s="2239"/>
      <c r="AE153" s="2240"/>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09" t="s">
        <v>2593</v>
      </c>
      <c r="D154" s="2210"/>
      <c r="E154" s="2210"/>
      <c r="F154" s="2210"/>
      <c r="G154" s="2210"/>
      <c r="H154" s="2210"/>
      <c r="I154" s="2210"/>
      <c r="J154" s="2210"/>
      <c r="K154" s="2210"/>
      <c r="L154" s="2210"/>
      <c r="M154" s="2210"/>
      <c r="N154" s="2226">
        <f>'Sources and Uses Budget'!B105</f>
        <v>33128970</v>
      </c>
      <c r="O154" s="2226"/>
      <c r="P154" s="2226"/>
      <c r="Q154" s="2226"/>
      <c r="R154" s="2226"/>
      <c r="S154" s="2226"/>
      <c r="T154" s="2226"/>
      <c r="U154" s="2227"/>
      <c r="V154" s="2227"/>
      <c r="W154" s="2227"/>
      <c r="X154" s="2227"/>
      <c r="Y154" s="2227"/>
      <c r="Z154" s="2227"/>
      <c r="AA154" s="2227"/>
      <c r="AB154" s="2227"/>
      <c r="AC154" s="2227"/>
      <c r="AD154" s="2227"/>
      <c r="AE154" s="2228"/>
      <c r="AF154" s="1207"/>
      <c r="AG154" s="1207"/>
      <c r="AH154" s="1233" t="s">
        <v>2594</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09" t="s">
        <v>2595</v>
      </c>
      <c r="D155" s="2210"/>
      <c r="E155" s="2210"/>
      <c r="F155" s="2210"/>
      <c r="G155" s="2210"/>
      <c r="H155" s="2210"/>
      <c r="I155" s="2210"/>
      <c r="J155" s="2210"/>
      <c r="K155" s="2210"/>
      <c r="L155" s="2210"/>
      <c r="M155" s="2210"/>
      <c r="N155" s="2226">
        <f>N154/J29</f>
        <v>871815</v>
      </c>
      <c r="O155" s="2226"/>
      <c r="P155" s="2226"/>
      <c r="Q155" s="2226"/>
      <c r="R155" s="2226"/>
      <c r="S155" s="2226"/>
      <c r="T155" s="222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29" t="s">
        <v>2596</v>
      </c>
      <c r="D156" s="2230"/>
      <c r="E156" s="2230"/>
      <c r="F156" s="2230"/>
      <c r="G156" s="2230"/>
      <c r="H156" s="2230"/>
      <c r="I156" s="2230"/>
      <c r="J156" s="2230"/>
      <c r="K156" s="2230"/>
      <c r="L156" s="2230"/>
      <c r="M156" s="2230"/>
      <c r="N156" s="2231">
        <v>0</v>
      </c>
      <c r="O156" s="2231"/>
      <c r="P156" s="2231"/>
      <c r="Q156" s="2231"/>
      <c r="R156" s="2231"/>
      <c r="S156" s="2231"/>
      <c r="T156" s="2231"/>
      <c r="U156" s="2201"/>
      <c r="V156" s="2201"/>
      <c r="W156" s="2201"/>
      <c r="X156" s="2201"/>
      <c r="Y156" s="2201"/>
      <c r="Z156" s="2201"/>
      <c r="AA156" s="2201"/>
      <c r="AB156" s="2201"/>
      <c r="AC156" s="2201"/>
      <c r="AD156" s="2201"/>
      <c r="AE156" s="2202"/>
      <c r="AF156" s="1207"/>
      <c r="AG156" s="1207"/>
      <c r="AH156" s="2211" t="s">
        <v>2269</v>
      </c>
      <c r="AI156" s="2212"/>
      <c r="AJ156" s="2212"/>
      <c r="AK156" s="2212"/>
      <c r="AL156" s="2212"/>
      <c r="AM156" s="2212"/>
      <c r="AN156" s="2212"/>
      <c r="AO156" s="2212"/>
      <c r="AP156" s="2212"/>
      <c r="AQ156" s="2212"/>
      <c r="AR156" s="2212"/>
      <c r="AS156" s="2213">
        <f>SUM(AS152:AW154)</f>
        <v>0</v>
      </c>
      <c r="AT156" s="2213"/>
      <c r="AU156" s="2213"/>
      <c r="AV156" s="2213"/>
      <c r="AW156" s="2214"/>
      <c r="AX156" s="1207"/>
      <c r="AY156" s="1207"/>
      <c r="AZ156" s="1207"/>
      <c r="BA156" s="1207"/>
      <c r="BB156" s="1207"/>
      <c r="BC156" s="1207"/>
      <c r="BD156" s="1207"/>
      <c r="BE156" s="1213"/>
    </row>
    <row r="157" spans="1:57" ht="15.75" customHeight="1" thickBot="1">
      <c r="A157" s="1207"/>
      <c r="B157" s="1207"/>
      <c r="C157" s="2209" t="s">
        <v>2597</v>
      </c>
      <c r="D157" s="2210"/>
      <c r="E157" s="2210"/>
      <c r="F157" s="2210"/>
      <c r="G157" s="2210"/>
      <c r="H157" s="2210"/>
      <c r="I157" s="2210"/>
      <c r="J157" s="2210"/>
      <c r="K157" s="2210"/>
      <c r="L157" s="2210"/>
      <c r="M157" s="2210"/>
      <c r="N157" s="2215">
        <f>SUM('Sources and Uses Budget'!B85:B86)</f>
        <v>411679</v>
      </c>
      <c r="O157" s="2215"/>
      <c r="P157" s="2215"/>
      <c r="Q157" s="2215"/>
      <c r="R157" s="2215"/>
      <c r="S157" s="2215"/>
      <c r="T157" s="2215"/>
      <c r="U157" s="2201"/>
      <c r="V157" s="2201"/>
      <c r="W157" s="2201"/>
      <c r="X157" s="2201"/>
      <c r="Y157" s="2201"/>
      <c r="Z157" s="2201"/>
      <c r="AA157" s="2201"/>
      <c r="AB157" s="2201"/>
      <c r="AC157" s="2201"/>
      <c r="AD157" s="2201"/>
      <c r="AE157" s="2202"/>
      <c r="AF157" s="1207"/>
      <c r="AG157" s="1207"/>
      <c r="AH157" s="1247" t="s">
        <v>2598</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09" t="s">
        <v>2599</v>
      </c>
      <c r="D158" s="2210"/>
      <c r="E158" s="2210"/>
      <c r="F158" s="2210"/>
      <c r="G158" s="2210"/>
      <c r="H158" s="2210"/>
      <c r="I158" s="2210"/>
      <c r="J158" s="2210"/>
      <c r="K158" s="2210"/>
      <c r="L158" s="2210"/>
      <c r="M158" s="2210"/>
      <c r="N158" s="2215">
        <f>'Sources and Uses Budget'!B8</f>
        <v>5894869</v>
      </c>
      <c r="O158" s="2215"/>
      <c r="P158" s="2215"/>
      <c r="Q158" s="2215"/>
      <c r="R158" s="2215"/>
      <c r="S158" s="2215"/>
      <c r="T158" s="2215"/>
      <c r="U158" s="2201"/>
      <c r="V158" s="2201"/>
      <c r="W158" s="2201"/>
      <c r="X158" s="2201"/>
      <c r="Y158" s="2201"/>
      <c r="Z158" s="2201"/>
      <c r="AA158" s="2201"/>
      <c r="AB158" s="2201"/>
      <c r="AC158" s="2201"/>
      <c r="AD158" s="2201"/>
      <c r="AE158" s="2202"/>
      <c r="AF158" s="1207"/>
      <c r="AG158" s="1207"/>
      <c r="AH158" s="2216" t="s">
        <v>2600</v>
      </c>
      <c r="AI158" s="2217"/>
      <c r="AJ158" s="2217"/>
      <c r="AK158" s="2217"/>
      <c r="AL158" s="2217"/>
      <c r="AM158" s="2217"/>
      <c r="AN158" s="2217"/>
      <c r="AO158" s="2217"/>
      <c r="AP158" s="2217"/>
      <c r="AQ158" s="2217"/>
      <c r="AR158" s="2218"/>
      <c r="AS158" s="2222" t="s">
        <v>2601</v>
      </c>
      <c r="AT158" s="2205"/>
      <c r="AU158" s="2205"/>
      <c r="AV158" s="2205"/>
      <c r="AW158" s="2205"/>
      <c r="AX158" s="2223"/>
      <c r="AY158" s="2205" t="s">
        <v>2602</v>
      </c>
      <c r="AZ158" s="2205"/>
      <c r="BA158" s="2205"/>
      <c r="BB158" s="2205"/>
      <c r="BC158" s="2205"/>
      <c r="BD158" s="2206"/>
      <c r="BE158" s="1213"/>
    </row>
    <row r="159" spans="1:57" ht="15.75" customHeight="1">
      <c r="A159" s="1207"/>
      <c r="B159" s="1207"/>
      <c r="C159" s="2209" t="s">
        <v>2603</v>
      </c>
      <c r="D159" s="2210"/>
      <c r="E159" s="2210"/>
      <c r="F159" s="2210"/>
      <c r="G159" s="2210"/>
      <c r="H159" s="2210"/>
      <c r="I159" s="2210"/>
      <c r="J159" s="2210"/>
      <c r="K159" s="2210"/>
      <c r="L159" s="2210"/>
      <c r="M159" s="2210"/>
      <c r="N159" s="2200">
        <v>0</v>
      </c>
      <c r="O159" s="2200"/>
      <c r="P159" s="2200"/>
      <c r="Q159" s="2200"/>
      <c r="R159" s="2200"/>
      <c r="S159" s="2200"/>
      <c r="T159" s="2200"/>
      <c r="U159" s="2201"/>
      <c r="V159" s="2201"/>
      <c r="W159" s="2201"/>
      <c r="X159" s="2201"/>
      <c r="Y159" s="2201"/>
      <c r="Z159" s="2201"/>
      <c r="AA159" s="2201"/>
      <c r="AB159" s="2201"/>
      <c r="AC159" s="2201"/>
      <c r="AD159" s="2201"/>
      <c r="AE159" s="2202"/>
      <c r="AF159" s="1207"/>
      <c r="AG159" s="1207"/>
      <c r="AH159" s="2219"/>
      <c r="AI159" s="2220"/>
      <c r="AJ159" s="2220"/>
      <c r="AK159" s="2220"/>
      <c r="AL159" s="2220"/>
      <c r="AM159" s="2220"/>
      <c r="AN159" s="2220"/>
      <c r="AO159" s="2220"/>
      <c r="AP159" s="2220"/>
      <c r="AQ159" s="2220"/>
      <c r="AR159" s="2221"/>
      <c r="AS159" s="2224"/>
      <c r="AT159" s="2207"/>
      <c r="AU159" s="2207"/>
      <c r="AV159" s="2207"/>
      <c r="AW159" s="2207"/>
      <c r="AX159" s="2225"/>
      <c r="AY159" s="2207"/>
      <c r="AZ159" s="2207"/>
      <c r="BA159" s="2207"/>
      <c r="BB159" s="2207"/>
      <c r="BC159" s="2207"/>
      <c r="BD159" s="2208"/>
      <c r="BE159" s="1213"/>
    </row>
    <row r="160" spans="1:57" ht="15.75" customHeight="1">
      <c r="A160" s="1207"/>
      <c r="B160" s="1207"/>
      <c r="C160" s="2209" t="s">
        <v>2604</v>
      </c>
      <c r="D160" s="2210"/>
      <c r="E160" s="2210"/>
      <c r="F160" s="2210"/>
      <c r="G160" s="2210"/>
      <c r="H160" s="2210"/>
      <c r="I160" s="2210"/>
      <c r="J160" s="2210"/>
      <c r="K160" s="2210"/>
      <c r="L160" s="2210"/>
      <c r="M160" s="2210"/>
      <c r="N160" s="2200">
        <v>0</v>
      </c>
      <c r="O160" s="2200"/>
      <c r="P160" s="2200"/>
      <c r="Q160" s="2200"/>
      <c r="R160" s="2200"/>
      <c r="S160" s="2200"/>
      <c r="T160" s="2200"/>
      <c r="U160" s="2201"/>
      <c r="V160" s="2201"/>
      <c r="W160" s="2201"/>
      <c r="X160" s="2201"/>
      <c r="Y160" s="2201"/>
      <c r="Z160" s="2201"/>
      <c r="AA160" s="2201"/>
      <c r="AB160" s="2201"/>
      <c r="AC160" s="2201"/>
      <c r="AD160" s="2201"/>
      <c r="AE160" s="2202"/>
      <c r="AF160" s="1207"/>
      <c r="AG160" s="1207"/>
      <c r="AH160" s="2176" t="s">
        <v>2270</v>
      </c>
      <c r="AI160" s="2177"/>
      <c r="AJ160" s="2177"/>
      <c r="AK160" s="2177"/>
      <c r="AL160" s="2177"/>
      <c r="AM160" s="2177"/>
      <c r="AN160" s="2177"/>
      <c r="AO160" s="2177"/>
      <c r="AP160" s="2177"/>
      <c r="AQ160" s="2177"/>
      <c r="AR160" s="2177"/>
      <c r="AS160" s="2178">
        <v>0</v>
      </c>
      <c r="AT160" s="2178"/>
      <c r="AU160" s="2178"/>
      <c r="AV160" s="2178"/>
      <c r="AW160" s="2178"/>
      <c r="AX160" s="2178"/>
      <c r="AY160" s="2178">
        <v>0</v>
      </c>
      <c r="AZ160" s="2178"/>
      <c r="BA160" s="2178"/>
      <c r="BB160" s="2178"/>
      <c r="BC160" s="2178"/>
      <c r="BD160" s="2179"/>
      <c r="BE160" s="1213"/>
    </row>
    <row r="161" spans="1:57" ht="15.75" customHeight="1">
      <c r="A161" s="1207"/>
      <c r="B161" s="1207"/>
      <c r="C161" s="2203" t="s">
        <v>302</v>
      </c>
      <c r="D161" s="2204"/>
      <c r="E161" s="2199" t="s">
        <v>1915</v>
      </c>
      <c r="F161" s="2199"/>
      <c r="G161" s="2199"/>
      <c r="H161" s="2199"/>
      <c r="I161" s="2199"/>
      <c r="J161" s="2199"/>
      <c r="K161" s="2199"/>
      <c r="L161" s="2199"/>
      <c r="M161" s="2199"/>
      <c r="N161" s="2200">
        <v>0</v>
      </c>
      <c r="O161" s="2200"/>
      <c r="P161" s="2200"/>
      <c r="Q161" s="2200"/>
      <c r="R161" s="2200"/>
      <c r="S161" s="2200"/>
      <c r="T161" s="2200"/>
      <c r="U161" s="2201"/>
      <c r="V161" s="2201"/>
      <c r="W161" s="2201"/>
      <c r="X161" s="2201"/>
      <c r="Y161" s="2201"/>
      <c r="Z161" s="2201"/>
      <c r="AA161" s="2201"/>
      <c r="AB161" s="2201"/>
      <c r="AC161" s="2201"/>
      <c r="AD161" s="2201"/>
      <c r="AE161" s="2202"/>
      <c r="AF161" s="1207"/>
      <c r="AG161" s="1207"/>
      <c r="AH161" s="2176" t="s">
        <v>2271</v>
      </c>
      <c r="AI161" s="2177"/>
      <c r="AJ161" s="2177"/>
      <c r="AK161" s="2177"/>
      <c r="AL161" s="2177"/>
      <c r="AM161" s="2177"/>
      <c r="AN161" s="2177"/>
      <c r="AO161" s="2177"/>
      <c r="AP161" s="2177"/>
      <c r="AQ161" s="2177"/>
      <c r="AR161" s="2177"/>
      <c r="AS161" s="2178">
        <v>0</v>
      </c>
      <c r="AT161" s="2178"/>
      <c r="AU161" s="2178"/>
      <c r="AV161" s="2178"/>
      <c r="AW161" s="2178"/>
      <c r="AX161" s="2178"/>
      <c r="AY161" s="2178">
        <v>0</v>
      </c>
      <c r="AZ161" s="2178"/>
      <c r="BA161" s="2178"/>
      <c r="BB161" s="2178"/>
      <c r="BC161" s="2178"/>
      <c r="BD161" s="2179"/>
      <c r="BE161" s="1213"/>
    </row>
    <row r="162" spans="1:57" ht="15.75" customHeight="1">
      <c r="A162" s="1207"/>
      <c r="B162" s="1207"/>
      <c r="C162" s="2197" t="s">
        <v>302</v>
      </c>
      <c r="D162" s="2198"/>
      <c r="E162" s="2199" t="s">
        <v>1915</v>
      </c>
      <c r="F162" s="2199"/>
      <c r="G162" s="2199"/>
      <c r="H162" s="2199"/>
      <c r="I162" s="2199"/>
      <c r="J162" s="2199"/>
      <c r="K162" s="2199"/>
      <c r="L162" s="2199"/>
      <c r="M162" s="2199"/>
      <c r="N162" s="2200">
        <v>0</v>
      </c>
      <c r="O162" s="2200"/>
      <c r="P162" s="2200"/>
      <c r="Q162" s="2200"/>
      <c r="R162" s="2200"/>
      <c r="S162" s="2200"/>
      <c r="T162" s="2200"/>
      <c r="U162" s="2201"/>
      <c r="V162" s="2201"/>
      <c r="W162" s="2201"/>
      <c r="X162" s="2201"/>
      <c r="Y162" s="2201"/>
      <c r="Z162" s="2201"/>
      <c r="AA162" s="2201"/>
      <c r="AB162" s="2201"/>
      <c r="AC162" s="2201"/>
      <c r="AD162" s="2201"/>
      <c r="AE162" s="2202"/>
      <c r="AF162" s="1207"/>
      <c r="AG162" s="1207"/>
      <c r="AH162" s="2176" t="s">
        <v>2272</v>
      </c>
      <c r="AI162" s="2177"/>
      <c r="AJ162" s="2177"/>
      <c r="AK162" s="2177"/>
      <c r="AL162" s="2177"/>
      <c r="AM162" s="2177"/>
      <c r="AN162" s="2177"/>
      <c r="AO162" s="2177"/>
      <c r="AP162" s="2177"/>
      <c r="AQ162" s="2177"/>
      <c r="AR162" s="2177"/>
      <c r="AS162" s="2178">
        <v>0</v>
      </c>
      <c r="AT162" s="2178"/>
      <c r="AU162" s="2178"/>
      <c r="AV162" s="2178"/>
      <c r="AW162" s="2178"/>
      <c r="AX162" s="2178"/>
      <c r="AY162" s="2178">
        <v>0</v>
      </c>
      <c r="AZ162" s="2178"/>
      <c r="BA162" s="2178"/>
      <c r="BB162" s="2178"/>
      <c r="BC162" s="2178"/>
      <c r="BD162" s="2179"/>
      <c r="BE162" s="1213"/>
    </row>
    <row r="163" spans="1:57" ht="15.75" customHeight="1" thickBot="1">
      <c r="A163" s="1207"/>
      <c r="B163" s="1207"/>
      <c r="C163" s="2188" t="s">
        <v>302</v>
      </c>
      <c r="D163" s="2189"/>
      <c r="E163" s="2190" t="s">
        <v>1915</v>
      </c>
      <c r="F163" s="2190"/>
      <c r="G163" s="2190"/>
      <c r="H163" s="2190"/>
      <c r="I163" s="2190"/>
      <c r="J163" s="2190"/>
      <c r="K163" s="2190"/>
      <c r="L163" s="2190"/>
      <c r="M163" s="2191"/>
      <c r="N163" s="2192">
        <v>0</v>
      </c>
      <c r="O163" s="2192"/>
      <c r="P163" s="2192"/>
      <c r="Q163" s="2192"/>
      <c r="R163" s="2192"/>
      <c r="S163" s="2192"/>
      <c r="T163" s="2193"/>
      <c r="U163" s="2194"/>
      <c r="V163" s="2195"/>
      <c r="W163" s="2195"/>
      <c r="X163" s="2195"/>
      <c r="Y163" s="2195"/>
      <c r="Z163" s="2195"/>
      <c r="AA163" s="2195"/>
      <c r="AB163" s="2195"/>
      <c r="AC163" s="2195"/>
      <c r="AD163" s="2195"/>
      <c r="AE163" s="2196"/>
      <c r="AF163" s="1207"/>
      <c r="AG163" s="1207"/>
      <c r="AH163" s="2176" t="s">
        <v>2273</v>
      </c>
      <c r="AI163" s="2177"/>
      <c r="AJ163" s="2177"/>
      <c r="AK163" s="2177"/>
      <c r="AL163" s="2177"/>
      <c r="AM163" s="2177"/>
      <c r="AN163" s="2177"/>
      <c r="AO163" s="2177"/>
      <c r="AP163" s="2177"/>
      <c r="AQ163" s="2177"/>
      <c r="AR163" s="2177"/>
      <c r="AS163" s="2178">
        <v>0</v>
      </c>
      <c r="AT163" s="2178"/>
      <c r="AU163" s="2178"/>
      <c r="AV163" s="2178"/>
      <c r="AW163" s="2178"/>
      <c r="AX163" s="2178"/>
      <c r="AY163" s="2178">
        <v>0</v>
      </c>
      <c r="AZ163" s="2178"/>
      <c r="BA163" s="2178"/>
      <c r="BB163" s="2178"/>
      <c r="BC163" s="2178"/>
      <c r="BD163" s="2179"/>
      <c r="BE163" s="1213"/>
    </row>
    <row r="164" spans="1:57" ht="15.75" customHeight="1">
      <c r="A164" s="1207"/>
      <c r="B164" s="1207"/>
      <c r="C164" s="2184" t="s">
        <v>1923</v>
      </c>
      <c r="D164" s="2185"/>
      <c r="E164" s="2185"/>
      <c r="F164" s="2185"/>
      <c r="G164" s="2185"/>
      <c r="H164" s="2185"/>
      <c r="I164" s="2185"/>
      <c r="J164" s="2185"/>
      <c r="K164" s="2185"/>
      <c r="L164" s="2185"/>
      <c r="M164" s="2185"/>
      <c r="N164" s="2186">
        <f>SUM(N156:T163)</f>
        <v>6306548</v>
      </c>
      <c r="O164" s="2186"/>
      <c r="P164" s="2186"/>
      <c r="Q164" s="2186"/>
      <c r="R164" s="2186"/>
      <c r="S164" s="2186"/>
      <c r="T164" s="2187"/>
      <c r="U164" s="1207"/>
      <c r="V164" s="1207"/>
      <c r="W164" s="1207"/>
      <c r="X164" s="1207"/>
      <c r="Y164" s="1207"/>
      <c r="Z164" s="1207"/>
      <c r="AA164" s="1207"/>
      <c r="AB164" s="1207"/>
      <c r="AC164" s="1207"/>
      <c r="AD164" s="1207"/>
      <c r="AE164" s="1207"/>
      <c r="AF164" s="1207"/>
      <c r="AG164" s="1207"/>
      <c r="AH164" s="2176" t="s">
        <v>2274</v>
      </c>
      <c r="AI164" s="2177"/>
      <c r="AJ164" s="2177"/>
      <c r="AK164" s="2177"/>
      <c r="AL164" s="2177"/>
      <c r="AM164" s="2177"/>
      <c r="AN164" s="2177"/>
      <c r="AO164" s="2177"/>
      <c r="AP164" s="2177"/>
      <c r="AQ164" s="2177"/>
      <c r="AR164" s="2177"/>
      <c r="AS164" s="2178">
        <v>0</v>
      </c>
      <c r="AT164" s="2178"/>
      <c r="AU164" s="2178"/>
      <c r="AV164" s="2178"/>
      <c r="AW164" s="2178"/>
      <c r="AX164" s="2178"/>
      <c r="AY164" s="2178">
        <v>0</v>
      </c>
      <c r="AZ164" s="2178"/>
      <c r="BA164" s="2178"/>
      <c r="BB164" s="2178"/>
      <c r="BC164" s="2178"/>
      <c r="BD164" s="2179"/>
      <c r="BE164" s="1213"/>
    </row>
    <row r="165" spans="1:57" ht="15.75" customHeight="1" thickBot="1">
      <c r="A165" s="1207"/>
      <c r="B165" s="1207"/>
      <c r="C165" s="2171" t="s">
        <v>2605</v>
      </c>
      <c r="D165" s="2172"/>
      <c r="E165" s="2172"/>
      <c r="F165" s="2172"/>
      <c r="G165" s="2172"/>
      <c r="H165" s="2172"/>
      <c r="I165" s="2172"/>
      <c r="J165" s="2172"/>
      <c r="K165" s="2172"/>
      <c r="L165" s="2172"/>
      <c r="M165" s="2172"/>
      <c r="N165" s="2173">
        <f>(N154-N164)/J29</f>
        <v>705853.21052631584</v>
      </c>
      <c r="O165" s="2174"/>
      <c r="P165" s="2174"/>
      <c r="Q165" s="2174"/>
      <c r="R165" s="2174"/>
      <c r="S165" s="2174"/>
      <c r="T165" s="2175"/>
      <c r="U165" s="1214"/>
      <c r="V165" s="1207"/>
      <c r="W165" s="1207"/>
      <c r="X165" s="1207"/>
      <c r="Y165" s="1207"/>
      <c r="Z165" s="1207"/>
      <c r="AA165" s="1207"/>
      <c r="AB165" s="1207"/>
      <c r="AC165" s="1207"/>
      <c r="AD165" s="1207"/>
      <c r="AE165" s="1207"/>
      <c r="AF165" s="1207"/>
      <c r="AG165" s="1207"/>
      <c r="AH165" s="2176" t="s">
        <v>2275</v>
      </c>
      <c r="AI165" s="2177"/>
      <c r="AJ165" s="2177"/>
      <c r="AK165" s="2177"/>
      <c r="AL165" s="2177"/>
      <c r="AM165" s="2177"/>
      <c r="AN165" s="2177"/>
      <c r="AO165" s="2177"/>
      <c r="AP165" s="2177"/>
      <c r="AQ165" s="2177"/>
      <c r="AR165" s="2177"/>
      <c r="AS165" s="2178">
        <v>0</v>
      </c>
      <c r="AT165" s="2178"/>
      <c r="AU165" s="2178"/>
      <c r="AV165" s="2178"/>
      <c r="AW165" s="2178"/>
      <c r="AX165" s="2178"/>
      <c r="AY165" s="2178">
        <v>0</v>
      </c>
      <c r="AZ165" s="2178"/>
      <c r="BA165" s="2178"/>
      <c r="BB165" s="2178"/>
      <c r="BC165" s="2178"/>
      <c r="BD165" s="217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0" t="s">
        <v>125</v>
      </c>
      <c r="AI166" s="2181"/>
      <c r="AJ166" s="2181"/>
      <c r="AK166" s="2181"/>
      <c r="AL166" s="2181"/>
      <c r="AM166" s="2181"/>
      <c r="AN166" s="2181"/>
      <c r="AO166" s="2181"/>
      <c r="AP166" s="2181"/>
      <c r="AQ166" s="2181"/>
      <c r="AR166" s="2181"/>
      <c r="AS166" s="2182">
        <f>SUM(AS160:AX165)</f>
        <v>0</v>
      </c>
      <c r="AT166" s="2182"/>
      <c r="AU166" s="2182"/>
      <c r="AV166" s="2182"/>
      <c r="AW166" s="2182"/>
      <c r="AX166" s="2182"/>
      <c r="AY166" s="2182">
        <f>SUM(AY160:BD165)</f>
        <v>0</v>
      </c>
      <c r="AZ166" s="2182"/>
      <c r="BA166" s="2182"/>
      <c r="BB166" s="2182"/>
      <c r="BC166" s="2182"/>
      <c r="BD166" s="2183"/>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58" t="s">
        <v>1924</v>
      </c>
      <c r="C168" s="2159"/>
      <c r="D168" s="2159"/>
      <c r="E168" s="2159"/>
      <c r="F168" s="2159"/>
      <c r="G168" s="2159"/>
      <c r="H168" s="2159"/>
      <c r="I168" s="2159"/>
      <c r="J168" s="2159"/>
      <c r="K168" s="2159"/>
      <c r="L168" s="2159"/>
      <c r="M168" s="2159"/>
      <c r="N168" s="2159"/>
      <c r="O168" s="2159"/>
      <c r="P168" s="2159"/>
      <c r="Q168" s="2159"/>
      <c r="R168" s="2159"/>
      <c r="S168" s="2159"/>
      <c r="T168" s="2159"/>
      <c r="U168" s="2159"/>
      <c r="V168" s="2159"/>
      <c r="W168" s="2159"/>
      <c r="X168" s="2159"/>
      <c r="Y168" s="2159"/>
      <c r="Z168" s="2159"/>
      <c r="AA168" s="2159"/>
      <c r="AB168" s="2159"/>
      <c r="AC168" s="2159"/>
      <c r="AD168" s="2159"/>
      <c r="AE168" s="2159"/>
      <c r="AF168" s="2159"/>
      <c r="AG168" s="2159"/>
      <c r="AH168" s="2159"/>
      <c r="AI168" s="2159"/>
      <c r="AJ168" s="2159"/>
      <c r="AK168" s="2159"/>
      <c r="AL168" s="2159"/>
      <c r="AM168" s="2159"/>
      <c r="AN168" s="2159"/>
      <c r="AO168" s="2159"/>
      <c r="AP168" s="2159"/>
      <c r="AQ168" s="2159"/>
      <c r="AR168" s="2159"/>
      <c r="AS168" s="2159"/>
      <c r="AT168" s="2159"/>
      <c r="AU168" s="2159"/>
      <c r="AV168" s="2159"/>
      <c r="AW168" s="2159"/>
      <c r="AX168" s="2159"/>
      <c r="AY168" s="2159"/>
      <c r="AZ168" s="2159"/>
      <c r="BA168" s="2159"/>
      <c r="BB168" s="2159"/>
      <c r="BC168" s="2159"/>
      <c r="BD168" s="2160"/>
      <c r="BE168" s="1213"/>
    </row>
    <row r="169" spans="1:57" ht="15.75" customHeight="1">
      <c r="A169" s="1207"/>
      <c r="B169" s="2161"/>
      <c r="C169" s="2162"/>
      <c r="D169" s="2162"/>
      <c r="E169" s="2162"/>
      <c r="F169" s="2162"/>
      <c r="G169" s="2162"/>
      <c r="H169" s="2162"/>
      <c r="I169" s="2162"/>
      <c r="J169" s="2162"/>
      <c r="K169" s="2162"/>
      <c r="L169" s="2162"/>
      <c r="M169" s="2162"/>
      <c r="N169" s="2162"/>
      <c r="O169" s="2162"/>
      <c r="P169" s="2162"/>
      <c r="Q169" s="2162"/>
      <c r="R169" s="2162"/>
      <c r="S169" s="2162"/>
      <c r="T169" s="2162"/>
      <c r="U169" s="2162"/>
      <c r="V169" s="2162"/>
      <c r="W169" s="2162"/>
      <c r="X169" s="2162"/>
      <c r="Y169" s="2162"/>
      <c r="Z169" s="2162"/>
      <c r="AA169" s="2162"/>
      <c r="AB169" s="2162"/>
      <c r="AC169" s="2162"/>
      <c r="AD169" s="2162"/>
      <c r="AE169" s="2162"/>
      <c r="AF169" s="2162"/>
      <c r="AG169" s="2162"/>
      <c r="AH169" s="2162"/>
      <c r="AI169" s="2162"/>
      <c r="AJ169" s="2162"/>
      <c r="AK169" s="2162"/>
      <c r="AL169" s="2162"/>
      <c r="AM169" s="2162"/>
      <c r="AN169" s="2162"/>
      <c r="AO169" s="2162"/>
      <c r="AP169" s="2162"/>
      <c r="AQ169" s="2162"/>
      <c r="AR169" s="2162"/>
      <c r="AS169" s="2162"/>
      <c r="AT169" s="2162"/>
      <c r="AU169" s="2162"/>
      <c r="AV169" s="2162"/>
      <c r="AW169" s="2162"/>
      <c r="AX169" s="2162"/>
      <c r="AY169" s="2162"/>
      <c r="AZ169" s="2162"/>
      <c r="BA169" s="2162"/>
      <c r="BB169" s="2162"/>
      <c r="BC169" s="2162"/>
      <c r="BD169" s="2163"/>
      <c r="BE169" s="1213"/>
    </row>
    <row r="170" spans="1:57" ht="15.75" customHeight="1">
      <c r="A170" s="1207"/>
      <c r="B170" s="2164" t="s">
        <v>1925</v>
      </c>
      <c r="C170" s="2165"/>
      <c r="D170" s="2165"/>
      <c r="E170" s="2165"/>
      <c r="F170" s="2165"/>
      <c r="G170" s="2165"/>
      <c r="H170" s="2165"/>
      <c r="I170" s="2165"/>
      <c r="J170" s="2165"/>
      <c r="K170" s="2165"/>
      <c r="L170" s="2165"/>
      <c r="M170" s="2165"/>
      <c r="N170" s="2165"/>
      <c r="O170" s="2165"/>
      <c r="P170" s="2165"/>
      <c r="Q170" s="2165"/>
      <c r="R170" s="2165"/>
      <c r="S170" s="2165"/>
      <c r="T170" s="2165"/>
      <c r="U170" s="2165"/>
      <c r="V170" s="2165"/>
      <c r="W170" s="2165"/>
      <c r="X170" s="2165"/>
      <c r="Y170" s="2165"/>
      <c r="Z170" s="2165"/>
      <c r="AA170" s="2165"/>
      <c r="AB170" s="2165"/>
      <c r="AC170" s="2165"/>
      <c r="AD170" s="2165"/>
      <c r="AE170" s="2165"/>
      <c r="AF170" s="2165"/>
      <c r="AG170" s="2165"/>
      <c r="AH170" s="2165"/>
      <c r="AI170" s="2165"/>
      <c r="AJ170" s="2165"/>
      <c r="AK170" s="2165"/>
      <c r="AL170" s="2165"/>
      <c r="AM170" s="2165"/>
      <c r="AN170" s="2165"/>
      <c r="AO170" s="2165"/>
      <c r="AP170" s="2165"/>
      <c r="AQ170" s="2165"/>
      <c r="AR170" s="2165"/>
      <c r="AS170" s="2165"/>
      <c r="AT170" s="2165"/>
      <c r="AU170" s="2165"/>
      <c r="AV170" s="2165"/>
      <c r="AW170" s="2165"/>
      <c r="AX170" s="2165"/>
      <c r="AY170" s="2165"/>
      <c r="AZ170" s="2165"/>
      <c r="BA170" s="2165"/>
      <c r="BB170" s="2165"/>
      <c r="BC170" s="2165"/>
      <c r="BD170" s="2166"/>
      <c r="BE170" s="1213"/>
    </row>
    <row r="171" spans="1:57" ht="15.75" customHeight="1">
      <c r="A171" s="1207"/>
      <c r="B171" s="2164" t="s">
        <v>1926</v>
      </c>
      <c r="C171" s="2165"/>
      <c r="D171" s="2165"/>
      <c r="E171" s="2165"/>
      <c r="F171" s="2165"/>
      <c r="G171" s="2165"/>
      <c r="H171" s="2165"/>
      <c r="I171" s="2165"/>
      <c r="J171" s="2165"/>
      <c r="K171" s="2165"/>
      <c r="L171" s="2165"/>
      <c r="M171" s="2165"/>
      <c r="N171" s="2165"/>
      <c r="O171" s="2165"/>
      <c r="P171" s="2165"/>
      <c r="Q171" s="2165"/>
      <c r="R171" s="2165"/>
      <c r="S171" s="2165"/>
      <c r="T171" s="2165"/>
      <c r="U171" s="2165"/>
      <c r="V171" s="2165"/>
      <c r="W171" s="2165"/>
      <c r="X171" s="2165"/>
      <c r="Y171" s="2165"/>
      <c r="Z171" s="2165"/>
      <c r="AA171" s="2165"/>
      <c r="AB171" s="2165"/>
      <c r="AC171" s="2165"/>
      <c r="AD171" s="2165"/>
      <c r="AE171" s="2165"/>
      <c r="AF171" s="2165"/>
      <c r="AG171" s="2165"/>
      <c r="AH171" s="2165"/>
      <c r="AI171" s="2165"/>
      <c r="AJ171" s="2165"/>
      <c r="AK171" s="2165"/>
      <c r="AL171" s="2165"/>
      <c r="AM171" s="2165"/>
      <c r="AN171" s="2165"/>
      <c r="AO171" s="2165"/>
      <c r="AP171" s="2165"/>
      <c r="AQ171" s="2165"/>
      <c r="AR171" s="2165"/>
      <c r="AS171" s="2165"/>
      <c r="AT171" s="2165"/>
      <c r="AU171" s="2165"/>
      <c r="AV171" s="2165"/>
      <c r="AW171" s="2165"/>
      <c r="AX171" s="2165"/>
      <c r="AY171" s="2165"/>
      <c r="AZ171" s="2165"/>
      <c r="BA171" s="2165"/>
      <c r="BB171" s="2165"/>
      <c r="BC171" s="2165"/>
      <c r="BD171" s="2166"/>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67" t="s">
        <v>1927</v>
      </c>
      <c r="C173" s="2168"/>
      <c r="D173" s="2168"/>
      <c r="E173" s="2168"/>
      <c r="F173" s="2168"/>
      <c r="G173" s="2168"/>
      <c r="H173" s="2168"/>
      <c r="I173" s="2168"/>
      <c r="J173" s="2168"/>
      <c r="K173" s="2168"/>
      <c r="L173" s="2168"/>
      <c r="M173" s="2168"/>
      <c r="N173" s="2168"/>
      <c r="O173" s="2168"/>
      <c r="P173" s="2168"/>
      <c r="Q173" s="2168"/>
      <c r="R173" s="2168"/>
      <c r="S173" s="2168"/>
      <c r="T173" s="2168"/>
      <c r="U173" s="2168"/>
      <c r="V173" s="2168"/>
      <c r="W173" s="2168"/>
      <c r="X173" s="2168"/>
      <c r="Y173" s="2168"/>
      <c r="Z173" s="2168"/>
      <c r="AA173" s="2168"/>
      <c r="AB173" s="2168"/>
      <c r="AC173" s="2168"/>
      <c r="AD173" s="2168"/>
      <c r="AE173" s="2168"/>
      <c r="AF173" s="2168"/>
      <c r="AG173" s="2168"/>
      <c r="AH173" s="2168"/>
      <c r="AI173" s="2168"/>
      <c r="AJ173" s="2168"/>
      <c r="AK173" s="2168"/>
      <c r="AL173" s="2168"/>
      <c r="AM173" s="2168"/>
      <c r="AN173" s="2168"/>
      <c r="AO173" s="2168"/>
      <c r="AP173" s="2168"/>
      <c r="AQ173" s="2168"/>
      <c r="AR173" s="2168"/>
      <c r="AS173" s="2168"/>
      <c r="AT173" s="2168"/>
      <c r="AU173" s="2168"/>
      <c r="AV173" s="2168"/>
      <c r="AW173" s="2168"/>
      <c r="AX173" s="2168"/>
      <c r="AY173" s="2168"/>
      <c r="AZ173" s="2168"/>
      <c r="BA173" s="2168"/>
      <c r="BB173" s="2168"/>
      <c r="BC173" s="2168"/>
      <c r="BD173" s="2169"/>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0" t="s">
        <v>1929</v>
      </c>
      <c r="I177" s="2170"/>
      <c r="J177" s="2170"/>
      <c r="K177" s="2170"/>
      <c r="L177" s="2170"/>
      <c r="M177" s="2170"/>
      <c r="N177" s="2170"/>
      <c r="O177" s="2170"/>
      <c r="P177" s="2170"/>
      <c r="Q177" s="2170"/>
      <c r="R177" s="2170"/>
      <c r="S177" s="2170"/>
      <c r="T177" s="2170"/>
      <c r="U177" s="2170"/>
      <c r="V177" s="2170"/>
      <c r="W177" s="2170"/>
      <c r="X177" s="2170"/>
      <c r="Y177" s="2170"/>
      <c r="Z177" s="2170"/>
      <c r="AA177" s="2170"/>
      <c r="AB177" s="2170"/>
      <c r="AC177" s="2170"/>
      <c r="AD177" s="2170"/>
      <c r="AE177" s="2170"/>
      <c r="AF177" s="2170"/>
      <c r="AG177" s="2170"/>
      <c r="AH177" s="2170"/>
      <c r="AI177" s="2170"/>
      <c r="AJ177" s="2170"/>
      <c r="AK177" s="2170"/>
      <c r="AL177" s="2170"/>
      <c r="AM177" s="2170"/>
      <c r="AN177" s="2170"/>
      <c r="AO177" s="2170"/>
      <c r="AP177" s="2170"/>
      <c r="AQ177" s="2170"/>
      <c r="AR177" s="2170"/>
      <c r="AS177" s="2170"/>
      <c r="AT177" s="2170"/>
      <c r="AU177" s="2170"/>
      <c r="AV177" s="2170"/>
      <c r="AW177" s="2170"/>
      <c r="AX177" s="2170"/>
      <c r="AY177" s="2170"/>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5" t="s">
        <v>2606</v>
      </c>
      <c r="I179" s="2155"/>
      <c r="J179" s="2155"/>
      <c r="K179" s="2155"/>
      <c r="L179" s="2155"/>
      <c r="M179" s="2155"/>
      <c r="N179" s="2155"/>
      <c r="O179" s="2155"/>
      <c r="P179" s="2155"/>
      <c r="Q179" s="2155"/>
      <c r="R179" s="2155"/>
      <c r="S179" s="2155"/>
      <c r="T179" s="2155"/>
      <c r="U179" s="2155"/>
      <c r="V179" s="2155"/>
      <c r="W179" s="2155"/>
      <c r="X179" s="2155"/>
      <c r="Y179" s="2155"/>
      <c r="Z179" s="2155"/>
      <c r="AA179" s="2155"/>
      <c r="AB179" s="2155"/>
      <c r="AC179" s="2155"/>
      <c r="AD179" s="2155"/>
      <c r="AE179" s="2155"/>
      <c r="AF179" s="2155"/>
      <c r="AG179" s="2155"/>
      <c r="AH179" s="2155"/>
      <c r="AI179" s="2155"/>
      <c r="AJ179" s="2155"/>
      <c r="AK179" s="2155"/>
      <c r="AL179" s="2155"/>
      <c r="AM179" s="2155"/>
      <c r="AN179" s="2155"/>
      <c r="AO179" s="2155"/>
      <c r="AP179" s="2155"/>
      <c r="AQ179" s="2155"/>
      <c r="AR179" s="2155"/>
      <c r="AS179" s="2155"/>
      <c r="AT179" s="2155"/>
      <c r="AU179" s="2155"/>
      <c r="AV179" s="2155"/>
      <c r="AW179" s="2155"/>
      <c r="AX179" s="2155"/>
      <c r="AY179" s="2155"/>
      <c r="AZ179" s="2155"/>
      <c r="BA179" s="1207"/>
      <c r="BB179" s="1207"/>
      <c r="BC179" s="1207"/>
      <c r="BD179" s="1213"/>
      <c r="BE179" s="1213"/>
    </row>
    <row r="180" spans="1:57" ht="15.75" customHeight="1">
      <c r="A180" s="1207"/>
      <c r="B180" s="1206"/>
      <c r="C180" s="1207"/>
      <c r="D180" s="1207"/>
      <c r="E180" s="1207"/>
      <c r="F180" s="1207"/>
      <c r="G180" s="1207"/>
      <c r="H180" s="2155"/>
      <c r="I180" s="2155"/>
      <c r="J180" s="2155"/>
      <c r="K180" s="2155"/>
      <c r="L180" s="2155"/>
      <c r="M180" s="2155"/>
      <c r="N180" s="2155"/>
      <c r="O180" s="2155"/>
      <c r="P180" s="2155"/>
      <c r="Q180" s="2155"/>
      <c r="R180" s="2155"/>
      <c r="S180" s="2155"/>
      <c r="T180" s="2155"/>
      <c r="U180" s="2155"/>
      <c r="V180" s="2155"/>
      <c r="W180" s="2155"/>
      <c r="X180" s="2155"/>
      <c r="Y180" s="2155"/>
      <c r="Z180" s="2155"/>
      <c r="AA180" s="2155"/>
      <c r="AB180" s="2155"/>
      <c r="AC180" s="2155"/>
      <c r="AD180" s="2155"/>
      <c r="AE180" s="2155"/>
      <c r="AF180" s="2155"/>
      <c r="AG180" s="2155"/>
      <c r="AH180" s="2155"/>
      <c r="AI180" s="2155"/>
      <c r="AJ180" s="2155"/>
      <c r="AK180" s="2155"/>
      <c r="AL180" s="2155"/>
      <c r="AM180" s="2155"/>
      <c r="AN180" s="2155"/>
      <c r="AO180" s="2155"/>
      <c r="AP180" s="2155"/>
      <c r="AQ180" s="2155"/>
      <c r="AR180" s="2155"/>
      <c r="AS180" s="2155"/>
      <c r="AT180" s="2155"/>
      <c r="AU180" s="2155"/>
      <c r="AV180" s="2155"/>
      <c r="AW180" s="2155"/>
      <c r="AX180" s="2155"/>
      <c r="AY180" s="2155"/>
      <c r="AZ180" s="2155"/>
      <c r="BA180" s="1207"/>
      <c r="BB180" s="1207"/>
      <c r="BC180" s="1207"/>
      <c r="BD180" s="1213"/>
      <c r="BE180" s="1213"/>
    </row>
    <row r="181" spans="1:57" ht="15.75" customHeight="1">
      <c r="A181" s="1207"/>
      <c r="B181" s="1206"/>
      <c r="C181" s="1207"/>
      <c r="D181" s="1207"/>
      <c r="E181" s="1207"/>
      <c r="F181" s="1207"/>
      <c r="G181" s="1207"/>
      <c r="H181" s="2155"/>
      <c r="I181" s="2155"/>
      <c r="J181" s="2155"/>
      <c r="K181" s="2155"/>
      <c r="L181" s="2155"/>
      <c r="M181" s="2155"/>
      <c r="N181" s="2155"/>
      <c r="O181" s="2155"/>
      <c r="P181" s="2155"/>
      <c r="Q181" s="2155"/>
      <c r="R181" s="2155"/>
      <c r="S181" s="2155"/>
      <c r="T181" s="2155"/>
      <c r="U181" s="2155"/>
      <c r="V181" s="2155"/>
      <c r="W181" s="2155"/>
      <c r="X181" s="2155"/>
      <c r="Y181" s="2155"/>
      <c r="Z181" s="2155"/>
      <c r="AA181" s="2155"/>
      <c r="AB181" s="2155"/>
      <c r="AC181" s="2155"/>
      <c r="AD181" s="2155"/>
      <c r="AE181" s="2155"/>
      <c r="AF181" s="2155"/>
      <c r="AG181" s="2155"/>
      <c r="AH181" s="2155"/>
      <c r="AI181" s="2155"/>
      <c r="AJ181" s="2155"/>
      <c r="AK181" s="2155"/>
      <c r="AL181" s="2155"/>
      <c r="AM181" s="2155"/>
      <c r="AN181" s="2155"/>
      <c r="AO181" s="2155"/>
      <c r="AP181" s="2155"/>
      <c r="AQ181" s="2155"/>
      <c r="AR181" s="2155"/>
      <c r="AS181" s="2155"/>
      <c r="AT181" s="2155"/>
      <c r="AU181" s="2155"/>
      <c r="AV181" s="2155"/>
      <c r="AW181" s="2155"/>
      <c r="AX181" s="2155"/>
      <c r="AY181" s="2155"/>
      <c r="AZ181" s="2155"/>
      <c r="BA181" s="1207"/>
      <c r="BB181" s="1207"/>
      <c r="BC181" s="1207"/>
      <c r="BD181" s="1213"/>
      <c r="BE181" s="1213"/>
    </row>
    <row r="182" spans="1:57" ht="15.75" customHeight="1">
      <c r="A182" s="1207"/>
      <c r="B182" s="1206"/>
      <c r="C182" s="1207"/>
      <c r="D182" s="1207"/>
      <c r="E182" s="1207"/>
      <c r="F182" s="1207"/>
      <c r="G182" s="1207"/>
      <c r="H182" s="2155"/>
      <c r="I182" s="2155"/>
      <c r="J182" s="2155"/>
      <c r="K182" s="2155"/>
      <c r="L182" s="2155"/>
      <c r="M182" s="2155"/>
      <c r="N182" s="2155"/>
      <c r="O182" s="2155"/>
      <c r="P182" s="2155"/>
      <c r="Q182" s="2155"/>
      <c r="R182" s="2155"/>
      <c r="S182" s="2155"/>
      <c r="T182" s="2155"/>
      <c r="U182" s="2155"/>
      <c r="V182" s="2155"/>
      <c r="W182" s="2155"/>
      <c r="X182" s="2155"/>
      <c r="Y182" s="2155"/>
      <c r="Z182" s="2155"/>
      <c r="AA182" s="2155"/>
      <c r="AB182" s="2155"/>
      <c r="AC182" s="2155"/>
      <c r="AD182" s="2155"/>
      <c r="AE182" s="2155"/>
      <c r="AF182" s="2155"/>
      <c r="AG182" s="2155"/>
      <c r="AH182" s="2155"/>
      <c r="AI182" s="2155"/>
      <c r="AJ182" s="2155"/>
      <c r="AK182" s="2155"/>
      <c r="AL182" s="2155"/>
      <c r="AM182" s="2155"/>
      <c r="AN182" s="2155"/>
      <c r="AO182" s="2155"/>
      <c r="AP182" s="2155"/>
      <c r="AQ182" s="2155"/>
      <c r="AR182" s="2155"/>
      <c r="AS182" s="2155"/>
      <c r="AT182" s="2155"/>
      <c r="AU182" s="2155"/>
      <c r="AV182" s="2155"/>
      <c r="AW182" s="2155"/>
      <c r="AX182" s="2155"/>
      <c r="AY182" s="2155"/>
      <c r="AZ182" s="2155"/>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56" t="s">
        <v>1930</v>
      </c>
      <c r="I184" s="2156"/>
      <c r="J184" s="2156"/>
      <c r="K184" s="2156"/>
      <c r="L184" s="2156"/>
      <c r="M184" s="2156"/>
      <c r="N184" s="2156"/>
      <c r="O184" s="2156"/>
      <c r="P184" s="2156"/>
      <c r="Q184" s="2156"/>
      <c r="R184" s="2156"/>
      <c r="S184" s="2156"/>
      <c r="T184" s="2156"/>
      <c r="U184" s="2156"/>
      <c r="V184" s="2156"/>
      <c r="W184" s="2156"/>
      <c r="X184" s="2156"/>
      <c r="Y184" s="2156"/>
      <c r="Z184" s="2156"/>
      <c r="AA184" s="2156"/>
      <c r="AB184" s="2156"/>
      <c r="AC184" s="2156"/>
      <c r="AD184" s="2156"/>
      <c r="AE184" s="2156"/>
      <c r="AF184" s="2156"/>
      <c r="AG184" s="2156"/>
      <c r="AH184" s="2156"/>
      <c r="AI184" s="2156"/>
      <c r="AJ184" s="2156"/>
      <c r="AK184" s="2156"/>
      <c r="AL184" s="2156"/>
      <c r="AM184" s="2156"/>
      <c r="AN184" s="2156"/>
      <c r="AO184" s="2156"/>
      <c r="AP184" s="2156"/>
      <c r="AQ184" s="2156"/>
      <c r="AR184" s="2156"/>
      <c r="AS184" s="2156"/>
      <c r="AT184" s="2156"/>
      <c r="AU184" s="2156"/>
      <c r="AV184" s="2156"/>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46" t="s">
        <v>1931</v>
      </c>
      <c r="I186" s="2146"/>
      <c r="J186" s="2146"/>
      <c r="K186" s="2146"/>
      <c r="L186" s="1222"/>
      <c r="M186" s="1222"/>
      <c r="N186" s="1222"/>
      <c r="O186" s="1222"/>
      <c r="P186" s="1222"/>
      <c r="Q186" s="1222"/>
      <c r="R186" s="1222"/>
      <c r="S186" s="2157"/>
      <c r="T186" s="2153"/>
      <c r="U186" s="2153"/>
      <c r="V186" s="2153"/>
      <c r="W186" s="2153"/>
      <c r="X186" s="2153"/>
      <c r="Y186" s="2153"/>
      <c r="Z186" s="2153"/>
      <c r="AA186" s="2153"/>
      <c r="AB186" s="2153"/>
      <c r="AC186" s="2153"/>
      <c r="AD186" s="2153"/>
      <c r="AE186" s="2153"/>
      <c r="AF186" s="2153"/>
      <c r="AG186" s="2153"/>
      <c r="AH186" s="2153"/>
      <c r="AI186" s="2153"/>
      <c r="AJ186" s="2154"/>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46" t="s">
        <v>1932</v>
      </c>
      <c r="I188" s="2146"/>
      <c r="J188" s="2146"/>
      <c r="K188" s="1255"/>
      <c r="L188" s="1222"/>
      <c r="M188" s="1222"/>
      <c r="N188" s="1222"/>
      <c r="O188" s="1222"/>
      <c r="P188" s="1222"/>
      <c r="Q188" s="1222"/>
      <c r="R188" s="1222"/>
      <c r="S188" s="2147"/>
      <c r="T188" s="2148"/>
      <c r="U188" s="2148"/>
      <c r="V188" s="2148"/>
      <c r="W188" s="2148"/>
      <c r="X188" s="2148"/>
      <c r="Y188" s="2148"/>
      <c r="Z188" s="2148"/>
      <c r="AA188" s="2148"/>
      <c r="AB188" s="2148"/>
      <c r="AC188" s="2148"/>
      <c r="AD188" s="2148"/>
      <c r="AE188" s="2148"/>
      <c r="AF188" s="2148"/>
      <c r="AG188" s="2148"/>
      <c r="AH188" s="2148"/>
      <c r="AI188" s="2148"/>
      <c r="AJ188" s="2149"/>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46" t="s">
        <v>444</v>
      </c>
      <c r="I190" s="2146"/>
      <c r="J190" s="1255"/>
      <c r="K190" s="1255"/>
      <c r="L190" s="1222"/>
      <c r="M190" s="1222"/>
      <c r="N190" s="1222"/>
      <c r="O190" s="1222"/>
      <c r="P190" s="1222"/>
      <c r="Q190" s="1222"/>
      <c r="R190" s="1222"/>
      <c r="S190" s="2147"/>
      <c r="T190" s="2148"/>
      <c r="U190" s="2148"/>
      <c r="V190" s="2148"/>
      <c r="W190" s="2148"/>
      <c r="X190" s="2148"/>
      <c r="Y190" s="2148"/>
      <c r="Z190" s="2148"/>
      <c r="AA190" s="2148"/>
      <c r="AB190" s="2148"/>
      <c r="AC190" s="2148"/>
      <c r="AD190" s="2148"/>
      <c r="AE190" s="2148"/>
      <c r="AF190" s="2148"/>
      <c r="AG190" s="2148"/>
      <c r="AH190" s="2148"/>
      <c r="AI190" s="2148"/>
      <c r="AJ190" s="2149"/>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0" t="s">
        <v>1933</v>
      </c>
      <c r="I192" s="2150"/>
      <c r="J192" s="2150"/>
      <c r="K192" s="2150"/>
      <c r="L192" s="2150"/>
      <c r="M192" s="2150"/>
      <c r="N192" s="2150"/>
      <c r="O192" s="2150"/>
      <c r="P192" s="1222"/>
      <c r="Q192" s="1222"/>
      <c r="R192" s="1222"/>
      <c r="S192" s="2147"/>
      <c r="T192" s="2148"/>
      <c r="U192" s="2148"/>
      <c r="V192" s="2148"/>
      <c r="W192" s="2148"/>
      <c r="X192" s="2148"/>
      <c r="Y192" s="2148"/>
      <c r="Z192" s="2148"/>
      <c r="AA192" s="2148"/>
      <c r="AB192" s="2148"/>
      <c r="AC192" s="2148"/>
      <c r="AD192" s="2148"/>
      <c r="AE192" s="2148"/>
      <c r="AF192" s="2148"/>
      <c r="AG192" s="2148"/>
      <c r="AH192" s="2148"/>
      <c r="AI192" s="2148"/>
      <c r="AJ192" s="2149"/>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1" t="s">
        <v>1934</v>
      </c>
      <c r="I194" s="2151"/>
      <c r="J194" s="1222"/>
      <c r="K194" s="1222"/>
      <c r="L194" s="1222"/>
      <c r="M194" s="1222"/>
      <c r="N194" s="1222"/>
      <c r="O194" s="1222"/>
      <c r="P194" s="1222"/>
      <c r="Q194" s="1222"/>
      <c r="R194" s="1222"/>
      <c r="S194" s="2152"/>
      <c r="T194" s="2153"/>
      <c r="U194" s="2153"/>
      <c r="V194" s="2153"/>
      <c r="W194" s="2153"/>
      <c r="X194" s="2153"/>
      <c r="Y194" s="2153"/>
      <c r="Z194" s="2153"/>
      <c r="AA194" s="2153"/>
      <c r="AB194" s="2153"/>
      <c r="AC194" s="2153"/>
      <c r="AD194" s="2153"/>
      <c r="AE194" s="2153"/>
      <c r="AF194" s="2153"/>
      <c r="AG194" s="2153"/>
      <c r="AH194" s="2153"/>
      <c r="AI194" s="2153"/>
      <c r="AJ194" s="2154"/>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B23" sqref="B23:S23"/>
    </sheetView>
  </sheetViews>
  <sheetFormatPr defaultColWidth="0" defaultRowHeight="12.95" customHeight="1"/>
  <cols>
    <col min="1" max="1" width="1.5703125" style="434" customWidth="1"/>
    <col min="2" max="2" width="0.85546875" style="434" customWidth="1"/>
    <col min="3" max="18" width="2.5703125" style="434" customWidth="1"/>
    <col min="19" max="19" width="6.28515625" style="434" customWidth="1"/>
    <col min="20" max="39" width="2.7109375" style="434" customWidth="1"/>
    <col min="40" max="40" width="1.5703125" style="434" customWidth="1"/>
    <col min="41" max="256" width="2.5703125" style="434" hidden="1"/>
    <col min="257" max="257" width="1.5703125" style="434" hidden="1" customWidth="1"/>
    <col min="258" max="258" width="0.85546875" style="434" hidden="1" customWidth="1"/>
    <col min="259" max="274" width="2.5703125" style="434" hidden="1" customWidth="1"/>
    <col min="275" max="275" width="4" style="434" hidden="1" customWidth="1"/>
    <col min="276" max="279" width="2.5703125" style="434" hidden="1" customWidth="1"/>
    <col min="280" max="280" width="2.42578125" style="434" hidden="1" customWidth="1"/>
    <col min="281" max="284" width="2.5703125" style="434" hidden="1" customWidth="1"/>
    <col min="285" max="285" width="2.42578125" style="434" hidden="1" customWidth="1"/>
    <col min="286" max="289" width="2.5703125" style="434" hidden="1" customWidth="1"/>
    <col min="290" max="295" width="2.42578125" style="434" hidden="1" customWidth="1"/>
    <col min="296" max="296" width="1.5703125" style="434" hidden="1" customWidth="1"/>
    <col min="297" max="512" width="2.5703125" style="434" hidden="1"/>
    <col min="513" max="513" width="1.5703125" style="434" hidden="1" customWidth="1"/>
    <col min="514" max="514" width="0.85546875" style="434" hidden="1" customWidth="1"/>
    <col min="515" max="530" width="2.5703125" style="434" hidden="1" customWidth="1"/>
    <col min="531" max="531" width="4" style="434" hidden="1" customWidth="1"/>
    <col min="532" max="535" width="2.5703125" style="434" hidden="1" customWidth="1"/>
    <col min="536" max="536" width="2.42578125" style="434" hidden="1" customWidth="1"/>
    <col min="537" max="540" width="2.5703125" style="434" hidden="1" customWidth="1"/>
    <col min="541" max="541" width="2.42578125" style="434" hidden="1" customWidth="1"/>
    <col min="542" max="545" width="2.5703125" style="434" hidden="1" customWidth="1"/>
    <col min="546" max="551" width="2.42578125" style="434" hidden="1" customWidth="1"/>
    <col min="552" max="552" width="1.5703125" style="434" hidden="1" customWidth="1"/>
    <col min="553" max="768" width="2.5703125" style="434" hidden="1"/>
    <col min="769" max="769" width="1.5703125" style="434" hidden="1" customWidth="1"/>
    <col min="770" max="770" width="0.85546875" style="434" hidden="1" customWidth="1"/>
    <col min="771" max="786" width="2.5703125" style="434" hidden="1" customWidth="1"/>
    <col min="787" max="787" width="4" style="434" hidden="1" customWidth="1"/>
    <col min="788" max="791" width="2.5703125" style="434" hidden="1" customWidth="1"/>
    <col min="792" max="792" width="2.42578125" style="434" hidden="1" customWidth="1"/>
    <col min="793" max="796" width="2.5703125" style="434" hidden="1" customWidth="1"/>
    <col min="797" max="797" width="2.42578125" style="434" hidden="1" customWidth="1"/>
    <col min="798" max="801" width="2.5703125" style="434" hidden="1" customWidth="1"/>
    <col min="802" max="807" width="2.42578125" style="434" hidden="1" customWidth="1"/>
    <col min="808" max="808" width="1.5703125" style="434" hidden="1" customWidth="1"/>
    <col min="809" max="1024" width="2.5703125" style="434" hidden="1"/>
    <col min="1025" max="1025" width="1.5703125" style="434" hidden="1" customWidth="1"/>
    <col min="1026" max="1026" width="0.85546875" style="434" hidden="1" customWidth="1"/>
    <col min="1027" max="1042" width="2.5703125" style="434" hidden="1" customWidth="1"/>
    <col min="1043" max="1043" width="4" style="434" hidden="1" customWidth="1"/>
    <col min="1044" max="1047" width="2.5703125" style="434" hidden="1" customWidth="1"/>
    <col min="1048" max="1048" width="2.42578125" style="434" hidden="1" customWidth="1"/>
    <col min="1049" max="1052" width="2.5703125" style="434" hidden="1" customWidth="1"/>
    <col min="1053" max="1053" width="2.42578125" style="434" hidden="1" customWidth="1"/>
    <col min="1054" max="1057" width="2.5703125" style="434" hidden="1" customWidth="1"/>
    <col min="1058" max="1063" width="2.42578125" style="434" hidden="1" customWidth="1"/>
    <col min="1064" max="1064" width="1.5703125" style="434" hidden="1" customWidth="1"/>
    <col min="1065" max="1280" width="2.5703125" style="434" hidden="1"/>
    <col min="1281" max="1281" width="1.5703125" style="434" hidden="1" customWidth="1"/>
    <col min="1282" max="1282" width="0.85546875" style="434" hidden="1" customWidth="1"/>
    <col min="1283" max="1298" width="2.5703125" style="434" hidden="1" customWidth="1"/>
    <col min="1299" max="1299" width="4" style="434" hidden="1" customWidth="1"/>
    <col min="1300" max="1303" width="2.5703125" style="434" hidden="1" customWidth="1"/>
    <col min="1304" max="1304" width="2.42578125" style="434" hidden="1" customWidth="1"/>
    <col min="1305" max="1308" width="2.5703125" style="434" hidden="1" customWidth="1"/>
    <col min="1309" max="1309" width="2.42578125" style="434" hidden="1" customWidth="1"/>
    <col min="1310" max="1313" width="2.5703125" style="434" hidden="1" customWidth="1"/>
    <col min="1314" max="1319" width="2.42578125" style="434" hidden="1" customWidth="1"/>
    <col min="1320" max="1320" width="1.5703125" style="434" hidden="1" customWidth="1"/>
    <col min="1321" max="1536" width="2.5703125" style="434" hidden="1"/>
    <col min="1537" max="1537" width="1.5703125" style="434" hidden="1" customWidth="1"/>
    <col min="1538" max="1538" width="0.85546875" style="434" hidden="1" customWidth="1"/>
    <col min="1539" max="1554" width="2.5703125" style="434" hidden="1" customWidth="1"/>
    <col min="1555" max="1555" width="4" style="434" hidden="1" customWidth="1"/>
    <col min="1556" max="1559" width="2.5703125" style="434" hidden="1" customWidth="1"/>
    <col min="1560" max="1560" width="2.42578125" style="434" hidden="1" customWidth="1"/>
    <col min="1561" max="1564" width="2.5703125" style="434" hidden="1" customWidth="1"/>
    <col min="1565" max="1565" width="2.42578125" style="434" hidden="1" customWidth="1"/>
    <col min="1566" max="1569" width="2.5703125" style="434" hidden="1" customWidth="1"/>
    <col min="1570" max="1575" width="2.42578125" style="434" hidden="1" customWidth="1"/>
    <col min="1576" max="1576" width="1.5703125" style="434" hidden="1" customWidth="1"/>
    <col min="1577" max="1792" width="2.5703125" style="434" hidden="1"/>
    <col min="1793" max="1793" width="1.5703125" style="434" hidden="1" customWidth="1"/>
    <col min="1794" max="1794" width="0.85546875" style="434" hidden="1" customWidth="1"/>
    <col min="1795" max="1810" width="2.5703125" style="434" hidden="1" customWidth="1"/>
    <col min="1811" max="1811" width="4" style="434" hidden="1" customWidth="1"/>
    <col min="1812" max="1815" width="2.5703125" style="434" hidden="1" customWidth="1"/>
    <col min="1816" max="1816" width="2.42578125" style="434" hidden="1" customWidth="1"/>
    <col min="1817" max="1820" width="2.5703125" style="434" hidden="1" customWidth="1"/>
    <col min="1821" max="1821" width="2.42578125" style="434" hidden="1" customWidth="1"/>
    <col min="1822" max="1825" width="2.5703125" style="434" hidden="1" customWidth="1"/>
    <col min="1826" max="1831" width="2.42578125" style="434" hidden="1" customWidth="1"/>
    <col min="1832" max="1832" width="1.5703125" style="434" hidden="1" customWidth="1"/>
    <col min="1833" max="2048" width="2.5703125" style="434" hidden="1"/>
    <col min="2049" max="2049" width="1.5703125" style="434" hidden="1" customWidth="1"/>
    <col min="2050" max="2050" width="0.85546875" style="434" hidden="1" customWidth="1"/>
    <col min="2051" max="2066" width="2.5703125" style="434" hidden="1" customWidth="1"/>
    <col min="2067" max="2067" width="4" style="434" hidden="1" customWidth="1"/>
    <col min="2068" max="2071" width="2.5703125" style="434" hidden="1" customWidth="1"/>
    <col min="2072" max="2072" width="2.42578125" style="434" hidden="1" customWidth="1"/>
    <col min="2073" max="2076" width="2.5703125" style="434" hidden="1" customWidth="1"/>
    <col min="2077" max="2077" width="2.42578125" style="434" hidden="1" customWidth="1"/>
    <col min="2078" max="2081" width="2.5703125" style="434" hidden="1" customWidth="1"/>
    <col min="2082" max="2087" width="2.42578125" style="434" hidden="1" customWidth="1"/>
    <col min="2088" max="2088" width="1.5703125" style="434" hidden="1" customWidth="1"/>
    <col min="2089" max="2304" width="2.5703125" style="434" hidden="1"/>
    <col min="2305" max="2305" width="1.5703125" style="434" hidden="1" customWidth="1"/>
    <col min="2306" max="2306" width="0.85546875" style="434" hidden="1" customWidth="1"/>
    <col min="2307" max="2322" width="2.5703125" style="434" hidden="1" customWidth="1"/>
    <col min="2323" max="2323" width="4" style="434" hidden="1" customWidth="1"/>
    <col min="2324" max="2327" width="2.5703125" style="434" hidden="1" customWidth="1"/>
    <col min="2328" max="2328" width="2.42578125" style="434" hidden="1" customWidth="1"/>
    <col min="2329" max="2332" width="2.5703125" style="434" hidden="1" customWidth="1"/>
    <col min="2333" max="2333" width="2.42578125" style="434" hidden="1" customWidth="1"/>
    <col min="2334" max="2337" width="2.5703125" style="434" hidden="1" customWidth="1"/>
    <col min="2338" max="2343" width="2.42578125" style="434" hidden="1" customWidth="1"/>
    <col min="2344" max="2344" width="1.5703125" style="434" hidden="1" customWidth="1"/>
    <col min="2345" max="2560" width="2.5703125" style="434" hidden="1"/>
    <col min="2561" max="2561" width="1.5703125" style="434" hidden="1" customWidth="1"/>
    <col min="2562" max="2562" width="0.85546875" style="434" hidden="1" customWidth="1"/>
    <col min="2563" max="2578" width="2.5703125" style="434" hidden="1" customWidth="1"/>
    <col min="2579" max="2579" width="4" style="434" hidden="1" customWidth="1"/>
    <col min="2580" max="2583" width="2.5703125" style="434" hidden="1" customWidth="1"/>
    <col min="2584" max="2584" width="2.42578125" style="434" hidden="1" customWidth="1"/>
    <col min="2585" max="2588" width="2.5703125" style="434" hidden="1" customWidth="1"/>
    <col min="2589" max="2589" width="2.42578125" style="434" hidden="1" customWidth="1"/>
    <col min="2590" max="2593" width="2.5703125" style="434" hidden="1" customWidth="1"/>
    <col min="2594" max="2599" width="2.42578125" style="434" hidden="1" customWidth="1"/>
    <col min="2600" max="2600" width="1.5703125" style="434" hidden="1" customWidth="1"/>
    <col min="2601" max="2816" width="2.5703125" style="434" hidden="1"/>
    <col min="2817" max="2817" width="1.5703125" style="434" hidden="1" customWidth="1"/>
    <col min="2818" max="2818" width="0.85546875" style="434" hidden="1" customWidth="1"/>
    <col min="2819" max="2834" width="2.5703125" style="434" hidden="1" customWidth="1"/>
    <col min="2835" max="2835" width="4" style="434" hidden="1" customWidth="1"/>
    <col min="2836" max="2839" width="2.5703125" style="434" hidden="1" customWidth="1"/>
    <col min="2840" max="2840" width="2.42578125" style="434" hidden="1" customWidth="1"/>
    <col min="2841" max="2844" width="2.5703125" style="434" hidden="1" customWidth="1"/>
    <col min="2845" max="2845" width="2.42578125" style="434" hidden="1" customWidth="1"/>
    <col min="2846" max="2849" width="2.5703125" style="434" hidden="1" customWidth="1"/>
    <col min="2850" max="2855" width="2.42578125" style="434" hidden="1" customWidth="1"/>
    <col min="2856" max="2856" width="1.5703125" style="434" hidden="1" customWidth="1"/>
    <col min="2857" max="3072" width="2.5703125" style="434" hidden="1"/>
    <col min="3073" max="3073" width="1.5703125" style="434" hidden="1" customWidth="1"/>
    <col min="3074" max="3074" width="0.85546875" style="434" hidden="1" customWidth="1"/>
    <col min="3075" max="3090" width="2.5703125" style="434" hidden="1" customWidth="1"/>
    <col min="3091" max="3091" width="4" style="434" hidden="1" customWidth="1"/>
    <col min="3092" max="3095" width="2.5703125" style="434" hidden="1" customWidth="1"/>
    <col min="3096" max="3096" width="2.42578125" style="434" hidden="1" customWidth="1"/>
    <col min="3097" max="3100" width="2.5703125" style="434" hidden="1" customWidth="1"/>
    <col min="3101" max="3101" width="2.42578125" style="434" hidden="1" customWidth="1"/>
    <col min="3102" max="3105" width="2.5703125" style="434" hidden="1" customWidth="1"/>
    <col min="3106" max="3111" width="2.42578125" style="434" hidden="1" customWidth="1"/>
    <col min="3112" max="3112" width="1.5703125" style="434" hidden="1" customWidth="1"/>
    <col min="3113" max="3328" width="2.5703125" style="434" hidden="1"/>
    <col min="3329" max="3329" width="1.5703125" style="434" hidden="1" customWidth="1"/>
    <col min="3330" max="3330" width="0.85546875" style="434" hidden="1" customWidth="1"/>
    <col min="3331" max="3346" width="2.5703125" style="434" hidden="1" customWidth="1"/>
    <col min="3347" max="3347" width="4" style="434" hidden="1" customWidth="1"/>
    <col min="3348" max="3351" width="2.5703125" style="434" hidden="1" customWidth="1"/>
    <col min="3352" max="3352" width="2.42578125" style="434" hidden="1" customWidth="1"/>
    <col min="3353" max="3356" width="2.5703125" style="434" hidden="1" customWidth="1"/>
    <col min="3357" max="3357" width="2.42578125" style="434" hidden="1" customWidth="1"/>
    <col min="3358" max="3361" width="2.5703125" style="434" hidden="1" customWidth="1"/>
    <col min="3362" max="3367" width="2.42578125" style="434" hidden="1" customWidth="1"/>
    <col min="3368" max="3368" width="1.5703125" style="434" hidden="1" customWidth="1"/>
    <col min="3369" max="3584" width="2.5703125" style="434" hidden="1"/>
    <col min="3585" max="3585" width="1.5703125" style="434" hidden="1" customWidth="1"/>
    <col min="3586" max="3586" width="0.85546875" style="434" hidden="1" customWidth="1"/>
    <col min="3587" max="3602" width="2.5703125" style="434" hidden="1" customWidth="1"/>
    <col min="3603" max="3603" width="4" style="434" hidden="1" customWidth="1"/>
    <col min="3604" max="3607" width="2.5703125" style="434" hidden="1" customWidth="1"/>
    <col min="3608" max="3608" width="2.42578125" style="434" hidden="1" customWidth="1"/>
    <col min="3609" max="3612" width="2.5703125" style="434" hidden="1" customWidth="1"/>
    <col min="3613" max="3613" width="2.42578125" style="434" hidden="1" customWidth="1"/>
    <col min="3614" max="3617" width="2.5703125" style="434" hidden="1" customWidth="1"/>
    <col min="3618" max="3623" width="2.42578125" style="434" hidden="1" customWidth="1"/>
    <col min="3624" max="3624" width="1.5703125" style="434" hidden="1" customWidth="1"/>
    <col min="3625" max="3840" width="2.5703125" style="434" hidden="1"/>
    <col min="3841" max="3841" width="1.5703125" style="434" hidden="1" customWidth="1"/>
    <col min="3842" max="3842" width="0.85546875" style="434" hidden="1" customWidth="1"/>
    <col min="3843" max="3858" width="2.5703125" style="434" hidden="1" customWidth="1"/>
    <col min="3859" max="3859" width="4" style="434" hidden="1" customWidth="1"/>
    <col min="3860" max="3863" width="2.5703125" style="434" hidden="1" customWidth="1"/>
    <col min="3864" max="3864" width="2.42578125" style="434" hidden="1" customWidth="1"/>
    <col min="3865" max="3868" width="2.5703125" style="434" hidden="1" customWidth="1"/>
    <col min="3869" max="3869" width="2.42578125" style="434" hidden="1" customWidth="1"/>
    <col min="3870" max="3873" width="2.5703125" style="434" hidden="1" customWidth="1"/>
    <col min="3874" max="3879" width="2.42578125" style="434" hidden="1" customWidth="1"/>
    <col min="3880" max="3880" width="1.5703125" style="434" hidden="1" customWidth="1"/>
    <col min="3881" max="4096" width="2.5703125" style="434" hidden="1"/>
    <col min="4097" max="4097" width="1.5703125" style="434" hidden="1" customWidth="1"/>
    <col min="4098" max="4098" width="0.85546875" style="434" hidden="1" customWidth="1"/>
    <col min="4099" max="4114" width="2.5703125" style="434" hidden="1" customWidth="1"/>
    <col min="4115" max="4115" width="4" style="434" hidden="1" customWidth="1"/>
    <col min="4116" max="4119" width="2.5703125" style="434" hidden="1" customWidth="1"/>
    <col min="4120" max="4120" width="2.42578125" style="434" hidden="1" customWidth="1"/>
    <col min="4121" max="4124" width="2.5703125" style="434" hidden="1" customWidth="1"/>
    <col min="4125" max="4125" width="2.42578125" style="434" hidden="1" customWidth="1"/>
    <col min="4126" max="4129" width="2.5703125" style="434" hidden="1" customWidth="1"/>
    <col min="4130" max="4135" width="2.42578125" style="434" hidden="1" customWidth="1"/>
    <col min="4136" max="4136" width="1.5703125" style="434" hidden="1" customWidth="1"/>
    <col min="4137" max="4352" width="2.5703125" style="434" hidden="1"/>
    <col min="4353" max="4353" width="1.5703125" style="434" hidden="1" customWidth="1"/>
    <col min="4354" max="4354" width="0.85546875" style="434" hidden="1" customWidth="1"/>
    <col min="4355" max="4370" width="2.5703125" style="434" hidden="1" customWidth="1"/>
    <col min="4371" max="4371" width="4" style="434" hidden="1" customWidth="1"/>
    <col min="4372" max="4375" width="2.5703125" style="434" hidden="1" customWidth="1"/>
    <col min="4376" max="4376" width="2.42578125" style="434" hidden="1" customWidth="1"/>
    <col min="4377" max="4380" width="2.5703125" style="434" hidden="1" customWidth="1"/>
    <col min="4381" max="4381" width="2.42578125" style="434" hidden="1" customWidth="1"/>
    <col min="4382" max="4385" width="2.5703125" style="434" hidden="1" customWidth="1"/>
    <col min="4386" max="4391" width="2.42578125" style="434" hidden="1" customWidth="1"/>
    <col min="4392" max="4392" width="1.5703125" style="434" hidden="1" customWidth="1"/>
    <col min="4393" max="4608" width="2.5703125" style="434" hidden="1"/>
    <col min="4609" max="4609" width="1.5703125" style="434" hidden="1" customWidth="1"/>
    <col min="4610" max="4610" width="0.85546875" style="434" hidden="1" customWidth="1"/>
    <col min="4611" max="4626" width="2.5703125" style="434" hidden="1" customWidth="1"/>
    <col min="4627" max="4627" width="4" style="434" hidden="1" customWidth="1"/>
    <col min="4628" max="4631" width="2.5703125" style="434" hidden="1" customWidth="1"/>
    <col min="4632" max="4632" width="2.42578125" style="434" hidden="1" customWidth="1"/>
    <col min="4633" max="4636" width="2.5703125" style="434" hidden="1" customWidth="1"/>
    <col min="4637" max="4637" width="2.42578125" style="434" hidden="1" customWidth="1"/>
    <col min="4638" max="4641" width="2.5703125" style="434" hidden="1" customWidth="1"/>
    <col min="4642" max="4647" width="2.42578125" style="434" hidden="1" customWidth="1"/>
    <col min="4648" max="4648" width="1.5703125" style="434" hidden="1" customWidth="1"/>
    <col min="4649" max="4864" width="2.5703125" style="434" hidden="1"/>
    <col min="4865" max="4865" width="1.5703125" style="434" hidden="1" customWidth="1"/>
    <col min="4866" max="4866" width="0.85546875" style="434" hidden="1" customWidth="1"/>
    <col min="4867" max="4882" width="2.5703125" style="434" hidden="1" customWidth="1"/>
    <col min="4883" max="4883" width="4" style="434" hidden="1" customWidth="1"/>
    <col min="4884" max="4887" width="2.5703125" style="434" hidden="1" customWidth="1"/>
    <col min="4888" max="4888" width="2.42578125" style="434" hidden="1" customWidth="1"/>
    <col min="4889" max="4892" width="2.5703125" style="434" hidden="1" customWidth="1"/>
    <col min="4893" max="4893" width="2.42578125" style="434" hidden="1" customWidth="1"/>
    <col min="4894" max="4897" width="2.5703125" style="434" hidden="1" customWidth="1"/>
    <col min="4898" max="4903" width="2.42578125" style="434" hidden="1" customWidth="1"/>
    <col min="4904" max="4904" width="1.5703125" style="434" hidden="1" customWidth="1"/>
    <col min="4905" max="5120" width="2.5703125" style="434" hidden="1"/>
    <col min="5121" max="5121" width="1.5703125" style="434" hidden="1" customWidth="1"/>
    <col min="5122" max="5122" width="0.85546875" style="434" hidden="1" customWidth="1"/>
    <col min="5123" max="5138" width="2.5703125" style="434" hidden="1" customWidth="1"/>
    <col min="5139" max="5139" width="4" style="434" hidden="1" customWidth="1"/>
    <col min="5140" max="5143" width="2.5703125" style="434" hidden="1" customWidth="1"/>
    <col min="5144" max="5144" width="2.42578125" style="434" hidden="1" customWidth="1"/>
    <col min="5145" max="5148" width="2.5703125" style="434" hidden="1" customWidth="1"/>
    <col min="5149" max="5149" width="2.42578125" style="434" hidden="1" customWidth="1"/>
    <col min="5150" max="5153" width="2.5703125" style="434" hidden="1" customWidth="1"/>
    <col min="5154" max="5159" width="2.42578125" style="434" hidden="1" customWidth="1"/>
    <col min="5160" max="5160" width="1.5703125" style="434" hidden="1" customWidth="1"/>
    <col min="5161" max="5376" width="2.5703125" style="434" hidden="1"/>
    <col min="5377" max="5377" width="1.5703125" style="434" hidden="1" customWidth="1"/>
    <col min="5378" max="5378" width="0.85546875" style="434" hidden="1" customWidth="1"/>
    <col min="5379" max="5394" width="2.5703125" style="434" hidden="1" customWidth="1"/>
    <col min="5395" max="5395" width="4" style="434" hidden="1" customWidth="1"/>
    <col min="5396" max="5399" width="2.5703125" style="434" hidden="1" customWidth="1"/>
    <col min="5400" max="5400" width="2.42578125" style="434" hidden="1" customWidth="1"/>
    <col min="5401" max="5404" width="2.5703125" style="434" hidden="1" customWidth="1"/>
    <col min="5405" max="5405" width="2.42578125" style="434" hidden="1" customWidth="1"/>
    <col min="5406" max="5409" width="2.5703125" style="434" hidden="1" customWidth="1"/>
    <col min="5410" max="5415" width="2.42578125" style="434" hidden="1" customWidth="1"/>
    <col min="5416" max="5416" width="1.5703125" style="434" hidden="1" customWidth="1"/>
    <col min="5417" max="5632" width="2.5703125" style="434" hidden="1"/>
    <col min="5633" max="5633" width="1.5703125" style="434" hidden="1" customWidth="1"/>
    <col min="5634" max="5634" width="0.85546875" style="434" hidden="1" customWidth="1"/>
    <col min="5635" max="5650" width="2.5703125" style="434" hidden="1" customWidth="1"/>
    <col min="5651" max="5651" width="4" style="434" hidden="1" customWidth="1"/>
    <col min="5652" max="5655" width="2.5703125" style="434" hidden="1" customWidth="1"/>
    <col min="5656" max="5656" width="2.42578125" style="434" hidden="1" customWidth="1"/>
    <col min="5657" max="5660" width="2.5703125" style="434" hidden="1" customWidth="1"/>
    <col min="5661" max="5661" width="2.42578125" style="434" hidden="1" customWidth="1"/>
    <col min="5662" max="5665" width="2.5703125" style="434" hidden="1" customWidth="1"/>
    <col min="5666" max="5671" width="2.42578125" style="434" hidden="1" customWidth="1"/>
    <col min="5672" max="5672" width="1.5703125" style="434" hidden="1" customWidth="1"/>
    <col min="5673" max="5888" width="2.5703125" style="434" hidden="1"/>
    <col min="5889" max="5889" width="1.5703125" style="434" hidden="1" customWidth="1"/>
    <col min="5890" max="5890" width="0.85546875" style="434" hidden="1" customWidth="1"/>
    <col min="5891" max="5906" width="2.5703125" style="434" hidden="1" customWidth="1"/>
    <col min="5907" max="5907" width="4" style="434" hidden="1" customWidth="1"/>
    <col min="5908" max="5911" width="2.5703125" style="434" hidden="1" customWidth="1"/>
    <col min="5912" max="5912" width="2.42578125" style="434" hidden="1" customWidth="1"/>
    <col min="5913" max="5916" width="2.5703125" style="434" hidden="1" customWidth="1"/>
    <col min="5917" max="5917" width="2.42578125" style="434" hidden="1" customWidth="1"/>
    <col min="5918" max="5921" width="2.5703125" style="434" hidden="1" customWidth="1"/>
    <col min="5922" max="5927" width="2.42578125" style="434" hidden="1" customWidth="1"/>
    <col min="5928" max="5928" width="1.5703125" style="434" hidden="1" customWidth="1"/>
    <col min="5929" max="6144" width="2.5703125" style="434" hidden="1"/>
    <col min="6145" max="6145" width="1.5703125" style="434" hidden="1" customWidth="1"/>
    <col min="6146" max="6146" width="0.85546875" style="434" hidden="1" customWidth="1"/>
    <col min="6147" max="6162" width="2.5703125" style="434" hidden="1" customWidth="1"/>
    <col min="6163" max="6163" width="4" style="434" hidden="1" customWidth="1"/>
    <col min="6164" max="6167" width="2.5703125" style="434" hidden="1" customWidth="1"/>
    <col min="6168" max="6168" width="2.42578125" style="434" hidden="1" customWidth="1"/>
    <col min="6169" max="6172" width="2.5703125" style="434" hidden="1" customWidth="1"/>
    <col min="6173" max="6173" width="2.42578125" style="434" hidden="1" customWidth="1"/>
    <col min="6174" max="6177" width="2.5703125" style="434" hidden="1" customWidth="1"/>
    <col min="6178" max="6183" width="2.42578125" style="434" hidden="1" customWidth="1"/>
    <col min="6184" max="6184" width="1.5703125" style="434" hidden="1" customWidth="1"/>
    <col min="6185" max="6400" width="2.5703125" style="434" hidden="1"/>
    <col min="6401" max="6401" width="1.5703125" style="434" hidden="1" customWidth="1"/>
    <col min="6402" max="6402" width="0.85546875" style="434" hidden="1" customWidth="1"/>
    <col min="6403" max="6418" width="2.5703125" style="434" hidden="1" customWidth="1"/>
    <col min="6419" max="6419" width="4" style="434" hidden="1" customWidth="1"/>
    <col min="6420" max="6423" width="2.5703125" style="434" hidden="1" customWidth="1"/>
    <col min="6424" max="6424" width="2.42578125" style="434" hidden="1" customWidth="1"/>
    <col min="6425" max="6428" width="2.5703125" style="434" hidden="1" customWidth="1"/>
    <col min="6429" max="6429" width="2.42578125" style="434" hidden="1" customWidth="1"/>
    <col min="6430" max="6433" width="2.5703125" style="434" hidden="1" customWidth="1"/>
    <col min="6434" max="6439" width="2.42578125" style="434" hidden="1" customWidth="1"/>
    <col min="6440" max="6440" width="1.5703125" style="434" hidden="1" customWidth="1"/>
    <col min="6441" max="6656" width="2.5703125" style="434" hidden="1"/>
    <col min="6657" max="6657" width="1.5703125" style="434" hidden="1" customWidth="1"/>
    <col min="6658" max="6658" width="0.85546875" style="434" hidden="1" customWidth="1"/>
    <col min="6659" max="6674" width="2.5703125" style="434" hidden="1" customWidth="1"/>
    <col min="6675" max="6675" width="4" style="434" hidden="1" customWidth="1"/>
    <col min="6676" max="6679" width="2.5703125" style="434" hidden="1" customWidth="1"/>
    <col min="6680" max="6680" width="2.42578125" style="434" hidden="1" customWidth="1"/>
    <col min="6681" max="6684" width="2.5703125" style="434" hidden="1" customWidth="1"/>
    <col min="6685" max="6685" width="2.42578125" style="434" hidden="1" customWidth="1"/>
    <col min="6686" max="6689" width="2.5703125" style="434" hidden="1" customWidth="1"/>
    <col min="6690" max="6695" width="2.42578125" style="434" hidden="1" customWidth="1"/>
    <col min="6696" max="6696" width="1.5703125" style="434" hidden="1" customWidth="1"/>
    <col min="6697" max="6912" width="2.5703125" style="434" hidden="1"/>
    <col min="6913" max="6913" width="1.5703125" style="434" hidden="1" customWidth="1"/>
    <col min="6914" max="6914" width="0.85546875" style="434" hidden="1" customWidth="1"/>
    <col min="6915" max="6930" width="2.5703125" style="434" hidden="1" customWidth="1"/>
    <col min="6931" max="6931" width="4" style="434" hidden="1" customWidth="1"/>
    <col min="6932" max="6935" width="2.5703125" style="434" hidden="1" customWidth="1"/>
    <col min="6936" max="6936" width="2.42578125" style="434" hidden="1" customWidth="1"/>
    <col min="6937" max="6940" width="2.5703125" style="434" hidden="1" customWidth="1"/>
    <col min="6941" max="6941" width="2.42578125" style="434" hidden="1" customWidth="1"/>
    <col min="6942" max="6945" width="2.5703125" style="434" hidden="1" customWidth="1"/>
    <col min="6946" max="6951" width="2.42578125" style="434" hidden="1" customWidth="1"/>
    <col min="6952" max="6952" width="1.5703125" style="434" hidden="1" customWidth="1"/>
    <col min="6953" max="7168" width="2.5703125" style="434" hidden="1"/>
    <col min="7169" max="7169" width="1.5703125" style="434" hidden="1" customWidth="1"/>
    <col min="7170" max="7170" width="0.85546875" style="434" hidden="1" customWidth="1"/>
    <col min="7171" max="7186" width="2.5703125" style="434" hidden="1" customWidth="1"/>
    <col min="7187" max="7187" width="4" style="434" hidden="1" customWidth="1"/>
    <col min="7188" max="7191" width="2.5703125" style="434" hidden="1" customWidth="1"/>
    <col min="7192" max="7192" width="2.42578125" style="434" hidden="1" customWidth="1"/>
    <col min="7193" max="7196" width="2.5703125" style="434" hidden="1" customWidth="1"/>
    <col min="7197" max="7197" width="2.42578125" style="434" hidden="1" customWidth="1"/>
    <col min="7198" max="7201" width="2.5703125" style="434" hidden="1" customWidth="1"/>
    <col min="7202" max="7207" width="2.42578125" style="434" hidden="1" customWidth="1"/>
    <col min="7208" max="7208" width="1.5703125" style="434" hidden="1" customWidth="1"/>
    <col min="7209" max="7424" width="2.5703125" style="434" hidden="1"/>
    <col min="7425" max="7425" width="1.5703125" style="434" hidden="1" customWidth="1"/>
    <col min="7426" max="7426" width="0.85546875" style="434" hidden="1" customWidth="1"/>
    <col min="7427" max="7442" width="2.5703125" style="434" hidden="1" customWidth="1"/>
    <col min="7443" max="7443" width="4" style="434" hidden="1" customWidth="1"/>
    <col min="7444" max="7447" width="2.5703125" style="434" hidden="1" customWidth="1"/>
    <col min="7448" max="7448" width="2.42578125" style="434" hidden="1" customWidth="1"/>
    <col min="7449" max="7452" width="2.5703125" style="434" hidden="1" customWidth="1"/>
    <col min="7453" max="7453" width="2.42578125" style="434" hidden="1" customWidth="1"/>
    <col min="7454" max="7457" width="2.5703125" style="434" hidden="1" customWidth="1"/>
    <col min="7458" max="7463" width="2.42578125" style="434" hidden="1" customWidth="1"/>
    <col min="7464" max="7464" width="1.5703125" style="434" hidden="1" customWidth="1"/>
    <col min="7465" max="7680" width="2.5703125" style="434" hidden="1"/>
    <col min="7681" max="7681" width="1.5703125" style="434" hidden="1" customWidth="1"/>
    <col min="7682" max="7682" width="0.85546875" style="434" hidden="1" customWidth="1"/>
    <col min="7683" max="7698" width="2.5703125" style="434" hidden="1" customWidth="1"/>
    <col min="7699" max="7699" width="4" style="434" hidden="1" customWidth="1"/>
    <col min="7700" max="7703" width="2.5703125" style="434" hidden="1" customWidth="1"/>
    <col min="7704" max="7704" width="2.42578125" style="434" hidden="1" customWidth="1"/>
    <col min="7705" max="7708" width="2.5703125" style="434" hidden="1" customWidth="1"/>
    <col min="7709" max="7709" width="2.42578125" style="434" hidden="1" customWidth="1"/>
    <col min="7710" max="7713" width="2.5703125" style="434" hidden="1" customWidth="1"/>
    <col min="7714" max="7719" width="2.42578125" style="434" hidden="1" customWidth="1"/>
    <col min="7720" max="7720" width="1.5703125" style="434" hidden="1" customWidth="1"/>
    <col min="7721" max="7936" width="2.5703125" style="434" hidden="1"/>
    <col min="7937" max="7937" width="1.5703125" style="434" hidden="1" customWidth="1"/>
    <col min="7938" max="7938" width="0.85546875" style="434" hidden="1" customWidth="1"/>
    <col min="7939" max="7954" width="2.5703125" style="434" hidden="1" customWidth="1"/>
    <col min="7955" max="7955" width="4" style="434" hidden="1" customWidth="1"/>
    <col min="7956" max="7959" width="2.5703125" style="434" hidden="1" customWidth="1"/>
    <col min="7960" max="7960" width="2.42578125" style="434" hidden="1" customWidth="1"/>
    <col min="7961" max="7964" width="2.5703125" style="434" hidden="1" customWidth="1"/>
    <col min="7965" max="7965" width="2.42578125" style="434" hidden="1" customWidth="1"/>
    <col min="7966" max="7969" width="2.5703125" style="434" hidden="1" customWidth="1"/>
    <col min="7970" max="7975" width="2.42578125" style="434" hidden="1" customWidth="1"/>
    <col min="7976" max="7976" width="1.5703125" style="434" hidden="1" customWidth="1"/>
    <col min="7977" max="8192" width="2.5703125" style="434" hidden="1"/>
    <col min="8193" max="8193" width="1.5703125" style="434" hidden="1" customWidth="1"/>
    <col min="8194" max="8194" width="0.85546875" style="434" hidden="1" customWidth="1"/>
    <col min="8195" max="8210" width="2.5703125" style="434" hidden="1" customWidth="1"/>
    <col min="8211" max="8211" width="4" style="434" hidden="1" customWidth="1"/>
    <col min="8212" max="8215" width="2.5703125" style="434" hidden="1" customWidth="1"/>
    <col min="8216" max="8216" width="2.42578125" style="434" hidden="1" customWidth="1"/>
    <col min="8217" max="8220" width="2.5703125" style="434" hidden="1" customWidth="1"/>
    <col min="8221" max="8221" width="2.42578125" style="434" hidden="1" customWidth="1"/>
    <col min="8222" max="8225" width="2.5703125" style="434" hidden="1" customWidth="1"/>
    <col min="8226" max="8231" width="2.42578125" style="434" hidden="1" customWidth="1"/>
    <col min="8232" max="8232" width="1.5703125" style="434" hidden="1" customWidth="1"/>
    <col min="8233" max="8448" width="2.5703125" style="434" hidden="1"/>
    <col min="8449" max="8449" width="1.5703125" style="434" hidden="1" customWidth="1"/>
    <col min="8450" max="8450" width="0.85546875" style="434" hidden="1" customWidth="1"/>
    <col min="8451" max="8466" width="2.5703125" style="434" hidden="1" customWidth="1"/>
    <col min="8467" max="8467" width="4" style="434" hidden="1" customWidth="1"/>
    <col min="8468" max="8471" width="2.5703125" style="434" hidden="1" customWidth="1"/>
    <col min="8472" max="8472" width="2.42578125" style="434" hidden="1" customWidth="1"/>
    <col min="8473" max="8476" width="2.5703125" style="434" hidden="1" customWidth="1"/>
    <col min="8477" max="8477" width="2.42578125" style="434" hidden="1" customWidth="1"/>
    <col min="8478" max="8481" width="2.5703125" style="434" hidden="1" customWidth="1"/>
    <col min="8482" max="8487" width="2.42578125" style="434" hidden="1" customWidth="1"/>
    <col min="8488" max="8488" width="1.5703125" style="434" hidden="1" customWidth="1"/>
    <col min="8489" max="8704" width="2.5703125" style="434" hidden="1"/>
    <col min="8705" max="8705" width="1.5703125" style="434" hidden="1" customWidth="1"/>
    <col min="8706" max="8706" width="0.85546875" style="434" hidden="1" customWidth="1"/>
    <col min="8707" max="8722" width="2.5703125" style="434" hidden="1" customWidth="1"/>
    <col min="8723" max="8723" width="4" style="434" hidden="1" customWidth="1"/>
    <col min="8724" max="8727" width="2.5703125" style="434" hidden="1" customWidth="1"/>
    <col min="8728" max="8728" width="2.42578125" style="434" hidden="1" customWidth="1"/>
    <col min="8729" max="8732" width="2.5703125" style="434" hidden="1" customWidth="1"/>
    <col min="8733" max="8733" width="2.42578125" style="434" hidden="1" customWidth="1"/>
    <col min="8734" max="8737" width="2.5703125" style="434" hidden="1" customWidth="1"/>
    <col min="8738" max="8743" width="2.42578125" style="434" hidden="1" customWidth="1"/>
    <col min="8744" max="8744" width="1.5703125" style="434" hidden="1" customWidth="1"/>
    <col min="8745" max="8960" width="2.5703125" style="434" hidden="1"/>
    <col min="8961" max="8961" width="1.5703125" style="434" hidden="1" customWidth="1"/>
    <col min="8962" max="8962" width="0.85546875" style="434" hidden="1" customWidth="1"/>
    <col min="8963" max="8978" width="2.5703125" style="434" hidden="1" customWidth="1"/>
    <col min="8979" max="8979" width="4" style="434" hidden="1" customWidth="1"/>
    <col min="8980" max="8983" width="2.5703125" style="434" hidden="1" customWidth="1"/>
    <col min="8984" max="8984" width="2.42578125" style="434" hidden="1" customWidth="1"/>
    <col min="8985" max="8988" width="2.5703125" style="434" hidden="1" customWidth="1"/>
    <col min="8989" max="8989" width="2.42578125" style="434" hidden="1" customWidth="1"/>
    <col min="8990" max="8993" width="2.5703125" style="434" hidden="1" customWidth="1"/>
    <col min="8994" max="8999" width="2.42578125" style="434" hidden="1" customWidth="1"/>
    <col min="9000" max="9000" width="1.5703125" style="434" hidden="1" customWidth="1"/>
    <col min="9001" max="9216" width="2.5703125" style="434" hidden="1"/>
    <col min="9217" max="9217" width="1.5703125" style="434" hidden="1" customWidth="1"/>
    <col min="9218" max="9218" width="0.85546875" style="434" hidden="1" customWidth="1"/>
    <col min="9219" max="9234" width="2.5703125" style="434" hidden="1" customWidth="1"/>
    <col min="9235" max="9235" width="4" style="434" hidden="1" customWidth="1"/>
    <col min="9236" max="9239" width="2.5703125" style="434" hidden="1" customWidth="1"/>
    <col min="9240" max="9240" width="2.42578125" style="434" hidden="1" customWidth="1"/>
    <col min="9241" max="9244" width="2.5703125" style="434" hidden="1" customWidth="1"/>
    <col min="9245" max="9245" width="2.42578125" style="434" hidden="1" customWidth="1"/>
    <col min="9246" max="9249" width="2.5703125" style="434" hidden="1" customWidth="1"/>
    <col min="9250" max="9255" width="2.42578125" style="434" hidden="1" customWidth="1"/>
    <col min="9256" max="9256" width="1.5703125" style="434" hidden="1" customWidth="1"/>
    <col min="9257" max="9472" width="2.5703125" style="434" hidden="1"/>
    <col min="9473" max="9473" width="1.5703125" style="434" hidden="1" customWidth="1"/>
    <col min="9474" max="9474" width="0.85546875" style="434" hidden="1" customWidth="1"/>
    <col min="9475" max="9490" width="2.5703125" style="434" hidden="1" customWidth="1"/>
    <col min="9491" max="9491" width="4" style="434" hidden="1" customWidth="1"/>
    <col min="9492" max="9495" width="2.5703125" style="434" hidden="1" customWidth="1"/>
    <col min="9496" max="9496" width="2.42578125" style="434" hidden="1" customWidth="1"/>
    <col min="9497" max="9500" width="2.5703125" style="434" hidden="1" customWidth="1"/>
    <col min="9501" max="9501" width="2.42578125" style="434" hidden="1" customWidth="1"/>
    <col min="9502" max="9505" width="2.5703125" style="434" hidden="1" customWidth="1"/>
    <col min="9506" max="9511" width="2.42578125" style="434" hidden="1" customWidth="1"/>
    <col min="9512" max="9512" width="1.5703125" style="434" hidden="1" customWidth="1"/>
    <col min="9513" max="9728" width="2.5703125" style="434" hidden="1"/>
    <col min="9729" max="9729" width="1.5703125" style="434" hidden="1" customWidth="1"/>
    <col min="9730" max="9730" width="0.85546875" style="434" hidden="1" customWidth="1"/>
    <col min="9731" max="9746" width="2.5703125" style="434" hidden="1" customWidth="1"/>
    <col min="9747" max="9747" width="4" style="434" hidden="1" customWidth="1"/>
    <col min="9748" max="9751" width="2.5703125" style="434" hidden="1" customWidth="1"/>
    <col min="9752" max="9752" width="2.42578125" style="434" hidden="1" customWidth="1"/>
    <col min="9753" max="9756" width="2.5703125" style="434" hidden="1" customWidth="1"/>
    <col min="9757" max="9757" width="2.42578125" style="434" hidden="1" customWidth="1"/>
    <col min="9758" max="9761" width="2.5703125" style="434" hidden="1" customWidth="1"/>
    <col min="9762" max="9767" width="2.42578125" style="434" hidden="1" customWidth="1"/>
    <col min="9768" max="9768" width="1.5703125" style="434" hidden="1" customWidth="1"/>
    <col min="9769" max="9984" width="2.5703125" style="434" hidden="1"/>
    <col min="9985" max="9985" width="1.5703125" style="434" hidden="1" customWidth="1"/>
    <col min="9986" max="9986" width="0.85546875" style="434" hidden="1" customWidth="1"/>
    <col min="9987" max="10002" width="2.5703125" style="434" hidden="1" customWidth="1"/>
    <col min="10003" max="10003" width="4" style="434" hidden="1" customWidth="1"/>
    <col min="10004" max="10007" width="2.5703125" style="434" hidden="1" customWidth="1"/>
    <col min="10008" max="10008" width="2.42578125" style="434" hidden="1" customWidth="1"/>
    <col min="10009" max="10012" width="2.5703125" style="434" hidden="1" customWidth="1"/>
    <col min="10013" max="10013" width="2.42578125" style="434" hidden="1" customWidth="1"/>
    <col min="10014" max="10017" width="2.5703125" style="434" hidden="1" customWidth="1"/>
    <col min="10018" max="10023" width="2.42578125" style="434" hidden="1" customWidth="1"/>
    <col min="10024" max="10024" width="1.5703125" style="434" hidden="1" customWidth="1"/>
    <col min="10025" max="10240" width="2.5703125" style="434" hidden="1"/>
    <col min="10241" max="10241" width="1.5703125" style="434" hidden="1" customWidth="1"/>
    <col min="10242" max="10242" width="0.85546875" style="434" hidden="1" customWidth="1"/>
    <col min="10243" max="10258" width="2.5703125" style="434" hidden="1" customWidth="1"/>
    <col min="10259" max="10259" width="4" style="434" hidden="1" customWidth="1"/>
    <col min="10260" max="10263" width="2.5703125" style="434" hidden="1" customWidth="1"/>
    <col min="10264" max="10264" width="2.42578125" style="434" hidden="1" customWidth="1"/>
    <col min="10265" max="10268" width="2.5703125" style="434" hidden="1" customWidth="1"/>
    <col min="10269" max="10269" width="2.42578125" style="434" hidden="1" customWidth="1"/>
    <col min="10270" max="10273" width="2.5703125" style="434" hidden="1" customWidth="1"/>
    <col min="10274" max="10279" width="2.42578125" style="434" hidden="1" customWidth="1"/>
    <col min="10280" max="10280" width="1.5703125" style="434" hidden="1" customWidth="1"/>
    <col min="10281" max="10496" width="2.5703125" style="434" hidden="1"/>
    <col min="10497" max="10497" width="1.5703125" style="434" hidden="1" customWidth="1"/>
    <col min="10498" max="10498" width="0.85546875" style="434" hidden="1" customWidth="1"/>
    <col min="10499" max="10514" width="2.5703125" style="434" hidden="1" customWidth="1"/>
    <col min="10515" max="10515" width="4" style="434" hidden="1" customWidth="1"/>
    <col min="10516" max="10519" width="2.5703125" style="434" hidden="1" customWidth="1"/>
    <col min="10520" max="10520" width="2.42578125" style="434" hidden="1" customWidth="1"/>
    <col min="10521" max="10524" width="2.5703125" style="434" hidden="1" customWidth="1"/>
    <col min="10525" max="10525" width="2.42578125" style="434" hidden="1" customWidth="1"/>
    <col min="10526" max="10529" width="2.5703125" style="434" hidden="1" customWidth="1"/>
    <col min="10530" max="10535" width="2.42578125" style="434" hidden="1" customWidth="1"/>
    <col min="10536" max="10536" width="1.5703125" style="434" hidden="1" customWidth="1"/>
    <col min="10537" max="10752" width="2.5703125" style="434" hidden="1"/>
    <col min="10753" max="10753" width="1.5703125" style="434" hidden="1" customWidth="1"/>
    <col min="10754" max="10754" width="0.85546875" style="434" hidden="1" customWidth="1"/>
    <col min="10755" max="10770" width="2.5703125" style="434" hidden="1" customWidth="1"/>
    <col min="10771" max="10771" width="4" style="434" hidden="1" customWidth="1"/>
    <col min="10772" max="10775" width="2.5703125" style="434" hidden="1" customWidth="1"/>
    <col min="10776" max="10776" width="2.42578125" style="434" hidden="1" customWidth="1"/>
    <col min="10777" max="10780" width="2.5703125" style="434" hidden="1" customWidth="1"/>
    <col min="10781" max="10781" width="2.42578125" style="434" hidden="1" customWidth="1"/>
    <col min="10782" max="10785" width="2.5703125" style="434" hidden="1" customWidth="1"/>
    <col min="10786" max="10791" width="2.42578125" style="434" hidden="1" customWidth="1"/>
    <col min="10792" max="10792" width="1.5703125" style="434" hidden="1" customWidth="1"/>
    <col min="10793" max="11008" width="2.5703125" style="434" hidden="1"/>
    <col min="11009" max="11009" width="1.5703125" style="434" hidden="1" customWidth="1"/>
    <col min="11010" max="11010" width="0.85546875" style="434" hidden="1" customWidth="1"/>
    <col min="11011" max="11026" width="2.5703125" style="434" hidden="1" customWidth="1"/>
    <col min="11027" max="11027" width="4" style="434" hidden="1" customWidth="1"/>
    <col min="11028" max="11031" width="2.5703125" style="434" hidden="1" customWidth="1"/>
    <col min="11032" max="11032" width="2.42578125" style="434" hidden="1" customWidth="1"/>
    <col min="11033" max="11036" width="2.5703125" style="434" hidden="1" customWidth="1"/>
    <col min="11037" max="11037" width="2.42578125" style="434" hidden="1" customWidth="1"/>
    <col min="11038" max="11041" width="2.5703125" style="434" hidden="1" customWidth="1"/>
    <col min="11042" max="11047" width="2.42578125" style="434" hidden="1" customWidth="1"/>
    <col min="11048" max="11048" width="1.5703125" style="434" hidden="1" customWidth="1"/>
    <col min="11049" max="11264" width="2.5703125" style="434" hidden="1"/>
    <col min="11265" max="11265" width="1.5703125" style="434" hidden="1" customWidth="1"/>
    <col min="11266" max="11266" width="0.85546875" style="434" hidden="1" customWidth="1"/>
    <col min="11267" max="11282" width="2.5703125" style="434" hidden="1" customWidth="1"/>
    <col min="11283" max="11283" width="4" style="434" hidden="1" customWidth="1"/>
    <col min="11284" max="11287" width="2.5703125" style="434" hidden="1" customWidth="1"/>
    <col min="11288" max="11288" width="2.42578125" style="434" hidden="1" customWidth="1"/>
    <col min="11289" max="11292" width="2.5703125" style="434" hidden="1" customWidth="1"/>
    <col min="11293" max="11293" width="2.42578125" style="434" hidden="1" customWidth="1"/>
    <col min="11294" max="11297" width="2.5703125" style="434" hidden="1" customWidth="1"/>
    <col min="11298" max="11303" width="2.42578125" style="434" hidden="1" customWidth="1"/>
    <col min="11304" max="11304" width="1.5703125" style="434" hidden="1" customWidth="1"/>
    <col min="11305" max="11520" width="2.5703125" style="434" hidden="1"/>
    <col min="11521" max="11521" width="1.5703125" style="434" hidden="1" customWidth="1"/>
    <col min="11522" max="11522" width="0.85546875" style="434" hidden="1" customWidth="1"/>
    <col min="11523" max="11538" width="2.5703125" style="434" hidden="1" customWidth="1"/>
    <col min="11539" max="11539" width="4" style="434" hidden="1" customWidth="1"/>
    <col min="11540" max="11543" width="2.5703125" style="434" hidden="1" customWidth="1"/>
    <col min="11544" max="11544" width="2.42578125" style="434" hidden="1" customWidth="1"/>
    <col min="11545" max="11548" width="2.5703125" style="434" hidden="1" customWidth="1"/>
    <col min="11549" max="11549" width="2.42578125" style="434" hidden="1" customWidth="1"/>
    <col min="11550" max="11553" width="2.5703125" style="434" hidden="1" customWidth="1"/>
    <col min="11554" max="11559" width="2.42578125" style="434" hidden="1" customWidth="1"/>
    <col min="11560" max="11560" width="1.5703125" style="434" hidden="1" customWidth="1"/>
    <col min="11561" max="11776" width="2.5703125" style="434" hidden="1"/>
    <col min="11777" max="11777" width="1.5703125" style="434" hidden="1" customWidth="1"/>
    <col min="11778" max="11778" width="0.85546875" style="434" hidden="1" customWidth="1"/>
    <col min="11779" max="11794" width="2.5703125" style="434" hidden="1" customWidth="1"/>
    <col min="11795" max="11795" width="4" style="434" hidden="1" customWidth="1"/>
    <col min="11796" max="11799" width="2.5703125" style="434" hidden="1" customWidth="1"/>
    <col min="11800" max="11800" width="2.42578125" style="434" hidden="1" customWidth="1"/>
    <col min="11801" max="11804" width="2.5703125" style="434" hidden="1" customWidth="1"/>
    <col min="11805" max="11805" width="2.42578125" style="434" hidden="1" customWidth="1"/>
    <col min="11806" max="11809" width="2.5703125" style="434" hidden="1" customWidth="1"/>
    <col min="11810" max="11815" width="2.42578125" style="434" hidden="1" customWidth="1"/>
    <col min="11816" max="11816" width="1.5703125" style="434" hidden="1" customWidth="1"/>
    <col min="11817" max="12032" width="2.5703125" style="434" hidden="1"/>
    <col min="12033" max="12033" width="1.5703125" style="434" hidden="1" customWidth="1"/>
    <col min="12034" max="12034" width="0.85546875" style="434" hidden="1" customWidth="1"/>
    <col min="12035" max="12050" width="2.5703125" style="434" hidden="1" customWidth="1"/>
    <col min="12051" max="12051" width="4" style="434" hidden="1" customWidth="1"/>
    <col min="12052" max="12055" width="2.5703125" style="434" hidden="1" customWidth="1"/>
    <col min="12056" max="12056" width="2.42578125" style="434" hidden="1" customWidth="1"/>
    <col min="12057" max="12060" width="2.5703125" style="434" hidden="1" customWidth="1"/>
    <col min="12061" max="12061" width="2.42578125" style="434" hidden="1" customWidth="1"/>
    <col min="12062" max="12065" width="2.5703125" style="434" hidden="1" customWidth="1"/>
    <col min="12066" max="12071" width="2.42578125" style="434" hidden="1" customWidth="1"/>
    <col min="12072" max="12072" width="1.5703125" style="434" hidden="1" customWidth="1"/>
    <col min="12073" max="12288" width="2.5703125" style="434" hidden="1"/>
    <col min="12289" max="12289" width="1.5703125" style="434" hidden="1" customWidth="1"/>
    <col min="12290" max="12290" width="0.85546875" style="434" hidden="1" customWidth="1"/>
    <col min="12291" max="12306" width="2.5703125" style="434" hidden="1" customWidth="1"/>
    <col min="12307" max="12307" width="4" style="434" hidden="1" customWidth="1"/>
    <col min="12308" max="12311" width="2.5703125" style="434" hidden="1" customWidth="1"/>
    <col min="12312" max="12312" width="2.42578125" style="434" hidden="1" customWidth="1"/>
    <col min="12313" max="12316" width="2.5703125" style="434" hidden="1" customWidth="1"/>
    <col min="12317" max="12317" width="2.42578125" style="434" hidden="1" customWidth="1"/>
    <col min="12318" max="12321" width="2.5703125" style="434" hidden="1" customWidth="1"/>
    <col min="12322" max="12327" width="2.42578125" style="434" hidden="1" customWidth="1"/>
    <col min="12328" max="12328" width="1.5703125" style="434" hidden="1" customWidth="1"/>
    <col min="12329" max="12544" width="2.5703125" style="434" hidden="1"/>
    <col min="12545" max="12545" width="1.5703125" style="434" hidden="1" customWidth="1"/>
    <col min="12546" max="12546" width="0.85546875" style="434" hidden="1" customWidth="1"/>
    <col min="12547" max="12562" width="2.5703125" style="434" hidden="1" customWidth="1"/>
    <col min="12563" max="12563" width="4" style="434" hidden="1" customWidth="1"/>
    <col min="12564" max="12567" width="2.5703125" style="434" hidden="1" customWidth="1"/>
    <col min="12568" max="12568" width="2.42578125" style="434" hidden="1" customWidth="1"/>
    <col min="12569" max="12572" width="2.5703125" style="434" hidden="1" customWidth="1"/>
    <col min="12573" max="12573" width="2.42578125" style="434" hidden="1" customWidth="1"/>
    <col min="12574" max="12577" width="2.5703125" style="434" hidden="1" customWidth="1"/>
    <col min="12578" max="12583" width="2.42578125" style="434" hidden="1" customWidth="1"/>
    <col min="12584" max="12584" width="1.5703125" style="434" hidden="1" customWidth="1"/>
    <col min="12585" max="12800" width="2.5703125" style="434" hidden="1"/>
    <col min="12801" max="12801" width="1.5703125" style="434" hidden="1" customWidth="1"/>
    <col min="12802" max="12802" width="0.85546875" style="434" hidden="1" customWidth="1"/>
    <col min="12803" max="12818" width="2.5703125" style="434" hidden="1" customWidth="1"/>
    <col min="12819" max="12819" width="4" style="434" hidden="1" customWidth="1"/>
    <col min="12820" max="12823" width="2.5703125" style="434" hidden="1" customWidth="1"/>
    <col min="12824" max="12824" width="2.42578125" style="434" hidden="1" customWidth="1"/>
    <col min="12825" max="12828" width="2.5703125" style="434" hidden="1" customWidth="1"/>
    <col min="12829" max="12829" width="2.42578125" style="434" hidden="1" customWidth="1"/>
    <col min="12830" max="12833" width="2.5703125" style="434" hidden="1" customWidth="1"/>
    <col min="12834" max="12839" width="2.42578125" style="434" hidden="1" customWidth="1"/>
    <col min="12840" max="12840" width="1.5703125" style="434" hidden="1" customWidth="1"/>
    <col min="12841" max="13056" width="2.5703125" style="434" hidden="1"/>
    <col min="13057" max="13057" width="1.5703125" style="434" hidden="1" customWidth="1"/>
    <col min="13058" max="13058" width="0.85546875" style="434" hidden="1" customWidth="1"/>
    <col min="13059" max="13074" width="2.5703125" style="434" hidden="1" customWidth="1"/>
    <col min="13075" max="13075" width="4" style="434" hidden="1" customWidth="1"/>
    <col min="13076" max="13079" width="2.5703125" style="434" hidden="1" customWidth="1"/>
    <col min="13080" max="13080" width="2.42578125" style="434" hidden="1" customWidth="1"/>
    <col min="13081" max="13084" width="2.5703125" style="434" hidden="1" customWidth="1"/>
    <col min="13085" max="13085" width="2.42578125" style="434" hidden="1" customWidth="1"/>
    <col min="13086" max="13089" width="2.5703125" style="434" hidden="1" customWidth="1"/>
    <col min="13090" max="13095" width="2.42578125" style="434" hidden="1" customWidth="1"/>
    <col min="13096" max="13096" width="1.5703125" style="434" hidden="1" customWidth="1"/>
    <col min="13097" max="13312" width="2.5703125" style="434" hidden="1"/>
    <col min="13313" max="13313" width="1.5703125" style="434" hidden="1" customWidth="1"/>
    <col min="13314" max="13314" width="0.85546875" style="434" hidden="1" customWidth="1"/>
    <col min="13315" max="13330" width="2.5703125" style="434" hidden="1" customWidth="1"/>
    <col min="13331" max="13331" width="4" style="434" hidden="1" customWidth="1"/>
    <col min="13332" max="13335" width="2.5703125" style="434" hidden="1" customWidth="1"/>
    <col min="13336" max="13336" width="2.42578125" style="434" hidden="1" customWidth="1"/>
    <col min="13337" max="13340" width="2.5703125" style="434" hidden="1" customWidth="1"/>
    <col min="13341" max="13341" width="2.42578125" style="434" hidden="1" customWidth="1"/>
    <col min="13342" max="13345" width="2.5703125" style="434" hidden="1" customWidth="1"/>
    <col min="13346" max="13351" width="2.42578125" style="434" hidden="1" customWidth="1"/>
    <col min="13352" max="13352" width="1.5703125" style="434" hidden="1" customWidth="1"/>
    <col min="13353" max="13568" width="2.5703125" style="434" hidden="1"/>
    <col min="13569" max="13569" width="1.5703125" style="434" hidden="1" customWidth="1"/>
    <col min="13570" max="13570" width="0.85546875" style="434" hidden="1" customWidth="1"/>
    <col min="13571" max="13586" width="2.5703125" style="434" hidden="1" customWidth="1"/>
    <col min="13587" max="13587" width="4" style="434" hidden="1" customWidth="1"/>
    <col min="13588" max="13591" width="2.5703125" style="434" hidden="1" customWidth="1"/>
    <col min="13592" max="13592" width="2.42578125" style="434" hidden="1" customWidth="1"/>
    <col min="13593" max="13596" width="2.5703125" style="434" hidden="1" customWidth="1"/>
    <col min="13597" max="13597" width="2.42578125" style="434" hidden="1" customWidth="1"/>
    <col min="13598" max="13601" width="2.5703125" style="434" hidden="1" customWidth="1"/>
    <col min="13602" max="13607" width="2.42578125" style="434" hidden="1" customWidth="1"/>
    <col min="13608" max="13608" width="1.5703125" style="434" hidden="1" customWidth="1"/>
    <col min="13609" max="13824" width="2.5703125" style="434" hidden="1"/>
    <col min="13825" max="13825" width="1.5703125" style="434" hidden="1" customWidth="1"/>
    <col min="13826" max="13826" width="0.85546875" style="434" hidden="1" customWidth="1"/>
    <col min="13827" max="13842" width="2.5703125" style="434" hidden="1" customWidth="1"/>
    <col min="13843" max="13843" width="4" style="434" hidden="1" customWidth="1"/>
    <col min="13844" max="13847" width="2.5703125" style="434" hidden="1" customWidth="1"/>
    <col min="13848" max="13848" width="2.42578125" style="434" hidden="1" customWidth="1"/>
    <col min="13849" max="13852" width="2.5703125" style="434" hidden="1" customWidth="1"/>
    <col min="13853" max="13853" width="2.42578125" style="434" hidden="1" customWidth="1"/>
    <col min="13854" max="13857" width="2.5703125" style="434" hidden="1" customWidth="1"/>
    <col min="13858" max="13863" width="2.42578125" style="434" hidden="1" customWidth="1"/>
    <col min="13864" max="13864" width="1.5703125" style="434" hidden="1" customWidth="1"/>
    <col min="13865" max="14080" width="2.5703125" style="434" hidden="1"/>
    <col min="14081" max="14081" width="1.5703125" style="434" hidden="1" customWidth="1"/>
    <col min="14082" max="14082" width="0.85546875" style="434" hidden="1" customWidth="1"/>
    <col min="14083" max="14098" width="2.5703125" style="434" hidden="1" customWidth="1"/>
    <col min="14099" max="14099" width="4" style="434" hidden="1" customWidth="1"/>
    <col min="14100" max="14103" width="2.5703125" style="434" hidden="1" customWidth="1"/>
    <col min="14104" max="14104" width="2.42578125" style="434" hidden="1" customWidth="1"/>
    <col min="14105" max="14108" width="2.5703125" style="434" hidden="1" customWidth="1"/>
    <col min="14109" max="14109" width="2.42578125" style="434" hidden="1" customWidth="1"/>
    <col min="14110" max="14113" width="2.5703125" style="434" hidden="1" customWidth="1"/>
    <col min="14114" max="14119" width="2.42578125" style="434" hidden="1" customWidth="1"/>
    <col min="14120" max="14120" width="1.5703125" style="434" hidden="1" customWidth="1"/>
    <col min="14121" max="14336" width="2.5703125" style="434" hidden="1"/>
    <col min="14337" max="14337" width="1.5703125" style="434" hidden="1" customWidth="1"/>
    <col min="14338" max="14338" width="0.85546875" style="434" hidden="1" customWidth="1"/>
    <col min="14339" max="14354" width="2.5703125" style="434" hidden="1" customWidth="1"/>
    <col min="14355" max="14355" width="4" style="434" hidden="1" customWidth="1"/>
    <col min="14356" max="14359" width="2.5703125" style="434" hidden="1" customWidth="1"/>
    <col min="14360" max="14360" width="2.42578125" style="434" hidden="1" customWidth="1"/>
    <col min="14361" max="14364" width="2.5703125" style="434" hidden="1" customWidth="1"/>
    <col min="14365" max="14365" width="2.42578125" style="434" hidden="1" customWidth="1"/>
    <col min="14366" max="14369" width="2.5703125" style="434" hidden="1" customWidth="1"/>
    <col min="14370" max="14375" width="2.42578125" style="434" hidden="1" customWidth="1"/>
    <col min="14376" max="14376" width="1.5703125" style="434" hidden="1" customWidth="1"/>
    <col min="14377" max="14592" width="2.5703125" style="434" hidden="1"/>
    <col min="14593" max="14593" width="1.5703125" style="434" hidden="1" customWidth="1"/>
    <col min="14594" max="14594" width="0.85546875" style="434" hidden="1" customWidth="1"/>
    <col min="14595" max="14610" width="2.5703125" style="434" hidden="1" customWidth="1"/>
    <col min="14611" max="14611" width="4" style="434" hidden="1" customWidth="1"/>
    <col min="14612" max="14615" width="2.5703125" style="434" hidden="1" customWidth="1"/>
    <col min="14616" max="14616" width="2.42578125" style="434" hidden="1" customWidth="1"/>
    <col min="14617" max="14620" width="2.5703125" style="434" hidden="1" customWidth="1"/>
    <col min="14621" max="14621" width="2.42578125" style="434" hidden="1" customWidth="1"/>
    <col min="14622" max="14625" width="2.5703125" style="434" hidden="1" customWidth="1"/>
    <col min="14626" max="14631" width="2.42578125" style="434" hidden="1" customWidth="1"/>
    <col min="14632" max="14632" width="1.5703125" style="434" hidden="1" customWidth="1"/>
    <col min="14633" max="14848" width="2.5703125" style="434" hidden="1"/>
    <col min="14849" max="14849" width="1.5703125" style="434" hidden="1" customWidth="1"/>
    <col min="14850" max="14850" width="0.85546875" style="434" hidden="1" customWidth="1"/>
    <col min="14851" max="14866" width="2.5703125" style="434" hidden="1" customWidth="1"/>
    <col min="14867" max="14867" width="4" style="434" hidden="1" customWidth="1"/>
    <col min="14868" max="14871" width="2.5703125" style="434" hidden="1" customWidth="1"/>
    <col min="14872" max="14872" width="2.42578125" style="434" hidden="1" customWidth="1"/>
    <col min="14873" max="14876" width="2.5703125" style="434" hidden="1" customWidth="1"/>
    <col min="14877" max="14877" width="2.42578125" style="434" hidden="1" customWidth="1"/>
    <col min="14878" max="14881" width="2.5703125" style="434" hidden="1" customWidth="1"/>
    <col min="14882" max="14887" width="2.42578125" style="434" hidden="1" customWidth="1"/>
    <col min="14888" max="14888" width="1.5703125" style="434" hidden="1" customWidth="1"/>
    <col min="14889" max="15104" width="2.5703125" style="434" hidden="1"/>
    <col min="15105" max="15105" width="1.5703125" style="434" hidden="1" customWidth="1"/>
    <col min="15106" max="15106" width="0.85546875" style="434" hidden="1" customWidth="1"/>
    <col min="15107" max="15122" width="2.5703125" style="434" hidden="1" customWidth="1"/>
    <col min="15123" max="15123" width="4" style="434" hidden="1" customWidth="1"/>
    <col min="15124" max="15127" width="2.5703125" style="434" hidden="1" customWidth="1"/>
    <col min="15128" max="15128" width="2.42578125" style="434" hidden="1" customWidth="1"/>
    <col min="15129" max="15132" width="2.5703125" style="434" hidden="1" customWidth="1"/>
    <col min="15133" max="15133" width="2.42578125" style="434" hidden="1" customWidth="1"/>
    <col min="15134" max="15137" width="2.5703125" style="434" hidden="1" customWidth="1"/>
    <col min="15138" max="15143" width="2.42578125" style="434" hidden="1" customWidth="1"/>
    <col min="15144" max="15144" width="1.5703125" style="434" hidden="1" customWidth="1"/>
    <col min="15145" max="15360" width="2.5703125" style="434" hidden="1"/>
    <col min="15361" max="15361" width="1.5703125" style="434" hidden="1" customWidth="1"/>
    <col min="15362" max="15362" width="0.85546875" style="434" hidden="1" customWidth="1"/>
    <col min="15363" max="15378" width="2.5703125" style="434" hidden="1" customWidth="1"/>
    <col min="15379" max="15379" width="4" style="434" hidden="1" customWidth="1"/>
    <col min="15380" max="15383" width="2.5703125" style="434" hidden="1" customWidth="1"/>
    <col min="15384" max="15384" width="2.42578125" style="434" hidden="1" customWidth="1"/>
    <col min="15385" max="15388" width="2.5703125" style="434" hidden="1" customWidth="1"/>
    <col min="15389" max="15389" width="2.42578125" style="434" hidden="1" customWidth="1"/>
    <col min="15390" max="15393" width="2.5703125" style="434" hidden="1" customWidth="1"/>
    <col min="15394" max="15399" width="2.42578125" style="434" hidden="1" customWidth="1"/>
    <col min="15400" max="15400" width="1.5703125" style="434" hidden="1" customWidth="1"/>
    <col min="15401" max="15616" width="2.5703125" style="434" hidden="1"/>
    <col min="15617" max="15617" width="1.5703125" style="434" hidden="1" customWidth="1"/>
    <col min="15618" max="15618" width="0.85546875" style="434" hidden="1" customWidth="1"/>
    <col min="15619" max="15634" width="2.5703125" style="434" hidden="1" customWidth="1"/>
    <col min="15635" max="15635" width="4" style="434" hidden="1" customWidth="1"/>
    <col min="15636" max="15639" width="2.5703125" style="434" hidden="1" customWidth="1"/>
    <col min="15640" max="15640" width="2.42578125" style="434" hidden="1" customWidth="1"/>
    <col min="15641" max="15644" width="2.5703125" style="434" hidden="1" customWidth="1"/>
    <col min="15645" max="15645" width="2.42578125" style="434" hidden="1" customWidth="1"/>
    <col min="15646" max="15649" width="2.5703125" style="434" hidden="1" customWidth="1"/>
    <col min="15650" max="15655" width="2.42578125" style="434" hidden="1" customWidth="1"/>
    <col min="15656" max="15656" width="1.5703125" style="434" hidden="1" customWidth="1"/>
    <col min="15657" max="15872" width="2.5703125" style="434" hidden="1"/>
    <col min="15873" max="15873" width="1.5703125" style="434" hidden="1" customWidth="1"/>
    <col min="15874" max="15874" width="0.85546875" style="434" hidden="1" customWidth="1"/>
    <col min="15875" max="15890" width="2.5703125" style="434" hidden="1" customWidth="1"/>
    <col min="15891" max="15891" width="4" style="434" hidden="1" customWidth="1"/>
    <col min="15892" max="15895" width="2.5703125" style="434" hidden="1" customWidth="1"/>
    <col min="15896" max="15896" width="2.42578125" style="434" hidden="1" customWidth="1"/>
    <col min="15897" max="15900" width="2.5703125" style="434" hidden="1" customWidth="1"/>
    <col min="15901" max="15901" width="2.42578125" style="434" hidden="1" customWidth="1"/>
    <col min="15902" max="15905" width="2.5703125" style="434" hidden="1" customWidth="1"/>
    <col min="15906" max="15911" width="2.42578125" style="434" hidden="1" customWidth="1"/>
    <col min="15912" max="15912" width="1.5703125" style="434" hidden="1" customWidth="1"/>
    <col min="15913" max="16128" width="2.5703125" style="434" hidden="1"/>
    <col min="16129" max="16129" width="1.5703125" style="434" hidden="1" customWidth="1"/>
    <col min="16130" max="16130" width="0.85546875" style="434" hidden="1" customWidth="1"/>
    <col min="16131" max="16146" width="2.5703125" style="434" hidden="1" customWidth="1"/>
    <col min="16147" max="16147" width="4" style="434" hidden="1" customWidth="1"/>
    <col min="16148" max="16151" width="2.5703125" style="434" hidden="1" customWidth="1"/>
    <col min="16152" max="16152" width="2.42578125" style="434" hidden="1" customWidth="1"/>
    <col min="16153" max="16156" width="2.5703125" style="434" hidden="1" customWidth="1"/>
    <col min="16157" max="16157" width="2.42578125" style="434" hidden="1" customWidth="1"/>
    <col min="16158" max="16161" width="2.5703125" style="434" hidden="1" customWidth="1"/>
    <col min="16162" max="16167" width="2.42578125" style="434" hidden="1" customWidth="1"/>
    <col min="16168" max="16168" width="1.5703125" style="434" hidden="1" customWidth="1"/>
    <col min="16169" max="16384" width="2.5703125" style="434" hidden="1"/>
  </cols>
  <sheetData>
    <row r="1" spans="1:40" ht="12.95" customHeight="1">
      <c r="A1" s="2516" t="s">
        <v>1444</v>
      </c>
      <c r="B1" s="2516"/>
      <c r="C1" s="2516"/>
      <c r="D1" s="2516"/>
      <c r="E1" s="2516"/>
      <c r="F1" s="2516"/>
      <c r="G1" s="2516"/>
      <c r="H1" s="2516"/>
      <c r="I1" s="2516"/>
      <c r="J1" s="2516"/>
      <c r="K1" s="2516"/>
      <c r="L1" s="2516"/>
      <c r="M1" s="2516"/>
      <c r="N1" s="2516"/>
      <c r="O1" s="2516"/>
      <c r="P1" s="2516"/>
      <c r="Q1" s="2516"/>
      <c r="R1" s="2516"/>
      <c r="S1" s="2516"/>
      <c r="T1" s="2516"/>
      <c r="U1" s="2516"/>
      <c r="V1" s="2516"/>
      <c r="W1" s="2516"/>
      <c r="X1" s="2516"/>
      <c r="Y1" s="2516"/>
      <c r="Z1" s="2516"/>
      <c r="AA1" s="2516"/>
      <c r="AB1" s="2516"/>
      <c r="AC1" s="2516"/>
      <c r="AD1" s="2516"/>
      <c r="AE1" s="2516"/>
      <c r="AF1" s="2516"/>
      <c r="AG1" s="2516"/>
      <c r="AH1" s="2516"/>
      <c r="AI1" s="2516"/>
      <c r="AJ1" s="2516"/>
      <c r="AK1" s="2516"/>
      <c r="AL1" s="2516"/>
      <c r="AM1" s="2516"/>
      <c r="AN1" s="2516"/>
    </row>
    <row r="2" spans="1:40" ht="12.95" customHeight="1" thickBot="1">
      <c r="A2" s="2517"/>
      <c r="B2" s="2517"/>
      <c r="C2" s="2517"/>
      <c r="D2" s="2517"/>
      <c r="E2" s="2517"/>
      <c r="F2" s="2517"/>
      <c r="G2" s="2517"/>
      <c r="H2" s="2517"/>
      <c r="I2" s="2517"/>
      <c r="J2" s="2517"/>
      <c r="K2" s="2517"/>
      <c r="L2" s="2517"/>
      <c r="M2" s="2517"/>
      <c r="N2" s="2517"/>
      <c r="O2" s="2517"/>
      <c r="P2" s="2517"/>
      <c r="Q2" s="2517"/>
      <c r="R2" s="2517"/>
      <c r="S2" s="2517"/>
      <c r="T2" s="2517"/>
      <c r="U2" s="2517"/>
      <c r="V2" s="2517"/>
      <c r="W2" s="2517"/>
      <c r="X2" s="2517"/>
      <c r="Y2" s="2517"/>
      <c r="Z2" s="2517"/>
      <c r="AA2" s="2517"/>
      <c r="AB2" s="2517"/>
      <c r="AC2" s="2517"/>
      <c r="AD2" s="2517"/>
      <c r="AE2" s="2517"/>
      <c r="AF2" s="2517"/>
      <c r="AG2" s="2517"/>
      <c r="AH2" s="2517"/>
      <c r="AI2" s="2517"/>
      <c r="AJ2" s="2517"/>
      <c r="AK2" s="2517"/>
      <c r="AL2" s="2517"/>
      <c r="AM2" s="2517"/>
      <c r="AN2" s="2517"/>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496" t="str">
        <f xml:space="preserve"> IF(T25=100%,'Sources and Basis Breakdown'!G2,'Sources and Basis Breakdown'!F2)</f>
        <v>30% PVC for New Const/
Rehabilitation
DDA/QCT
Building(s)</v>
      </c>
      <c r="U7" s="2496"/>
      <c r="V7" s="2496"/>
      <c r="W7" s="2496"/>
      <c r="X7" s="2496"/>
      <c r="Y7" s="2496" t="str">
        <f>IF(T25=100%," ",'Sources and Basis Breakdown'!G2)</f>
        <v>30% PVC for New Const/
Rehabilitation
NON-DDA/
NON-QCT Building(s)</v>
      </c>
      <c r="Z7" s="2496"/>
      <c r="AA7" s="2496"/>
      <c r="AB7" s="2496"/>
      <c r="AC7" s="2496"/>
      <c r="AD7" s="2496" t="str">
        <f xml:space="preserve"> IF(T25=100%, 'Sources and Basis Breakdown'!J2,'Sources and Basis Breakdown'!I2)</f>
        <v>30% PVC for Acquisition
DDA/QCT Building(s)</v>
      </c>
      <c r="AE7" s="2496"/>
      <c r="AF7" s="2496"/>
      <c r="AG7" s="2496"/>
      <c r="AH7" s="2496"/>
      <c r="AI7" s="2496" t="str">
        <f>IF(T25=100%," ",'Sources and Basis Breakdown'!J2)</f>
        <v>30% PVC for Acquisition
NON-DDA/
NON-QCT Building(s)</v>
      </c>
      <c r="AJ7" s="2496"/>
      <c r="AK7" s="2496"/>
      <c r="AL7" s="2496"/>
      <c r="AM7" s="2496"/>
    </row>
    <row r="8" spans="1:40" ht="12.95" customHeight="1">
      <c r="B8" s="439"/>
      <c r="T8" s="2496"/>
      <c r="U8" s="2496"/>
      <c r="V8" s="2496"/>
      <c r="W8" s="2496"/>
      <c r="X8" s="2496"/>
      <c r="Y8" s="2496"/>
      <c r="Z8" s="2496"/>
      <c r="AA8" s="2496"/>
      <c r="AB8" s="2496"/>
      <c r="AC8" s="2496"/>
      <c r="AD8" s="2496"/>
      <c r="AE8" s="2496"/>
      <c r="AF8" s="2496"/>
      <c r="AG8" s="2496"/>
      <c r="AH8" s="2496"/>
      <c r="AI8" s="2496"/>
      <c r="AJ8" s="2496"/>
      <c r="AK8" s="2496"/>
      <c r="AL8" s="2496"/>
      <c r="AM8" s="2496"/>
    </row>
    <row r="9" spans="1:40" ht="12.95" customHeight="1">
      <c r="B9" s="439"/>
      <c r="T9" s="2496"/>
      <c r="U9" s="2496"/>
      <c r="V9" s="2496"/>
      <c r="W9" s="2496"/>
      <c r="X9" s="2496"/>
      <c r="Y9" s="2496"/>
      <c r="Z9" s="2496"/>
      <c r="AA9" s="2496"/>
      <c r="AB9" s="2496"/>
      <c r="AC9" s="2496"/>
      <c r="AD9" s="2496"/>
      <c r="AE9" s="2496"/>
      <c r="AF9" s="2496"/>
      <c r="AG9" s="2496"/>
      <c r="AH9" s="2496"/>
      <c r="AI9" s="2496"/>
      <c r="AJ9" s="2496"/>
      <c r="AK9" s="2496"/>
      <c r="AL9" s="2496"/>
      <c r="AM9" s="2496"/>
    </row>
    <row r="10" spans="1:40" ht="12.95" customHeight="1">
      <c r="B10" s="440"/>
      <c r="C10" s="441"/>
      <c r="D10" s="441"/>
      <c r="E10" s="441"/>
      <c r="F10" s="441"/>
      <c r="G10" s="441"/>
      <c r="H10" s="441"/>
      <c r="I10" s="441"/>
      <c r="J10" s="441"/>
      <c r="K10" s="441"/>
      <c r="L10" s="441"/>
      <c r="M10" s="441"/>
      <c r="N10" s="441"/>
      <c r="O10" s="441"/>
      <c r="P10" s="441"/>
      <c r="Q10" s="441"/>
      <c r="R10" s="441"/>
      <c r="S10" s="441"/>
      <c r="T10" s="2496"/>
      <c r="U10" s="2496"/>
      <c r="V10" s="2496"/>
      <c r="W10" s="2496"/>
      <c r="X10" s="2496"/>
      <c r="Y10" s="2496"/>
      <c r="Z10" s="2496"/>
      <c r="AA10" s="2496"/>
      <c r="AB10" s="2496"/>
      <c r="AC10" s="2496"/>
      <c r="AD10" s="2496"/>
      <c r="AE10" s="2496"/>
      <c r="AF10" s="2496"/>
      <c r="AG10" s="2496"/>
      <c r="AH10" s="2496"/>
      <c r="AI10" s="2496"/>
      <c r="AJ10" s="2496"/>
      <c r="AK10" s="2496"/>
      <c r="AL10" s="2496"/>
      <c r="AM10" s="2496"/>
    </row>
    <row r="11" spans="1:40" ht="12.95" customHeight="1">
      <c r="B11" s="2479" t="s">
        <v>377</v>
      </c>
      <c r="C11" s="2480"/>
      <c r="D11" s="2480"/>
      <c r="E11" s="2480"/>
      <c r="F11" s="2480"/>
      <c r="G11" s="2480"/>
      <c r="H11" s="2480"/>
      <c r="I11" s="2480"/>
      <c r="J11" s="2480"/>
      <c r="K11" s="2480"/>
      <c r="L11" s="2480"/>
      <c r="M11" s="2480"/>
      <c r="N11" s="2480"/>
      <c r="O11" s="2480"/>
      <c r="P11" s="2480"/>
      <c r="Q11" s="2480"/>
      <c r="R11" s="2480"/>
      <c r="S11" s="2481"/>
      <c r="T11" s="2518">
        <f>IF('Sources and Basis Breakdown'!F107=0,'Sources and Basis Breakdown'!E107,'Sources and Basis Breakdown'!F107)</f>
        <v>25708918</v>
      </c>
      <c r="U11" s="2519"/>
      <c r="V11" s="2519"/>
      <c r="W11" s="2519"/>
      <c r="X11" s="2519"/>
      <c r="Y11" s="2518">
        <f>IF(Y7=" ",0,IF('Sources and Basis Breakdown'!G107+'Sources and Basis Breakdown'!F107='Sources and Basis Breakdown'!E107,'Sources and Basis Breakdown'!G107,0))</f>
        <v>0</v>
      </c>
      <c r="Z11" s="2519"/>
      <c r="AA11" s="2519"/>
      <c r="AB11" s="2519"/>
      <c r="AC11" s="2519"/>
      <c r="AD11" s="2519">
        <f>IF('Sources and Basis Breakdown'!I107=0,'Sources and Basis Breakdown'!H107,'Sources and Basis Breakdown'!I107)</f>
        <v>0</v>
      </c>
      <c r="AE11" s="2519"/>
      <c r="AF11" s="2519"/>
      <c r="AG11" s="2519"/>
      <c r="AH11" s="2519"/>
      <c r="AI11" s="2519">
        <f>IF(Y7=" ",0,IF('Sources and Basis Breakdown'!I107+'Sources and Basis Breakdown'!J107='Sources and Basis Breakdown'!H107,'Sources and Basis Breakdown'!J107,0))</f>
        <v>0</v>
      </c>
      <c r="AJ11" s="2519"/>
      <c r="AK11" s="2519"/>
      <c r="AL11" s="2519"/>
      <c r="AM11" s="2519"/>
    </row>
    <row r="12" spans="1:40" ht="12.95" customHeight="1">
      <c r="B12" s="2520" t="s">
        <v>506</v>
      </c>
      <c r="C12" s="1277"/>
      <c r="D12" s="1277"/>
      <c r="E12" s="1277"/>
      <c r="F12" s="1277"/>
      <c r="G12" s="1277"/>
      <c r="H12" s="1277"/>
      <c r="I12" s="1277"/>
      <c r="J12" s="1277"/>
      <c r="K12" s="1277"/>
      <c r="L12" s="1277"/>
      <c r="M12" s="1277"/>
      <c r="N12" s="1277"/>
      <c r="O12" s="1277"/>
      <c r="P12" s="1277"/>
      <c r="Q12" s="1277"/>
      <c r="R12" s="1277"/>
      <c r="S12" s="2521"/>
      <c r="T12" s="2511"/>
      <c r="U12" s="2512"/>
      <c r="V12" s="2512"/>
      <c r="W12" s="2512"/>
      <c r="X12" s="2513"/>
      <c r="Y12" s="2511"/>
      <c r="Z12" s="2512"/>
      <c r="AA12" s="2512"/>
      <c r="AB12" s="2512"/>
      <c r="AC12" s="2513"/>
      <c r="AD12" s="2511"/>
      <c r="AE12" s="2512"/>
      <c r="AF12" s="2512"/>
      <c r="AG12" s="2512"/>
      <c r="AH12" s="2513"/>
      <c r="AI12" s="2511"/>
      <c r="AJ12" s="2512"/>
      <c r="AK12" s="2512"/>
      <c r="AL12" s="2512"/>
      <c r="AM12" s="2513"/>
    </row>
    <row r="13" spans="1:40" ht="12.95" customHeight="1">
      <c r="B13" s="468"/>
      <c r="C13" s="2522" t="s">
        <v>507</v>
      </c>
      <c r="D13" s="2522"/>
      <c r="E13" s="2522"/>
      <c r="F13" s="2522"/>
      <c r="G13" s="2522"/>
      <c r="H13" s="2522"/>
      <c r="I13" s="2522"/>
      <c r="J13" s="2522"/>
      <c r="K13" s="2522"/>
      <c r="L13" s="2522"/>
      <c r="M13" s="2522"/>
      <c r="N13" s="2522"/>
      <c r="O13" s="2522"/>
      <c r="P13" s="2522"/>
      <c r="Q13" s="2522"/>
      <c r="R13" s="2522"/>
      <c r="S13" s="2523"/>
      <c r="T13" s="2514"/>
      <c r="U13" s="2515"/>
      <c r="V13" s="2515"/>
      <c r="W13" s="2515"/>
      <c r="X13" s="2515"/>
      <c r="Y13" s="2514"/>
      <c r="Z13" s="2515"/>
      <c r="AA13" s="2515"/>
      <c r="AB13" s="2515"/>
      <c r="AC13" s="2515"/>
      <c r="AD13" s="2515"/>
      <c r="AE13" s="2515"/>
      <c r="AF13" s="2515"/>
      <c r="AG13" s="2515"/>
      <c r="AH13" s="2515"/>
      <c r="AI13" s="2515"/>
      <c r="AJ13" s="2515"/>
      <c r="AK13" s="2515"/>
      <c r="AL13" s="2515"/>
      <c r="AM13" s="2515"/>
    </row>
    <row r="14" spans="1:40" ht="12.95" customHeight="1">
      <c r="B14" s="468"/>
      <c r="C14" s="2522" t="s">
        <v>508</v>
      </c>
      <c r="D14" s="2522"/>
      <c r="E14" s="2522"/>
      <c r="F14" s="2522"/>
      <c r="G14" s="2522"/>
      <c r="H14" s="2522"/>
      <c r="I14" s="2522"/>
      <c r="J14" s="2522"/>
      <c r="K14" s="2522"/>
      <c r="L14" s="2522"/>
      <c r="M14" s="2522"/>
      <c r="N14" s="2522"/>
      <c r="O14" s="2522"/>
      <c r="P14" s="2522"/>
      <c r="Q14" s="2522"/>
      <c r="R14" s="2522"/>
      <c r="S14" s="2523"/>
      <c r="T14" s="2504"/>
      <c r="U14" s="2505"/>
      <c r="V14" s="2505"/>
      <c r="W14" s="2505"/>
      <c r="X14" s="2505"/>
      <c r="Y14" s="2504"/>
      <c r="Z14" s="2505"/>
      <c r="AA14" s="2505"/>
      <c r="AB14" s="2505"/>
      <c r="AC14" s="2505"/>
      <c r="AD14" s="2505"/>
      <c r="AE14" s="2505"/>
      <c r="AF14" s="2505"/>
      <c r="AG14" s="2505"/>
      <c r="AH14" s="2505"/>
      <c r="AI14" s="2505"/>
      <c r="AJ14" s="2505"/>
      <c r="AK14" s="2505"/>
      <c r="AL14" s="2505"/>
      <c r="AM14" s="2505"/>
    </row>
    <row r="15" spans="1:40" ht="12.95" customHeight="1">
      <c r="B15" s="468"/>
      <c r="C15" s="2522" t="s">
        <v>509</v>
      </c>
      <c r="D15" s="2522"/>
      <c r="E15" s="2522"/>
      <c r="F15" s="2522"/>
      <c r="G15" s="2522"/>
      <c r="H15" s="2522"/>
      <c r="I15" s="2522"/>
      <c r="J15" s="2522"/>
      <c r="K15" s="2522"/>
      <c r="L15" s="2522"/>
      <c r="M15" s="2522"/>
      <c r="N15" s="2522"/>
      <c r="O15" s="2522"/>
      <c r="P15" s="2522"/>
      <c r="Q15" s="2522"/>
      <c r="R15" s="2522"/>
      <c r="S15" s="2523"/>
      <c r="T15" s="2504"/>
      <c r="U15" s="2505"/>
      <c r="V15" s="2505"/>
      <c r="W15" s="2505"/>
      <c r="X15" s="2505"/>
      <c r="Y15" s="2504"/>
      <c r="Z15" s="2505"/>
      <c r="AA15" s="2505"/>
      <c r="AB15" s="2505"/>
      <c r="AC15" s="2505"/>
      <c r="AD15" s="2505"/>
      <c r="AE15" s="2505"/>
      <c r="AF15" s="2505"/>
      <c r="AG15" s="2505"/>
      <c r="AH15" s="2505"/>
      <c r="AI15" s="2505"/>
      <c r="AJ15" s="2505"/>
      <c r="AK15" s="2505"/>
      <c r="AL15" s="2505"/>
      <c r="AM15" s="2505"/>
    </row>
    <row r="16" spans="1:40" ht="12.95" customHeight="1">
      <c r="B16" s="468"/>
      <c r="C16" s="2522" t="s">
        <v>830</v>
      </c>
      <c r="D16" s="2522"/>
      <c r="E16" s="2522"/>
      <c r="F16" s="2522"/>
      <c r="G16" s="2522"/>
      <c r="H16" s="2522"/>
      <c r="I16" s="2522"/>
      <c r="J16" s="2522"/>
      <c r="K16" s="2522"/>
      <c r="L16" s="2522"/>
      <c r="M16" s="2522"/>
      <c r="N16" s="2522"/>
      <c r="O16" s="2522"/>
      <c r="P16" s="2522"/>
      <c r="Q16" s="2522"/>
      <c r="R16" s="2522"/>
      <c r="S16" s="2523"/>
      <c r="T16" s="2504"/>
      <c r="U16" s="2505"/>
      <c r="V16" s="2505"/>
      <c r="W16" s="2505"/>
      <c r="X16" s="2505"/>
      <c r="Y16" s="2504"/>
      <c r="Z16" s="2505"/>
      <c r="AA16" s="2505"/>
      <c r="AB16" s="2505"/>
      <c r="AC16" s="2505"/>
      <c r="AD16" s="2505"/>
      <c r="AE16" s="2505"/>
      <c r="AF16" s="2505"/>
      <c r="AG16" s="2505"/>
      <c r="AH16" s="2505"/>
      <c r="AI16" s="2505"/>
      <c r="AJ16" s="2505"/>
      <c r="AK16" s="2505"/>
      <c r="AL16" s="2505"/>
      <c r="AM16" s="2505"/>
    </row>
    <row r="17" spans="1:40" ht="12.95" customHeight="1">
      <c r="B17" s="468"/>
      <c r="C17" s="2522" t="s">
        <v>510</v>
      </c>
      <c r="D17" s="2522"/>
      <c r="E17" s="2522"/>
      <c r="F17" s="2522"/>
      <c r="G17" s="2522"/>
      <c r="H17" s="2522"/>
      <c r="I17" s="2522"/>
      <c r="J17" s="2522"/>
      <c r="K17" s="2522"/>
      <c r="L17" s="2522"/>
      <c r="M17" s="2522"/>
      <c r="N17" s="2522"/>
      <c r="O17" s="2522"/>
      <c r="P17" s="2522"/>
      <c r="Q17" s="2522"/>
      <c r="R17" s="2522"/>
      <c r="S17" s="2523"/>
      <c r="T17" s="2504"/>
      <c r="U17" s="2505"/>
      <c r="V17" s="2505"/>
      <c r="W17" s="2505"/>
      <c r="X17" s="2505"/>
      <c r="Y17" s="2504"/>
      <c r="Z17" s="2505"/>
      <c r="AA17" s="2505"/>
      <c r="AB17" s="2505"/>
      <c r="AC17" s="2505"/>
      <c r="AD17" s="2505"/>
      <c r="AE17" s="2505"/>
      <c r="AF17" s="2505"/>
      <c r="AG17" s="2505"/>
      <c r="AH17" s="2505"/>
      <c r="AI17" s="2505"/>
      <c r="AJ17" s="2505"/>
      <c r="AK17" s="2505"/>
      <c r="AL17" s="2505"/>
      <c r="AM17" s="2505"/>
    </row>
    <row r="18" spans="1:40" ht="12.95" customHeight="1">
      <c r="A18"/>
      <c r="B18" s="1203"/>
      <c r="C18" s="1684" t="s">
        <v>1000</v>
      </c>
      <c r="D18" s="1684"/>
      <c r="E18" s="1684"/>
      <c r="F18" s="1684"/>
      <c r="G18" s="1684"/>
      <c r="H18" s="1684"/>
      <c r="I18" s="1684"/>
      <c r="J18" s="1684"/>
      <c r="K18" s="1684"/>
      <c r="L18" s="1684"/>
      <c r="M18" s="1684"/>
      <c r="N18" s="1684"/>
      <c r="O18" s="1684"/>
      <c r="P18" s="1684"/>
      <c r="Q18" s="1684"/>
      <c r="R18" s="1684"/>
      <c r="S18" s="1685"/>
      <c r="T18" s="2504"/>
      <c r="U18" s="2505"/>
      <c r="V18" s="2505"/>
      <c r="W18" s="2505"/>
      <c r="X18" s="2505"/>
      <c r="Y18" s="2504"/>
      <c r="Z18" s="2505"/>
      <c r="AA18" s="2505"/>
      <c r="AB18" s="2505"/>
      <c r="AC18" s="2505"/>
      <c r="AD18" s="2505"/>
      <c r="AE18" s="2505"/>
      <c r="AF18" s="2505"/>
      <c r="AG18" s="2505"/>
      <c r="AH18" s="2505"/>
      <c r="AI18" s="2505"/>
      <c r="AJ18" s="2505"/>
      <c r="AK18" s="2505"/>
      <c r="AL18" s="2505"/>
      <c r="AM18" s="2505"/>
    </row>
    <row r="19" spans="1:40" ht="12.95" customHeight="1">
      <c r="B19" s="1203"/>
      <c r="C19" s="1684" t="s">
        <v>1000</v>
      </c>
      <c r="D19" s="1684"/>
      <c r="E19" s="1684"/>
      <c r="F19" s="1684"/>
      <c r="G19" s="1684"/>
      <c r="H19" s="1684"/>
      <c r="I19" s="1684"/>
      <c r="J19" s="1684"/>
      <c r="K19" s="1684"/>
      <c r="L19" s="1684"/>
      <c r="M19" s="1684"/>
      <c r="N19" s="1684"/>
      <c r="O19" s="1684"/>
      <c r="P19" s="1684"/>
      <c r="Q19" s="1684"/>
      <c r="R19" s="1684"/>
      <c r="S19" s="1685"/>
      <c r="T19" s="2504"/>
      <c r="U19" s="2505"/>
      <c r="V19" s="2505"/>
      <c r="W19" s="2505"/>
      <c r="X19" s="2505"/>
      <c r="Y19" s="2504"/>
      <c r="Z19" s="2505"/>
      <c r="AA19" s="2505"/>
      <c r="AB19" s="2505"/>
      <c r="AC19" s="2505"/>
      <c r="AD19" s="2505"/>
      <c r="AE19" s="2505"/>
      <c r="AF19" s="2505"/>
      <c r="AG19" s="2505"/>
      <c r="AH19" s="2505"/>
      <c r="AI19" s="2505"/>
      <c r="AJ19" s="2505"/>
      <c r="AK19" s="2505"/>
      <c r="AL19" s="2505"/>
      <c r="AM19" s="2505"/>
    </row>
    <row r="20" spans="1:40" ht="12.95" customHeight="1">
      <c r="B20" s="2479" t="s">
        <v>511</v>
      </c>
      <c r="C20" s="2480"/>
      <c r="D20" s="2480"/>
      <c r="E20" s="2480"/>
      <c r="F20" s="2480"/>
      <c r="G20" s="2480"/>
      <c r="H20" s="2480"/>
      <c r="I20" s="2480"/>
      <c r="J20" s="2480"/>
      <c r="K20" s="2480"/>
      <c r="L20" s="2480"/>
      <c r="M20" s="2480"/>
      <c r="N20" s="2480"/>
      <c r="O20" s="2480"/>
      <c r="P20" s="2480"/>
      <c r="Q20" s="2480"/>
      <c r="R20" s="2480"/>
      <c r="S20" s="2481"/>
      <c r="T20" s="2495">
        <f>SUM(T13:X19)</f>
        <v>0</v>
      </c>
      <c r="U20" s="2473"/>
      <c r="V20" s="2473"/>
      <c r="W20" s="2473"/>
      <c r="X20" s="2473"/>
      <c r="Y20" s="2495">
        <f>SUM(Y13:AC19)</f>
        <v>0</v>
      </c>
      <c r="Z20" s="2473"/>
      <c r="AA20" s="2473"/>
      <c r="AB20" s="2473"/>
      <c r="AC20" s="2473"/>
      <c r="AD20" s="2483">
        <f>SUM(AD13:AH19)</f>
        <v>0</v>
      </c>
      <c r="AE20" s="2494"/>
      <c r="AF20" s="2494"/>
      <c r="AG20" s="2494"/>
      <c r="AH20" s="2495"/>
      <c r="AI20" s="2483">
        <f>SUM(AI13:AM19)</f>
        <v>0</v>
      </c>
      <c r="AJ20" s="2494"/>
      <c r="AK20" s="2494"/>
      <c r="AL20" s="2494"/>
      <c r="AM20" s="2495"/>
    </row>
    <row r="21" spans="1:40" ht="12.95" customHeight="1">
      <c r="B21" s="2479" t="s">
        <v>1421</v>
      </c>
      <c r="C21" s="2480"/>
      <c r="D21" s="2480"/>
      <c r="E21" s="2480"/>
      <c r="F21" s="2480"/>
      <c r="G21" s="2480"/>
      <c r="H21" s="2480"/>
      <c r="I21" s="2480"/>
      <c r="J21" s="2480"/>
      <c r="K21" s="2480"/>
      <c r="L21" s="2480"/>
      <c r="M21" s="2480"/>
      <c r="N21" s="2480"/>
      <c r="O21" s="2480"/>
      <c r="P21" s="2480"/>
      <c r="Q21" s="2480"/>
      <c r="R21" s="2480"/>
      <c r="S21" s="2481"/>
      <c r="T21" s="2504">
        <v>5024634</v>
      </c>
      <c r="U21" s="2505"/>
      <c r="V21" s="2505"/>
      <c r="W21" s="2505"/>
      <c r="X21" s="2505"/>
      <c r="Y21" s="2504"/>
      <c r="Z21" s="2505"/>
      <c r="AA21" s="2505"/>
      <c r="AB21" s="2505"/>
      <c r="AC21" s="2505"/>
      <c r="AD21" s="2511"/>
      <c r="AE21" s="2512"/>
      <c r="AF21" s="2512"/>
      <c r="AG21" s="2512"/>
      <c r="AH21" s="2513"/>
      <c r="AI21" s="2511"/>
      <c r="AJ21" s="2512"/>
      <c r="AK21" s="2512"/>
      <c r="AL21" s="2512"/>
      <c r="AM21" s="2513"/>
    </row>
    <row r="22" spans="1:40" ht="12.95" customHeight="1">
      <c r="B22" s="2479" t="s">
        <v>512</v>
      </c>
      <c r="C22" s="2480"/>
      <c r="D22" s="2480"/>
      <c r="E22" s="2480"/>
      <c r="F22" s="2480"/>
      <c r="G22" s="2480"/>
      <c r="H22" s="2480"/>
      <c r="I22" s="2480"/>
      <c r="J22" s="2480"/>
      <c r="K22" s="2480"/>
      <c r="L22" s="2480"/>
      <c r="M22" s="2480"/>
      <c r="N22" s="2480"/>
      <c r="O22" s="2480"/>
      <c r="P22" s="2480"/>
      <c r="Q22" s="2480"/>
      <c r="R22" s="2480"/>
      <c r="S22" s="2481"/>
      <c r="T22" s="2500">
        <f>(ABS(T20)+ABS(T21))*-1</f>
        <v>-5024634</v>
      </c>
      <c r="U22" s="2501"/>
      <c r="V22" s="2501"/>
      <c r="W22" s="2501"/>
      <c r="X22" s="2501"/>
      <c r="Y22" s="2500">
        <f>(Y20+Y21)*-1</f>
        <v>0</v>
      </c>
      <c r="Z22" s="2501"/>
      <c r="AA22" s="2501"/>
      <c r="AB22" s="2501"/>
      <c r="AC22" s="2501"/>
      <c r="AD22" s="2502">
        <f>(AD20)*-1</f>
        <v>0</v>
      </c>
      <c r="AE22" s="2503"/>
      <c r="AF22" s="2503"/>
      <c r="AG22" s="2503"/>
      <c r="AH22" s="2500"/>
      <c r="AI22" s="2502">
        <f>(AI20)*-1</f>
        <v>0</v>
      </c>
      <c r="AJ22" s="2503"/>
      <c r="AK22" s="2503"/>
      <c r="AL22" s="2503"/>
      <c r="AM22" s="2500"/>
    </row>
    <row r="23" spans="1:40" ht="12.95" customHeight="1">
      <c r="B23" s="2479" t="s">
        <v>513</v>
      </c>
      <c r="C23" s="2480"/>
      <c r="D23" s="2480"/>
      <c r="E23" s="2480"/>
      <c r="F23" s="2480"/>
      <c r="G23" s="2480"/>
      <c r="H23" s="2480"/>
      <c r="I23" s="2480"/>
      <c r="J23" s="2480"/>
      <c r="K23" s="2480"/>
      <c r="L23" s="2480"/>
      <c r="M23" s="2480"/>
      <c r="N23" s="2480"/>
      <c r="O23" s="2480"/>
      <c r="P23" s="2480"/>
      <c r="Q23" s="2480"/>
      <c r="R23" s="2480"/>
      <c r="S23" s="2481"/>
      <c r="T23" s="2495">
        <f>T11+T22</f>
        <v>20684284</v>
      </c>
      <c r="U23" s="2473"/>
      <c r="V23" s="2473"/>
      <c r="W23" s="2473"/>
      <c r="X23" s="2473"/>
      <c r="Y23" s="2495">
        <f>Y11+Y22</f>
        <v>0</v>
      </c>
      <c r="Z23" s="2473"/>
      <c r="AA23" s="2473"/>
      <c r="AB23" s="2473"/>
      <c r="AC23" s="2473"/>
      <c r="AD23" s="2495">
        <f>AD11+AD22</f>
        <v>0</v>
      </c>
      <c r="AE23" s="2473"/>
      <c r="AF23" s="2473"/>
      <c r="AG23" s="2473"/>
      <c r="AH23" s="2473"/>
      <c r="AI23" s="2495">
        <f>AI11+AI22</f>
        <v>0</v>
      </c>
      <c r="AJ23" s="2473"/>
      <c r="AK23" s="2473"/>
      <c r="AL23" s="2473"/>
      <c r="AM23" s="2473"/>
    </row>
    <row r="24" spans="1:40" ht="12.95" customHeight="1">
      <c r="B24" s="2479" t="s">
        <v>1001</v>
      </c>
      <c r="C24" s="2480"/>
      <c r="D24" s="2480"/>
      <c r="E24" s="2480"/>
      <c r="F24" s="2480"/>
      <c r="G24" s="2480"/>
      <c r="H24" s="2480"/>
      <c r="I24" s="2480"/>
      <c r="J24" s="2480"/>
      <c r="K24" s="2480"/>
      <c r="L24" s="2480"/>
      <c r="M24" s="2480"/>
      <c r="N24" s="2480"/>
      <c r="O24" s="2480"/>
      <c r="P24" s="2480"/>
      <c r="Q24" s="2480"/>
      <c r="R24" s="2480"/>
      <c r="S24" s="2481"/>
      <c r="T24" s="2483">
        <f>Application!AJ1018</f>
        <v>56594365.219999999</v>
      </c>
      <c r="U24" s="2494"/>
      <c r="V24" s="2494"/>
      <c r="W24" s="2494"/>
      <c r="X24" s="2494"/>
      <c r="Y24" s="2494"/>
      <c r="Z24" s="2494"/>
      <c r="AA24" s="2494"/>
      <c r="AB24" s="2494"/>
      <c r="AC24" s="2494"/>
      <c r="AD24" s="2494"/>
      <c r="AE24" s="2494"/>
      <c r="AF24" s="2494"/>
      <c r="AG24" s="2494"/>
      <c r="AH24" s="2494"/>
      <c r="AI24" s="2494"/>
      <c r="AJ24" s="2494"/>
      <c r="AK24" s="2494"/>
      <c r="AL24" s="2494"/>
      <c r="AM24" s="2495"/>
    </row>
    <row r="25" spans="1:40" ht="12.95" customHeight="1">
      <c r="B25" s="2526" t="s">
        <v>1422</v>
      </c>
      <c r="C25" s="2527"/>
      <c r="D25" s="2527"/>
      <c r="E25" s="2527"/>
      <c r="F25" s="2527"/>
      <c r="G25" s="2527"/>
      <c r="H25" s="2527"/>
      <c r="I25" s="2527"/>
      <c r="J25" s="2527"/>
      <c r="K25" s="2527"/>
      <c r="L25" s="2527"/>
      <c r="M25" s="2527"/>
      <c r="N25" s="2527"/>
      <c r="O25" s="2527"/>
      <c r="P25" s="2527"/>
      <c r="Q25" s="2527"/>
      <c r="R25" s="2527"/>
      <c r="S25" s="2528"/>
      <c r="T25" s="2508">
        <f>IF(OR(Application!T195="yes",Application!T194="yes"),1.3,1)</f>
        <v>1.3</v>
      </c>
      <c r="U25" s="2509"/>
      <c r="V25" s="2509"/>
      <c r="W25" s="2509"/>
      <c r="X25" s="2509"/>
      <c r="Y25" s="2508">
        <v>1</v>
      </c>
      <c r="Z25" s="2509"/>
      <c r="AA25" s="2509"/>
      <c r="AB25" s="2509"/>
      <c r="AC25" s="2509"/>
      <c r="AD25" s="2508">
        <v>1</v>
      </c>
      <c r="AE25" s="2509"/>
      <c r="AF25" s="2509"/>
      <c r="AG25" s="2509"/>
      <c r="AH25" s="2510"/>
      <c r="AI25" s="2508">
        <v>1</v>
      </c>
      <c r="AJ25" s="2509"/>
      <c r="AK25" s="2509"/>
      <c r="AL25" s="2509"/>
      <c r="AM25" s="2510"/>
    </row>
    <row r="26" spans="1:40" ht="12.95" customHeight="1">
      <c r="B26" s="2479" t="s">
        <v>514</v>
      </c>
      <c r="C26" s="2480"/>
      <c r="D26" s="2480"/>
      <c r="E26" s="2480"/>
      <c r="F26" s="2480"/>
      <c r="G26" s="2480"/>
      <c r="H26" s="2480"/>
      <c r="I26" s="2480"/>
      <c r="J26" s="2480"/>
      <c r="K26" s="2480"/>
      <c r="L26" s="2480"/>
      <c r="M26" s="2480"/>
      <c r="N26" s="2480"/>
      <c r="O26" s="2480"/>
      <c r="P26" s="2480"/>
      <c r="Q26" s="2480"/>
      <c r="R26" s="2480"/>
      <c r="S26" s="2481"/>
      <c r="T26" s="2495">
        <f>T23*T25</f>
        <v>26889569.199999999</v>
      </c>
      <c r="U26" s="2473"/>
      <c r="V26" s="2473"/>
      <c r="W26" s="2473"/>
      <c r="X26" s="2473"/>
      <c r="Y26" s="2495">
        <f>Y23*Y25</f>
        <v>0</v>
      </c>
      <c r="Z26" s="2473"/>
      <c r="AA26" s="2473"/>
      <c r="AB26" s="2473"/>
      <c r="AC26" s="2473"/>
      <c r="AD26" s="2495">
        <f>AD23*AD25</f>
        <v>0</v>
      </c>
      <c r="AE26" s="2473"/>
      <c r="AF26" s="2473"/>
      <c r="AG26" s="2473"/>
      <c r="AH26" s="2473"/>
      <c r="AI26" s="2495">
        <f>AI23*AI25</f>
        <v>0</v>
      </c>
      <c r="AJ26" s="2473"/>
      <c r="AK26" s="2473"/>
      <c r="AL26" s="2473"/>
      <c r="AM26" s="2473"/>
    </row>
    <row r="27" spans="1:40" ht="12.95" customHeight="1">
      <c r="A27" s="442"/>
      <c r="B27" s="2529" t="s">
        <v>428</v>
      </c>
      <c r="C27" s="2530"/>
      <c r="D27" s="2530"/>
      <c r="E27" s="2530"/>
      <c r="F27" s="2530"/>
      <c r="G27" s="2530"/>
      <c r="H27" s="2530"/>
      <c r="I27" s="2530"/>
      <c r="J27" s="2530"/>
      <c r="K27" s="2530"/>
      <c r="L27" s="2530"/>
      <c r="M27" s="2530"/>
      <c r="N27" s="2530"/>
      <c r="O27" s="2530"/>
      <c r="P27" s="2530"/>
      <c r="Q27" s="2530"/>
      <c r="R27" s="2530"/>
      <c r="S27" s="2531"/>
      <c r="T27" s="2506">
        <f>Application!$AG$444</f>
        <v>1</v>
      </c>
      <c r="U27" s="2507"/>
      <c r="V27" s="2507"/>
      <c r="W27" s="2507"/>
      <c r="X27" s="2507"/>
      <c r="Y27" s="2506">
        <f>Application!$AG$444</f>
        <v>1</v>
      </c>
      <c r="Z27" s="2507"/>
      <c r="AA27" s="2507"/>
      <c r="AB27" s="2507"/>
      <c r="AC27" s="2507"/>
      <c r="AD27" s="2506">
        <f>Application!$AG$444</f>
        <v>1</v>
      </c>
      <c r="AE27" s="2507"/>
      <c r="AF27" s="2507"/>
      <c r="AG27" s="2507"/>
      <c r="AH27" s="2507"/>
      <c r="AI27" s="2506">
        <f>Application!$AG$444</f>
        <v>1</v>
      </c>
      <c r="AJ27" s="2507"/>
      <c r="AK27" s="2507"/>
      <c r="AL27" s="2507"/>
      <c r="AM27" s="2507"/>
    </row>
    <row r="28" spans="1:40" ht="12.95" customHeight="1">
      <c r="A28" s="436"/>
      <c r="B28" s="2479" t="s">
        <v>515</v>
      </c>
      <c r="C28" s="2480"/>
      <c r="D28" s="2480"/>
      <c r="E28" s="2480"/>
      <c r="F28" s="2480"/>
      <c r="G28" s="2480"/>
      <c r="H28" s="2480"/>
      <c r="I28" s="2480"/>
      <c r="J28" s="2480"/>
      <c r="K28" s="2480"/>
      <c r="L28" s="2480"/>
      <c r="M28" s="2480"/>
      <c r="N28" s="2480"/>
      <c r="O28" s="2480"/>
      <c r="P28" s="2480"/>
      <c r="Q28" s="2480"/>
      <c r="R28" s="2480"/>
      <c r="S28" s="2481"/>
      <c r="T28" s="2495">
        <f>IF(ISERROR((T26*T27)),0,(T26*T27))</f>
        <v>26889569.199999999</v>
      </c>
      <c r="U28" s="2473"/>
      <c r="V28" s="2473"/>
      <c r="W28" s="2473"/>
      <c r="X28" s="2473"/>
      <c r="Y28" s="2495">
        <f>IF(ISERROR((Y26*Y27)),0,(Y26*Y27))</f>
        <v>0</v>
      </c>
      <c r="Z28" s="2473"/>
      <c r="AA28" s="2473"/>
      <c r="AB28" s="2473"/>
      <c r="AC28" s="2473"/>
      <c r="AD28" s="2495">
        <f>IF(ISERROR((AD26*AD27)),0,(AD26*AD27))</f>
        <v>0</v>
      </c>
      <c r="AE28" s="2473"/>
      <c r="AF28" s="2473"/>
      <c r="AG28" s="2473"/>
      <c r="AH28" s="2473"/>
      <c r="AI28" s="2495">
        <f>IF(ISERROR((AI26*AI27)),0,(AI26*AI27))</f>
        <v>0</v>
      </c>
      <c r="AJ28" s="2473"/>
      <c r="AK28" s="2473"/>
      <c r="AL28" s="2473"/>
      <c r="AM28" s="2473"/>
    </row>
    <row r="29" spans="1:40" ht="12.95" customHeight="1">
      <c r="B29" s="2479" t="s">
        <v>532</v>
      </c>
      <c r="C29" s="2480"/>
      <c r="D29" s="2480"/>
      <c r="E29" s="2480"/>
      <c r="F29" s="2480"/>
      <c r="G29" s="2480"/>
      <c r="H29" s="2480"/>
      <c r="I29" s="2480"/>
      <c r="J29" s="2480"/>
      <c r="K29" s="2480"/>
      <c r="L29" s="2480"/>
      <c r="M29" s="2480"/>
      <c r="N29" s="2480"/>
      <c r="O29" s="2480"/>
      <c r="P29" s="2480"/>
      <c r="Q29" s="2480"/>
      <c r="R29" s="2480"/>
      <c r="S29" s="2481"/>
      <c r="T29" s="2483">
        <f>T28+Y28+AD28+AI28</f>
        <v>26889569.199999999</v>
      </c>
      <c r="U29" s="2494"/>
      <c r="V29" s="2494"/>
      <c r="W29" s="2494"/>
      <c r="X29" s="2494"/>
      <c r="Y29" s="2494"/>
      <c r="Z29" s="2494"/>
      <c r="AA29" s="2494"/>
      <c r="AB29" s="2494"/>
      <c r="AC29" s="2494"/>
      <c r="AD29" s="2494"/>
      <c r="AE29" s="2494"/>
      <c r="AF29" s="2494"/>
      <c r="AG29" s="2494"/>
      <c r="AH29" s="2494"/>
      <c r="AI29" s="2494"/>
      <c r="AJ29" s="2494"/>
      <c r="AK29" s="2494"/>
      <c r="AL29" s="2494"/>
      <c r="AM29" s="2495"/>
    </row>
    <row r="30" spans="1:40" ht="12.95" customHeight="1">
      <c r="B30" s="2499" t="s">
        <v>1424</v>
      </c>
      <c r="C30" s="2499"/>
      <c r="D30" s="2499"/>
      <c r="E30" s="2499"/>
      <c r="F30" s="2499"/>
      <c r="G30" s="2499"/>
      <c r="H30" s="2499"/>
      <c r="I30" s="2499"/>
      <c r="J30" s="2499"/>
      <c r="K30" s="2499"/>
      <c r="L30" s="2499"/>
      <c r="M30" s="2499"/>
      <c r="N30" s="2499"/>
      <c r="O30" s="2499"/>
      <c r="P30" s="2499"/>
      <c r="Q30" s="2499"/>
      <c r="R30" s="2499"/>
      <c r="S30" s="2499"/>
      <c r="T30" s="2499"/>
      <c r="U30" s="2499"/>
      <c r="V30" s="2499"/>
      <c r="W30" s="2499"/>
      <c r="X30" s="2499"/>
      <c r="Y30" s="2499"/>
      <c r="Z30" s="2499"/>
      <c r="AA30" s="2499"/>
      <c r="AB30" s="2499"/>
      <c r="AC30" s="2499"/>
      <c r="AD30" s="2499"/>
      <c r="AE30" s="2499"/>
      <c r="AF30" s="2499"/>
      <c r="AG30" s="2499"/>
      <c r="AH30" s="2499"/>
      <c r="AI30" s="2499"/>
      <c r="AJ30" s="2499"/>
      <c r="AK30" s="2499"/>
      <c r="AL30" s="2499"/>
      <c r="AM30" s="2499"/>
    </row>
    <row r="31" spans="1:40" ht="12.95" customHeight="1">
      <c r="B31" s="2499" t="s">
        <v>1423</v>
      </c>
      <c r="C31" s="2499"/>
      <c r="D31" s="2499"/>
      <c r="E31" s="2499"/>
      <c r="F31" s="2499"/>
      <c r="G31" s="2499"/>
      <c r="H31" s="2499"/>
      <c r="I31" s="2499"/>
      <c r="J31" s="2499"/>
      <c r="K31" s="2499"/>
      <c r="L31" s="2499"/>
      <c r="M31" s="2499"/>
      <c r="N31" s="2499"/>
      <c r="O31" s="2499"/>
      <c r="P31" s="2499"/>
      <c r="Q31" s="2499"/>
      <c r="R31" s="2499"/>
      <c r="S31" s="2499"/>
      <c r="T31" s="2499"/>
      <c r="U31" s="2499"/>
      <c r="V31" s="2499"/>
      <c r="W31" s="2499"/>
      <c r="X31" s="2499"/>
      <c r="Y31" s="2499"/>
      <c r="Z31" s="2499"/>
      <c r="AA31" s="2499"/>
      <c r="AB31" s="2499"/>
      <c r="AC31" s="2499"/>
      <c r="AD31" s="2499"/>
      <c r="AE31" s="2499"/>
      <c r="AF31" s="2499"/>
      <c r="AG31" s="2499"/>
      <c r="AH31" s="2499"/>
      <c r="AI31" s="2499"/>
      <c r="AJ31" s="2499"/>
      <c r="AK31" s="2499"/>
      <c r="AL31" s="2499"/>
      <c r="AM31" s="2499"/>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496" t="s">
        <v>1293</v>
      </c>
      <c r="Z35" s="2496"/>
      <c r="AA35" s="2496"/>
      <c r="AB35" s="2496"/>
      <c r="AC35" s="2496"/>
      <c r="AD35" s="2497" t="s">
        <v>371</v>
      </c>
      <c r="AE35" s="2497"/>
      <c r="AF35" s="2497"/>
      <c r="AG35" s="2497"/>
      <c r="AH35" s="2497"/>
    </row>
    <row r="36" spans="1:76" ht="12.95" customHeight="1">
      <c r="B36" s="439"/>
      <c r="X36" s="444"/>
      <c r="Y36" s="2496"/>
      <c r="Z36" s="2496"/>
      <c r="AA36" s="2496"/>
      <c r="AB36" s="2496"/>
      <c r="AC36" s="2496"/>
      <c r="AD36" s="2497"/>
      <c r="AE36" s="2497"/>
      <c r="AF36" s="2497"/>
      <c r="AG36" s="2497"/>
      <c r="AH36" s="2497"/>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496"/>
      <c r="Z37" s="2496"/>
      <c r="AA37" s="2496"/>
      <c r="AB37" s="2496"/>
      <c r="AC37" s="2496"/>
      <c r="AD37" s="2497"/>
      <c r="AE37" s="2497"/>
      <c r="AF37" s="2497"/>
      <c r="AG37" s="2497"/>
      <c r="AH37" s="2497"/>
    </row>
    <row r="38" spans="1:76" ht="12.95" customHeight="1">
      <c r="A38" s="436"/>
      <c r="B38" s="2479" t="s">
        <v>515</v>
      </c>
      <c r="C38" s="2480"/>
      <c r="D38" s="2480"/>
      <c r="E38" s="2480"/>
      <c r="F38" s="2480"/>
      <c r="G38" s="2480"/>
      <c r="H38" s="2480"/>
      <c r="I38" s="2480"/>
      <c r="J38" s="2480"/>
      <c r="K38" s="2480"/>
      <c r="L38" s="2480"/>
      <c r="M38" s="2480"/>
      <c r="N38" s="2480"/>
      <c r="O38" s="2480"/>
      <c r="P38" s="2480"/>
      <c r="Q38" s="2480"/>
      <c r="R38" s="2480"/>
      <c r="S38" s="2480"/>
      <c r="T38" s="2480"/>
      <c r="U38" s="2480"/>
      <c r="V38" s="2480"/>
      <c r="W38" s="2480"/>
      <c r="X38" s="2481"/>
      <c r="Y38" s="2473">
        <f>IF(T24&gt;=(T23+Y23+AD23+AI23),T28+Y28,0)</f>
        <v>26889569.199999999</v>
      </c>
      <c r="Z38" s="2473"/>
      <c r="AA38" s="2473"/>
      <c r="AB38" s="2473"/>
      <c r="AC38" s="2473"/>
      <c r="AD38" s="2473">
        <f>IF(T24&gt;=(T23+Y23+AD23+AI23),AD28+AI28,0)</f>
        <v>0</v>
      </c>
      <c r="AE38" s="2473"/>
      <c r="AF38" s="2473"/>
      <c r="AG38" s="2473"/>
      <c r="AH38" s="2473"/>
    </row>
    <row r="39" spans="1:76" ht="12.95" customHeight="1">
      <c r="B39" s="2479" t="s">
        <v>1951</v>
      </c>
      <c r="C39" s="2480"/>
      <c r="D39" s="2480"/>
      <c r="E39" s="2480"/>
      <c r="F39" s="2480"/>
      <c r="G39" s="2480"/>
      <c r="H39" s="2480"/>
      <c r="I39" s="2480"/>
      <c r="J39" s="2480"/>
      <c r="K39" s="2480"/>
      <c r="L39" s="2480"/>
      <c r="M39" s="2480"/>
      <c r="N39" s="2480"/>
      <c r="O39" s="2480"/>
      <c r="P39" s="2480"/>
      <c r="Q39" s="2480"/>
      <c r="R39" s="2480"/>
      <c r="S39" s="2480"/>
      <c r="T39" s="2480"/>
      <c r="U39" s="2480"/>
      <c r="V39" s="2480"/>
      <c r="W39" s="2480"/>
      <c r="X39" s="2481"/>
      <c r="Y39" s="2498">
        <v>0.04</v>
      </c>
      <c r="Z39" s="2498"/>
      <c r="AA39" s="2498"/>
      <c r="AB39" s="2498"/>
      <c r="AC39" s="2498"/>
      <c r="AD39" s="2498">
        <v>0.04</v>
      </c>
      <c r="AE39" s="2498"/>
      <c r="AF39" s="2498"/>
      <c r="AG39" s="2498"/>
      <c r="AH39" s="2498"/>
    </row>
    <row r="40" spans="1:76" ht="12.95" customHeight="1">
      <c r="A40" s="436"/>
      <c r="B40" s="2479" t="s">
        <v>651</v>
      </c>
      <c r="C40" s="2480"/>
      <c r="D40" s="2480"/>
      <c r="E40" s="2480"/>
      <c r="F40" s="2480"/>
      <c r="G40" s="2480"/>
      <c r="H40" s="2480"/>
      <c r="I40" s="2480"/>
      <c r="J40" s="2480"/>
      <c r="K40" s="2480"/>
      <c r="L40" s="2480"/>
      <c r="M40" s="2480"/>
      <c r="N40" s="2480"/>
      <c r="O40" s="2480"/>
      <c r="P40" s="2480"/>
      <c r="Q40" s="2480"/>
      <c r="R40" s="2480"/>
      <c r="S40" s="2480"/>
      <c r="T40" s="2480"/>
      <c r="U40" s="2480"/>
      <c r="V40" s="2480"/>
      <c r="W40" s="2480"/>
      <c r="X40" s="2481"/>
      <c r="Y40" s="2473">
        <f>ROUND(Y38*Y39,0)</f>
        <v>1075583</v>
      </c>
      <c r="Z40" s="2473"/>
      <c r="AA40" s="2473"/>
      <c r="AB40" s="2473"/>
      <c r="AC40" s="2473"/>
      <c r="AD40" s="2495">
        <f>ROUND(AD38*AD39,0)</f>
        <v>0</v>
      </c>
      <c r="AE40" s="2473"/>
      <c r="AF40" s="2473"/>
      <c r="AG40" s="2473"/>
      <c r="AH40" s="2473"/>
    </row>
    <row r="41" spans="1:76" ht="12.95" customHeight="1">
      <c r="B41" s="2479" t="s">
        <v>652</v>
      </c>
      <c r="C41" s="2480"/>
      <c r="D41" s="2480"/>
      <c r="E41" s="2480"/>
      <c r="F41" s="2480"/>
      <c r="G41" s="2480"/>
      <c r="H41" s="2480"/>
      <c r="I41" s="2480"/>
      <c r="J41" s="2480"/>
      <c r="K41" s="2480"/>
      <c r="L41" s="2480"/>
      <c r="M41" s="2480"/>
      <c r="N41" s="2480"/>
      <c r="O41" s="2480"/>
      <c r="P41" s="2480"/>
      <c r="Q41" s="2480"/>
      <c r="R41" s="2480"/>
      <c r="S41" s="2480"/>
      <c r="T41" s="2480"/>
      <c r="U41" s="2480"/>
      <c r="V41" s="2480"/>
      <c r="W41" s="2480"/>
      <c r="X41" s="2481"/>
      <c r="Y41" s="2483">
        <f>Y40+AD40</f>
        <v>1075583</v>
      </c>
      <c r="Z41" s="2494"/>
      <c r="AA41" s="2494"/>
      <c r="AB41" s="2494"/>
      <c r="AC41" s="2494"/>
      <c r="AD41" s="2494"/>
      <c r="AE41" s="2494"/>
      <c r="AF41" s="2494"/>
      <c r="AG41" s="2494"/>
      <c r="AH41" s="2495"/>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93" t="s">
        <v>1434</v>
      </c>
      <c r="B44" s="2493"/>
      <c r="C44" s="2493"/>
      <c r="D44" s="2493"/>
      <c r="E44" s="2493"/>
      <c r="F44" s="2493"/>
      <c r="G44" s="2493"/>
      <c r="H44" s="2493"/>
      <c r="I44" s="2493"/>
      <c r="J44" s="2493"/>
      <c r="K44" s="2493"/>
      <c r="L44" s="2493"/>
      <c r="M44" s="2493"/>
      <c r="N44" s="2493"/>
      <c r="O44" s="2493"/>
      <c r="P44" s="2493"/>
      <c r="Q44" s="2493"/>
      <c r="R44" s="2493"/>
      <c r="S44" s="2493"/>
      <c r="T44" s="2493"/>
      <c r="U44" s="2493"/>
      <c r="V44" s="2493"/>
      <c r="W44" s="2493"/>
      <c r="X44" s="2493"/>
      <c r="Y44" s="2493"/>
      <c r="Z44" s="2493"/>
      <c r="AA44" s="2493"/>
      <c r="AB44" s="2493"/>
      <c r="AC44" s="2493"/>
      <c r="AD44" s="2493"/>
      <c r="AE44" s="2493"/>
      <c r="AF44" s="2493"/>
      <c r="AG44" s="2493"/>
      <c r="AH44" s="2493"/>
      <c r="AI44" s="2493"/>
      <c r="AJ44" s="2493"/>
      <c r="AK44" s="2493"/>
      <c r="AL44" s="2493"/>
      <c r="AM44" s="2493"/>
      <c r="AN44" s="2493"/>
      <c r="AO44" s="2493"/>
      <c r="AP44" s="2493"/>
      <c r="AQ44" s="2493"/>
      <c r="AR44" s="2493"/>
      <c r="AS44" s="2493"/>
      <c r="AT44" s="2493"/>
      <c r="AU44" s="2493"/>
      <c r="AV44" s="2493"/>
      <c r="AW44" s="2493"/>
      <c r="AX44" s="2493"/>
      <c r="AY44" s="2493"/>
      <c r="AZ44" s="2493"/>
      <c r="BA44" s="2493"/>
      <c r="BB44" s="2493"/>
      <c r="BC44" s="2493"/>
      <c r="BD44" s="2493"/>
      <c r="BE44" s="2493"/>
      <c r="BF44" s="2493"/>
      <c r="BG44" s="2493"/>
      <c r="BH44" s="2493"/>
      <c r="BI44" s="2493"/>
      <c r="BJ44" s="2493"/>
      <c r="BK44" s="2493"/>
      <c r="BL44" s="2493"/>
      <c r="BM44" s="2493"/>
      <c r="BN44" s="2493"/>
      <c r="BO44" s="2493"/>
      <c r="BP44" s="2493"/>
      <c r="BQ44" s="2493"/>
      <c r="BR44" s="2493"/>
      <c r="BS44" s="2493"/>
      <c r="BT44" s="2493"/>
      <c r="BU44" s="2493"/>
      <c r="BV44" s="2493"/>
      <c r="BW44" s="2493"/>
      <c r="BX44" s="2493"/>
    </row>
    <row r="45" spans="1:76" s="218" customFormat="1" ht="12.95" customHeight="1" thickTop="1"/>
    <row r="46" spans="1:76" ht="12.95" customHeight="1">
      <c r="A46" s="436" t="s">
        <v>595</v>
      </c>
      <c r="C46" s="436" t="s">
        <v>284</v>
      </c>
    </row>
    <row r="47" spans="1:76" ht="12.95" customHeight="1">
      <c r="D47" s="436" t="s">
        <v>285</v>
      </c>
      <c r="AB47" s="2487">
        <f>'Sources and Uses Budget'!B105-MAX(IF('Sources and Uses Budget'!B15="",0,'Sources and Uses Budget'!B15),IF(Application!AG393="",0,Application!AG393))</f>
        <v>33128970</v>
      </c>
      <c r="AC47" s="2488"/>
      <c r="AD47" s="2488"/>
      <c r="AE47" s="2488"/>
      <c r="AF47" s="2489"/>
    </row>
    <row r="48" spans="1:76" ht="12.95" customHeight="1">
      <c r="D48" s="436" t="s">
        <v>21</v>
      </c>
      <c r="AB48" s="2487">
        <f>Application!AO635-MAX(IF('Sources and Uses Budget'!B15="",0,'Sources and Uses Budget'!B15),IF(Application!AG393="",0,Application!AG393))</f>
        <v>24202532</v>
      </c>
      <c r="AC48" s="2488"/>
      <c r="AD48" s="2488"/>
      <c r="AE48" s="2488"/>
      <c r="AF48" s="2489"/>
    </row>
    <row r="49" spans="1:76" ht="12.95" customHeight="1">
      <c r="D49" s="436" t="s">
        <v>92</v>
      </c>
      <c r="AB49" s="2487">
        <f>AB47-AB48</f>
        <v>8926438</v>
      </c>
      <c r="AC49" s="2488"/>
      <c r="AD49" s="2488"/>
      <c r="AE49" s="2488"/>
      <c r="AF49" s="2489"/>
    </row>
    <row r="50" spans="1:76" ht="12.95" customHeight="1">
      <c r="D50" s="436" t="s">
        <v>690</v>
      </c>
      <c r="AA50" s="447"/>
      <c r="AB50" s="2475">
        <f>8926438/(Y41*10)</f>
        <v>0.82991624077360837</v>
      </c>
      <c r="AC50" s="2476"/>
      <c r="AD50" s="2476"/>
      <c r="AE50" s="2476"/>
      <c r="AF50" s="2477"/>
    </row>
    <row r="51" spans="1:76" s="449" customFormat="1" ht="12.95" customHeight="1">
      <c r="A51" s="434"/>
      <c r="B51" s="434"/>
      <c r="C51" s="434"/>
      <c r="D51" s="434"/>
      <c r="E51" s="2486" t="s">
        <v>2112</v>
      </c>
      <c r="F51" s="2486"/>
      <c r="G51" s="2486"/>
      <c r="H51" s="2486"/>
      <c r="I51" s="2486"/>
      <c r="J51" s="2486"/>
      <c r="K51" s="2486"/>
      <c r="L51" s="2486"/>
      <c r="M51" s="2486"/>
      <c r="N51" s="2486"/>
      <c r="O51" s="2486"/>
      <c r="P51" s="2486"/>
      <c r="Q51" s="2486"/>
      <c r="R51" s="2486"/>
      <c r="S51" s="2486"/>
      <c r="T51" s="2486"/>
      <c r="U51" s="2486"/>
      <c r="V51" s="2486"/>
      <c r="W51" s="2486"/>
      <c r="X51" s="2486"/>
      <c r="Y51" s="2486"/>
      <c r="Z51" s="2486"/>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486"/>
      <c r="F52" s="2486"/>
      <c r="G52" s="2486"/>
      <c r="H52" s="2486"/>
      <c r="I52" s="2486"/>
      <c r="J52" s="2486"/>
      <c r="K52" s="2486"/>
      <c r="L52" s="2486"/>
      <c r="M52" s="2486"/>
      <c r="N52" s="2486"/>
      <c r="O52" s="2486"/>
      <c r="P52" s="2486"/>
      <c r="Q52" s="2486"/>
      <c r="R52" s="2486"/>
      <c r="S52" s="2486"/>
      <c r="T52" s="2486"/>
      <c r="U52" s="2486"/>
      <c r="V52" s="2486"/>
      <c r="W52" s="2486"/>
      <c r="X52" s="2486"/>
      <c r="Y52" s="2486"/>
      <c r="Z52" s="2486"/>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87">
        <f>ROUND(IF(ISERROR((AB49/AB50)),0,(AB49/AB50)),0)</f>
        <v>10755830</v>
      </c>
      <c r="AC54" s="2488"/>
      <c r="AD54" s="2488"/>
      <c r="AE54" s="2488"/>
      <c r="AF54" s="2489"/>
    </row>
    <row r="55" spans="1:76" ht="12.95" customHeight="1">
      <c r="D55" s="436" t="s">
        <v>335</v>
      </c>
      <c r="AB55" s="2487">
        <f>(AB54/10)</f>
        <v>1075583</v>
      </c>
      <c r="AC55" s="2488"/>
      <c r="AD55" s="2488"/>
      <c r="AE55" s="2488"/>
      <c r="AF55" s="2489"/>
    </row>
    <row r="56" spans="1:76" ht="12.95" customHeight="1">
      <c r="D56" s="436" t="s">
        <v>768</v>
      </c>
      <c r="AB56" s="2490">
        <f>(IF((Y41&lt;AB55),Y41,AB55))</f>
        <v>1075583</v>
      </c>
      <c r="AC56" s="2491"/>
      <c r="AD56" s="2491"/>
      <c r="AE56" s="2491"/>
      <c r="AF56" s="2492"/>
    </row>
    <row r="57" spans="1:76" ht="12.95" customHeight="1">
      <c r="D57" s="436" t="s">
        <v>767</v>
      </c>
      <c r="AB57" s="2487">
        <f>ROUND((10*AB56*AB50),0)</f>
        <v>8926438</v>
      </c>
      <c r="AC57" s="2488"/>
      <c r="AD57" s="2488"/>
      <c r="AE57" s="2488"/>
      <c r="AF57" s="2489"/>
    </row>
    <row r="58" spans="1:76" ht="12.95" customHeight="1">
      <c r="D58" s="436"/>
      <c r="AB58" s="455"/>
      <c r="AC58" s="455"/>
      <c r="AD58" s="455"/>
      <c r="AE58" s="455"/>
      <c r="AF58" s="455"/>
    </row>
    <row r="59" spans="1:76" ht="12.95" customHeight="1">
      <c r="D59" s="436" t="s">
        <v>766</v>
      </c>
      <c r="AB59" s="2471">
        <f>AB49-AB57</f>
        <v>0</v>
      </c>
      <c r="AC59" s="2471"/>
      <c r="AD59" s="2471"/>
      <c r="AE59" s="2471"/>
      <c r="AF59" s="2471"/>
    </row>
    <row r="60" spans="1:76" ht="12.95" customHeight="1">
      <c r="D60" s="436"/>
      <c r="AB60" s="455"/>
      <c r="AC60" s="455"/>
      <c r="AD60" s="455"/>
      <c r="AE60" s="455"/>
      <c r="AF60" s="455"/>
    </row>
    <row r="61" spans="1:76" s="218" customFormat="1" ht="12.95" customHeight="1" thickBot="1">
      <c r="A61" s="2493" t="str">
        <f>IF(Application!AP204="yes","Farmworker State Credit", "State Credit" )</f>
        <v>State Credit</v>
      </c>
      <c r="B61" s="2493"/>
      <c r="C61" s="2493"/>
      <c r="D61" s="2493"/>
      <c r="E61" s="2493"/>
      <c r="F61" s="2493"/>
      <c r="G61" s="2493"/>
      <c r="H61" s="2493"/>
      <c r="I61" s="2493"/>
      <c r="J61" s="2493"/>
      <c r="K61" s="2493"/>
      <c r="L61" s="2493"/>
      <c r="M61" s="2493"/>
      <c r="N61" s="2493"/>
      <c r="O61" s="2493"/>
      <c r="P61" s="2493"/>
      <c r="Q61" s="2493"/>
      <c r="R61" s="2493"/>
      <c r="S61" s="2493"/>
      <c r="T61" s="2493"/>
      <c r="U61" s="2493"/>
      <c r="V61" s="2493"/>
      <c r="W61" s="2493"/>
      <c r="X61" s="2493"/>
      <c r="Y61" s="2493"/>
      <c r="Z61" s="2493"/>
      <c r="AA61" s="2493"/>
      <c r="AB61" s="2493"/>
      <c r="AC61" s="2493"/>
      <c r="AD61" s="2493"/>
      <c r="AE61" s="2493"/>
      <c r="AF61" s="2493"/>
      <c r="AG61" s="2493"/>
      <c r="AH61" s="2493"/>
      <c r="AI61" s="2493"/>
      <c r="AJ61" s="2493"/>
      <c r="AK61" s="2493"/>
      <c r="AL61" s="2493"/>
      <c r="AM61" s="2493"/>
      <c r="AN61" s="2493"/>
      <c r="AO61" s="2493"/>
      <c r="AP61" s="2493"/>
      <c r="AQ61" s="2493"/>
      <c r="AR61" s="2493"/>
      <c r="AS61" s="2493"/>
      <c r="AT61" s="2493"/>
      <c r="AU61" s="2493"/>
      <c r="AV61" s="2493"/>
      <c r="AW61" s="2493"/>
      <c r="AX61" s="2493"/>
      <c r="AY61" s="2493"/>
      <c r="AZ61" s="2493"/>
      <c r="BA61" s="2493"/>
      <c r="BB61" s="2493"/>
      <c r="BC61" s="2493"/>
      <c r="BD61" s="2493"/>
      <c r="BE61" s="2493"/>
      <c r="BF61" s="2493"/>
      <c r="BG61" s="2493"/>
      <c r="BH61" s="2493"/>
      <c r="BI61" s="2493"/>
      <c r="BJ61" s="2493"/>
      <c r="BK61" s="2493"/>
      <c r="BL61" s="2493"/>
      <c r="BM61" s="2493"/>
      <c r="BN61" s="2493"/>
      <c r="BO61" s="2493"/>
      <c r="BP61" s="2493"/>
      <c r="BQ61" s="2493"/>
      <c r="BR61" s="2493"/>
      <c r="BS61" s="2493"/>
      <c r="BT61" s="2493"/>
      <c r="BU61" s="2493"/>
      <c r="BV61" s="2493"/>
      <c r="BW61" s="2493"/>
      <c r="BX61" s="2493"/>
    </row>
    <row r="62" spans="1:76" s="218" customFormat="1" ht="12.95" customHeight="1" thickTop="1"/>
    <row r="63" spans="1:76" ht="12.95" customHeight="1">
      <c r="A63" s="436" t="s">
        <v>598</v>
      </c>
      <c r="C63" s="219" t="s">
        <v>1405</v>
      </c>
      <c r="Y63" s="2482" t="s">
        <v>1024</v>
      </c>
      <c r="Z63" s="2482"/>
      <c r="AA63" s="2482"/>
      <c r="AB63" s="2482"/>
      <c r="AC63" s="2482"/>
      <c r="AD63" s="2482" t="s">
        <v>371</v>
      </c>
      <c r="AE63" s="2482"/>
      <c r="AF63" s="2482"/>
      <c r="AG63" s="2482"/>
      <c r="AH63" s="2482"/>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3">
        <f>IF(Application!Z204="(select)",0,((T23*T27)+Y28))</f>
        <v>20684284</v>
      </c>
      <c r="Z64" s="2484"/>
      <c r="AA64" s="2484"/>
      <c r="AB64" s="2484"/>
      <c r="AC64" s="2485"/>
      <c r="AD64" s="2483">
        <f>IF(AND(OR(Application!D210="At-Risk",Application!D210="At-Risk and Special Needs"),Application!M357="yes"),AD28+AI28,0)</f>
        <v>0</v>
      </c>
      <c r="AE64" s="2484"/>
      <c r="AF64" s="2484"/>
      <c r="AG64" s="2484"/>
      <c r="AH64" s="2485"/>
    </row>
    <row r="65" spans="1:36" ht="12.95"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2">
        <f>IF(Application!AP204="yes",0.75,IF(Application!Z203="15% set-aside",0.13,IF(Application!Z203="15% set-aside with qualifying low value rehab",0.95,0.3)))</f>
        <v>0.3</v>
      </c>
      <c r="Z67" s="2472"/>
      <c r="AA67" s="2472"/>
      <c r="AB67" s="2472"/>
      <c r="AC67" s="2472"/>
      <c r="AD67" s="2472">
        <f>IF(Application!Z203="15% set-aside with qualifying low value rehab", 0.95,0.13)</f>
        <v>0.13</v>
      </c>
      <c r="AE67" s="2472"/>
      <c r="AF67" s="2472"/>
      <c r="AG67" s="2472"/>
      <c r="AH67" s="2472"/>
    </row>
    <row r="68" spans="1:36" ht="12.95" customHeight="1">
      <c r="C68" s="436"/>
      <c r="D68" s="219" t="s">
        <v>1407</v>
      </c>
      <c r="Y68" s="2473">
        <f>ROUND(Y64*Y67,0)</f>
        <v>6205285</v>
      </c>
      <c r="Z68" s="2474"/>
      <c r="AA68" s="2474"/>
      <c r="AB68" s="2474"/>
      <c r="AC68" s="2474"/>
      <c r="AD68" s="2473">
        <f>ROUND(AD64*AD67,0)</f>
        <v>0</v>
      </c>
      <c r="AE68" s="2474"/>
      <c r="AF68" s="2474"/>
      <c r="AG68" s="2474"/>
      <c r="AH68" s="2474"/>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475"/>
      <c r="AC71" s="2476"/>
      <c r="AD71" s="2476"/>
      <c r="AE71" s="2476"/>
      <c r="AF71" s="2477"/>
    </row>
    <row r="72" spans="1:36" ht="12.95" customHeight="1">
      <c r="A72" s="436"/>
      <c r="C72" s="436"/>
      <c r="D72" s="436"/>
      <c r="E72" s="2478" t="s">
        <v>1409</v>
      </c>
      <c r="F72" s="2478"/>
      <c r="G72" s="2478"/>
      <c r="H72" s="2478"/>
      <c r="I72" s="2478"/>
      <c r="J72" s="2478"/>
      <c r="K72" s="2478"/>
      <c r="L72" s="2478"/>
      <c r="M72" s="2478"/>
      <c r="N72" s="2478"/>
      <c r="O72" s="2478"/>
      <c r="P72" s="2478"/>
      <c r="Q72" s="2478"/>
      <c r="R72" s="2478"/>
      <c r="S72" s="2478"/>
      <c r="T72" s="2478"/>
      <c r="U72" s="2478"/>
      <c r="V72" s="2478"/>
      <c r="W72" s="2478"/>
      <c r="X72" s="2478"/>
      <c r="Y72" s="2478"/>
      <c r="Z72" s="2478"/>
      <c r="AA72" s="2478"/>
      <c r="AB72" s="472"/>
      <c r="AC72" s="472"/>
    </row>
    <row r="73" spans="1:36" ht="12.95" customHeight="1">
      <c r="A73" s="436"/>
      <c r="C73" s="436"/>
      <c r="D73" s="436"/>
      <c r="E73" s="2478"/>
      <c r="F73" s="2478"/>
      <c r="G73" s="2478"/>
      <c r="H73" s="2478"/>
      <c r="I73" s="2478"/>
      <c r="J73" s="2478"/>
      <c r="K73" s="2478"/>
      <c r="L73" s="2478"/>
      <c r="M73" s="2478"/>
      <c r="N73" s="2478"/>
      <c r="O73" s="2478"/>
      <c r="P73" s="2478"/>
      <c r="Q73" s="2478"/>
      <c r="R73" s="2478"/>
      <c r="S73" s="2478"/>
      <c r="T73" s="2478"/>
      <c r="U73" s="2478"/>
      <c r="V73" s="2478"/>
      <c r="W73" s="2478"/>
      <c r="X73" s="2478"/>
      <c r="Y73" s="2478"/>
      <c r="Z73" s="2478"/>
      <c r="AA73" s="2478"/>
      <c r="AB73" s="472"/>
      <c r="AC73" s="472"/>
    </row>
    <row r="74" spans="1:36" ht="12.95" customHeight="1">
      <c r="A74" s="436"/>
      <c r="C74" s="436"/>
      <c r="D74" s="436"/>
      <c r="E74" s="2478"/>
      <c r="F74" s="2478"/>
      <c r="G74" s="2478"/>
      <c r="H74" s="2478"/>
      <c r="I74" s="2478"/>
      <c r="J74" s="2478"/>
      <c r="K74" s="2478"/>
      <c r="L74" s="2478"/>
      <c r="M74" s="2478"/>
      <c r="N74" s="2478"/>
      <c r="O74" s="2478"/>
      <c r="P74" s="2478"/>
      <c r="Q74" s="2478"/>
      <c r="R74" s="2478"/>
      <c r="S74" s="2478"/>
      <c r="T74" s="2478"/>
      <c r="U74" s="2478"/>
      <c r="V74" s="2478"/>
      <c r="W74" s="2478"/>
      <c r="X74" s="2478"/>
      <c r="Y74" s="2478"/>
      <c r="Z74" s="2478"/>
      <c r="AA74" s="2478"/>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466">
        <f>ROUND(IF(ISERROR((AB59/AB71)),0,(AB59/AB71)),0)</f>
        <v>0</v>
      </c>
      <c r="AC76" s="2466"/>
      <c r="AD76" s="2466"/>
      <c r="AE76" s="2466"/>
      <c r="AF76" s="2466"/>
    </row>
    <row r="77" spans="1:36" ht="12.95" customHeight="1">
      <c r="C77" s="436"/>
      <c r="D77" s="219" t="s">
        <v>1411</v>
      </c>
      <c r="AB77" s="2467">
        <f>IF((Y68+AD68&lt;AB76),Y68+AD68,AB76)</f>
        <v>0</v>
      </c>
      <c r="AC77" s="2468"/>
      <c r="AD77" s="2468"/>
      <c r="AE77" s="2468"/>
      <c r="AF77" s="2469"/>
    </row>
    <row r="78" spans="1:36" ht="12.95" customHeight="1">
      <c r="C78" s="436"/>
      <c r="D78" s="219" t="s">
        <v>1412</v>
      </c>
      <c r="AB78" s="2470">
        <f>AB77*AB71</f>
        <v>0</v>
      </c>
      <c r="AC78" s="2470"/>
      <c r="AD78" s="2470"/>
      <c r="AE78" s="2470"/>
      <c r="AF78" s="2470"/>
    </row>
    <row r="79" spans="1:36" ht="12.95" customHeight="1">
      <c r="C79" s="436"/>
      <c r="D79" s="436"/>
      <c r="AB79" s="457"/>
      <c r="AC79" s="457"/>
      <c r="AD79" s="457"/>
      <c r="AE79" s="457"/>
      <c r="AF79" s="457"/>
    </row>
    <row r="80" spans="1:36" ht="12.95" customHeight="1">
      <c r="D80" s="436" t="s">
        <v>766</v>
      </c>
      <c r="AB80" s="2471">
        <f>AB49-(AB57+AB78)</f>
        <v>0</v>
      </c>
      <c r="AC80" s="2471"/>
      <c r="AD80" s="2471"/>
      <c r="AE80" s="2471"/>
      <c r="AF80" s="2471"/>
    </row>
    <row r="81" spans="1:78" ht="12.95" customHeight="1">
      <c r="F81" s="557"/>
      <c r="J81" s="557" t="str">
        <f>IF(AB80&gt;0,"FUNDING GAP MUST NOT EXCEED ZERO","")</f>
        <v/>
      </c>
    </row>
    <row r="82" spans="1:78" ht="12.95" customHeight="1">
      <c r="D82" s="558"/>
    </row>
    <row r="83" spans="1:78" ht="12.95" customHeight="1" thickBot="1">
      <c r="A83" s="2493"/>
      <c r="B83" s="2493"/>
      <c r="C83" s="2493"/>
      <c r="D83" s="2493"/>
      <c r="E83" s="2493"/>
      <c r="F83" s="2493"/>
      <c r="G83" s="2493"/>
      <c r="H83" s="2493"/>
      <c r="I83" s="2493"/>
      <c r="J83" s="2493"/>
      <c r="K83" s="2493"/>
      <c r="L83" s="2493"/>
      <c r="M83" s="2493"/>
      <c r="N83" s="2493"/>
      <c r="O83" s="2493"/>
      <c r="P83" s="2493"/>
      <c r="Q83" s="2493"/>
      <c r="R83" s="2493"/>
      <c r="S83" s="2493"/>
      <c r="T83" s="2493"/>
      <c r="U83" s="2493"/>
      <c r="V83" s="2493"/>
      <c r="W83" s="2493"/>
      <c r="X83" s="2493"/>
      <c r="Y83" s="2493"/>
      <c r="Z83" s="2493"/>
      <c r="AA83" s="2493"/>
      <c r="AB83" s="2493"/>
      <c r="AC83" s="2493"/>
      <c r="AD83" s="2493"/>
      <c r="AE83" s="2493"/>
      <c r="AF83" s="2493"/>
      <c r="AG83" s="2493"/>
      <c r="AH83" s="2493"/>
      <c r="AI83" s="2493"/>
      <c r="AJ83" s="2493"/>
      <c r="AK83" s="2493"/>
      <c r="AL83" s="2493"/>
      <c r="AM83" s="2493"/>
      <c r="AN83" s="2493"/>
      <c r="AO83" s="2493"/>
      <c r="AP83" s="2493"/>
      <c r="AQ83" s="2493"/>
      <c r="AR83" s="2493"/>
      <c r="AS83" s="2493"/>
      <c r="AT83" s="2493"/>
      <c r="AU83" s="2493"/>
      <c r="AV83" s="2493"/>
      <c r="AW83" s="2493"/>
      <c r="AX83" s="2493"/>
      <c r="AY83" s="2493"/>
      <c r="AZ83" s="2493"/>
      <c r="BA83" s="2493"/>
      <c r="BB83" s="2493"/>
      <c r="BC83" s="2493"/>
      <c r="BD83" s="2493"/>
      <c r="BE83" s="2493"/>
      <c r="BF83" s="2493"/>
      <c r="BG83" s="2493"/>
      <c r="BH83" s="2493"/>
      <c r="BI83" s="2493"/>
      <c r="BJ83" s="2493"/>
      <c r="BK83" s="2493"/>
      <c r="BL83" s="2493"/>
      <c r="BM83" s="2493"/>
      <c r="BN83" s="2493"/>
      <c r="BO83" s="2493"/>
      <c r="BP83" s="2493"/>
      <c r="BQ83" s="2493"/>
      <c r="BR83" s="2493"/>
      <c r="BS83" s="2493"/>
      <c r="BT83" s="2493"/>
      <c r="BU83" s="2493"/>
      <c r="BV83" s="2493"/>
      <c r="BW83" s="2493"/>
      <c r="BX83" s="2493"/>
    </row>
    <row r="84" spans="1:78" ht="12.95" customHeight="1" thickTop="1"/>
    <row r="85" spans="1:78" ht="12.95" customHeight="1">
      <c r="A85" s="436"/>
      <c r="C85" s="219"/>
    </row>
    <row r="86" spans="1:78" ht="12.95" customHeight="1">
      <c r="D86" s="219"/>
      <c r="AB86" s="2525"/>
      <c r="AC86" s="2525"/>
      <c r="AD86" s="2525"/>
      <c r="AE86" s="2525"/>
      <c r="AF86" s="2525"/>
    </row>
    <row r="87" spans="1:78" ht="12.95" customHeight="1" thickBot="1">
      <c r="D87" s="219"/>
      <c r="AB87" s="2524"/>
      <c r="AC87" s="2524"/>
      <c r="AD87" s="2524"/>
      <c r="AE87" s="2524"/>
      <c r="AF87" s="2524"/>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A4" sqref="A4"/>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2" t="s">
        <v>942</v>
      </c>
      <c r="B1" s="2532"/>
      <c r="C1" s="2532"/>
      <c r="D1" s="2532"/>
      <c r="E1" s="2532"/>
      <c r="F1" s="2532"/>
      <c r="G1" s="2532"/>
      <c r="H1" s="2532"/>
      <c r="I1" s="2532"/>
      <c r="J1" s="2532"/>
      <c r="K1" s="218"/>
      <c r="L1" s="218"/>
    </row>
    <row r="2" spans="1:12">
      <c r="A2" s="225"/>
      <c r="B2" s="225"/>
      <c r="C2" s="225"/>
      <c r="D2" s="225"/>
      <c r="E2" s="225"/>
      <c r="F2" s="225"/>
      <c r="G2" s="225"/>
      <c r="H2" s="225"/>
      <c r="I2" s="225"/>
      <c r="J2" s="225"/>
    </row>
    <row r="3" spans="1:12" ht="99.75">
      <c r="A3" s="458" t="s">
        <v>943</v>
      </c>
      <c r="B3" s="458" t="s">
        <v>944</v>
      </c>
      <c r="C3" s="458" t="s">
        <v>2339</v>
      </c>
      <c r="D3" s="1199" t="s">
        <v>945</v>
      </c>
      <c r="E3" s="218"/>
      <c r="F3" s="1199" t="s">
        <v>946</v>
      </c>
      <c r="G3" s="458" t="s">
        <v>947</v>
      </c>
      <c r="H3" s="459"/>
      <c r="I3" s="458" t="s">
        <v>948</v>
      </c>
      <c r="J3" s="458" t="s">
        <v>949</v>
      </c>
      <c r="K3" s="218"/>
      <c r="L3" s="328"/>
    </row>
    <row r="4" spans="1:12">
      <c r="A4" s="460" t="str">
        <f>Application!B714</f>
        <v>1 Bedroom</v>
      </c>
      <c r="B4" s="1130">
        <f>Application!G714</f>
        <v>2</v>
      </c>
      <c r="C4" s="1131"/>
      <c r="D4" s="460">
        <f>Application!O714</f>
        <v>1182</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11</v>
      </c>
      <c r="C5" s="1131" t="s">
        <v>387</v>
      </c>
      <c r="D5" s="460">
        <f>Application!O715</f>
        <v>1182</v>
      </c>
      <c r="E5" s="461"/>
      <c r="F5" s="1132">
        <f>2096</f>
        <v>2096</v>
      </c>
      <c r="G5" s="460">
        <f t="shared" ref="G5:G28" si="0">F5*B5</f>
        <v>23056</v>
      </c>
      <c r="H5" s="461"/>
      <c r="I5" s="460">
        <f t="shared" ref="I5:I28" si="1">IF(F5=0," ",(F5-D5))</f>
        <v>914</v>
      </c>
      <c r="J5" s="460">
        <f t="shared" ref="J5:J28" si="2">IF(F5=0," ",(I5*B5))</f>
        <v>10054</v>
      </c>
      <c r="K5" s="218"/>
      <c r="L5" s="328"/>
    </row>
    <row r="6" spans="1:12">
      <c r="A6" s="460" t="str">
        <f>Application!B716</f>
        <v>1 Bedroom</v>
      </c>
      <c r="B6" s="1130">
        <f>Application!G716</f>
        <v>11</v>
      </c>
      <c r="C6" s="1131" t="s">
        <v>387</v>
      </c>
      <c r="D6" s="460">
        <f>Application!O716</f>
        <v>709.2</v>
      </c>
      <c r="E6" s="461"/>
      <c r="F6" s="1132">
        <f>2096</f>
        <v>2096</v>
      </c>
      <c r="G6" s="460">
        <f t="shared" si="0"/>
        <v>23056</v>
      </c>
      <c r="H6" s="461"/>
      <c r="I6" s="460">
        <f t="shared" si="1"/>
        <v>1386.8</v>
      </c>
      <c r="J6" s="460">
        <f t="shared" si="2"/>
        <v>15254.8</v>
      </c>
      <c r="K6" s="218"/>
      <c r="L6" s="328"/>
    </row>
    <row r="7" spans="1:12">
      <c r="A7" s="460" t="str">
        <f>Application!B717</f>
        <v>1 Bedroom</v>
      </c>
      <c r="B7" s="1130">
        <f>Application!G717</f>
        <v>2</v>
      </c>
      <c r="C7" s="1131" t="s">
        <v>387</v>
      </c>
      <c r="D7" s="460">
        <f>Application!O717</f>
        <v>709.2</v>
      </c>
      <c r="E7" s="461"/>
      <c r="F7" s="1132">
        <f>2096</f>
        <v>2096</v>
      </c>
      <c r="G7" s="460">
        <f t="shared" si="0"/>
        <v>4192</v>
      </c>
      <c r="H7" s="461"/>
      <c r="I7" s="460">
        <f t="shared" si="1"/>
        <v>1386.8</v>
      </c>
      <c r="J7" s="460">
        <f t="shared" si="2"/>
        <v>2773.6</v>
      </c>
      <c r="K7" s="218"/>
      <c r="L7" s="328"/>
    </row>
    <row r="8" spans="1:12">
      <c r="A8" s="460" t="str">
        <f>Application!B718</f>
        <v>SRO/Studio</v>
      </c>
      <c r="B8" s="1130">
        <f>Application!G718</f>
        <v>1</v>
      </c>
      <c r="C8" s="1131"/>
      <c r="D8" s="460">
        <f>Application!O718</f>
        <v>661.8</v>
      </c>
      <c r="E8" s="461"/>
      <c r="F8" s="1132"/>
      <c r="G8" s="460">
        <f t="shared" si="0"/>
        <v>0</v>
      </c>
      <c r="H8" s="461"/>
      <c r="I8" s="460" t="str">
        <f t="shared" si="1"/>
        <v xml:space="preserve"> </v>
      </c>
      <c r="J8" s="460" t="str">
        <f t="shared" si="2"/>
        <v xml:space="preserve"> </v>
      </c>
      <c r="K8" s="218"/>
      <c r="L8" s="328"/>
    </row>
    <row r="9" spans="1:12">
      <c r="A9" s="460" t="str">
        <f>Application!B719</f>
        <v>SRO/Studio</v>
      </c>
      <c r="B9" s="1130">
        <f>Application!G719</f>
        <v>10</v>
      </c>
      <c r="C9" s="1131"/>
      <c r="D9" s="460">
        <f>Application!O719</f>
        <v>200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27247.4</v>
      </c>
      <c r="E30" s="461"/>
      <c r="F30" s="461"/>
      <c r="G30" s="464">
        <f>SUM(G4:G28)*12</f>
        <v>603648</v>
      </c>
      <c r="H30" s="465"/>
      <c r="I30" s="463"/>
      <c r="J30" s="464">
        <f>SUM(J4:J28)*12</f>
        <v>336988.8</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2521</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E22" sqref="E22"/>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2511</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326968.80000000005</v>
      </c>
      <c r="G4" s="235">
        <f>E4*$C$4</f>
        <v>335143.02</v>
      </c>
      <c r="I4" s="235">
        <f>G4*$C$4</f>
        <v>343521.5955</v>
      </c>
      <c r="K4" s="235">
        <f>I4*$C$4</f>
        <v>352109.63538749999</v>
      </c>
      <c r="M4" s="235">
        <f>K4*$C$4</f>
        <v>360912.37627218745</v>
      </c>
      <c r="O4" s="235">
        <f>M4*$C$4</f>
        <v>369935.18567899213</v>
      </c>
      <c r="Q4" s="235">
        <f>O4*$C$4</f>
        <v>379183.56532096688</v>
      </c>
      <c r="S4" s="235">
        <f>Q4*$C$4</f>
        <v>388663.15445399104</v>
      </c>
      <c r="U4" s="235">
        <f>S4*$C$4</f>
        <v>398379.73331534077</v>
      </c>
      <c r="W4" s="235">
        <f>U4*$C$4</f>
        <v>408339.22664822423</v>
      </c>
      <c r="Y4" s="235">
        <f>W4*$C$4</f>
        <v>418547.7073144298</v>
      </c>
      <c r="AA4" s="235">
        <f>Y4*$C$4</f>
        <v>429011.39999729051</v>
      </c>
      <c r="AC4" s="235">
        <f>AA4*$C$4</f>
        <v>439736.68499722274</v>
      </c>
      <c r="AE4" s="235">
        <f>AC4*$C$4</f>
        <v>450730.10212215327</v>
      </c>
      <c r="AG4" s="235">
        <f>AE4*$C$4</f>
        <v>461998.35467520705</v>
      </c>
    </row>
    <row r="5" spans="1:34" s="225" customFormat="1" ht="14.25">
      <c r="B5" s="225" t="s">
        <v>866</v>
      </c>
      <c r="C5" s="254">
        <v>0.1</v>
      </c>
      <c r="E5" s="237">
        <f>-E4*$C$5</f>
        <v>-32696.880000000005</v>
      </c>
      <c r="F5" s="237"/>
      <c r="G5" s="237">
        <f>-G4*$C$5</f>
        <v>-33514.302000000003</v>
      </c>
      <c r="H5" s="237"/>
      <c r="I5" s="237">
        <f>-I4*$C$5</f>
        <v>-34352.159550000004</v>
      </c>
      <c r="J5" s="237"/>
      <c r="K5" s="237">
        <f>-K4*$C$5</f>
        <v>-35210.963538750002</v>
      </c>
      <c r="L5" s="237"/>
      <c r="M5" s="237">
        <f>-M4*$C$5</f>
        <v>-36091.237627218747</v>
      </c>
      <c r="N5" s="237"/>
      <c r="O5" s="237">
        <f>-O4*$C$5</f>
        <v>-36993.518567899213</v>
      </c>
      <c r="P5" s="237"/>
      <c r="Q5" s="237">
        <f>-Q4*$C$5</f>
        <v>-37918.356532096688</v>
      </c>
      <c r="R5" s="237"/>
      <c r="S5" s="237">
        <f>-S4*$C$5</f>
        <v>-38866.315445399108</v>
      </c>
      <c r="T5" s="237"/>
      <c r="U5" s="237">
        <f>-U4*$C$5</f>
        <v>-39837.973331534078</v>
      </c>
      <c r="V5" s="237"/>
      <c r="W5" s="237">
        <f>-W4*$C$5</f>
        <v>-40833.922664822428</v>
      </c>
      <c r="X5" s="237"/>
      <c r="Y5" s="237">
        <f>-Y4*$C$5</f>
        <v>-41854.770731442986</v>
      </c>
      <c r="Z5" s="237"/>
      <c r="AA5" s="237">
        <f>-AA4*$C$5</f>
        <v>-42901.139999729057</v>
      </c>
      <c r="AB5" s="237"/>
      <c r="AC5" s="237">
        <f>-AC4*$C$5</f>
        <v>-43973.668499722276</v>
      </c>
      <c r="AD5" s="237"/>
      <c r="AE5" s="237">
        <f>-AE4*$C$5</f>
        <v>-45073.010212215333</v>
      </c>
      <c r="AF5" s="237"/>
      <c r="AG5" s="237">
        <f>-AG4*$C$5</f>
        <v>-46199.835467520708</v>
      </c>
    </row>
    <row r="6" spans="1:34" s="225" customFormat="1" ht="14.25">
      <c r="A6" s="225" t="s">
        <v>864</v>
      </c>
      <c r="C6" s="253">
        <v>1.0249999999999999</v>
      </c>
      <c r="E6" s="238">
        <f>Application!Z793</f>
        <v>336988.8</v>
      </c>
      <c r="F6" s="238"/>
      <c r="G6" s="238">
        <f>E6*$C$6</f>
        <v>345413.51999999996</v>
      </c>
      <c r="H6" s="238"/>
      <c r="I6" s="238">
        <f>G6*$C$6</f>
        <v>354048.85799999995</v>
      </c>
      <c r="J6" s="238"/>
      <c r="K6" s="238">
        <f>I6*$C$6</f>
        <v>362900.0794499999</v>
      </c>
      <c r="L6" s="238"/>
      <c r="M6" s="238">
        <f>K6*$C$6</f>
        <v>371972.58143624989</v>
      </c>
      <c r="N6" s="238"/>
      <c r="O6" s="238">
        <f>M6*$C$6</f>
        <v>381271.89597215608</v>
      </c>
      <c r="P6" s="238"/>
      <c r="Q6" s="238">
        <f>O6*$C$6</f>
        <v>390803.69337145996</v>
      </c>
      <c r="R6" s="238"/>
      <c r="S6" s="238">
        <f>Q6*$C$6</f>
        <v>400573.78570574644</v>
      </c>
      <c r="T6" s="238"/>
      <c r="U6" s="238">
        <f>S6*$C$6</f>
        <v>410588.13034839008</v>
      </c>
      <c r="V6" s="238"/>
      <c r="W6" s="238">
        <f>U6*$C$6</f>
        <v>420852.83360709978</v>
      </c>
      <c r="X6" s="238"/>
      <c r="Y6" s="238">
        <f>W6*$C$6</f>
        <v>431374.15444727725</v>
      </c>
      <c r="Z6" s="238"/>
      <c r="AA6" s="238">
        <f>Y6*$C$6</f>
        <v>442158.50830845913</v>
      </c>
      <c r="AB6" s="238"/>
      <c r="AC6" s="238">
        <f>AA6*$C$6</f>
        <v>453212.47101617057</v>
      </c>
      <c r="AD6" s="238"/>
      <c r="AE6" s="238">
        <f>AC6*$C$6</f>
        <v>464542.78279157478</v>
      </c>
      <c r="AF6" s="238"/>
      <c r="AG6" s="238">
        <f>AE6*$C$6</f>
        <v>476156.35236136412</v>
      </c>
    </row>
    <row r="7" spans="1:34" s="225" customFormat="1" ht="14.25">
      <c r="B7" s="225" t="s">
        <v>866</v>
      </c>
      <c r="C7" s="254">
        <v>0.1</v>
      </c>
      <c r="E7" s="237">
        <f>-E6*$C$7</f>
        <v>-33698.879999999997</v>
      </c>
      <c r="F7" s="237"/>
      <c r="G7" s="237">
        <f>-G6*$C$7</f>
        <v>-34541.351999999999</v>
      </c>
      <c r="H7" s="237"/>
      <c r="I7" s="237">
        <f>-I6*$C$7</f>
        <v>-35404.885799999996</v>
      </c>
      <c r="J7" s="237"/>
      <c r="K7" s="237">
        <f>-K6*$C$7</f>
        <v>-36290.00794499999</v>
      </c>
      <c r="L7" s="237"/>
      <c r="M7" s="237">
        <f>-M6*$C$7</f>
        <v>-37197.258143624989</v>
      </c>
      <c r="N7" s="237"/>
      <c r="O7" s="237">
        <f>-O6*$C$7</f>
        <v>-38127.189597215613</v>
      </c>
      <c r="P7" s="237"/>
      <c r="Q7" s="237">
        <f>-Q6*$C$7</f>
        <v>-39080.369337145996</v>
      </c>
      <c r="R7" s="237"/>
      <c r="S7" s="237">
        <f>-S6*$C$7</f>
        <v>-40057.378570574649</v>
      </c>
      <c r="T7" s="237"/>
      <c r="U7" s="237">
        <f>-U6*$C$7</f>
        <v>-41058.813034839011</v>
      </c>
      <c r="V7" s="237"/>
      <c r="W7" s="237">
        <f>-W6*$C$7</f>
        <v>-42085.283360709982</v>
      </c>
      <c r="X7" s="237"/>
      <c r="Y7" s="237">
        <f>-Y6*$C$7</f>
        <v>-43137.415444727725</v>
      </c>
      <c r="Z7" s="237"/>
      <c r="AA7" s="237">
        <f>-AA6*$C$7</f>
        <v>-44215.850830845913</v>
      </c>
      <c r="AB7" s="237"/>
      <c r="AC7" s="237">
        <f>-AC6*$C$7</f>
        <v>-45321.24710161706</v>
      </c>
      <c r="AD7" s="237"/>
      <c r="AE7" s="237">
        <f>-AE6*$C$7</f>
        <v>-46454.278279157479</v>
      </c>
      <c r="AF7" s="237"/>
      <c r="AG7" s="237">
        <f>-AG6*$C$7</f>
        <v>-47615.635236136412</v>
      </c>
    </row>
    <row r="8" spans="1:34" s="225" customFormat="1" ht="14.25">
      <c r="A8" s="225" t="s">
        <v>290</v>
      </c>
      <c r="C8" s="253">
        <v>1.0249999999999999</v>
      </c>
      <c r="E8" s="238">
        <f>Application!Z801</f>
        <v>5550</v>
      </c>
      <c r="F8" s="238"/>
      <c r="G8" s="238">
        <f>E8*$C$8</f>
        <v>5688.7499999999991</v>
      </c>
      <c r="H8" s="238"/>
      <c r="I8" s="238">
        <f>G8*$C$8</f>
        <v>5830.9687499999982</v>
      </c>
      <c r="J8" s="238"/>
      <c r="K8" s="238">
        <f>I8*$C$8</f>
        <v>5976.742968749998</v>
      </c>
      <c r="L8" s="238"/>
      <c r="M8" s="238">
        <f>K8*$C$8</f>
        <v>6126.1615429687472</v>
      </c>
      <c r="N8" s="238"/>
      <c r="O8" s="238">
        <f>M8*$C$8</f>
        <v>6279.3155815429654</v>
      </c>
      <c r="P8" s="238"/>
      <c r="Q8" s="238">
        <f>O8*$C$8</f>
        <v>6436.298471081539</v>
      </c>
      <c r="R8" s="238"/>
      <c r="S8" s="238">
        <f>Q8*$C$8</f>
        <v>6597.2059328585765</v>
      </c>
      <c r="T8" s="238"/>
      <c r="U8" s="238">
        <f>S8*$C$8</f>
        <v>6762.1360811800405</v>
      </c>
      <c r="V8" s="238"/>
      <c r="W8" s="238">
        <f>U8*$C$8</f>
        <v>6931.1894832095413</v>
      </c>
      <c r="X8" s="238"/>
      <c r="Y8" s="238">
        <f>W8*$C$8</f>
        <v>7104.4692202897795</v>
      </c>
      <c r="Z8" s="238"/>
      <c r="AA8" s="238">
        <f>Y8*$C$8</f>
        <v>7282.0809507970234</v>
      </c>
      <c r="AB8" s="238"/>
      <c r="AC8" s="238">
        <f>AA8*$C$8</f>
        <v>7464.1329745669482</v>
      </c>
      <c r="AD8" s="238"/>
      <c r="AE8" s="238">
        <f>AC8*$C$8</f>
        <v>7650.7362989311214</v>
      </c>
      <c r="AF8" s="238"/>
      <c r="AG8" s="238">
        <f>AE8*$C$8</f>
        <v>7842.0047064043983</v>
      </c>
    </row>
    <row r="9" spans="1:34" s="225" customFormat="1" ht="14.25">
      <c r="B9" s="225" t="s">
        <v>866</v>
      </c>
      <c r="C9" s="254">
        <v>0.1</v>
      </c>
      <c r="E9" s="237">
        <f>-E8*$C$9</f>
        <v>-555</v>
      </c>
      <c r="F9" s="237"/>
      <c r="G9" s="237">
        <f>-G8*$C$9</f>
        <v>-568.87499999999989</v>
      </c>
      <c r="H9" s="237"/>
      <c r="I9" s="237">
        <f>-I8*$C$9</f>
        <v>-583.09687499999984</v>
      </c>
      <c r="J9" s="237"/>
      <c r="K9" s="237">
        <f>-K8*$C$9</f>
        <v>-597.67429687499987</v>
      </c>
      <c r="L9" s="237"/>
      <c r="M9" s="237">
        <f>-M8*$C$9</f>
        <v>-612.6161542968747</v>
      </c>
      <c r="N9" s="237"/>
      <c r="O9" s="237">
        <f>-O8*$C$9</f>
        <v>-627.93155815429657</v>
      </c>
      <c r="P9" s="237"/>
      <c r="Q9" s="237">
        <f>-Q8*$C$9</f>
        <v>-643.62984710815397</v>
      </c>
      <c r="R9" s="237"/>
      <c r="S9" s="237">
        <f>-S8*$C$9</f>
        <v>-659.72059328585772</v>
      </c>
      <c r="T9" s="237"/>
      <c r="U9" s="237">
        <f>-U8*$C$9</f>
        <v>-676.21360811800412</v>
      </c>
      <c r="V9" s="237"/>
      <c r="W9" s="237">
        <f>-W8*$C$9</f>
        <v>-693.11894832095413</v>
      </c>
      <c r="X9" s="237"/>
      <c r="Y9" s="237">
        <f>-Y8*$C$9</f>
        <v>-710.44692202897795</v>
      </c>
      <c r="Z9" s="237"/>
      <c r="AA9" s="237">
        <f>-AA8*$C$9</f>
        <v>-728.20809507970239</v>
      </c>
      <c r="AB9" s="237"/>
      <c r="AC9" s="237">
        <f>-AC8*$C$9</f>
        <v>-746.41329745669486</v>
      </c>
      <c r="AD9" s="237"/>
      <c r="AE9" s="237">
        <f>-AE8*$C$9</f>
        <v>-765.07362989311218</v>
      </c>
      <c r="AF9" s="237"/>
      <c r="AG9" s="237">
        <f>-AG8*$C$9</f>
        <v>-784.2004706404399</v>
      </c>
    </row>
    <row r="10" spans="1:34" s="225" customFormat="1" ht="14.25">
      <c r="A10" s="1196" t="s">
        <v>2516</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602556.84</v>
      </c>
      <c r="G11" s="239">
        <f>SUM(G4:G10)</f>
        <v>617620.76099999994</v>
      </c>
      <c r="I11" s="239">
        <f>SUM(I4:I10)</f>
        <v>633061.28002499987</v>
      </c>
      <c r="K11" s="239">
        <f>SUM(K4:K10)</f>
        <v>648887.81202562479</v>
      </c>
      <c r="M11" s="239">
        <f>SUM(M4:M10)</f>
        <v>665110.00732626533</v>
      </c>
      <c r="O11" s="239">
        <f>SUM(O4:O10)</f>
        <v>681737.75750942214</v>
      </c>
      <c r="Q11" s="239">
        <f>SUM(Q4:Q10)</f>
        <v>698781.20144715765</v>
      </c>
      <c r="S11" s="239">
        <f>SUM(S4:S10)</f>
        <v>716250.73148333654</v>
      </c>
      <c r="U11" s="239">
        <f>SUM(U4:U10)</f>
        <v>734156.9997704199</v>
      </c>
      <c r="W11" s="239">
        <f>SUM(W4:W10)</f>
        <v>752510.92476468009</v>
      </c>
      <c r="Y11" s="239">
        <f>SUM(Y4:Y10)</f>
        <v>771323.69788379699</v>
      </c>
      <c r="AA11" s="239">
        <f>SUM(AA4:AA10)</f>
        <v>790606.79033089208</v>
      </c>
      <c r="AC11" s="239">
        <f>SUM(AC4:AC10)</f>
        <v>810371.9600891642</v>
      </c>
      <c r="AE11" s="239">
        <f>SUM(AE4:AE10)</f>
        <v>830631.25909139321</v>
      </c>
      <c r="AG11" s="239">
        <f>SUM(AG4:AG10)</f>
        <v>851397.04056867806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49278</v>
      </c>
      <c r="G15" s="235">
        <f>E15*$C$14</f>
        <v>51002.729999999996</v>
      </c>
      <c r="I15" s="235">
        <f>G15*$C$14</f>
        <v>52787.825549999994</v>
      </c>
      <c r="K15" s="235">
        <f>I15*$C$14</f>
        <v>54635.39944424999</v>
      </c>
      <c r="M15" s="235">
        <f>K15*$C$14</f>
        <v>56547.638424798737</v>
      </c>
      <c r="O15" s="235">
        <f>M15*$C$14</f>
        <v>58526.805769666687</v>
      </c>
      <c r="Q15" s="235">
        <f>O15*$C$14</f>
        <v>60575.243971605014</v>
      </c>
      <c r="S15" s="235">
        <f>Q15*$C$14</f>
        <v>62695.377510611186</v>
      </c>
      <c r="U15" s="235">
        <f>S15*$C$14</f>
        <v>64889.715723482572</v>
      </c>
      <c r="W15" s="235">
        <f>U15*$C$14</f>
        <v>67160.855773804462</v>
      </c>
      <c r="Y15" s="235">
        <f>W15*$C$14</f>
        <v>69511.485725887615</v>
      </c>
      <c r="AA15" s="235">
        <f>Y15*$C$14</f>
        <v>71944.387726293673</v>
      </c>
      <c r="AC15" s="235">
        <f>AA15*$C$14</f>
        <v>74462.441296713951</v>
      </c>
      <c r="AE15" s="235">
        <f>AC15*$C$14</f>
        <v>77068.626742098932</v>
      </c>
      <c r="AG15" s="235">
        <f>AE15*$C$14</f>
        <v>79766.028678072384</v>
      </c>
    </row>
    <row r="16" spans="1:34" s="225" customFormat="1" ht="14.25">
      <c r="A16" s="225" t="s">
        <v>346</v>
      </c>
      <c r="C16" s="249"/>
      <c r="E16" s="238">
        <f>Application!W833</f>
        <v>39440</v>
      </c>
      <c r="F16" s="238"/>
      <c r="G16" s="238">
        <f t="shared" ref="G16:AG21" si="0">E16*$C$14</f>
        <v>40820.399999999994</v>
      </c>
      <c r="H16" s="238"/>
      <c r="I16" s="238">
        <f t="shared" si="0"/>
        <v>42249.113999999994</v>
      </c>
      <c r="J16" s="238"/>
      <c r="K16" s="238">
        <f t="shared" si="0"/>
        <v>43727.832989999988</v>
      </c>
      <c r="L16" s="238"/>
      <c r="M16" s="238">
        <f t="shared" si="0"/>
        <v>45258.307144649982</v>
      </c>
      <c r="N16" s="238"/>
      <c r="O16" s="238">
        <f t="shared" si="0"/>
        <v>46842.34789471273</v>
      </c>
      <c r="P16" s="238"/>
      <c r="Q16" s="238">
        <f t="shared" si="0"/>
        <v>48481.830071027674</v>
      </c>
      <c r="R16" s="238"/>
      <c r="S16" s="238">
        <f t="shared" si="0"/>
        <v>50178.69412351364</v>
      </c>
      <c r="T16" s="238"/>
      <c r="U16" s="238">
        <f t="shared" si="0"/>
        <v>51934.948417836611</v>
      </c>
      <c r="V16" s="238"/>
      <c r="W16" s="238">
        <f t="shared" si="0"/>
        <v>53752.671612460887</v>
      </c>
      <c r="X16" s="238"/>
      <c r="Y16" s="238">
        <f t="shared" si="0"/>
        <v>55634.015118897012</v>
      </c>
      <c r="Z16" s="238"/>
      <c r="AA16" s="238">
        <f t="shared" si="0"/>
        <v>57581.2056480584</v>
      </c>
      <c r="AB16" s="238"/>
      <c r="AC16" s="238">
        <f t="shared" si="0"/>
        <v>59596.547845740439</v>
      </c>
      <c r="AD16" s="238"/>
      <c r="AE16" s="238">
        <f t="shared" si="0"/>
        <v>61682.427020341347</v>
      </c>
      <c r="AF16" s="238"/>
      <c r="AG16" s="238">
        <f t="shared" si="0"/>
        <v>63841.31196605329</v>
      </c>
    </row>
    <row r="17" spans="1:33" s="225" customFormat="1" ht="14.25">
      <c r="A17" s="225" t="s">
        <v>570</v>
      </c>
      <c r="C17" s="249"/>
      <c r="E17" s="238">
        <f>Application!W839</f>
        <v>46646</v>
      </c>
      <c r="F17" s="238"/>
      <c r="G17" s="238">
        <f t="shared" si="0"/>
        <v>48278.609999999993</v>
      </c>
      <c r="H17" s="238"/>
      <c r="I17" s="238">
        <f t="shared" si="0"/>
        <v>49968.361349999992</v>
      </c>
      <c r="J17" s="238"/>
      <c r="K17" s="238">
        <f t="shared" si="0"/>
        <v>51717.253997249987</v>
      </c>
      <c r="L17" s="238"/>
      <c r="M17" s="238">
        <f t="shared" si="0"/>
        <v>53527.357887153732</v>
      </c>
      <c r="N17" s="238"/>
      <c r="O17" s="238">
        <f t="shared" si="0"/>
        <v>55400.815413204109</v>
      </c>
      <c r="P17" s="238"/>
      <c r="Q17" s="238">
        <f t="shared" si="0"/>
        <v>57339.843952666248</v>
      </c>
      <c r="R17" s="238"/>
      <c r="S17" s="238">
        <f t="shared" si="0"/>
        <v>59346.738491009564</v>
      </c>
      <c r="T17" s="238"/>
      <c r="U17" s="238">
        <f t="shared" si="0"/>
        <v>61423.874338194895</v>
      </c>
      <c r="V17" s="238"/>
      <c r="W17" s="238">
        <f t="shared" si="0"/>
        <v>63573.709940031709</v>
      </c>
      <c r="X17" s="238"/>
      <c r="Y17" s="238">
        <f t="shared" si="0"/>
        <v>65798.789787932808</v>
      </c>
      <c r="Z17" s="238"/>
      <c r="AA17" s="238">
        <f t="shared" si="0"/>
        <v>68101.747430510455</v>
      </c>
      <c r="AB17" s="238"/>
      <c r="AC17" s="238">
        <f t="shared" si="0"/>
        <v>70485.308590578323</v>
      </c>
      <c r="AD17" s="238"/>
      <c r="AE17" s="238">
        <f t="shared" si="0"/>
        <v>72952.294391248564</v>
      </c>
      <c r="AF17" s="238"/>
      <c r="AG17" s="238">
        <f t="shared" si="0"/>
        <v>75505.624694942264</v>
      </c>
    </row>
    <row r="18" spans="1:33" s="225" customFormat="1" ht="14.25">
      <c r="A18" s="225" t="s">
        <v>870</v>
      </c>
      <c r="C18" s="249"/>
      <c r="E18" s="238">
        <f>Application!W846</f>
        <v>75565</v>
      </c>
      <c r="F18" s="238"/>
      <c r="G18" s="238">
        <f t="shared" si="0"/>
        <v>78209.774999999994</v>
      </c>
      <c r="H18" s="238"/>
      <c r="I18" s="238">
        <f t="shared" si="0"/>
        <v>80947.11712499999</v>
      </c>
      <c r="J18" s="238"/>
      <c r="K18" s="238">
        <f t="shared" si="0"/>
        <v>83780.26622437498</v>
      </c>
      <c r="L18" s="238"/>
      <c r="M18" s="238">
        <f t="shared" si="0"/>
        <v>86712.575542228093</v>
      </c>
      <c r="N18" s="238"/>
      <c r="O18" s="238">
        <f t="shared" si="0"/>
        <v>89747.515686206068</v>
      </c>
      <c r="P18" s="238"/>
      <c r="Q18" s="238">
        <f t="shared" si="0"/>
        <v>92888.678735223279</v>
      </c>
      <c r="R18" s="238"/>
      <c r="S18" s="238">
        <f t="shared" si="0"/>
        <v>96139.782490956088</v>
      </c>
      <c r="T18" s="238"/>
      <c r="U18" s="238">
        <f t="shared" si="0"/>
        <v>99504.674878139544</v>
      </c>
      <c r="V18" s="238"/>
      <c r="W18" s="238">
        <f t="shared" si="0"/>
        <v>102987.33849887442</v>
      </c>
      <c r="X18" s="238"/>
      <c r="Y18" s="238">
        <f t="shared" si="0"/>
        <v>106591.89534633502</v>
      </c>
      <c r="Z18" s="238"/>
      <c r="AA18" s="238">
        <f t="shared" si="0"/>
        <v>110322.61168345674</v>
      </c>
      <c r="AB18" s="238"/>
      <c r="AC18" s="238">
        <f t="shared" si="0"/>
        <v>114183.90309237772</v>
      </c>
      <c r="AD18" s="238"/>
      <c r="AE18" s="238">
        <f t="shared" si="0"/>
        <v>118180.33970061093</v>
      </c>
      <c r="AF18" s="238"/>
      <c r="AG18" s="238">
        <f t="shared" si="0"/>
        <v>122316.6515901323</v>
      </c>
    </row>
    <row r="19" spans="1:33" s="225" customFormat="1" ht="14.25">
      <c r="A19" s="225" t="s">
        <v>156</v>
      </c>
      <c r="C19" s="249"/>
      <c r="E19" s="238">
        <f>Application!W847</f>
        <v>29629</v>
      </c>
      <c r="F19" s="238"/>
      <c r="G19" s="238">
        <f t="shared" si="0"/>
        <v>30666.014999999999</v>
      </c>
      <c r="H19" s="238"/>
      <c r="I19" s="238">
        <f t="shared" si="0"/>
        <v>31739.325524999997</v>
      </c>
      <c r="J19" s="238"/>
      <c r="K19" s="238">
        <f t="shared" si="0"/>
        <v>32850.201918374994</v>
      </c>
      <c r="L19" s="238"/>
      <c r="M19" s="238">
        <f t="shared" si="0"/>
        <v>33999.958985518118</v>
      </c>
      <c r="N19" s="238"/>
      <c r="O19" s="238">
        <f t="shared" si="0"/>
        <v>35189.957550011248</v>
      </c>
      <c r="P19" s="238"/>
      <c r="Q19" s="238">
        <f t="shared" si="0"/>
        <v>36421.606064261636</v>
      </c>
      <c r="R19" s="238"/>
      <c r="S19" s="238">
        <f t="shared" si="0"/>
        <v>37696.362276510787</v>
      </c>
      <c r="T19" s="238"/>
      <c r="U19" s="238">
        <f t="shared" si="0"/>
        <v>39015.734956188659</v>
      </c>
      <c r="V19" s="238"/>
      <c r="W19" s="238">
        <f t="shared" si="0"/>
        <v>40381.285679655259</v>
      </c>
      <c r="X19" s="238"/>
      <c r="Y19" s="238">
        <f t="shared" si="0"/>
        <v>41794.630678443187</v>
      </c>
      <c r="Z19" s="238"/>
      <c r="AA19" s="238">
        <f t="shared" si="0"/>
        <v>43257.442752188697</v>
      </c>
      <c r="AB19" s="238"/>
      <c r="AC19" s="238">
        <f t="shared" si="0"/>
        <v>44771.453248515296</v>
      </c>
      <c r="AD19" s="238"/>
      <c r="AE19" s="238">
        <f t="shared" si="0"/>
        <v>46338.454112213331</v>
      </c>
      <c r="AF19" s="238"/>
      <c r="AG19" s="238">
        <f t="shared" si="0"/>
        <v>47960.300006140795</v>
      </c>
    </row>
    <row r="20" spans="1:33" s="225" customFormat="1" ht="14.25">
      <c r="A20" s="225" t="s">
        <v>392</v>
      </c>
      <c r="C20" s="249"/>
      <c r="E20" s="238">
        <f>Application!W856</f>
        <v>43792</v>
      </c>
      <c r="F20" s="238"/>
      <c r="G20" s="238">
        <f t="shared" si="0"/>
        <v>45324.719999999994</v>
      </c>
      <c r="H20" s="238"/>
      <c r="I20" s="238">
        <f t="shared" si="0"/>
        <v>46911.085199999987</v>
      </c>
      <c r="J20" s="238"/>
      <c r="K20" s="238">
        <f t="shared" si="0"/>
        <v>48552.97318199998</v>
      </c>
      <c r="L20" s="238"/>
      <c r="M20" s="238">
        <f t="shared" si="0"/>
        <v>50252.327243369975</v>
      </c>
      <c r="N20" s="238"/>
      <c r="O20" s="238">
        <f t="shared" si="0"/>
        <v>52011.15869688792</v>
      </c>
      <c r="P20" s="238"/>
      <c r="Q20" s="238">
        <f t="shared" si="0"/>
        <v>53831.549251278993</v>
      </c>
      <c r="R20" s="238"/>
      <c r="S20" s="238">
        <f t="shared" si="0"/>
        <v>55715.653475073756</v>
      </c>
      <c r="T20" s="238"/>
      <c r="U20" s="238">
        <f t="shared" si="0"/>
        <v>57665.701346701331</v>
      </c>
      <c r="V20" s="238"/>
      <c r="W20" s="238">
        <f t="shared" si="0"/>
        <v>59684.000893835873</v>
      </c>
      <c r="X20" s="238"/>
      <c r="Y20" s="238">
        <f t="shared" si="0"/>
        <v>61772.940925120121</v>
      </c>
      <c r="Z20" s="238"/>
      <c r="AA20" s="238">
        <f t="shared" si="0"/>
        <v>63934.993857499321</v>
      </c>
      <c r="AB20" s="238"/>
      <c r="AC20" s="238">
        <f t="shared" si="0"/>
        <v>66172.718642511798</v>
      </c>
      <c r="AD20" s="238"/>
      <c r="AE20" s="238">
        <f t="shared" si="0"/>
        <v>68488.763794999701</v>
      </c>
      <c r="AF20" s="238"/>
      <c r="AG20" s="238">
        <f t="shared" si="0"/>
        <v>70885.870527824678</v>
      </c>
    </row>
    <row r="21" spans="1:33" s="225" customFormat="1" ht="14.25">
      <c r="A21" s="242" t="s">
        <v>1002</v>
      </c>
      <c r="B21" s="242"/>
      <c r="C21" s="249"/>
      <c r="E21" s="248">
        <f>Application!W863</f>
        <v>5850</v>
      </c>
      <c r="F21" s="238"/>
      <c r="G21" s="248">
        <f t="shared" si="0"/>
        <v>6054.7499999999991</v>
      </c>
      <c r="H21" s="238"/>
      <c r="I21" s="248">
        <f t="shared" si="0"/>
        <v>6266.6662499999984</v>
      </c>
      <c r="J21" s="238"/>
      <c r="K21" s="248">
        <f t="shared" si="0"/>
        <v>6485.9995687499977</v>
      </c>
      <c r="L21" s="238"/>
      <c r="M21" s="248">
        <f t="shared" si="0"/>
        <v>6713.0095536562467</v>
      </c>
      <c r="N21" s="238"/>
      <c r="O21" s="248">
        <f t="shared" si="0"/>
        <v>6947.9648880342147</v>
      </c>
      <c r="P21" s="238"/>
      <c r="Q21" s="248">
        <f t="shared" si="0"/>
        <v>7191.1436591154115</v>
      </c>
      <c r="R21" s="238"/>
      <c r="S21" s="248">
        <f t="shared" si="0"/>
        <v>7442.8336871844504</v>
      </c>
      <c r="T21" s="238"/>
      <c r="U21" s="248">
        <f t="shared" si="0"/>
        <v>7703.3328662359054</v>
      </c>
      <c r="V21" s="238"/>
      <c r="W21" s="248">
        <f t="shared" si="0"/>
        <v>7972.9495165541612</v>
      </c>
      <c r="X21" s="238"/>
      <c r="Y21" s="248">
        <f t="shared" si="0"/>
        <v>8252.002749633557</v>
      </c>
      <c r="Z21" s="238"/>
      <c r="AA21" s="248">
        <f t="shared" si="0"/>
        <v>8540.8228458707308</v>
      </c>
      <c r="AB21" s="238"/>
      <c r="AC21" s="248">
        <f t="shared" si="0"/>
        <v>8839.7516454762062</v>
      </c>
      <c r="AD21" s="238"/>
      <c r="AE21" s="248">
        <f t="shared" si="0"/>
        <v>9149.1429530678724</v>
      </c>
      <c r="AF21" s="238"/>
      <c r="AG21" s="248">
        <f t="shared" si="0"/>
        <v>9469.3629564252478</v>
      </c>
    </row>
    <row r="22" spans="1:33" s="239" customFormat="1" ht="15">
      <c r="A22" s="239" t="s">
        <v>871</v>
      </c>
      <c r="C22" s="249"/>
      <c r="E22" s="239">
        <f>SUM(E15:E21)</f>
        <v>290200</v>
      </c>
      <c r="G22" s="239">
        <f>SUM(G15:G21)</f>
        <v>300356.99999999994</v>
      </c>
      <c r="I22" s="239">
        <f>SUM(I15:I21)</f>
        <v>310869.49499999994</v>
      </c>
      <c r="K22" s="239">
        <f>SUM(K15:K21)</f>
        <v>321749.92732499988</v>
      </c>
      <c r="M22" s="239">
        <f>SUM(M15:M21)</f>
        <v>333011.17478137492</v>
      </c>
      <c r="O22" s="239">
        <f>SUM(O15:O21)</f>
        <v>344666.56589872291</v>
      </c>
      <c r="Q22" s="239">
        <f>SUM(Q15:Q21)</f>
        <v>356729.89570517826</v>
      </c>
      <c r="S22" s="239">
        <f>SUM(S15:S21)</f>
        <v>369215.44205485948</v>
      </c>
      <c r="U22" s="239">
        <f>SUM(U15:U21)</f>
        <v>382137.98252677947</v>
      </c>
      <c r="W22" s="239">
        <f>SUM(W15:W21)</f>
        <v>395512.81191521673</v>
      </c>
      <c r="Y22" s="239">
        <f>SUM(Y15:Y21)</f>
        <v>409355.76033224934</v>
      </c>
      <c r="AA22" s="239">
        <f>SUM(AA15:AA21)</f>
        <v>423683.21194387804</v>
      </c>
      <c r="AC22" s="239">
        <f>SUM(AC15:AC21)</f>
        <v>438512.12436191377</v>
      </c>
      <c r="AE22" s="239">
        <f>SUM(AE15:AE21)</f>
        <v>453860.04871458071</v>
      </c>
      <c r="AG22" s="239">
        <f>SUM(AG15:AG21)</f>
        <v>469745.15041959094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1941</v>
      </c>
      <c r="C24" s="249">
        <v>1</v>
      </c>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1.02</v>
      </c>
      <c r="E27" s="238">
        <f>Application!AC872</f>
        <v>240500</v>
      </c>
      <c r="F27" s="238"/>
      <c r="G27" s="238">
        <f>E27*$C$27</f>
        <v>245310</v>
      </c>
      <c r="H27" s="238"/>
      <c r="I27" s="238">
        <f>G27*$C$27</f>
        <v>250216.2</v>
      </c>
      <c r="J27" s="238"/>
      <c r="K27" s="238">
        <f>I27*$C$27</f>
        <v>255220.524</v>
      </c>
      <c r="L27" s="238"/>
      <c r="M27" s="238">
        <f>K27*$C$27</f>
        <v>260324.93448</v>
      </c>
      <c r="N27" s="238"/>
      <c r="O27" s="238">
        <f>M27*$C$27</f>
        <v>265531.43316959997</v>
      </c>
      <c r="P27" s="238"/>
      <c r="Q27" s="238">
        <f>O27*$C$27</f>
        <v>270842.06183299195</v>
      </c>
      <c r="R27" s="238"/>
      <c r="S27" s="238">
        <f>Q27*$C$27</f>
        <v>276258.9030696518</v>
      </c>
      <c r="T27" s="238"/>
      <c r="U27" s="238">
        <f>S27*$C$27</f>
        <v>281784.08113104483</v>
      </c>
      <c r="V27" s="238"/>
      <c r="W27" s="238">
        <f>U27*$C$27</f>
        <v>287419.76275366574</v>
      </c>
      <c r="X27" s="238"/>
      <c r="Y27" s="238">
        <f>W27*$C$27</f>
        <v>293168.15800873906</v>
      </c>
      <c r="Z27" s="238"/>
      <c r="AA27" s="238">
        <f>Y27*$C$27</f>
        <v>299031.52116891387</v>
      </c>
      <c r="AB27" s="238"/>
      <c r="AC27" s="238">
        <f>AA27*$C$27</f>
        <v>305012.15159229212</v>
      </c>
      <c r="AD27" s="238"/>
      <c r="AE27" s="238">
        <f>AC27*$C$27</f>
        <v>311112.39462413796</v>
      </c>
      <c r="AF27" s="238"/>
      <c r="AG27" s="238">
        <f>AE27*$C$27</f>
        <v>317334.64251662075</v>
      </c>
    </row>
    <row r="28" spans="1:33" s="225" customFormat="1" ht="14.25">
      <c r="A28" s="225" t="s">
        <v>874</v>
      </c>
      <c r="C28" s="253"/>
      <c r="E28" s="238">
        <f>Application!AC873</f>
        <v>19000</v>
      </c>
      <c r="F28" s="238"/>
      <c r="G28" s="238">
        <f>$E$28</f>
        <v>19000</v>
      </c>
      <c r="H28" s="238"/>
      <c r="I28" s="238">
        <f>$E$28</f>
        <v>19000</v>
      </c>
      <c r="J28" s="238"/>
      <c r="K28" s="238">
        <f>$E$28</f>
        <v>19000</v>
      </c>
      <c r="L28" s="238"/>
      <c r="M28" s="238">
        <f>$E$28</f>
        <v>19000</v>
      </c>
      <c r="N28" s="238"/>
      <c r="O28" s="238">
        <f>$E$28</f>
        <v>19000</v>
      </c>
      <c r="P28" s="238"/>
      <c r="Q28" s="238">
        <f>$E$28</f>
        <v>19000</v>
      </c>
      <c r="R28" s="238"/>
      <c r="S28" s="238">
        <f>$E$28</f>
        <v>19000</v>
      </c>
      <c r="T28" s="238"/>
      <c r="U28" s="238">
        <f>$E$28</f>
        <v>19000</v>
      </c>
      <c r="V28" s="238"/>
      <c r="W28" s="238">
        <f>$E$28</f>
        <v>19000</v>
      </c>
      <c r="X28" s="238"/>
      <c r="Y28" s="238">
        <f>$E$28</f>
        <v>19000</v>
      </c>
      <c r="Z28" s="238"/>
      <c r="AA28" s="238">
        <f>$E$28</f>
        <v>19000</v>
      </c>
      <c r="AB28" s="238"/>
      <c r="AC28" s="238">
        <f>$E$28</f>
        <v>19000</v>
      </c>
      <c r="AD28" s="238"/>
      <c r="AE28" s="238">
        <f>$E$28</f>
        <v>19000</v>
      </c>
      <c r="AF28" s="238"/>
      <c r="AG28" s="238">
        <f>$E$28</f>
        <v>19000</v>
      </c>
    </row>
    <row r="29" spans="1:33" s="225" customFormat="1" ht="14.25">
      <c r="A29" s="225" t="s">
        <v>1939</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5700</v>
      </c>
      <c r="F30" s="238"/>
      <c r="G30" s="238">
        <f>E30*$C$30</f>
        <v>5814</v>
      </c>
      <c r="H30" s="238"/>
      <c r="I30" s="238">
        <f>G30*$C$30</f>
        <v>5930.28</v>
      </c>
      <c r="J30" s="238"/>
      <c r="K30" s="238">
        <f>I30*$C$30</f>
        <v>6048.8855999999996</v>
      </c>
      <c r="L30" s="238"/>
      <c r="M30" s="238">
        <f>K30*$C$30</f>
        <v>6169.8633119999995</v>
      </c>
      <c r="N30" s="238"/>
      <c r="O30" s="238">
        <f>M30*$C$30</f>
        <v>6293.2605782399996</v>
      </c>
      <c r="P30" s="238"/>
      <c r="Q30" s="238">
        <f>O30*$C$30</f>
        <v>6419.1257898047998</v>
      </c>
      <c r="R30" s="238"/>
      <c r="S30" s="238">
        <f>Q30*$C$30</f>
        <v>6547.5083056008962</v>
      </c>
      <c r="T30" s="238"/>
      <c r="U30" s="238">
        <f>S30*$C$30</f>
        <v>6678.4584717129146</v>
      </c>
      <c r="V30" s="238"/>
      <c r="W30" s="238">
        <f>U30*$C$30</f>
        <v>6812.0276411471732</v>
      </c>
      <c r="X30" s="238"/>
      <c r="Y30" s="238">
        <f>W30*$C$30</f>
        <v>6948.268193970117</v>
      </c>
      <c r="Z30" s="238"/>
      <c r="AA30" s="238">
        <f>Y30*$C$30</f>
        <v>7087.2335578495195</v>
      </c>
      <c r="AB30" s="238"/>
      <c r="AC30" s="238">
        <f>AA30*$C$30</f>
        <v>7228.9782290065095</v>
      </c>
      <c r="AD30" s="238"/>
      <c r="AE30" s="238">
        <f>AC30*$C$30</f>
        <v>7373.5577935866395</v>
      </c>
      <c r="AF30" s="238"/>
      <c r="AG30" s="238">
        <f>AE30*$C$30</f>
        <v>7521.0289494583722</v>
      </c>
    </row>
    <row r="31" spans="1:33" s="225" customFormat="1" ht="14.25">
      <c r="A31" s="225" t="s">
        <v>1940</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555400</v>
      </c>
      <c r="G35" s="239">
        <f>SUM(G22:G33)</f>
        <v>570481</v>
      </c>
      <c r="I35" s="239">
        <f>SUM(I22:I33)</f>
        <v>586015.97499999998</v>
      </c>
      <c r="K35" s="239">
        <f>SUM(K22:K33)</f>
        <v>602019.33692499995</v>
      </c>
      <c r="M35" s="239">
        <f>SUM(M22:M33)</f>
        <v>618505.97257337486</v>
      </c>
      <c r="O35" s="239">
        <f>SUM(O22:O33)</f>
        <v>635491.25964656286</v>
      </c>
      <c r="Q35" s="239">
        <f>SUM(Q22:Q33)</f>
        <v>652991.08332797512</v>
      </c>
      <c r="S35" s="239">
        <f>SUM(S22:S33)</f>
        <v>671021.85343011213</v>
      </c>
      <c r="U35" s="239">
        <f>SUM(U22:U33)</f>
        <v>689600.52212953719</v>
      </c>
      <c r="W35" s="239">
        <f>SUM(W22:W33)</f>
        <v>708744.60231002956</v>
      </c>
      <c r="Y35" s="239">
        <f>SUM(Y22:Y33)</f>
        <v>728472.18653495854</v>
      </c>
      <c r="AA35" s="239">
        <f>SUM(AA22:AA33)</f>
        <v>748801.96667064144</v>
      </c>
      <c r="AC35" s="239">
        <f>SUM(AC22:AC33)</f>
        <v>769753.25418321241</v>
      </c>
      <c r="AE35" s="239">
        <f>SUM(AE22:AE33)</f>
        <v>791346.00113230536</v>
      </c>
      <c r="AG35" s="239">
        <f>SUM(AG22:AG33)</f>
        <v>813600.82188567007</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47156.839999999967</v>
      </c>
      <c r="G37" s="239">
        <f>G11-G35</f>
        <v>47139.76099999994</v>
      </c>
      <c r="I37" s="239">
        <f>I11-I35</f>
        <v>47045.305024999892</v>
      </c>
      <c r="K37" s="239">
        <f>K11-K35</f>
        <v>46868.475100624841</v>
      </c>
      <c r="M37" s="239">
        <f>M11-M35</f>
        <v>46604.034752890468</v>
      </c>
      <c r="O37" s="239">
        <f>O11-O35</f>
        <v>46246.49786285928</v>
      </c>
      <c r="Q37" s="239">
        <f>Q11-Q35</f>
        <v>45790.118119182531</v>
      </c>
      <c r="S37" s="239">
        <f>S11-S35</f>
        <v>45228.878053224413</v>
      </c>
      <c r="U37" s="239">
        <f>U11-U35</f>
        <v>44556.477640882717</v>
      </c>
      <c r="W37" s="239">
        <f>W11-W35</f>
        <v>43766.322454650537</v>
      </c>
      <c r="Y37" s="239">
        <f>Y11-Y35</f>
        <v>42851.511348838452</v>
      </c>
      <c r="AA37" s="239">
        <f>AA11-AA35</f>
        <v>41804.823660250637</v>
      </c>
      <c r="AC37" s="239">
        <f>AC11-AC35</f>
        <v>40618.705905951792</v>
      </c>
      <c r="AE37" s="239">
        <f>AE11-AE35</f>
        <v>39285.257959087845</v>
      </c>
      <c r="AG37" s="239">
        <f>AG11-AG35</f>
        <v>37796.218683007988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c r="B40" s="242"/>
      <c r="C40" s="236"/>
      <c r="E40" s="238">
        <f>Application!AF623</f>
        <v>0</v>
      </c>
      <c r="F40" s="238"/>
      <c r="G40" s="238">
        <f>$E$40</f>
        <v>0</v>
      </c>
      <c r="H40" s="238"/>
      <c r="I40" s="238">
        <f>$E$40</f>
        <v>0</v>
      </c>
      <c r="J40" s="238"/>
      <c r="K40" s="238">
        <f>$E$40</f>
        <v>0</v>
      </c>
      <c r="L40" s="238"/>
      <c r="M40" s="238">
        <f>$E$40</f>
        <v>0</v>
      </c>
      <c r="N40" s="238"/>
      <c r="O40" s="238">
        <f>$E$40</f>
        <v>0</v>
      </c>
      <c r="P40" s="238"/>
      <c r="Q40" s="238">
        <f>$E$40</f>
        <v>0</v>
      </c>
      <c r="R40" s="238"/>
      <c r="S40" s="238">
        <f>$E$40</f>
        <v>0</v>
      </c>
      <c r="T40" s="238"/>
      <c r="U40" s="238">
        <f>$E$40</f>
        <v>0</v>
      </c>
      <c r="V40" s="238"/>
      <c r="W40" s="238">
        <f>$E$40</f>
        <v>0</v>
      </c>
      <c r="X40" s="238"/>
      <c r="Y40" s="238">
        <f>$E$40</f>
        <v>0</v>
      </c>
      <c r="Z40" s="238"/>
      <c r="AA40" s="238">
        <f>$E$40</f>
        <v>0</v>
      </c>
      <c r="AB40" s="238"/>
      <c r="AC40" s="238">
        <f>$E$40</f>
        <v>0</v>
      </c>
      <c r="AD40" s="238"/>
      <c r="AE40" s="238">
        <f>$E$40</f>
        <v>0</v>
      </c>
      <c r="AF40" s="238"/>
      <c r="AG40" s="238">
        <f>$E$40</f>
        <v>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0</v>
      </c>
      <c r="G43" s="239">
        <f>SUM(G40:G42)</f>
        <v>0</v>
      </c>
      <c r="I43" s="239">
        <f>SUM(I40:I42)</f>
        <v>0</v>
      </c>
      <c r="K43" s="239">
        <f>SUM(K40:K42)</f>
        <v>0</v>
      </c>
      <c r="M43" s="239">
        <f>SUM(M40:M42)</f>
        <v>0</v>
      </c>
      <c r="O43" s="239">
        <f>SUM(O40:O42)</f>
        <v>0</v>
      </c>
      <c r="Q43" s="239">
        <f>SUM(Q40:Q42)</f>
        <v>0</v>
      </c>
      <c r="S43" s="239">
        <f>SUM(S40:S42)</f>
        <v>0</v>
      </c>
      <c r="U43" s="239">
        <f>SUM(U40:U42)</f>
        <v>0</v>
      </c>
      <c r="W43" s="239">
        <f>SUM(W40:W42)</f>
        <v>0</v>
      </c>
      <c r="Y43" s="239">
        <f>SUM(Y40:Y42)</f>
        <v>0</v>
      </c>
      <c r="AA43" s="239">
        <f>SUM(AA40:AA42)</f>
        <v>0</v>
      </c>
      <c r="AC43" s="239">
        <f>SUM(AC40:AC42)</f>
        <v>0</v>
      </c>
      <c r="AE43" s="239">
        <f>SUM(AE40:AE42)</f>
        <v>0</v>
      </c>
      <c r="AG43" s="239">
        <f>SUM(AG40:AG42)</f>
        <v>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47156.839999999967</v>
      </c>
      <c r="G45" s="239">
        <f>G37-G43</f>
        <v>47139.76099999994</v>
      </c>
      <c r="I45" s="239">
        <f>I37-I43</f>
        <v>47045.305024999892</v>
      </c>
      <c r="K45" s="239">
        <f>K37-K43</f>
        <v>46868.475100624841</v>
      </c>
      <c r="M45" s="239">
        <f>M37-M43</f>
        <v>46604.034752890468</v>
      </c>
      <c r="O45" s="239">
        <f>O37-O43</f>
        <v>46246.49786285928</v>
      </c>
      <c r="Q45" s="239">
        <f>Q37-Q43</f>
        <v>45790.118119182531</v>
      </c>
      <c r="S45" s="239">
        <f>S37-S43</f>
        <v>45228.878053224413</v>
      </c>
      <c r="U45" s="239">
        <f>U37-U43</f>
        <v>44556.477640882717</v>
      </c>
      <c r="W45" s="239">
        <f>W37-W43</f>
        <v>43766.322454650537</v>
      </c>
      <c r="Y45" s="239">
        <f>Y37-Y43</f>
        <v>42851.511348838452</v>
      </c>
      <c r="AA45" s="239">
        <f>AA37-AA43</f>
        <v>41804.823660250637</v>
      </c>
      <c r="AC45" s="239">
        <f>AC37-AC43</f>
        <v>40618.705905951792</v>
      </c>
      <c r="AE45" s="239">
        <f>AE37-AE43</f>
        <v>39285.257959087845</v>
      </c>
      <c r="AG45" s="239">
        <f>AG37-AG43</f>
        <v>37796.218683007988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7.0435107831486848E-2</v>
      </c>
      <c r="G47" s="243">
        <f>G45/(G4+G6+G8)</f>
        <v>6.8692290769674993E-2</v>
      </c>
      <c r="I47" s="243">
        <f>I45/(I4+I6+I8)</f>
        <v>6.6882584448740637E-2</v>
      </c>
      <c r="K47" s="243">
        <f>K45/(K4+K6+K8)</f>
        <v>6.5006040811406984E-2</v>
      </c>
      <c r="M47" s="243">
        <f>M45/(M4+M6+M8)</f>
        <v>6.3062697622329175E-2</v>
      </c>
      <c r="O47" s="243">
        <f>O45/(O4+O6+O8)</f>
        <v>6.105257867574998E-2</v>
      </c>
      <c r="Q47" s="243">
        <f>Q45/(Q4+Q6+Q8)</f>
        <v>5.8975693996800652E-2</v>
      </c>
      <c r="S47" s="243">
        <f>S45/(S4+S6+S8)</f>
        <v>5.6832040036595748E-2</v>
      </c>
      <c r="U47" s="243">
        <f>U45/(U4+U6+U8)</f>
        <v>5.4621599861248316E-2</v>
      </c>
      <c r="W47" s="243">
        <f>W45/(W4+W6+W8)</f>
        <v>5.2344343334953101E-2</v>
      </c>
      <c r="Y47" s="243">
        <f>Y45/(Y4+Y6+Y8)</f>
        <v>5.0000227297262133E-2</v>
      </c>
      <c r="AA47" s="243">
        <f>AA45/(AA4+AA6+AA8)</f>
        <v>4.7589195734682073E-2</v>
      </c>
      <c r="AC47" s="243">
        <f>AC45/(AC4+AC6+AC8)</f>
        <v>4.5111179946717692E-2</v>
      </c>
      <c r="AE47" s="243">
        <f>AE45/(AE4+AE6+AE8)</f>
        <v>4.2566098706488489E-2</v>
      </c>
      <c r="AG47" s="243">
        <f>AG45/(AG4+AG6+AG8)</f>
        <v>3.9953858416029157E-2</v>
      </c>
    </row>
    <row r="48" spans="1:33" s="243" customFormat="1" ht="14.25">
      <c r="A48" s="243" t="s">
        <v>880</v>
      </c>
      <c r="C48" s="236"/>
      <c r="E48" s="243" t="e">
        <f>E45/E43</f>
        <v>#DIV/0!</v>
      </c>
      <c r="G48" s="243" t="e">
        <f>G45/G43</f>
        <v>#DIV/0!</v>
      </c>
      <c r="I48" s="243" t="e">
        <f>I45/I43</f>
        <v>#DIV/0!</v>
      </c>
      <c r="K48" s="243" t="e">
        <f>K45/K43</f>
        <v>#DIV/0!</v>
      </c>
      <c r="M48" s="243" t="e">
        <f>M45/M43</f>
        <v>#DIV/0!</v>
      </c>
      <c r="O48" s="243" t="e">
        <f>O45/O43</f>
        <v>#DIV/0!</v>
      </c>
      <c r="Q48" s="243" t="e">
        <f>Q45/Q43</f>
        <v>#DIV/0!</v>
      </c>
      <c r="S48" s="243" t="e">
        <f>S45/S43</f>
        <v>#DIV/0!</v>
      </c>
      <c r="U48" s="243" t="e">
        <f>U45/U43</f>
        <v>#DIV/0!</v>
      </c>
      <c r="W48" s="243" t="e">
        <f>W45/W43</f>
        <v>#DIV/0!</v>
      </c>
      <c r="Y48" s="243" t="e">
        <f>Y45/Y43</f>
        <v>#DIV/0!</v>
      </c>
      <c r="AA48" s="243" t="e">
        <f>AA45/AA43</f>
        <v>#DIV/0!</v>
      </c>
      <c r="AC48" s="243" t="e">
        <f>AC45/AC43</f>
        <v>#DIV/0!</v>
      </c>
      <c r="AE48" s="243" t="e">
        <f>AE45/AE43</f>
        <v>#DIV/0!</v>
      </c>
      <c r="AG48" s="243" t="e">
        <f>AG45/AG43</f>
        <v>#DIV/0!</v>
      </c>
    </row>
    <row r="49" spans="1:35" s="244" customFormat="1" ht="14.25">
      <c r="A49" s="244" t="s">
        <v>878</v>
      </c>
      <c r="C49" s="245"/>
      <c r="E49" s="244" t="e">
        <f>E37/E43</f>
        <v>#DIV/0!</v>
      </c>
      <c r="G49" s="244" t="e">
        <f>G37/G43</f>
        <v>#DIV/0!</v>
      </c>
      <c r="I49" s="244" t="e">
        <f>I37/I43</f>
        <v>#DIV/0!</v>
      </c>
      <c r="K49" s="244" t="e">
        <f>K37/K43</f>
        <v>#DIV/0!</v>
      </c>
      <c r="M49" s="244" t="e">
        <f>M37/M43</f>
        <v>#DIV/0!</v>
      </c>
      <c r="O49" s="244" t="e">
        <f>O37/O43</f>
        <v>#DIV/0!</v>
      </c>
      <c r="Q49" s="244" t="e">
        <f>Q37/Q43</f>
        <v>#DIV/0!</v>
      </c>
      <c r="S49" s="244" t="e">
        <f>S37/S43</f>
        <v>#DIV/0!</v>
      </c>
      <c r="U49" s="244" t="e">
        <f>U37/U43</f>
        <v>#DIV/0!</v>
      </c>
      <c r="W49" s="244" t="e">
        <f>W37/W43</f>
        <v>#DIV/0!</v>
      </c>
      <c r="Y49" s="244" t="e">
        <f>Y37/Y43</f>
        <v>#DIV/0!</v>
      </c>
      <c r="AA49" s="244" t="e">
        <f>AA37/AA43</f>
        <v>#DIV/0!</v>
      </c>
      <c r="AC49" s="244" t="e">
        <f>AC37/AC43</f>
        <v>#DIV/0!</v>
      </c>
      <c r="AE49" s="244" t="e">
        <f>AE37/AE43</f>
        <v>#DIV/0!</v>
      </c>
      <c r="AG49" s="244" t="e">
        <f>AG37/AG43</f>
        <v>#DIV/0!</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5" t="s">
        <v>1327</v>
      </c>
      <c r="B52" s="2535"/>
      <c r="C52" s="2535"/>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47156.839999999967</v>
      </c>
      <c r="G60" s="999">
        <f>G45-G58</f>
        <v>47139.76099999994</v>
      </c>
      <c r="I60" s="999">
        <f>I45-I58</f>
        <v>47045.305024999892</v>
      </c>
      <c r="K60" s="999">
        <f>K45-K58</f>
        <v>46868.475100624841</v>
      </c>
      <c r="M60" s="999">
        <f>M45-M58</f>
        <v>46604.034752890468</v>
      </c>
      <c r="O60" s="999">
        <f>O45-O58</f>
        <v>46246.49786285928</v>
      </c>
      <c r="Q60" s="999">
        <f>Q45-Q58</f>
        <v>45790.118119182531</v>
      </c>
      <c r="S60" s="999">
        <f>S45-S58</f>
        <v>45228.878053224413</v>
      </c>
      <c r="U60" s="999">
        <f>U45-U58</f>
        <v>44556.477640882717</v>
      </c>
      <c r="W60" s="999">
        <f>W45-W58</f>
        <v>43766.322454650537</v>
      </c>
      <c r="Y60" s="999">
        <f>Y45-Y58</f>
        <v>42851.511348838452</v>
      </c>
      <c r="AA60" s="999">
        <f>AA45-AA58</f>
        <v>41804.823660250637</v>
      </c>
      <c r="AC60" s="999">
        <f>AC45-AC58</f>
        <v>40618.705905951792</v>
      </c>
      <c r="AE60" s="999">
        <f>AE45-AE58</f>
        <v>39285.257959087845</v>
      </c>
      <c r="AG60" s="999">
        <f>AG45-AG58</f>
        <v>37796.218683007988</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23578.419999999984</v>
      </c>
      <c r="G62" s="999">
        <f>G60*$C$62</f>
        <v>23569.88049999997</v>
      </c>
      <c r="I62" s="999">
        <f>I60*$C$62</f>
        <v>23522.652512499946</v>
      </c>
      <c r="K62" s="999">
        <f>K60*$C$62</f>
        <v>23434.23755031242</v>
      </c>
      <c r="M62" s="999">
        <f>M60*$C$62</f>
        <v>23302.017376445234</v>
      </c>
      <c r="O62" s="999">
        <f>O60*$C$62</f>
        <v>23123.24893142964</v>
      </c>
      <c r="Q62" s="999">
        <f>Q60*$C$62</f>
        <v>22895.059059591265</v>
      </c>
      <c r="S62" s="999">
        <f>S60*$C$62</f>
        <v>22614.439026612206</v>
      </c>
      <c r="U62" s="999">
        <f>U60*$C$62</f>
        <v>22278.238820441358</v>
      </c>
      <c r="W62" s="999">
        <f>W60*$C$62</f>
        <v>21883.161227325269</v>
      </c>
      <c r="Y62" s="999">
        <f>Y60*$C$62</f>
        <v>21425.755674419226</v>
      </c>
      <c r="AA62" s="999">
        <f>AA60*$C$62</f>
        <v>20902.411830125318</v>
      </c>
      <c r="AC62" s="999">
        <f>AC60*$C$62</f>
        <v>20309.352952975896</v>
      </c>
      <c r="AE62" s="999">
        <f>AE60*$C$62</f>
        <v>19642.628979543922</v>
      </c>
      <c r="AG62" s="999">
        <f>AG60*$C$62</f>
        <v>18898.109341503994</v>
      </c>
    </row>
    <row r="63" spans="1:35" s="999" customFormat="1">
      <c r="A63" s="2535" t="s">
        <v>1327</v>
      </c>
      <c r="B63" s="2535"/>
      <c r="C63" s="2535"/>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11789.209999999992</v>
      </c>
      <c r="G66" s="997">
        <f>G60*$C$65</f>
        <v>11784.940249999985</v>
      </c>
      <c r="I66" s="997">
        <f>I60*$C$65</f>
        <v>11761.326256249973</v>
      </c>
      <c r="K66" s="997">
        <f>K60*$C$65</f>
        <v>11717.11877515621</v>
      </c>
      <c r="M66" s="997">
        <f>M60*$C$65</f>
        <v>11651.008688222617</v>
      </c>
      <c r="O66" s="997">
        <f>O60*$C$65</f>
        <v>11561.62446571482</v>
      </c>
      <c r="Q66" s="997">
        <f>Q60*$C$65</f>
        <v>11447.529529795633</v>
      </c>
      <c r="S66" s="997">
        <f>S60*$C$65</f>
        <v>11307.219513306103</v>
      </c>
      <c r="U66" s="997">
        <f>U60*$C$65</f>
        <v>11139.119410220679</v>
      </c>
      <c r="W66" s="997">
        <f>W60*$C$65</f>
        <v>10941.580613662634</v>
      </c>
      <c r="Y66" s="997">
        <f>Y60*$C$65</f>
        <v>10712.877837209613</v>
      </c>
      <c r="AA66" s="997">
        <f>AA60*$C$65</f>
        <v>10451.205915062659</v>
      </c>
      <c r="AC66" s="997">
        <f>AC60*$C$65</f>
        <v>10154.676476487948</v>
      </c>
      <c r="AE66" s="997">
        <f>AE60*$C$65</f>
        <v>9821.3144897719612</v>
      </c>
      <c r="AG66" s="997">
        <f>AG60*$C$65</f>
        <v>9449.054670751997</v>
      </c>
    </row>
    <row r="67" spans="1:35" s="997" customFormat="1">
      <c r="A67" s="1002"/>
      <c r="B67" s="1002"/>
      <c r="C67" s="1007"/>
      <c r="E67" s="1001">
        <f>$E60*$C$65</f>
        <v>11789.209999999992</v>
      </c>
      <c r="G67" s="997">
        <f>G60*$C$65</f>
        <v>11784.940249999985</v>
      </c>
      <c r="I67" s="997">
        <f>I60*$C$65</f>
        <v>11761.326256249973</v>
      </c>
      <c r="K67" s="997">
        <f>K60*$C$65</f>
        <v>11717.11877515621</v>
      </c>
      <c r="M67" s="997">
        <f>M60*$C$65</f>
        <v>11651.008688222617</v>
      </c>
      <c r="O67" s="997">
        <f>O60*$C$65</f>
        <v>11561.62446571482</v>
      </c>
      <c r="Q67" s="997">
        <f>Q60*$C$65</f>
        <v>11447.529529795633</v>
      </c>
      <c r="S67" s="997">
        <f>S60*$C$65</f>
        <v>11307.219513306103</v>
      </c>
      <c r="U67" s="997">
        <f>U60*$C$65</f>
        <v>11139.119410220679</v>
      </c>
      <c r="W67" s="997">
        <f>W60*$C$65</f>
        <v>10941.580613662634</v>
      </c>
      <c r="Y67" s="997">
        <f>Y60*$C$65</f>
        <v>10712.877837209613</v>
      </c>
      <c r="AA67" s="997">
        <f>AA60*$C$65</f>
        <v>10451.205915062659</v>
      </c>
      <c r="AC67" s="997">
        <f>AC60*$C$65</f>
        <v>10154.676476487948</v>
      </c>
      <c r="AE67" s="997">
        <f>AE60*$C$65</f>
        <v>9821.3144897719612</v>
      </c>
      <c r="AG67" s="997">
        <f>AG60*$C$65</f>
        <v>9449.054670751997</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23578.419999999984</v>
      </c>
      <c r="G70" s="997">
        <f>SUM(G66:G69)</f>
        <v>23569.88049999997</v>
      </c>
      <c r="I70" s="997">
        <f>SUM(I66:I69)</f>
        <v>23522.652512499946</v>
      </c>
      <c r="K70" s="997">
        <f>SUM(K66:K69)</f>
        <v>23434.23755031242</v>
      </c>
      <c r="M70" s="997">
        <f>SUM(M66:M69)</f>
        <v>23302.017376445234</v>
      </c>
      <c r="O70" s="997">
        <f>SUM(O66:O69)</f>
        <v>23123.24893142964</v>
      </c>
      <c r="Q70" s="997">
        <f>SUM(Q66:Q69)</f>
        <v>22895.059059591265</v>
      </c>
      <c r="S70" s="997">
        <f>SUM(S66:S69)</f>
        <v>22614.439026612206</v>
      </c>
      <c r="U70" s="997">
        <f>SUM(U66:U69)</f>
        <v>22278.238820441358</v>
      </c>
      <c r="W70" s="997">
        <f>SUM(W66:W69)</f>
        <v>21883.161227325269</v>
      </c>
      <c r="Y70" s="997">
        <f>SUM(Y66:Y69)</f>
        <v>21425.755674419226</v>
      </c>
      <c r="AA70" s="997">
        <f>SUM(AA66:AA69)</f>
        <v>20902.411830125318</v>
      </c>
      <c r="AC70" s="997">
        <f>SUM(AC66:AC69)</f>
        <v>20309.352952975896</v>
      </c>
      <c r="AE70" s="997">
        <f>SUM(AE66:AE69)</f>
        <v>19642.628979543922</v>
      </c>
      <c r="AG70" s="997">
        <f>SUM(AG66:AG69)</f>
        <v>18898.109341503994</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c r="A73" s="564"/>
      <c r="C73" s="1007"/>
    </row>
    <row r="74" spans="1:35" s="233" customFormat="1">
      <c r="A74" s="564"/>
      <c r="C74" s="192"/>
    </row>
    <row r="75" spans="1:35" s="233" customFormat="1">
      <c r="A75" s="997" t="s">
        <v>1982</v>
      </c>
      <c r="C75" s="192"/>
    </row>
    <row r="76" spans="1:35" s="233" customFormat="1">
      <c r="C76" s="192"/>
    </row>
    <row r="77" spans="1:35" s="250" customFormat="1" ht="30" customHeight="1">
      <c r="A77" s="2533" t="s">
        <v>1981</v>
      </c>
      <c r="B77" s="2534"/>
      <c r="C77" s="2534"/>
      <c r="D77" s="2534"/>
      <c r="E77" s="2534"/>
      <c r="F77" s="2534"/>
      <c r="G77" s="2534"/>
      <c r="H77" s="2534"/>
      <c r="I77" s="2534"/>
      <c r="J77" s="2534"/>
      <c r="K77" s="2534"/>
      <c r="L77" s="2534"/>
      <c r="M77" s="2534"/>
      <c r="N77" s="2534"/>
      <c r="O77" s="2534"/>
      <c r="P77" s="2534"/>
      <c r="Q77" s="2534"/>
      <c r="R77" s="2534"/>
      <c r="S77" s="2534"/>
      <c r="T77" s="2534"/>
      <c r="U77" s="2534"/>
      <c r="V77" s="2534"/>
      <c r="W77" s="2534"/>
      <c r="X77" s="2534"/>
      <c r="Y77" s="2534"/>
      <c r="Z77" s="2534"/>
      <c r="AA77" s="2534"/>
      <c r="AB77" s="2534"/>
      <c r="AC77" s="2534"/>
      <c r="AD77" s="2534"/>
      <c r="AE77" s="2534"/>
      <c r="AF77" s="2534"/>
      <c r="AG77" s="253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5750000</v>
      </c>
      <c r="C5" s="286">
        <f>'Sources and Uses Budget'!$C4</f>
        <v>5750000</v>
      </c>
      <c r="D5" s="290">
        <f>C5-B5</f>
        <v>0</v>
      </c>
      <c r="E5" s="288"/>
      <c r="F5" s="287"/>
      <c r="G5" s="384"/>
    </row>
    <row r="6" spans="1:7" s="381" customFormat="1">
      <c r="A6" s="396" t="s">
        <v>28</v>
      </c>
      <c r="B6" s="286">
        <f>'Sources and Uses Budget'!$C5</f>
        <v>144869</v>
      </c>
      <c r="C6" s="286">
        <f>'Sources and Uses Budget'!$C5</f>
        <v>144869</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5894869</v>
      </c>
      <c r="C9" s="290">
        <f>SUM(C5:C8)</f>
        <v>5894869</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380000</v>
      </c>
      <c r="C11" s="286">
        <f>'Sources and Uses Budget'!$C10</f>
        <v>380000</v>
      </c>
      <c r="D11" s="290">
        <f t="shared" si="0"/>
        <v>0</v>
      </c>
      <c r="E11" s="288"/>
      <c r="F11" s="287"/>
      <c r="G11" s="384"/>
    </row>
    <row r="12" spans="1:7" s="381" customFormat="1">
      <c r="A12" s="397" t="s">
        <v>605</v>
      </c>
      <c r="B12" s="290">
        <f>SUM(B10:B11)</f>
        <v>380000</v>
      </c>
      <c r="C12" s="290">
        <f>SUM(C10:C11)</f>
        <v>380000</v>
      </c>
      <c r="D12" s="290">
        <f t="shared" si="0"/>
        <v>0</v>
      </c>
      <c r="E12" s="288"/>
      <c r="F12" s="287"/>
      <c r="G12" s="384"/>
    </row>
    <row r="13" spans="1:7" s="381" customFormat="1">
      <c r="A13" s="397" t="s">
        <v>85</v>
      </c>
      <c r="B13" s="290">
        <f>SUM(B9+B12)</f>
        <v>6274869</v>
      </c>
      <c r="C13" s="290">
        <f>SUM(C9+C12)</f>
        <v>6274869</v>
      </c>
      <c r="D13" s="290">
        <f t="shared" si="0"/>
        <v>0</v>
      </c>
      <c r="E13" s="288"/>
      <c r="F13" s="287"/>
      <c r="G13" s="384"/>
    </row>
    <row r="14" spans="1:7" s="381" customFormat="1">
      <c r="A14" s="398" t="s">
        <v>935</v>
      </c>
      <c r="B14" s="286">
        <f>'Sources and Uses Budget'!$C13</f>
        <v>16750</v>
      </c>
      <c r="C14" s="286">
        <f>'Sources and Uses Budget'!$C13</f>
        <v>16750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2598163</v>
      </c>
      <c r="C30" s="286">
        <f>'Sources and Uses Budget'!$C29</f>
        <v>2598163</v>
      </c>
      <c r="D30" s="290">
        <f t="shared" si="0"/>
        <v>0</v>
      </c>
      <c r="E30" s="288"/>
      <c r="F30" s="287"/>
      <c r="G30" s="384"/>
    </row>
    <row r="31" spans="1:7" s="381" customFormat="1">
      <c r="A31" s="145" t="s">
        <v>608</v>
      </c>
      <c r="B31" s="286">
        <f>'Sources and Uses Budget'!$C30</f>
        <v>11333594</v>
      </c>
      <c r="C31" s="286">
        <f>'Sources and Uses Budget'!$C30</f>
        <v>11333594</v>
      </c>
      <c r="D31" s="290">
        <f t="shared" si="0"/>
        <v>0</v>
      </c>
      <c r="E31" s="288"/>
      <c r="F31" s="287"/>
      <c r="G31" s="384"/>
    </row>
    <row r="32" spans="1:7" s="381" customFormat="1">
      <c r="A32" s="145" t="s">
        <v>609</v>
      </c>
      <c r="B32" s="286">
        <f>'Sources and Uses Budget'!$C31</f>
        <v>806680</v>
      </c>
      <c r="C32" s="286">
        <f>'Sources and Uses Budget'!$C31</f>
        <v>806680</v>
      </c>
      <c r="D32" s="290">
        <f t="shared" si="0"/>
        <v>0</v>
      </c>
      <c r="E32" s="288"/>
      <c r="F32" s="287"/>
      <c r="G32" s="384"/>
    </row>
    <row r="33" spans="1:7" s="381" customFormat="1">
      <c r="A33" s="145" t="s">
        <v>138</v>
      </c>
      <c r="B33" s="286">
        <f>'Sources and Uses Budget'!$C32</f>
        <v>610532</v>
      </c>
      <c r="C33" s="286">
        <f>'Sources and Uses Budget'!$C32</f>
        <v>610532</v>
      </c>
      <c r="D33" s="290">
        <f t="shared" si="0"/>
        <v>0</v>
      </c>
      <c r="E33" s="288"/>
      <c r="F33" s="287"/>
      <c r="G33" s="384"/>
    </row>
    <row r="34" spans="1:7" s="381" customFormat="1">
      <c r="A34" s="145" t="s">
        <v>139</v>
      </c>
      <c r="B34" s="286">
        <f>'Sources and Uses Budget'!$C33</f>
        <v>610532</v>
      </c>
      <c r="C34" s="286">
        <f>'Sources and Uses Budget'!$C33</f>
        <v>610532</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329687</v>
      </c>
      <c r="C36" s="286">
        <f>'Sources and Uses Budget'!$C35</f>
        <v>329687</v>
      </c>
      <c r="D36" s="290">
        <f t="shared" si="0"/>
        <v>0</v>
      </c>
      <c r="E36" s="288"/>
      <c r="F36" s="287"/>
      <c r="G36" s="384"/>
    </row>
    <row r="37" spans="1:7" s="381" customFormat="1">
      <c r="A37" s="304" t="s">
        <v>1820</v>
      </c>
      <c r="B37" s="286">
        <f>'Sources and Uses Budget'!$C36</f>
        <v>250000</v>
      </c>
      <c r="C37" s="286">
        <f>'Sources and Uses Budget'!$C36</f>
        <v>250000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c r="A39" s="291" t="s">
        <v>144</v>
      </c>
      <c r="B39" s="290">
        <f>SUM(B30:B38)</f>
        <v>16539188</v>
      </c>
      <c r="C39" s="290">
        <f>SUM(C30:C38)</f>
        <v>16539188</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749179</v>
      </c>
      <c r="C41" s="286">
        <f>'Sources and Uses Budget'!$C40</f>
        <v>749179</v>
      </c>
      <c r="D41" s="290">
        <f t="shared" si="0"/>
        <v>0</v>
      </c>
      <c r="E41" s="288"/>
      <c r="F41" s="287"/>
      <c r="G41" s="384"/>
    </row>
    <row r="42" spans="1:7" s="381" customFormat="1">
      <c r="A42" s="289" t="s">
        <v>147</v>
      </c>
      <c r="B42" s="286">
        <f>'Sources and Uses Budget'!$C41</f>
        <v>302500</v>
      </c>
      <c r="C42" s="286">
        <f>'Sources and Uses Budget'!$C41</f>
        <v>302500</v>
      </c>
      <c r="D42" s="290">
        <f t="shared" si="0"/>
        <v>0</v>
      </c>
      <c r="E42" s="288"/>
      <c r="F42" s="287"/>
      <c r="G42" s="384"/>
    </row>
    <row r="43" spans="1:7" s="381" customFormat="1">
      <c r="A43" s="291" t="s">
        <v>148</v>
      </c>
      <c r="B43" s="290">
        <f>SUM(B41:B42)</f>
        <v>1051679</v>
      </c>
      <c r="C43" s="290">
        <f>SUM(C41:C42)</f>
        <v>1051679</v>
      </c>
      <c r="D43" s="290">
        <f t="shared" si="0"/>
        <v>0</v>
      </c>
      <c r="E43" s="288"/>
      <c r="F43" s="287"/>
      <c r="G43" s="384"/>
    </row>
    <row r="44" spans="1:7" s="381" customFormat="1">
      <c r="A44" s="291" t="s">
        <v>149</v>
      </c>
      <c r="B44" s="286">
        <f>'Sources and Uses Budget'!$C43</f>
        <v>194146</v>
      </c>
      <c r="C44" s="286">
        <f>'Sources and Uses Budget'!$C43</f>
        <v>194146</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1202293</v>
      </c>
      <c r="C46" s="286">
        <f>'Sources and Uses Budget'!$C45</f>
        <v>1202293</v>
      </c>
      <c r="D46" s="290">
        <f t="shared" si="0"/>
        <v>0</v>
      </c>
      <c r="E46" s="288"/>
      <c r="F46" s="287"/>
      <c r="G46" s="384"/>
    </row>
    <row r="47" spans="1:7" s="381" customFormat="1">
      <c r="A47" s="145" t="s">
        <v>152</v>
      </c>
      <c r="B47" s="286">
        <f>'Sources and Uses Budget'!$C46</f>
        <v>187774</v>
      </c>
      <c r="C47" s="286">
        <f>'Sources and Uses Budget'!$C46</f>
        <v>187774</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164844</v>
      </c>
      <c r="C49" s="286">
        <f>'Sources and Uses Budget'!$C48</f>
        <v>164844</v>
      </c>
      <c r="D49" s="290">
        <f t="shared" si="0"/>
        <v>0</v>
      </c>
      <c r="E49" s="288"/>
      <c r="F49" s="287"/>
      <c r="G49" s="384"/>
    </row>
    <row r="50" spans="1:7" s="381" customFormat="1">
      <c r="A50" s="145" t="s">
        <v>57</v>
      </c>
      <c r="B50" s="286">
        <f>'Sources and Uses Budget'!$C49</f>
        <v>215000</v>
      </c>
      <c r="C50" s="286">
        <f>'Sources and Uses Budget'!$C49</f>
        <v>215000</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0</v>
      </c>
      <c r="C53" s="286">
        <f>'Sources and Uses Budget'!$C52</f>
        <v>0</v>
      </c>
      <c r="D53" s="290">
        <f t="shared" si="0"/>
        <v>0</v>
      </c>
      <c r="E53" s="288"/>
      <c r="F53" s="287"/>
      <c r="G53" s="384"/>
    </row>
    <row r="54" spans="1:7" s="381" customFormat="1">
      <c r="A54" s="155" t="str">
        <f>'Sources and Uses Budget'!A53</f>
        <v>Other: (Specify)</v>
      </c>
      <c r="B54" s="286">
        <f>'Sources and Uses Budget'!$C53</f>
        <v>0</v>
      </c>
      <c r="C54" s="286">
        <f>'Sources and Uses Budget'!$C53</f>
        <v>0</v>
      </c>
      <c r="D54" s="290">
        <f t="shared" si="0"/>
        <v>0</v>
      </c>
      <c r="E54" s="288"/>
      <c r="F54" s="287"/>
      <c r="G54" s="384"/>
    </row>
    <row r="55" spans="1:7" s="382" customFormat="1">
      <c r="A55" s="291" t="s">
        <v>158</v>
      </c>
      <c r="B55" s="293">
        <f>SUM(B46:B54)</f>
        <v>1829911</v>
      </c>
      <c r="C55" s="293">
        <f>SUM(C46:C54)</f>
        <v>1829911</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0</v>
      </c>
      <c r="C59" s="286">
        <f>'Sources and Uses Budget'!$C58</f>
        <v>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(Specify)</v>
      </c>
      <c r="B62" s="286">
        <f>'Sources and Uses Budget'!$C61</f>
        <v>0</v>
      </c>
      <c r="C62" s="286">
        <f>'Sources and Uses Budget'!$C61</f>
        <v>0</v>
      </c>
      <c r="D62" s="290">
        <f t="shared" si="0"/>
        <v>0</v>
      </c>
      <c r="E62" s="288"/>
      <c r="F62" s="287"/>
      <c r="G62" s="384"/>
    </row>
    <row r="63" spans="1:7" s="381" customFormat="1" ht="13.7" customHeight="1">
      <c r="A63" s="291" t="s">
        <v>303</v>
      </c>
      <c r="B63" s="290">
        <f>SUM(B57:B62)</f>
        <v>0</v>
      </c>
      <c r="C63" s="290">
        <f>SUM(C57:C62)</f>
        <v>0</v>
      </c>
      <c r="D63" s="290">
        <f t="shared" si="0"/>
        <v>0</v>
      </c>
      <c r="E63" s="288"/>
      <c r="F63" s="287"/>
      <c r="G63" s="384"/>
    </row>
    <row r="64" spans="1:7" s="381" customFormat="1">
      <c r="A64" s="294" t="s">
        <v>304</v>
      </c>
      <c r="B64" s="290">
        <f>SUM(B9+B12+B14+B15+B17+B26+B28+B39+B43+B44+B55+B63)</f>
        <v>25906543</v>
      </c>
      <c r="C64" s="290">
        <f>SUM(C9+C12+C14+C15+C17+C26+C28+C39+C43+C44+C55+C63)</f>
        <v>25906543</v>
      </c>
      <c r="D64" s="290">
        <f t="shared" si="0"/>
        <v>0</v>
      </c>
      <c r="E64" s="288"/>
      <c r="F64" s="287"/>
      <c r="G64" s="384"/>
    </row>
    <row r="65" spans="1:7" s="381" customFormat="1" ht="24">
      <c r="A65" s="141" t="s">
        <v>1824</v>
      </c>
      <c r="B65" s="284"/>
      <c r="C65" s="284"/>
      <c r="D65" s="284"/>
      <c r="E65" s="303"/>
      <c r="F65" s="284"/>
      <c r="G65" s="384"/>
    </row>
    <row r="66" spans="1:7" s="381" customFormat="1">
      <c r="A66" s="145" t="s">
        <v>172</v>
      </c>
      <c r="B66" s="286">
        <f>'Sources and Uses Budget'!$C65</f>
        <v>163750</v>
      </c>
      <c r="C66" s="286">
        <f>'Sources and Uses Budget'!$C65</f>
        <v>163750</v>
      </c>
      <c r="D66" s="290">
        <f t="shared" si="0"/>
        <v>0</v>
      </c>
      <c r="E66" s="288"/>
      <c r="F66" s="287"/>
      <c r="G66" s="384"/>
    </row>
    <row r="67" spans="1:7" s="381" customFormat="1" ht="24">
      <c r="A67" s="304" t="s">
        <v>1821</v>
      </c>
      <c r="B67" s="286">
        <f>'Sources and Uses Budget'!$C66</f>
        <v>250000</v>
      </c>
      <c r="C67" s="286">
        <f>'Sources and Uses Budget'!$C66</f>
        <v>250000</v>
      </c>
      <c r="D67" s="290"/>
      <c r="E67" s="288"/>
      <c r="F67" s="287"/>
      <c r="G67" s="384"/>
    </row>
    <row r="68" spans="1:7" s="381" customFormat="1" ht="24">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f>'Sources and Uses Budget'!A69</f>
        <v>0</v>
      </c>
      <c r="B70" s="286">
        <f>'Sources and Uses Budget'!$C69</f>
        <v>0</v>
      </c>
      <c r="C70" s="286">
        <f>'Sources and Uses Budget'!$C69</f>
        <v>0</v>
      </c>
      <c r="D70" s="290">
        <f t="shared" si="0"/>
        <v>0</v>
      </c>
      <c r="E70" s="288"/>
      <c r="F70" s="287"/>
      <c r="G70" s="384"/>
    </row>
    <row r="71" spans="1:7" s="381" customFormat="1">
      <c r="A71" s="149" t="s">
        <v>1825</v>
      </c>
      <c r="B71" s="290">
        <f>SUM(B66:B70)</f>
        <v>413750</v>
      </c>
      <c r="C71" s="290">
        <f>SUM(C66:C70)</f>
        <v>413750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33500</v>
      </c>
      <c r="C73" s="286">
        <f>'Sources and Uses Budget'!$C72</f>
        <v>33500</v>
      </c>
      <c r="D73" s="290">
        <f t="shared" si="0"/>
        <v>0</v>
      </c>
      <c r="E73" s="288"/>
      <c r="F73" s="287"/>
      <c r="G73" s="384"/>
    </row>
    <row r="74" spans="1:7" s="381" customFormat="1">
      <c r="A74" s="289" t="s">
        <v>613</v>
      </c>
      <c r="B74" s="286">
        <f>'Sources and Uses Budget'!$C73</f>
        <v>453543</v>
      </c>
      <c r="C74" s="286">
        <f>'Sources and Uses Budget'!$C73</f>
        <v>453543</v>
      </c>
      <c r="D74" s="290">
        <f t="shared" si="0"/>
        <v>0</v>
      </c>
      <c r="E74" s="288"/>
      <c r="F74" s="287"/>
      <c r="G74" s="384"/>
    </row>
    <row r="75" spans="1:7" s="381" customFormat="1">
      <c r="A75" s="309" t="s">
        <v>1040</v>
      </c>
      <c r="B75" s="286">
        <f>'Sources and Uses Budget'!$C74</f>
        <v>33500</v>
      </c>
      <c r="C75" s="286">
        <f>'Sources and Uses Budget'!$C74</f>
        <v>33500</v>
      </c>
      <c r="D75" s="290">
        <f t="shared" si="0"/>
        <v>0</v>
      </c>
      <c r="E75" s="288"/>
      <c r="F75" s="287"/>
      <c r="G75" s="384"/>
    </row>
    <row r="76" spans="1:7" s="381" customFormat="1">
      <c r="A76" s="289" t="s">
        <v>614</v>
      </c>
      <c r="B76" s="286">
        <f>'Sources and Uses Budget'!$C75</f>
        <v>138850</v>
      </c>
      <c r="C76" s="286">
        <f>'Sources and Uses Budget'!$C75</f>
        <v>138850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659393</v>
      </c>
      <c r="C78" s="290">
        <f>SUM(C73:C77)</f>
        <v>659393</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1664922</v>
      </c>
      <c r="C80" s="286">
        <f>'Sources and Uses Budget'!$C79</f>
        <v>1664922</v>
      </c>
      <c r="D80" s="290">
        <f t="shared" si="1"/>
        <v>0</v>
      </c>
      <c r="E80" s="288"/>
      <c r="F80" s="287"/>
      <c r="G80" s="384"/>
    </row>
    <row r="81" spans="1:7" s="381" customFormat="1">
      <c r="A81" s="545" t="s">
        <v>58</v>
      </c>
      <c r="B81" s="286">
        <f>'Sources and Uses Budget'!$C80</f>
        <v>250000</v>
      </c>
      <c r="C81" s="286">
        <f>'Sources and Uses Budget'!$C80</f>
        <v>250000</v>
      </c>
      <c r="D81" s="290">
        <f>C81-B81</f>
        <v>0</v>
      </c>
      <c r="E81" s="288"/>
      <c r="F81" s="287"/>
      <c r="G81" s="384"/>
    </row>
    <row r="82" spans="1:7" s="381" customFormat="1">
      <c r="A82" s="291" t="s">
        <v>1352</v>
      </c>
      <c r="B82" s="290">
        <f>SUM(B80:B81)</f>
        <v>1914922</v>
      </c>
      <c r="C82" s="290">
        <f>SUM(C80:C81)</f>
        <v>1914922</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102846</v>
      </c>
      <c r="C84" s="286">
        <f>'Sources and Uses Budget'!$C83</f>
        <v>102846</v>
      </c>
      <c r="D84" s="290">
        <f t="shared" si="1"/>
        <v>0</v>
      </c>
      <c r="E84" s="288"/>
      <c r="F84" s="287"/>
      <c r="G84" s="384"/>
    </row>
    <row r="85" spans="1:7" s="381" customFormat="1">
      <c r="A85" s="289" t="s">
        <v>791</v>
      </c>
      <c r="B85" s="286">
        <f>'Sources and Uses Budget'!$C84</f>
        <v>0</v>
      </c>
      <c r="C85" s="286">
        <f>'Sources and Uses Budget'!$C84</f>
        <v>0</v>
      </c>
      <c r="D85" s="290">
        <f t="shared" si="1"/>
        <v>0</v>
      </c>
      <c r="E85" s="288"/>
      <c r="F85" s="287"/>
      <c r="G85" s="384"/>
    </row>
    <row r="86" spans="1:7" s="381" customFormat="1">
      <c r="A86" s="289" t="s">
        <v>792</v>
      </c>
      <c r="B86" s="286">
        <f>'Sources and Uses Budget'!$C85</f>
        <v>179179</v>
      </c>
      <c r="C86" s="286">
        <f>'Sources and Uses Budget'!$C85</f>
        <v>179179</v>
      </c>
      <c r="D86" s="290">
        <f t="shared" si="1"/>
        <v>0</v>
      </c>
      <c r="E86" s="288"/>
      <c r="F86" s="287"/>
      <c r="G86" s="384"/>
    </row>
    <row r="87" spans="1:7" s="381" customFormat="1">
      <c r="A87" s="289" t="s">
        <v>793</v>
      </c>
      <c r="B87" s="286">
        <f>'Sources and Uses Budget'!$C86</f>
        <v>232500</v>
      </c>
      <c r="C87" s="286">
        <f>'Sources and Uses Budget'!$C86</f>
        <v>232500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80000</v>
      </c>
      <c r="C89" s="286">
        <f>'Sources and Uses Budget'!$C88</f>
        <v>80000</v>
      </c>
      <c r="D89" s="290">
        <f t="shared" si="1"/>
        <v>0</v>
      </c>
      <c r="E89" s="288"/>
      <c r="F89" s="287"/>
      <c r="G89" s="384"/>
    </row>
    <row r="90" spans="1:7" s="381" customFormat="1">
      <c r="A90" s="289" t="s">
        <v>796</v>
      </c>
      <c r="B90" s="286">
        <f>'Sources and Uses Budget'!$C89</f>
        <v>150750</v>
      </c>
      <c r="C90" s="286">
        <f>'Sources and Uses Budget'!$C89</f>
        <v>150750</v>
      </c>
      <c r="D90" s="290">
        <f t="shared" si="1"/>
        <v>0</v>
      </c>
      <c r="E90" s="288"/>
      <c r="F90" s="287"/>
      <c r="G90" s="384"/>
    </row>
    <row r="91" spans="1:7" s="381" customFormat="1">
      <c r="A91" s="289" t="s">
        <v>797</v>
      </c>
      <c r="B91" s="286">
        <f>'Sources and Uses Budget'!$C90</f>
        <v>8000</v>
      </c>
      <c r="C91" s="286">
        <f>'Sources and Uses Budget'!$C90</f>
        <v>8000</v>
      </c>
      <c r="D91" s="290">
        <f t="shared" si="1"/>
        <v>0</v>
      </c>
      <c r="E91" s="288"/>
      <c r="F91" s="287"/>
      <c r="G91" s="384"/>
    </row>
    <row r="92" spans="1:7" s="381" customFormat="1">
      <c r="A92" s="289" t="s">
        <v>374</v>
      </c>
      <c r="B92" s="286">
        <f>'Sources and Uses Budget'!$C91</f>
        <v>96950</v>
      </c>
      <c r="C92" s="286">
        <f>'Sources and Uses Budget'!$C91</f>
        <v>96950</v>
      </c>
      <c r="D92" s="290">
        <f t="shared" si="1"/>
        <v>0</v>
      </c>
      <c r="E92" s="288"/>
      <c r="F92" s="287"/>
      <c r="G92" s="384"/>
    </row>
    <row r="93" spans="1:7" s="381" customFormat="1">
      <c r="A93" s="545" t="s">
        <v>1354</v>
      </c>
      <c r="B93" s="286">
        <f>'Sources and Uses Budget'!$C92</f>
        <v>7350</v>
      </c>
      <c r="C93" s="286">
        <f>'Sources and Uses Budget'!$C92</f>
        <v>7350</v>
      </c>
      <c r="D93" s="290">
        <f t="shared" si="1"/>
        <v>0</v>
      </c>
      <c r="E93" s="288"/>
      <c r="F93" s="287"/>
      <c r="G93" s="384"/>
    </row>
    <row r="94" spans="1:7" s="381" customFormat="1">
      <c r="A94" s="292" t="s">
        <v>34</v>
      </c>
      <c r="B94" s="286">
        <f>'Sources and Uses Budget'!$C93</f>
        <v>23450</v>
      </c>
      <c r="C94" s="286">
        <f>'Sources and Uses Budget'!$C93</f>
        <v>23450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c r="A97" s="291" t="s">
        <v>798</v>
      </c>
      <c r="B97" s="290">
        <f>SUM(B84:B96)</f>
        <v>881025</v>
      </c>
      <c r="C97" s="290">
        <f>SUM(C84:C96)</f>
        <v>881025</v>
      </c>
      <c r="D97" s="290">
        <f t="shared" si="1"/>
        <v>0</v>
      </c>
      <c r="E97" s="288"/>
      <c r="F97" s="287"/>
      <c r="G97" s="384"/>
    </row>
    <row r="98" spans="1:7" s="381" customFormat="1">
      <c r="A98" s="291" t="s">
        <v>799</v>
      </c>
      <c r="B98" s="290">
        <f>SUM(B64+B71+B78+B82+B97)</f>
        <v>29775633</v>
      </c>
      <c r="C98" s="290">
        <f>SUM(C64+C71+C78+C82+C97)</f>
        <v>29775633</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3353337</v>
      </c>
      <c r="C100" s="286">
        <f>'Sources and Uses Budget'!$C99</f>
        <v>3353337</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3353337</v>
      </c>
      <c r="C105" s="290">
        <f>SUM(C100:C104)</f>
        <v>3353337</v>
      </c>
      <c r="D105" s="290">
        <f t="shared" si="1"/>
        <v>0</v>
      </c>
      <c r="E105" s="288"/>
      <c r="F105" s="287"/>
      <c r="G105" s="384"/>
    </row>
    <row r="106" spans="1:7" s="381" customFormat="1">
      <c r="A106" s="291" t="s">
        <v>804</v>
      </c>
      <c r="B106" s="293">
        <f>SUM(B98+B105)</f>
        <v>33128970</v>
      </c>
      <c r="C106" s="293">
        <f>SUM(C98+C105)</f>
        <v>33128970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6" t="s">
        <v>1105</v>
      </c>
      <c r="B2" s="1296"/>
      <c r="C2" s="1270"/>
      <c r="D2" s="1270"/>
      <c r="E2" s="1270"/>
      <c r="F2" s="1270"/>
      <c r="G2" s="1270"/>
    </row>
    <row r="3" spans="1:9" s="173" customFormat="1">
      <c r="A3" s="1296" t="s">
        <v>1042</v>
      </c>
      <c r="B3" s="1296"/>
      <c r="C3" s="1270"/>
      <c r="D3" s="1270"/>
      <c r="E3" s="1270"/>
      <c r="F3" s="1270"/>
      <c r="G3" s="1270"/>
      <c r="I3" t="s">
        <v>309</v>
      </c>
    </row>
    <row r="4" spans="1:9">
      <c r="I4" s="3" t="s">
        <v>1106</v>
      </c>
    </row>
    <row r="5" spans="1:9">
      <c r="A5" s="1298" t="s">
        <v>1043</v>
      </c>
      <c r="B5" s="1298"/>
      <c r="C5" s="1270"/>
      <c r="D5" s="1270"/>
      <c r="E5" s="1270"/>
      <c r="F5" s="1270"/>
      <c r="G5" s="1270"/>
      <c r="I5" s="3" t="s">
        <v>1107</v>
      </c>
    </row>
    <row r="6" spans="1:9">
      <c r="A6" s="1298" t="s">
        <v>845</v>
      </c>
      <c r="B6" s="1298"/>
      <c r="C6" s="1270"/>
      <c r="D6" s="1270"/>
      <c r="E6" s="1270"/>
      <c r="F6" s="1270"/>
      <c r="G6" s="1270"/>
      <c r="I6" t="s">
        <v>600</v>
      </c>
    </row>
    <row r="7" spans="1:9" ht="11.85" customHeight="1"/>
    <row r="8" spans="1:9">
      <c r="A8" s="1296" t="s">
        <v>1202</v>
      </c>
      <c r="B8" s="1296"/>
      <c r="C8" s="1297"/>
      <c r="D8" s="1297"/>
      <c r="E8" s="1297"/>
      <c r="F8" s="1297"/>
      <c r="G8" s="1297"/>
    </row>
    <row r="9" spans="1:9">
      <c r="A9" s="1296" t="s">
        <v>1203</v>
      </c>
      <c r="B9" s="1296"/>
      <c r="C9" s="1297"/>
      <c r="D9" s="1297"/>
      <c r="E9" s="1297"/>
      <c r="F9" s="1297"/>
      <c r="G9" s="1297"/>
    </row>
    <row r="10" spans="1:9">
      <c r="A10" s="174"/>
      <c r="B10" s="174"/>
      <c r="C10" s="172"/>
      <c r="D10" s="172"/>
      <c r="E10" s="172"/>
      <c r="F10" s="172"/>
    </row>
    <row r="11" spans="1:9">
      <c r="A11" s="1277" t="s">
        <v>1205</v>
      </c>
      <c r="B11" s="1277"/>
      <c r="C11" s="1277"/>
      <c r="D11" s="1277"/>
      <c r="E11" s="1277"/>
      <c r="F11" s="1277"/>
      <c r="G11" s="1277"/>
    </row>
    <row r="12" spans="1:9">
      <c r="A12" s="172"/>
      <c r="B12" s="172"/>
      <c r="E12" s="2"/>
    </row>
    <row r="13" spans="1:9" ht="13.15" customHeight="1">
      <c r="C13" s="172"/>
      <c r="D13" s="1310" t="s">
        <v>1204</v>
      </c>
      <c r="E13" s="1310"/>
      <c r="F13" s="1310"/>
    </row>
    <row r="14" spans="1:9">
      <c r="C14" s="172"/>
      <c r="D14" s="1310"/>
      <c r="E14" s="1310"/>
      <c r="F14" s="1310"/>
    </row>
    <row r="15" spans="1:9">
      <c r="A15" s="175"/>
      <c r="B15" s="175"/>
      <c r="C15" s="175"/>
      <c r="D15" s="1273" t="s">
        <v>1187</v>
      </c>
      <c r="E15" s="1273"/>
      <c r="F15" s="1273"/>
    </row>
    <row r="16" spans="1:9">
      <c r="A16" s="175"/>
      <c r="B16" s="175"/>
      <c r="C16" s="175"/>
      <c r="D16" s="218"/>
    </row>
    <row r="17" spans="1:6" ht="14.25">
      <c r="A17" s="176"/>
      <c r="B17" s="469" t="s">
        <v>309</v>
      </c>
      <c r="C17" s="175"/>
      <c r="D17" s="1262" t="s">
        <v>1188</v>
      </c>
      <c r="E17" s="1262"/>
      <c r="F17" s="1262"/>
    </row>
    <row r="18" spans="1:6">
      <c r="A18" s="175"/>
      <c r="B18" s="175"/>
      <c r="C18" s="175"/>
      <c r="D18" s="1262"/>
      <c r="E18" s="1262"/>
      <c r="F18" s="1262"/>
    </row>
    <row r="19" spans="1:6">
      <c r="A19" s="175"/>
      <c r="B19" s="175"/>
      <c r="C19" s="175"/>
      <c r="D19" s="1262"/>
      <c r="E19" s="1262"/>
      <c r="F19" s="1262"/>
    </row>
    <row r="20" spans="1:6">
      <c r="A20" s="175"/>
      <c r="B20" s="175"/>
      <c r="C20" s="175"/>
    </row>
    <row r="21" spans="1:6" ht="14.25">
      <c r="A21" s="176"/>
      <c r="B21" s="469" t="s">
        <v>309</v>
      </c>
      <c r="D21" s="1305" t="s">
        <v>1189</v>
      </c>
      <c r="E21" s="1305"/>
      <c r="F21" s="1305"/>
    </row>
    <row r="22" spans="1:6" ht="14.25">
      <c r="A22" s="176"/>
      <c r="B22" s="176"/>
      <c r="D22" s="35"/>
    </row>
    <row r="23" spans="1:6" ht="14.25">
      <c r="A23" s="176"/>
      <c r="B23" s="469" t="s">
        <v>309</v>
      </c>
      <c r="D23" s="1262" t="s">
        <v>1190</v>
      </c>
      <c r="E23" s="1262"/>
      <c r="F23" s="1262"/>
    </row>
    <row r="24" spans="1:6" ht="14.25">
      <c r="A24" s="176"/>
      <c r="B24" s="176"/>
      <c r="D24" s="1262"/>
      <c r="E24" s="1262"/>
      <c r="F24" s="1262"/>
    </row>
    <row r="25" spans="1:6"/>
    <row r="26" spans="1:6" ht="14.25">
      <c r="A26" s="176"/>
      <c r="B26" s="469" t="s">
        <v>309</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1192</v>
      </c>
      <c r="E32" s="1262"/>
      <c r="F32" s="1262"/>
    </row>
    <row r="33" spans="1:6">
      <c r="D33" s="1262"/>
      <c r="E33" s="1262"/>
      <c r="F33" s="1262"/>
    </row>
    <row r="34" spans="1:6" ht="14.25">
      <c r="A34" s="176"/>
      <c r="B34" s="176"/>
      <c r="D34" s="220"/>
    </row>
    <row r="35" spans="1:6" ht="14.45" customHeight="1">
      <c r="A35" s="176"/>
      <c r="B35" s="469" t="s">
        <v>309</v>
      </c>
      <c r="D35" s="1262" t="s">
        <v>1193</v>
      </c>
      <c r="E35" s="1262"/>
      <c r="F35" s="1262"/>
    </row>
    <row r="36" spans="1:6" ht="14.25">
      <c r="A36" s="176"/>
      <c r="B36" s="176"/>
      <c r="D36" s="1262"/>
      <c r="E36" s="1262"/>
      <c r="F36" s="1262"/>
    </row>
    <row r="37" spans="1:6" ht="14.25">
      <c r="A37" s="176"/>
      <c r="B37" s="176"/>
      <c r="D37" s="1262"/>
      <c r="E37" s="1262"/>
      <c r="F37" s="1262"/>
    </row>
    <row r="38" spans="1:6" ht="14.25">
      <c r="A38" s="176"/>
      <c r="B38" s="176"/>
      <c r="D38"/>
    </row>
    <row r="39" spans="1:6" ht="14.25">
      <c r="A39" s="176"/>
      <c r="B39" s="469" t="s">
        <v>309</v>
      </c>
      <c r="D39" s="1262" t="s">
        <v>1194</v>
      </c>
      <c r="E39" s="1262"/>
      <c r="F39" s="1262"/>
    </row>
    <row r="40" spans="1:6" ht="14.25">
      <c r="A40" s="176"/>
      <c r="B40" s="176"/>
      <c r="D40" s="1262"/>
      <c r="E40" s="1262"/>
      <c r="F40" s="1262"/>
    </row>
    <row r="41" spans="1:6" ht="14.25">
      <c r="A41" s="176"/>
      <c r="B41" s="176"/>
      <c r="D41" s="1262"/>
      <c r="E41" s="1262"/>
      <c r="F41" s="1262"/>
    </row>
    <row r="42" spans="1:6" ht="14.25">
      <c r="A42" s="176"/>
      <c r="B42" s="176"/>
      <c r="D42" s="1262"/>
      <c r="E42" s="1262"/>
      <c r="F42" s="1262"/>
    </row>
    <row r="43" spans="1:6" ht="14.25">
      <c r="A43" s="176"/>
      <c r="B43" s="176"/>
      <c r="D43" s="1262"/>
      <c r="E43" s="1262"/>
      <c r="F43" s="1262"/>
    </row>
    <row r="44" spans="1:6" ht="14.25">
      <c r="A44" s="176"/>
      <c r="B44" s="176"/>
      <c r="D44" s="475"/>
      <c r="E44" s="475"/>
      <c r="F44" s="475"/>
    </row>
    <row r="45" spans="1:6" ht="14.25">
      <c r="A45" s="176"/>
      <c r="B45" s="469" t="s">
        <v>309</v>
      </c>
      <c r="D45" s="1262" t="s">
        <v>1195</v>
      </c>
      <c r="E45" s="1262"/>
      <c r="F45" s="1262"/>
    </row>
    <row r="46" spans="1:6" ht="14.25">
      <c r="A46" s="176"/>
      <c r="B46" s="176"/>
      <c r="D46" s="1262"/>
      <c r="E46" s="1262"/>
      <c r="F46" s="1262"/>
    </row>
    <row r="47" spans="1:6" ht="14.25">
      <c r="A47" s="176"/>
      <c r="B47" s="176"/>
      <c r="D47" s="1262"/>
      <c r="E47" s="1262"/>
      <c r="F47" s="1262"/>
    </row>
    <row r="48" spans="1:6" ht="23.25" customHeight="1">
      <c r="A48" s="176"/>
      <c r="B48" s="176"/>
      <c r="D48" s="1262"/>
      <c r="E48" s="1262"/>
      <c r="F48" s="1262"/>
    </row>
    <row r="49" spans="1:7" ht="14.25">
      <c r="A49" s="176"/>
      <c r="B49" s="176"/>
      <c r="D49" s="35"/>
    </row>
    <row r="50" spans="1:7" ht="14.45" customHeight="1">
      <c r="A50" s="176"/>
      <c r="B50" s="469" t="s">
        <v>309</v>
      </c>
      <c r="D50" s="1262" t="s">
        <v>1196</v>
      </c>
      <c r="E50" s="1262"/>
      <c r="F50" s="1262"/>
    </row>
    <row r="51" spans="1:7" ht="14.25">
      <c r="A51" s="176"/>
      <c r="B51" s="176"/>
      <c r="D51" s="1262"/>
      <c r="E51" s="1262"/>
      <c r="F51" s="1262"/>
    </row>
    <row r="52" spans="1:7" ht="14.25">
      <c r="A52" s="176"/>
      <c r="B52" s="176"/>
      <c r="D52" s="1262"/>
      <c r="E52" s="1262"/>
      <c r="F52" s="1262"/>
    </row>
    <row r="53" spans="1:7" ht="14.25">
      <c r="A53" s="176"/>
      <c r="B53" s="176"/>
      <c r="C53" s="386"/>
      <c r="D53" s="3"/>
      <c r="E53" s="3"/>
      <c r="F53" s="3"/>
      <c r="G53" s="3"/>
    </row>
    <row r="54" spans="1:7" ht="14.25">
      <c r="A54" s="176"/>
      <c r="B54" s="469" t="s">
        <v>309</v>
      </c>
      <c r="C54" s="386"/>
      <c r="D54" s="1262" t="s">
        <v>1197</v>
      </c>
      <c r="E54" s="1262"/>
      <c r="F54" s="1262"/>
      <c r="G54" s="3"/>
    </row>
    <row r="55" spans="1:7" ht="14.25">
      <c r="A55" s="176"/>
      <c r="B55" s="176"/>
      <c r="C55" s="386"/>
      <c r="D55" s="1262"/>
      <c r="E55" s="1262"/>
      <c r="F55" s="1262"/>
      <c r="G55" s="3"/>
    </row>
    <row r="56" spans="1:7">
      <c r="D56" s="220"/>
    </row>
    <row r="57" spans="1:7" ht="14.25">
      <c r="A57" s="176"/>
      <c r="B57" s="469" t="s">
        <v>309</v>
      </c>
      <c r="D57" s="1262" t="s">
        <v>1198</v>
      </c>
      <c r="E57" s="1262"/>
      <c r="F57" s="1262"/>
    </row>
    <row r="58" spans="1:7">
      <c r="D58" s="1262"/>
      <c r="E58" s="1262"/>
      <c r="F58" s="1262"/>
    </row>
    <row r="59" spans="1:7">
      <c r="D59" s="1262"/>
      <c r="E59" s="1262"/>
      <c r="F59" s="1262"/>
    </row>
    <row r="60" spans="1:7">
      <c r="D60" s="3"/>
    </row>
    <row r="61" spans="1:7" ht="14.25">
      <c r="A61" s="176"/>
      <c r="B61" s="469" t="s">
        <v>309</v>
      </c>
      <c r="D61" s="1262" t="s">
        <v>1199</v>
      </c>
      <c r="E61" s="1262"/>
      <c r="F61" s="1262"/>
    </row>
    <row r="62" spans="1:7">
      <c r="D62" s="1262"/>
      <c r="E62" s="1262"/>
      <c r="F62" s="1262"/>
    </row>
    <row r="63" spans="1:7"/>
    <row r="64" spans="1:7" ht="14.25">
      <c r="A64" s="176"/>
      <c r="B64" s="469" t="s">
        <v>309</v>
      </c>
      <c r="D64" s="1262" t="s">
        <v>1200</v>
      </c>
      <c r="E64" s="1262"/>
      <c r="F64" s="1262"/>
    </row>
    <row r="65" spans="1:7">
      <c r="D65" s="1262"/>
      <c r="E65" s="1262"/>
      <c r="F65" s="1262"/>
    </row>
    <row r="66" spans="1:7">
      <c r="D66" s="1262"/>
      <c r="E66" s="1262"/>
      <c r="F66" s="1262"/>
    </row>
    <row r="67" spans="1:7">
      <c r="D67"/>
    </row>
    <row r="68" spans="1:7" ht="14.25">
      <c r="A68" s="176"/>
      <c r="B68" s="469" t="s">
        <v>309</v>
      </c>
      <c r="D68" s="1262" t="s">
        <v>1201</v>
      </c>
      <c r="E68" s="1262"/>
      <c r="F68" s="1262"/>
    </row>
    <row r="69" spans="1:7">
      <c r="D69" s="1262"/>
      <c r="E69" s="1262"/>
      <c r="F69" s="1262"/>
    </row>
    <row r="70" spans="1:7" ht="14.25">
      <c r="A70" s="176"/>
      <c r="B70" s="176"/>
      <c r="D70" s="35"/>
    </row>
    <row r="71" spans="1:7">
      <c r="A71" s="1277" t="s">
        <v>1108</v>
      </c>
      <c r="B71" s="1277"/>
      <c r="C71" s="1277"/>
      <c r="D71" s="1277"/>
      <c r="E71" s="1277"/>
      <c r="F71" s="1277"/>
      <c r="G71" s="1277"/>
    </row>
    <row r="72" spans="1:7"/>
    <row r="73" spans="1:7">
      <c r="C73" s="177"/>
      <c r="D73" s="1295" t="s">
        <v>1206</v>
      </c>
      <c r="E73" s="1295"/>
      <c r="F73" s="1295"/>
    </row>
    <row r="74" spans="1:7">
      <c r="A74" s="35"/>
      <c r="B74" s="35"/>
      <c r="D74" s="1262" t="s">
        <v>1233</v>
      </c>
      <c r="E74" s="1262"/>
      <c r="F74" s="1262"/>
    </row>
    <row r="75" spans="1:7">
      <c r="A75" s="35"/>
      <c r="B75" s="35"/>
    </row>
    <row r="76" spans="1:7" ht="14.25">
      <c r="A76" s="176"/>
      <c r="B76" s="469" t="s">
        <v>309</v>
      </c>
      <c r="D76" s="1262" t="s">
        <v>1207</v>
      </c>
      <c r="E76" s="1262"/>
      <c r="F76" s="1262"/>
    </row>
    <row r="77" spans="1:7" ht="14.25">
      <c r="A77" s="176"/>
      <c r="B77" s="176"/>
      <c r="D77" s="1262"/>
      <c r="E77" s="1262"/>
      <c r="F77" s="1262"/>
    </row>
    <row r="78" spans="1:7" ht="14.25">
      <c r="A78" s="176"/>
      <c r="B78" s="176"/>
      <c r="D78" s="1262"/>
      <c r="E78" s="1262"/>
      <c r="F78" s="1262"/>
    </row>
    <row r="79" spans="1:7" ht="14.25">
      <c r="A79" s="176"/>
      <c r="B79" s="176"/>
      <c r="D79" s="1262"/>
      <c r="E79" s="1262"/>
      <c r="F79" s="1262"/>
    </row>
    <row r="80" spans="1:7" ht="14.25">
      <c r="A80" s="176"/>
      <c r="B80" s="176"/>
      <c r="D80" s="1262"/>
      <c r="E80" s="1262"/>
      <c r="F80" s="1262"/>
    </row>
    <row r="81" spans="1:6" ht="14.25">
      <c r="A81" s="176"/>
      <c r="B81" s="176"/>
      <c r="D81" s="1262"/>
      <c r="E81" s="1262"/>
      <c r="F81" s="1262"/>
    </row>
    <row r="82" spans="1:6" ht="14.25">
      <c r="A82" s="176"/>
      <c r="B82" s="176"/>
      <c r="D82" s="475"/>
      <c r="E82" s="475"/>
      <c r="F82" s="475"/>
    </row>
    <row r="83" spans="1:6" ht="14.45" customHeight="1">
      <c r="A83" s="176"/>
      <c r="B83" s="469" t="s">
        <v>309</v>
      </c>
      <c r="D83" s="1271" t="s">
        <v>1306</v>
      </c>
      <c r="E83" s="1271"/>
      <c r="F83" s="1271"/>
    </row>
    <row r="84" spans="1:6" ht="14.25">
      <c r="A84" s="176"/>
      <c r="B84" s="176"/>
      <c r="D84" s="1271"/>
      <c r="E84" s="1271"/>
      <c r="F84" s="1271"/>
    </row>
    <row r="85" spans="1:6" ht="14.25">
      <c r="A85" s="176"/>
      <c r="B85" s="176"/>
      <c r="D85" s="1271"/>
      <c r="E85" s="1271"/>
      <c r="F85" s="1271"/>
    </row>
    <row r="86" spans="1:6" ht="14.25">
      <c r="A86" s="176"/>
      <c r="B86" s="176"/>
      <c r="D86" s="1271"/>
      <c r="E86" s="1271"/>
      <c r="F86" s="1271"/>
    </row>
    <row r="87" spans="1:6" ht="14.25">
      <c r="A87" s="176"/>
      <c r="B87" s="176"/>
      <c r="D87" s="1271"/>
      <c r="E87" s="1271"/>
      <c r="F87" s="1271"/>
    </row>
    <row r="88" spans="1:6" ht="14.25">
      <c r="A88" s="176"/>
      <c r="B88" s="176"/>
      <c r="D88" s="1271"/>
      <c r="E88" s="1271"/>
      <c r="F88" s="1271"/>
    </row>
    <row r="89" spans="1:6" ht="14.25">
      <c r="A89" s="176"/>
      <c r="B89" s="176"/>
      <c r="D89" s="1271"/>
      <c r="E89" s="1271"/>
      <c r="F89" s="1271"/>
    </row>
    <row r="90" spans="1:6" ht="14.25">
      <c r="A90" s="176"/>
      <c r="B90" s="176"/>
      <c r="D90" s="1271"/>
      <c r="E90" s="1271"/>
      <c r="F90" s="1271"/>
    </row>
    <row r="91" spans="1:6" ht="14.25">
      <c r="A91" s="176"/>
      <c r="B91" s="176"/>
      <c r="D91" s="1271"/>
      <c r="E91" s="1271"/>
      <c r="F91" s="1271"/>
    </row>
    <row r="92" spans="1:6" ht="14.25">
      <c r="A92" s="176"/>
      <c r="B92" s="176"/>
      <c r="D92" s="1271"/>
      <c r="E92" s="1271"/>
      <c r="F92" s="1271"/>
    </row>
    <row r="93" spans="1:6" ht="14.25">
      <c r="A93" s="176"/>
      <c r="B93" s="176"/>
      <c r="D93" s="1271"/>
      <c r="E93" s="1271"/>
      <c r="F93" s="1271"/>
    </row>
    <row r="94" spans="1:6" ht="14.25">
      <c r="A94" s="176"/>
      <c r="B94" s="176"/>
      <c r="D94" s="1271"/>
      <c r="E94" s="1271"/>
      <c r="F94" s="1271"/>
    </row>
    <row r="95" spans="1:6" ht="14.25">
      <c r="A95" s="176"/>
      <c r="B95" s="176"/>
      <c r="D95" s="1271"/>
      <c r="E95" s="1271"/>
      <c r="F95" s="1271"/>
    </row>
    <row r="96" spans="1:6" ht="14.25">
      <c r="A96" s="176"/>
      <c r="B96" s="176"/>
      <c r="D96" s="1271"/>
      <c r="E96" s="1271"/>
      <c r="F96" s="1271"/>
    </row>
    <row r="97" spans="1:11" ht="14.25">
      <c r="A97" s="176"/>
      <c r="B97" s="469" t="s">
        <v>309</v>
      </c>
      <c r="D97" s="1262" t="s">
        <v>1208</v>
      </c>
      <c r="E97" s="1262"/>
      <c r="F97" s="1262"/>
    </row>
    <row r="98" spans="1:11" ht="14.25">
      <c r="A98" s="176"/>
      <c r="B98" s="176"/>
      <c r="D98" s="1262"/>
      <c r="E98" s="1262"/>
      <c r="F98" s="1262"/>
    </row>
    <row r="99" spans="1:11" ht="14.25">
      <c r="A99" s="176"/>
      <c r="B99" s="176"/>
      <c r="D99" s="1262"/>
      <c r="E99" s="1262"/>
      <c r="F99" s="1262"/>
    </row>
    <row r="100" spans="1:11" ht="14.25">
      <c r="A100" s="176"/>
      <c r="B100" s="176"/>
      <c r="D100" s="1262"/>
      <c r="E100" s="1262"/>
      <c r="F100" s="1262"/>
    </row>
    <row r="101" spans="1:11" ht="14.25">
      <c r="A101" s="176"/>
      <c r="B101" s="176"/>
      <c r="D101" s="1262"/>
      <c r="E101" s="1262"/>
      <c r="F101" s="1262"/>
    </row>
    <row r="102" spans="1:11" ht="14.25">
      <c r="A102" s="176"/>
      <c r="B102" s="176"/>
      <c r="D102" s="1262"/>
      <c r="E102" s="1262"/>
      <c r="F102" s="1262"/>
    </row>
    <row r="103" spans="1:11" ht="14.25">
      <c r="A103" s="176"/>
      <c r="B103" s="176"/>
      <c r="D103" s="1262"/>
      <c r="E103" s="1262"/>
      <c r="F103" s="1262"/>
    </row>
    <row r="104" spans="1:11" ht="14.25">
      <c r="A104" s="176"/>
      <c r="B104" s="176"/>
      <c r="D104" s="1262"/>
      <c r="E104" s="1262"/>
      <c r="F104" s="1262"/>
    </row>
    <row r="105" spans="1:11" ht="14.25">
      <c r="A105" s="176"/>
      <c r="B105" s="176"/>
      <c r="D105" s="475"/>
      <c r="E105" s="475"/>
      <c r="F105" s="475"/>
    </row>
    <row r="106" spans="1:11" ht="14.25">
      <c r="A106" s="176"/>
      <c r="B106" s="469" t="s">
        <v>309</v>
      </c>
      <c r="C106" s="179"/>
      <c r="D106" s="1299" t="s">
        <v>1209</v>
      </c>
      <c r="E106" s="1299"/>
      <c r="F106" s="1299"/>
      <c r="G106" s="183"/>
      <c r="H106" s="181"/>
      <c r="I106" s="181"/>
      <c r="J106" s="181"/>
      <c r="K106" s="181"/>
    </row>
    <row r="107" spans="1:11" ht="14.25">
      <c r="A107" s="176"/>
      <c r="B107" s="176"/>
      <c r="C107" s="179"/>
      <c r="D107" s="1299"/>
      <c r="E107" s="1299"/>
      <c r="F107" s="1299"/>
      <c r="G107" s="183"/>
      <c r="H107" s="181"/>
      <c r="I107" s="181"/>
      <c r="J107" s="181"/>
      <c r="K107" s="181"/>
    </row>
    <row r="108" spans="1:11" ht="14.25">
      <c r="A108" s="176"/>
      <c r="B108" s="176"/>
      <c r="C108" s="179"/>
      <c r="D108" s="1299"/>
      <c r="E108" s="1299"/>
      <c r="F108" s="1299"/>
      <c r="G108" s="183"/>
      <c r="H108" s="181"/>
      <c r="I108" s="181"/>
      <c r="J108" s="181"/>
      <c r="K108" s="181"/>
    </row>
    <row r="109" spans="1:11" ht="14.25">
      <c r="A109" s="176"/>
      <c r="B109" s="176"/>
      <c r="C109" s="179"/>
      <c r="D109" s="1299"/>
      <c r="E109" s="1299"/>
      <c r="F109" s="1299"/>
      <c r="G109" s="183"/>
      <c r="H109" s="181"/>
      <c r="I109" s="181"/>
      <c r="J109" s="181"/>
      <c r="K109" s="181"/>
    </row>
    <row r="110" spans="1:11" ht="14.25">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4.25">
      <c r="A114" s="176"/>
      <c r="B114" s="469" t="s">
        <v>309</v>
      </c>
      <c r="C114"/>
      <c r="D114" s="1300" t="s">
        <v>1210</v>
      </c>
      <c r="E114" s="1300"/>
      <c r="F114" s="1300"/>
      <c r="G114"/>
    </row>
    <row r="115" spans="1:7" ht="14.25">
      <c r="A115" s="176"/>
      <c r="B115" s="176"/>
      <c r="C115"/>
      <c r="D115" s="1300"/>
      <c r="E115" s="1300"/>
      <c r="F115" s="1300"/>
      <c r="G115"/>
    </row>
    <row r="116" spans="1:7"/>
    <row r="117" spans="1:7" ht="14.25">
      <c r="A117" s="176"/>
      <c r="B117" s="469" t="s">
        <v>309</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4.25">
      <c r="A123" s="176"/>
      <c r="B123" s="469" t="s">
        <v>309</v>
      </c>
      <c r="D123" s="1262" t="s">
        <v>1212</v>
      </c>
      <c r="E123" s="1262"/>
      <c r="F123" s="1262"/>
    </row>
    <row r="124" spans="1:7" s="197" customFormat="1" ht="13.7" customHeight="1">
      <c r="A124" s="195"/>
      <c r="B124" s="195"/>
      <c r="C124" s="195"/>
      <c r="D124" s="1262"/>
      <c r="E124" s="1262"/>
      <c r="F124" s="1262"/>
      <c r="G124" s="196"/>
    </row>
    <row r="125" spans="1:7" ht="13.7" customHeight="1">
      <c r="D125" s="1262"/>
      <c r="E125" s="1262"/>
      <c r="F125" s="1262"/>
    </row>
    <row r="126" spans="1:7" ht="13.7" customHeight="1">
      <c r="D126" s="1262"/>
      <c r="E126" s="1262"/>
      <c r="F126" s="1262"/>
    </row>
    <row r="127" spans="1:7" ht="13.7" customHeight="1">
      <c r="D127" s="1262"/>
      <c r="E127" s="1262"/>
      <c r="F127" s="1262"/>
    </row>
    <row r="128" spans="1:7" ht="13.7" customHeight="1">
      <c r="A128" s="256"/>
      <c r="B128" s="256"/>
      <c r="D128" s="1262"/>
      <c r="E128" s="1262"/>
      <c r="F128" s="1262"/>
    </row>
    <row r="129" spans="2:6" ht="13.7" customHeight="1">
      <c r="D129" s="1262"/>
      <c r="E129" s="1262"/>
      <c r="F129" s="1262"/>
    </row>
    <row r="130" spans="2:6" ht="13.7" customHeight="1">
      <c r="D130" s="1262"/>
      <c r="E130" s="1262"/>
      <c r="F130" s="1262"/>
    </row>
    <row r="131" spans="2:6" ht="13.7" customHeight="1">
      <c r="D131" s="1262"/>
      <c r="E131" s="1262"/>
      <c r="F131" s="1262"/>
    </row>
    <row r="132" spans="2:6" ht="13.7" customHeight="1">
      <c r="D132" s="1262"/>
      <c r="E132" s="1262"/>
      <c r="F132" s="1262"/>
    </row>
    <row r="133" spans="2:6" ht="13.7" customHeight="1">
      <c r="D133" s="1262"/>
      <c r="E133" s="1262"/>
      <c r="F133" s="1262"/>
    </row>
    <row r="134" spans="2:6" ht="13.7" customHeight="1">
      <c r="D134" s="1262"/>
      <c r="E134" s="1262"/>
      <c r="F134" s="1262"/>
    </row>
    <row r="135" spans="2:6" ht="13.7" customHeight="1">
      <c r="D135" s="218"/>
      <c r="E135" s="35"/>
      <c r="F135" s="35"/>
    </row>
    <row r="136" spans="2:6" ht="13.7" customHeight="1">
      <c r="B136" s="469" t="s">
        <v>309</v>
      </c>
      <c r="D136" s="1262" t="s">
        <v>1320</v>
      </c>
      <c r="E136" s="1262"/>
      <c r="F136" s="1262"/>
    </row>
    <row r="137" spans="2:6" ht="13.7" customHeight="1">
      <c r="D137" s="1262"/>
      <c r="E137" s="1262"/>
      <c r="F137" s="1262"/>
    </row>
    <row r="138" spans="2:6" ht="13.7" customHeight="1">
      <c r="D138" s="1262"/>
      <c r="E138" s="1262"/>
      <c r="F138" s="1262"/>
    </row>
    <row r="139" spans="2:6" ht="13.7" customHeight="1">
      <c r="D139" s="1262"/>
      <c r="E139" s="1262"/>
      <c r="F139" s="1262"/>
    </row>
    <row r="140" spans="2:6" ht="13.7" customHeight="1">
      <c r="D140" s="1262"/>
      <c r="E140" s="1262"/>
      <c r="F140" s="1262"/>
    </row>
    <row r="141" spans="2:6" ht="13.7" customHeight="1">
      <c r="D141" s="1262"/>
      <c r="E141" s="1262"/>
      <c r="F141" s="1262"/>
    </row>
    <row r="142" spans="2:6" ht="13.7" customHeight="1">
      <c r="D142" s="1262"/>
      <c r="E142" s="1262"/>
      <c r="F142" s="1262"/>
    </row>
    <row r="143" spans="2:6" ht="13.7" customHeight="1">
      <c r="D143" s="1262"/>
      <c r="E143" s="1262"/>
      <c r="F143" s="1262"/>
    </row>
    <row r="144" spans="2:6" ht="13.7" customHeight="1">
      <c r="D144" s="1262"/>
      <c r="E144" s="1262"/>
      <c r="F144" s="1262"/>
    </row>
    <row r="145" spans="1:7" ht="13.7" customHeight="1">
      <c r="D145" s="1262"/>
      <c r="E145" s="1262"/>
      <c r="F145" s="1262"/>
    </row>
    <row r="146" spans="1:7" ht="13.7" customHeight="1">
      <c r="D146" s="1262"/>
      <c r="E146" s="1262"/>
      <c r="F146" s="1262"/>
    </row>
    <row r="147" spans="1:7" ht="13.7" customHeight="1">
      <c r="D147" s="1262"/>
      <c r="E147" s="1262"/>
      <c r="F147" s="1262"/>
    </row>
    <row r="148" spans="1:7" ht="13.7" customHeight="1">
      <c r="D148" s="1262"/>
      <c r="E148" s="1262"/>
      <c r="F148" s="1262"/>
    </row>
    <row r="149" spans="1:7" ht="13.7" customHeight="1">
      <c r="D149" s="1262"/>
      <c r="E149" s="1262"/>
      <c r="F149" s="1262"/>
    </row>
    <row r="150" spans="1:7" ht="13.7" customHeight="1">
      <c r="D150" s="1262"/>
      <c r="E150" s="1262"/>
      <c r="F150" s="1262"/>
    </row>
    <row r="151" spans="1:7" ht="13.7" customHeight="1">
      <c r="D151" s="1262"/>
      <c r="E151" s="1262"/>
      <c r="F151" s="1262"/>
    </row>
    <row r="152" spans="1:7" ht="13.7" customHeight="1">
      <c r="D152" s="1262"/>
      <c r="E152" s="1262"/>
      <c r="F152" s="1262"/>
    </row>
    <row r="153" spans="1:7" ht="13.7" customHeight="1">
      <c r="D153" s="1262"/>
      <c r="E153" s="1262"/>
      <c r="F153" s="1262"/>
    </row>
    <row r="154" spans="1:7" ht="13.7" customHeight="1">
      <c r="D154" s="1262"/>
      <c r="E154" s="1262"/>
      <c r="F154" s="1262"/>
    </row>
    <row r="155" spans="1:7" ht="13.7" customHeight="1">
      <c r="D155" s="218"/>
      <c r="E155" s="35"/>
      <c r="F155" s="35"/>
    </row>
    <row r="156" spans="1:7" ht="13.7" customHeight="1">
      <c r="A156" s="256"/>
      <c r="B156" s="469" t="s">
        <v>309</v>
      </c>
      <c r="C156" s="218"/>
      <c r="D156" s="1271" t="s">
        <v>1213</v>
      </c>
      <c r="E156" s="1271"/>
      <c r="F156" s="1271"/>
      <c r="G156" s="218"/>
    </row>
    <row r="157" spans="1:7" ht="13.7" customHeight="1">
      <c r="A157" s="256"/>
      <c r="B157" s="256"/>
      <c r="C157" s="218"/>
      <c r="D157" s="1271"/>
      <c r="E157" s="1271"/>
      <c r="F157" s="1271"/>
      <c r="G157" s="218"/>
    </row>
    <row r="158" spans="1:7" ht="13.7" customHeight="1">
      <c r="A158" s="256"/>
      <c r="B158" s="256"/>
      <c r="C158" s="218"/>
      <c r="D158" s="218"/>
      <c r="E158" s="218"/>
      <c r="F158" s="218"/>
      <c r="G158" s="218"/>
    </row>
    <row r="159" spans="1:7" ht="13.7" customHeight="1">
      <c r="A159" s="256"/>
      <c r="B159" s="469" t="s">
        <v>309</v>
      </c>
      <c r="C159" s="218"/>
      <c r="D159" s="1271" t="s">
        <v>1214</v>
      </c>
      <c r="E159" s="1271"/>
      <c r="F159" s="1271"/>
      <c r="G159" s="218"/>
    </row>
    <row r="160" spans="1:7" ht="13.7" customHeight="1">
      <c r="A160" s="256"/>
      <c r="B160" s="256"/>
      <c r="C160" s="218"/>
      <c r="D160" s="1271"/>
      <c r="E160" s="1271"/>
      <c r="F160" s="1271"/>
      <c r="G160" s="218"/>
    </row>
    <row r="161" spans="1:7" ht="13.7" customHeight="1">
      <c r="A161" s="256"/>
      <c r="B161" s="256"/>
      <c r="C161" s="218"/>
      <c r="D161" s="1271"/>
      <c r="E161" s="1271"/>
      <c r="F161" s="1271"/>
      <c r="G161" s="218"/>
    </row>
    <row r="162" spans="1:7" ht="13.7" customHeight="1">
      <c r="A162" s="256"/>
      <c r="B162" s="256"/>
      <c r="C162" s="218"/>
      <c r="D162" s="1271"/>
      <c r="E162" s="1271"/>
      <c r="F162" s="1271"/>
      <c r="G162" s="218"/>
    </row>
    <row r="163" spans="1:7" ht="13.7" customHeight="1">
      <c r="D163" s="35"/>
      <c r="E163" s="35"/>
      <c r="F163" s="35"/>
    </row>
    <row r="164" spans="1:7" ht="13.7" customHeight="1">
      <c r="B164" s="469" t="s">
        <v>309</v>
      </c>
      <c r="D164" s="1276" t="s">
        <v>1215</v>
      </c>
      <c r="E164" s="1276"/>
      <c r="F164" s="1276"/>
    </row>
    <row r="165" spans="1:7" ht="13.7" customHeight="1">
      <c r="D165" s="1276"/>
      <c r="E165" s="1276"/>
      <c r="F165" s="1276"/>
    </row>
    <row r="166" spans="1:7" ht="13.7" customHeight="1">
      <c r="D166" s="1276"/>
      <c r="E166" s="1276"/>
      <c r="F166" s="1276"/>
    </row>
    <row r="167" spans="1:7" ht="13.7" customHeight="1">
      <c r="A167" s="13"/>
      <c r="B167" s="13"/>
      <c r="E167" s="35"/>
      <c r="F167" s="35"/>
    </row>
    <row r="168" spans="1:7">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c r="A172" s="1277" t="s">
        <v>1110</v>
      </c>
      <c r="B172" s="1277"/>
      <c r="C172" s="1277"/>
      <c r="D172" s="1277"/>
      <c r="E172" s="1277"/>
      <c r="F172" s="1277"/>
      <c r="G172" s="1277"/>
    </row>
    <row r="173" spans="1:7" ht="12" customHeight="1">
      <c r="A173" s="2"/>
      <c r="B173" s="2"/>
      <c r="E173" s="2"/>
    </row>
    <row r="174" spans="1:7" ht="13.15" customHeight="1">
      <c r="A174" s="2"/>
      <c r="B174" s="2"/>
      <c r="D174" s="1291" t="s">
        <v>1218</v>
      </c>
      <c r="E174" s="1291"/>
      <c r="F174" s="1291"/>
    </row>
    <row r="175" spans="1:7">
      <c r="A175" s="2"/>
      <c r="B175" s="2"/>
      <c r="D175" s="1291"/>
      <c r="E175" s="1291"/>
      <c r="F175" s="1291"/>
    </row>
    <row r="176" spans="1:7">
      <c r="A176" s="2"/>
      <c r="B176" s="2"/>
      <c r="D176" s="1292" t="s">
        <v>1219</v>
      </c>
      <c r="E176" s="1292"/>
      <c r="F176" s="1292"/>
    </row>
    <row r="177" spans="1:7" ht="12" customHeight="1">
      <c r="A177" s="2"/>
      <c r="B177" s="2"/>
      <c r="E177" s="2"/>
    </row>
    <row r="178" spans="1:7" ht="14.25">
      <c r="A178" s="176"/>
      <c r="B178" s="469" t="s">
        <v>309</v>
      </c>
      <c r="D178" s="1289" t="s">
        <v>1217</v>
      </c>
      <c r="E178" s="1289"/>
      <c r="F178" s="1289"/>
    </row>
    <row r="179" spans="1:7" ht="14.25">
      <c r="A179" s="176"/>
      <c r="B179" s="176"/>
      <c r="D179" s="1289"/>
      <c r="E179" s="1289"/>
      <c r="F179" s="1289"/>
    </row>
    <row r="180" spans="1:7" ht="14.25">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4.25">
      <c r="A186" s="176"/>
      <c r="B186" s="469" t="s">
        <v>309</v>
      </c>
      <c r="C186" s="386"/>
      <c r="D186" s="1262" t="s">
        <v>1216</v>
      </c>
      <c r="E186" s="1262"/>
      <c r="F186" s="1262"/>
      <c r="G186" s="3"/>
    </row>
    <row r="187" spans="1:7" ht="14.45" customHeight="1">
      <c r="A187" s="176"/>
      <c r="B187"/>
      <c r="C187" s="386"/>
      <c r="D187" s="1262"/>
      <c r="E187" s="1262"/>
      <c r="F187" s="1262"/>
      <c r="G187" s="3"/>
    </row>
    <row r="188" spans="1:7" ht="14.25">
      <c r="A188" s="176"/>
      <c r="B188" s="386"/>
      <c r="C188" s="386"/>
      <c r="D188" s="1262"/>
      <c r="E188" s="1262"/>
      <c r="F188" s="1262"/>
      <c r="G188" s="3"/>
    </row>
    <row r="189" spans="1:7" ht="14.25">
      <c r="A189" s="176"/>
      <c r="B189" s="386"/>
      <c r="C189" s="386"/>
      <c r="D189" s="1262"/>
      <c r="E189" s="1262"/>
      <c r="F189" s="1262"/>
      <c r="G189" s="3"/>
    </row>
    <row r="190" spans="1:7">
      <c r="D190" s="476"/>
      <c r="E190" s="476"/>
      <c r="F190" s="476"/>
    </row>
    <row r="191" spans="1:7">
      <c r="A191" s="1277" t="s">
        <v>1111</v>
      </c>
      <c r="B191" s="1277"/>
      <c r="C191" s="1277"/>
      <c r="D191" s="1277"/>
      <c r="E191" s="1277"/>
      <c r="F191" s="1277"/>
      <c r="G191" s="1277"/>
    </row>
    <row r="192" spans="1:7" ht="12" customHeight="1">
      <c r="D192" s="35"/>
      <c r="E192" s="35"/>
      <c r="F192" s="35"/>
    </row>
    <row r="193" spans="1:6">
      <c r="C193" s="177"/>
      <c r="D193" s="1278" t="s">
        <v>210</v>
      </c>
      <c r="E193" s="1278"/>
      <c r="F193" s="1278"/>
    </row>
    <row r="194" spans="1:6">
      <c r="A194" s="172"/>
      <c r="B194" s="172"/>
      <c r="C194" s="172"/>
      <c r="D194" s="1273" t="s">
        <v>1240</v>
      </c>
      <c r="E194" s="1281"/>
      <c r="F194" s="1281"/>
    </row>
    <row r="195" spans="1:6" ht="12" customHeight="1">
      <c r="A195" s="13"/>
      <c r="B195" s="13"/>
      <c r="C195" s="13"/>
    </row>
    <row r="196" spans="1:6" ht="13.15" customHeight="1">
      <c r="A196" s="13"/>
      <c r="C196" s="13"/>
      <c r="D196" s="1278" t="s">
        <v>555</v>
      </c>
      <c r="E196" s="1278"/>
      <c r="F196" s="1278"/>
    </row>
    <row r="197" spans="1:6" ht="14.25">
      <c r="A197" s="176"/>
      <c r="B197" s="469" t="s">
        <v>309</v>
      </c>
      <c r="D197" s="1262" t="s">
        <v>1234</v>
      </c>
      <c r="E197" s="1262"/>
      <c r="F197" s="1262"/>
    </row>
    <row r="198" spans="1:6" ht="14.25">
      <c r="A198" s="176"/>
      <c r="B198" s="176"/>
      <c r="D198" s="1262"/>
      <c r="E198" s="1262"/>
      <c r="F198" s="1262"/>
    </row>
    <row r="199" spans="1:6"/>
    <row r="200" spans="1:6" ht="14.25">
      <c r="A200" s="176"/>
      <c r="B200" s="469" t="s">
        <v>309</v>
      </c>
      <c r="D200" s="1262" t="s">
        <v>1235</v>
      </c>
      <c r="E200" s="1262"/>
      <c r="F200" s="1262"/>
    </row>
    <row r="201" spans="1:6" ht="14.25">
      <c r="A201" s="176"/>
      <c r="B201" s="176"/>
      <c r="D201" s="1262"/>
      <c r="E201" s="1262"/>
      <c r="F201" s="1262"/>
    </row>
    <row r="202" spans="1:6" ht="14.25">
      <c r="A202" s="176"/>
      <c r="B202" s="176"/>
      <c r="D202" s="1262"/>
      <c r="E202" s="1262"/>
      <c r="F202" s="1262"/>
    </row>
    <row r="203" spans="1:6" ht="5.0999999999999996" customHeight="1">
      <c r="A203" s="176"/>
      <c r="B203" s="176"/>
      <c r="D203" s="35"/>
      <c r="E203" s="35"/>
      <c r="F203" s="35"/>
    </row>
    <row r="204" spans="1:6" ht="14.25">
      <c r="A204" s="176"/>
      <c r="B204" s="176"/>
      <c r="D204" s="1262" t="s">
        <v>1236</v>
      </c>
      <c r="E204" s="1262"/>
      <c r="F204" s="1262"/>
    </row>
    <row r="205" spans="1:6" ht="14.25">
      <c r="A205" s="176"/>
      <c r="B205" s="176"/>
      <c r="D205" s="1262"/>
      <c r="E205" s="1262"/>
      <c r="F205" s="1262"/>
    </row>
    <row r="206" spans="1:6" ht="14.25">
      <c r="A206" s="176"/>
      <c r="B206" s="176"/>
      <c r="D206" s="1262"/>
      <c r="E206" s="1262"/>
      <c r="F206" s="1262"/>
    </row>
    <row r="207" spans="1:6" ht="14.25">
      <c r="A207" s="176"/>
      <c r="B207" s="176"/>
      <c r="D207" s="1262"/>
      <c r="E207" s="1262"/>
      <c r="F207" s="1262"/>
    </row>
    <row r="208" spans="1:6" ht="14.25">
      <c r="A208" s="176"/>
      <c r="B208" s="176"/>
      <c r="D208" s="1262"/>
      <c r="E208" s="1262"/>
      <c r="F208" s="1262"/>
    </row>
    <row r="209" spans="1:7" ht="14.25">
      <c r="A209" s="176"/>
      <c r="B209" s="176"/>
      <c r="D209" s="35"/>
      <c r="E209" s="35"/>
      <c r="F209" s="35"/>
    </row>
    <row r="210" spans="1:7" ht="14.25">
      <c r="A210" s="176"/>
      <c r="B210" s="469" t="s">
        <v>309</v>
      </c>
      <c r="D210" s="1262" t="s">
        <v>1237</v>
      </c>
      <c r="E210" s="1262"/>
      <c r="F210" s="1262"/>
    </row>
    <row r="211" spans="1:7" ht="14.25">
      <c r="A211" s="176"/>
      <c r="B211" s="176"/>
      <c r="D211" s="1262"/>
      <c r="E211" s="1262"/>
      <c r="F211" s="1262"/>
    </row>
    <row r="212" spans="1:7" ht="14.25">
      <c r="A212" s="176"/>
      <c r="B212" s="176"/>
      <c r="D212" s="1294" t="s">
        <v>927</v>
      </c>
      <c r="E212" s="1294"/>
      <c r="F212" s="1294"/>
    </row>
    <row r="213" spans="1:7" ht="14.25">
      <c r="A213" s="176"/>
      <c r="B213" s="176"/>
      <c r="D213" s="35"/>
      <c r="E213" s="35"/>
      <c r="F213" s="35"/>
    </row>
    <row r="214" spans="1:7" ht="14.45" customHeight="1">
      <c r="A214" s="176"/>
      <c r="B214" s="469" t="s">
        <v>309</v>
      </c>
      <c r="D214" s="1262" t="s">
        <v>1239</v>
      </c>
      <c r="E214" s="1262"/>
      <c r="F214" s="1262"/>
    </row>
    <row r="215" spans="1:7" ht="14.25">
      <c r="A215" s="176"/>
      <c r="B215" s="176"/>
      <c r="D215" s="1262"/>
      <c r="E215" s="1262"/>
      <c r="F215" s="1262"/>
    </row>
    <row r="216" spans="1:7" ht="14.25">
      <c r="A216" s="176"/>
      <c r="B216" s="176"/>
      <c r="D216" s="1262"/>
      <c r="E216" s="1262"/>
      <c r="F216" s="1262"/>
    </row>
    <row r="217" spans="1:7" ht="14.25">
      <c r="A217" s="176"/>
      <c r="B217" s="176"/>
      <c r="D217" s="1262"/>
      <c r="E217" s="1262"/>
      <c r="F217" s="1262"/>
    </row>
    <row r="218" spans="1:7" ht="14.25">
      <c r="A218" s="176"/>
      <c r="B218" s="176"/>
      <c r="D218" s="1262"/>
      <c r="E218" s="1262"/>
      <c r="F218" s="1262"/>
    </row>
    <row r="219" spans="1:7">
      <c r="D219" s="35"/>
      <c r="E219" s="35"/>
      <c r="F219" s="35"/>
    </row>
    <row r="220" spans="1:7" ht="14.25">
      <c r="A220" s="176"/>
      <c r="B220" s="469" t="s">
        <v>309</v>
      </c>
      <c r="D220" s="1262" t="s">
        <v>1238</v>
      </c>
      <c r="E220" s="1262"/>
      <c r="F220" s="1262"/>
    </row>
    <row r="221" spans="1:7" ht="14.25">
      <c r="A221" s="176"/>
      <c r="B221" s="176"/>
      <c r="D221" s="1262"/>
      <c r="E221" s="1262"/>
      <c r="F221" s="1262"/>
    </row>
    <row r="222" spans="1:7">
      <c r="D222" s="19"/>
    </row>
    <row r="223" spans="1:7">
      <c r="A223" s="1277" t="s">
        <v>1112</v>
      </c>
      <c r="B223" s="1277"/>
      <c r="C223" s="1277"/>
      <c r="D223" s="1277"/>
      <c r="E223" s="1277"/>
      <c r="F223" s="1277"/>
      <c r="G223" s="1277"/>
    </row>
    <row r="224" spans="1:7">
      <c r="D224" s="19"/>
    </row>
    <row r="225" spans="1:6">
      <c r="C225" s="177"/>
      <c r="D225" s="1278" t="s">
        <v>1241</v>
      </c>
      <c r="E225" s="1278"/>
      <c r="F225" s="1278"/>
    </row>
    <row r="226" spans="1:6">
      <c r="A226" s="172"/>
      <c r="B226" s="172"/>
      <c r="C226" s="172"/>
      <c r="D226" s="35"/>
      <c r="E226" s="35"/>
      <c r="F226" s="35"/>
    </row>
    <row r="227" spans="1:6">
      <c r="A227" s="175"/>
      <c r="B227" s="175"/>
      <c r="C227" s="175"/>
      <c r="D227" s="1278" t="s">
        <v>271</v>
      </c>
      <c r="E227" s="1278"/>
      <c r="F227" s="1278"/>
    </row>
    <row r="228" spans="1:6" ht="14.25">
      <c r="A228" s="176"/>
      <c r="B228" s="469" t="s">
        <v>309</v>
      </c>
      <c r="D228" s="1280" t="s">
        <v>1242</v>
      </c>
      <c r="E228" s="1280"/>
      <c r="F228" s="1280"/>
    </row>
    <row r="229" spans="1:6" ht="14.25">
      <c r="A229" s="176"/>
      <c r="B229" s="176"/>
      <c r="D229" s="1280"/>
      <c r="E229" s="1280"/>
      <c r="F229" s="1280"/>
    </row>
    <row r="230" spans="1:6">
      <c r="D230" s="35"/>
      <c r="E230" s="35"/>
      <c r="F230" s="35"/>
    </row>
    <row r="231" spans="1:6" ht="14.45" customHeight="1">
      <c r="A231" s="176"/>
      <c r="B231" s="469" t="s">
        <v>309</v>
      </c>
      <c r="D231" s="1262" t="s">
        <v>1243</v>
      </c>
      <c r="E231" s="1262"/>
      <c r="F231" s="1262"/>
    </row>
    <row r="232" spans="1:6">
      <c r="D232" s="1262"/>
      <c r="E232" s="1262"/>
      <c r="F232" s="1262"/>
    </row>
    <row r="233" spans="1:6">
      <c r="D233" s="1281" t="s">
        <v>918</v>
      </c>
      <c r="E233" s="1281"/>
      <c r="F233" s="1281"/>
    </row>
    <row r="234" spans="1:6">
      <c r="D234" s="35"/>
      <c r="E234" s="35"/>
      <c r="F234" s="35"/>
    </row>
    <row r="235" spans="1:6" ht="14.45" customHeight="1">
      <c r="A235" s="176"/>
      <c r="B235" s="469" t="s">
        <v>309</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4.25">
      <c r="A241" s="176"/>
      <c r="B241" s="469" t="s">
        <v>309</v>
      </c>
      <c r="D241" s="1262" t="s">
        <v>1244</v>
      </c>
      <c r="E241" s="1262"/>
      <c r="F241" s="1262"/>
    </row>
    <row r="242" spans="1:7">
      <c r="D242" s="1262"/>
      <c r="E242" s="1262"/>
      <c r="F242" s="1262"/>
    </row>
    <row r="243" spans="1:7">
      <c r="D243" s="1262"/>
      <c r="E243" s="1262"/>
      <c r="F243" s="1262"/>
    </row>
    <row r="244" spans="1:7">
      <c r="D244" s="178"/>
      <c r="E244" s="35"/>
      <c r="F244" s="35"/>
    </row>
    <row r="245" spans="1:7">
      <c r="A245" s="1277" t="s">
        <v>1113</v>
      </c>
      <c r="B245" s="1277"/>
      <c r="C245" s="1277"/>
      <c r="D245" s="1277"/>
      <c r="E245" s="1277"/>
      <c r="F245" s="1277"/>
      <c r="G245" s="1277"/>
    </row>
    <row r="246" spans="1:7">
      <c r="D246" s="178"/>
      <c r="E246" s="35"/>
      <c r="F246" s="35"/>
    </row>
    <row r="247" spans="1:7">
      <c r="C247" s="172"/>
      <c r="D247" s="1295" t="s">
        <v>1246</v>
      </c>
      <c r="E247" s="1295"/>
      <c r="F247" s="1295"/>
    </row>
    <row r="248" spans="1:7">
      <c r="C248" s="172"/>
      <c r="D248" s="1295"/>
      <c r="E248" s="1295"/>
      <c r="F248" s="1295"/>
    </row>
    <row r="249" spans="1:7">
      <c r="A249" s="175"/>
      <c r="B249" s="175"/>
      <c r="C249" s="175"/>
      <c r="D249" s="2"/>
      <c r="E249" s="3"/>
      <c r="F249" s="3"/>
    </row>
    <row r="250" spans="1:7">
      <c r="C250" s="175"/>
      <c r="D250" s="1278" t="s">
        <v>211</v>
      </c>
      <c r="E250" s="1278"/>
      <c r="F250" s="1278"/>
    </row>
    <row r="251" spans="1:7" ht="15.75" customHeight="1">
      <c r="A251" s="176"/>
      <c r="B251" s="176"/>
      <c r="D251" s="1284" t="s">
        <v>1247</v>
      </c>
      <c r="E251" s="1284"/>
      <c r="F251" s="1284"/>
    </row>
    <row r="252" spans="1:7">
      <c r="E252" s="35"/>
      <c r="F252" s="35"/>
    </row>
    <row r="253" spans="1:7" ht="14.25">
      <c r="A253" s="176"/>
      <c r="B253" s="469" t="s">
        <v>309</v>
      </c>
      <c r="D253" s="1262" t="s">
        <v>1248</v>
      </c>
      <c r="E253" s="1262"/>
      <c r="F253" s="1262"/>
    </row>
    <row r="254" spans="1:7" ht="14.25">
      <c r="A254" s="176"/>
      <c r="B254" s="176"/>
      <c r="D254" s="1262"/>
      <c r="E254" s="1262"/>
      <c r="F254" s="1262"/>
    </row>
    <row r="255" spans="1:7">
      <c r="D255" s="35"/>
      <c r="E255" s="35"/>
      <c r="F255" s="35"/>
    </row>
    <row r="256" spans="1:7" ht="14.25">
      <c r="A256" s="176"/>
      <c r="B256" s="469" t="s">
        <v>309</v>
      </c>
      <c r="D256" s="1262" t="s">
        <v>1249</v>
      </c>
      <c r="E256" s="1262"/>
      <c r="F256" s="1262"/>
    </row>
    <row r="257" spans="1:7" ht="14.25">
      <c r="A257" s="176"/>
      <c r="B257" s="176"/>
      <c r="D257" s="1262"/>
      <c r="E257" s="1262"/>
      <c r="F257" s="1262"/>
    </row>
    <row r="258" spans="1:7" ht="14.25">
      <c r="A258" s="176"/>
      <c r="B258" s="176"/>
      <c r="D258" s="1262"/>
      <c r="E258" s="1262"/>
      <c r="F258" s="1262"/>
    </row>
    <row r="259" spans="1:7">
      <c r="D259" s="35"/>
      <c r="E259" s="35"/>
      <c r="F259" s="35"/>
    </row>
    <row r="260" spans="1:7" ht="14.25">
      <c r="A260" s="176"/>
      <c r="B260" s="469" t="s">
        <v>309</v>
      </c>
      <c r="D260" s="1262" t="s">
        <v>1250</v>
      </c>
      <c r="E260" s="1262"/>
      <c r="F260" s="1262"/>
    </row>
    <row r="261" spans="1:7" ht="14.25">
      <c r="A261" s="176"/>
      <c r="B261" s="176"/>
      <c r="D261" s="1262"/>
      <c r="E261" s="1262"/>
      <c r="F261" s="1262"/>
    </row>
    <row r="262" spans="1:7">
      <c r="A262" s="13"/>
      <c r="B262" s="13"/>
      <c r="E262" s="35"/>
      <c r="F262" s="35"/>
    </row>
    <row r="263" spans="1:7">
      <c r="A263" s="1277" t="s">
        <v>1114</v>
      </c>
      <c r="B263" s="1277"/>
      <c r="C263" s="1277"/>
      <c r="D263" s="1277"/>
      <c r="E263" s="1277"/>
      <c r="F263" s="1277"/>
      <c r="G263" s="1277"/>
    </row>
    <row r="264" spans="1:7">
      <c r="A264" s="13"/>
      <c r="B264" s="13"/>
      <c r="D264" s="35"/>
      <c r="E264" s="35"/>
      <c r="F264" s="35"/>
    </row>
    <row r="265" spans="1:7">
      <c r="C265" s="13"/>
      <c r="D265" s="1278" t="s">
        <v>691</v>
      </c>
      <c r="E265" s="1278"/>
      <c r="F265" s="1278"/>
    </row>
    <row r="266" spans="1:7">
      <c r="C266" s="13"/>
      <c r="D266" s="1273" t="s">
        <v>1251</v>
      </c>
      <c r="E266" s="1273"/>
      <c r="F266" s="1273"/>
    </row>
    <row r="267" spans="1:7">
      <c r="C267" s="13"/>
      <c r="D267" s="173"/>
    </row>
    <row r="268" spans="1:7">
      <c r="B268" s="469" t="s">
        <v>309</v>
      </c>
      <c r="D268" s="1273" t="s">
        <v>1252</v>
      </c>
      <c r="E268" s="1273"/>
      <c r="F268" s="1273"/>
    </row>
    <row r="269" spans="1:7" ht="14.25">
      <c r="A269" s="176"/>
      <c r="B269" s="176"/>
      <c r="D269" s="342"/>
      <c r="E269" s="343"/>
      <c r="F269" s="343"/>
    </row>
    <row r="270" spans="1:7" ht="13.15" customHeight="1">
      <c r="B270" s="469" t="s">
        <v>309</v>
      </c>
      <c r="D270" s="1282" t="s">
        <v>1253</v>
      </c>
      <c r="E270" s="1282"/>
      <c r="F270" s="1282"/>
    </row>
    <row r="271" spans="1:7" ht="14.25">
      <c r="A271" s="176"/>
      <c r="B271" s="176"/>
      <c r="D271" s="1282"/>
      <c r="E271" s="1282"/>
      <c r="F271" s="1282"/>
    </row>
    <row r="272" spans="1:7" ht="14.25">
      <c r="A272" s="176"/>
      <c r="B272" s="176"/>
      <c r="D272" s="1282"/>
      <c r="E272" s="1282"/>
      <c r="F272" s="1282"/>
    </row>
    <row r="273" spans="1:6" ht="14.25">
      <c r="A273" s="176"/>
      <c r="B273" s="176"/>
      <c r="D273" s="1282"/>
      <c r="E273" s="1282"/>
      <c r="F273" s="1282"/>
    </row>
    <row r="274" spans="1:6" ht="14.25">
      <c r="A274" s="176"/>
      <c r="B274" s="176"/>
      <c r="D274" s="1282"/>
      <c r="E274" s="1282"/>
      <c r="F274" s="1282"/>
    </row>
    <row r="275" spans="1:6" ht="14.25">
      <c r="A275" s="176"/>
      <c r="B275" s="176"/>
      <c r="D275" s="342"/>
      <c r="E275" s="343"/>
      <c r="F275" s="343"/>
    </row>
    <row r="276" spans="1:6" ht="13.15" customHeight="1">
      <c r="B276" s="469" t="s">
        <v>309</v>
      </c>
      <c r="D276" s="1282" t="s">
        <v>1254</v>
      </c>
      <c r="E276" s="1282"/>
      <c r="F276" s="1282"/>
    </row>
    <row r="277" spans="1:6">
      <c r="D277" s="1282"/>
      <c r="E277" s="1282"/>
      <c r="F277" s="1282"/>
    </row>
    <row r="278" spans="1:6" ht="14.25">
      <c r="A278" s="176"/>
      <c r="B278" s="176"/>
      <c r="D278" s="342"/>
      <c r="E278" s="343"/>
      <c r="F278" s="343"/>
    </row>
    <row r="279" spans="1:6">
      <c r="B279" s="469" t="s">
        <v>309</v>
      </c>
      <c r="D279" s="1273" t="s">
        <v>1255</v>
      </c>
      <c r="E279" s="1273"/>
      <c r="F279" s="1273"/>
    </row>
    <row r="280" spans="1:6">
      <c r="E280" s="35"/>
      <c r="F280" s="35"/>
    </row>
    <row r="281" spans="1:6" ht="14.25">
      <c r="A281" s="176"/>
      <c r="B281" s="469" t="s">
        <v>309</v>
      </c>
      <c r="D281" s="1262" t="s">
        <v>1256</v>
      </c>
      <c r="E281" s="1262"/>
      <c r="F281" s="1262"/>
    </row>
    <row r="282" spans="1:6" ht="14.25">
      <c r="A282" s="176"/>
      <c r="B282" s="176"/>
      <c r="D282" s="1262"/>
      <c r="E282" s="1262"/>
      <c r="F282" s="1262"/>
    </row>
    <row r="283" spans="1:6" ht="14.25">
      <c r="A283" s="176"/>
      <c r="B283" s="176"/>
      <c r="D283" s="1262"/>
      <c r="E283" s="1262"/>
      <c r="F283" s="1262"/>
    </row>
    <row r="284" spans="1:6" ht="14.25">
      <c r="A284" s="176"/>
      <c r="B284" s="176"/>
      <c r="D284" s="1262"/>
      <c r="E284" s="1262"/>
      <c r="F284" s="1262"/>
    </row>
    <row r="285" spans="1:6" ht="14.25">
      <c r="A285" s="176"/>
      <c r="B285" s="176"/>
      <c r="D285" s="1262"/>
      <c r="E285" s="1262"/>
      <c r="F285" s="1262"/>
    </row>
    <row r="286" spans="1:6" ht="14.25">
      <c r="A286" s="176"/>
      <c r="B286" s="176"/>
      <c r="D286" s="1262"/>
      <c r="E286" s="1262"/>
      <c r="F286" s="1262"/>
    </row>
    <row r="287" spans="1:6" ht="14.25">
      <c r="A287" s="176"/>
      <c r="B287" s="176"/>
      <c r="D287" s="1262"/>
      <c r="E287" s="1262"/>
      <c r="F287" s="1262"/>
    </row>
    <row r="288" spans="1:6" ht="14.25">
      <c r="A288" s="176"/>
      <c r="B288" s="176"/>
      <c r="D288" s="1262"/>
      <c r="E288" s="1262"/>
      <c r="F288" s="1262"/>
    </row>
    <row r="289" spans="1:6" ht="14.25">
      <c r="A289" s="176"/>
      <c r="B289" s="176"/>
      <c r="D289" s="1262"/>
      <c r="E289" s="1262"/>
      <c r="F289" s="1262"/>
    </row>
    <row r="290" spans="1:6" ht="14.25">
      <c r="A290" s="176"/>
      <c r="B290" s="176"/>
      <c r="D290" s="1262"/>
      <c r="E290" s="1262"/>
      <c r="F290" s="1262"/>
    </row>
    <row r="291" spans="1:6" ht="14.25">
      <c r="A291" s="176"/>
      <c r="B291" s="176"/>
      <c r="D291" s="1262"/>
      <c r="E291" s="1262"/>
      <c r="F291" s="1262"/>
    </row>
    <row r="292" spans="1:6" ht="14.25">
      <c r="A292" s="176"/>
      <c r="B292" s="176"/>
      <c r="D292" s="1262"/>
      <c r="E292" s="1262"/>
      <c r="F292" s="1262"/>
    </row>
    <row r="293" spans="1:6" ht="14.25">
      <c r="A293" s="176"/>
      <c r="B293" s="176"/>
      <c r="D293" s="1262"/>
      <c r="E293" s="1262"/>
      <c r="F293" s="1262"/>
    </row>
    <row r="294" spans="1:6" ht="14.25">
      <c r="A294" s="176"/>
      <c r="B294" s="176"/>
      <c r="D294" s="1262"/>
      <c r="E294" s="1262"/>
      <c r="F294" s="1262"/>
    </row>
    <row r="295" spans="1:6" ht="14.25">
      <c r="A295" s="176"/>
      <c r="B295" s="176"/>
      <c r="D295" s="1262"/>
      <c r="E295" s="1262"/>
      <c r="F295" s="1262"/>
    </row>
    <row r="296" spans="1:6">
      <c r="D296" s="35"/>
      <c r="E296" s="35"/>
      <c r="F296" s="35"/>
    </row>
    <row r="297" spans="1:6" ht="14.25">
      <c r="A297" s="176"/>
      <c r="B297" s="469" t="s">
        <v>309</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4.25">
      <c r="A307" s="176"/>
      <c r="B307" s="469" t="s">
        <v>309</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1019</v>
      </c>
      <c r="E314" s="1285"/>
      <c r="F314" s="1285"/>
      <c r="G314"/>
    </row>
    <row r="315" spans="1:7" ht="13.5" thickTop="1">
      <c r="D315" s="1286" t="s">
        <v>1259</v>
      </c>
      <c r="E315" s="1286"/>
      <c r="F315" s="1286"/>
      <c r="G315"/>
    </row>
    <row r="316" spans="1:7">
      <c r="A316" s="218"/>
      <c r="B316" s="218"/>
      <c r="C316" s="218"/>
      <c r="D316" s="220"/>
      <c r="E316" s="220"/>
      <c r="F316" s="35"/>
      <c r="G316"/>
    </row>
    <row r="317" spans="1:7" ht="14.25">
      <c r="A317" s="176"/>
      <c r="B317" s="469" t="s">
        <v>309</v>
      </c>
      <c r="C317" s="218"/>
      <c r="D317" s="1275" t="s">
        <v>1260</v>
      </c>
      <c r="E317" s="1275"/>
      <c r="F317" s="1275"/>
      <c r="G317"/>
    </row>
    <row r="318" spans="1:7">
      <c r="A318" s="218"/>
      <c r="B318" s="218"/>
      <c r="C318" s="218"/>
      <c r="D318" s="220"/>
      <c r="E318" s="220"/>
      <c r="F318" s="35"/>
      <c r="G318"/>
    </row>
    <row r="319" spans="1:7">
      <c r="A319" s="218"/>
      <c r="B319" s="469" t="s">
        <v>309</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4.25">
      <c r="A331" s="176"/>
      <c r="B331" s="469" t="s">
        <v>309</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1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4.25">
      <c r="A367" s="176"/>
      <c r="B367" s="469" t="s">
        <v>309</v>
      </c>
      <c r="C367" s="218"/>
      <c r="D367" s="1271" t="s">
        <v>1266</v>
      </c>
      <c r="E367" s="1271"/>
      <c r="F367" s="1271"/>
      <c r="G367"/>
    </row>
    <row r="368" spans="1:7" ht="14.25">
      <c r="A368" s="347"/>
      <c r="B368" s="347"/>
      <c r="C368" s="218"/>
      <c r="D368" s="1271"/>
      <c r="E368" s="1271"/>
      <c r="F368" s="1271"/>
      <c r="G368"/>
    </row>
    <row r="369" spans="1:7" ht="14.25">
      <c r="A369" s="347"/>
      <c r="B369" s="347"/>
      <c r="C369" s="218"/>
      <c r="D369" s="1271"/>
      <c r="E369" s="1271"/>
      <c r="F369" s="1271"/>
      <c r="G369"/>
    </row>
    <row r="370" spans="1:7" ht="14.25">
      <c r="A370" s="347"/>
      <c r="B370" s="347"/>
      <c r="C370" s="218"/>
      <c r="D370" s="1271"/>
      <c r="E370" s="1271"/>
      <c r="F370" s="1271"/>
      <c r="G370"/>
    </row>
    <row r="371" spans="1:7" ht="14.25">
      <c r="A371" s="347"/>
      <c r="B371" s="347"/>
      <c r="C371" s="218"/>
      <c r="D371" s="1271"/>
      <c r="E371" s="1271"/>
      <c r="F371" s="1271"/>
      <c r="G371"/>
    </row>
    <row r="372" spans="1:7">
      <c r="D372" s="35"/>
      <c r="E372" s="35"/>
      <c r="F372" s="35"/>
      <c r="G372"/>
    </row>
    <row r="373" spans="1:7" ht="14.25">
      <c r="A373" s="176"/>
      <c r="B373" s="469" t="s">
        <v>309</v>
      </c>
      <c r="C373" s="179"/>
      <c r="D373" s="1262" t="s">
        <v>1267</v>
      </c>
      <c r="E373" s="1262"/>
      <c r="F373" s="1262"/>
      <c r="G373"/>
    </row>
    <row r="374" spans="1:7" ht="14.25">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00000000000003" customHeight="1">
      <c r="D403" s="1262"/>
      <c r="E403" s="1262"/>
      <c r="F403" s="1262"/>
    </row>
    <row r="404" spans="1:7">
      <c r="D404" s="35"/>
      <c r="E404" s="35"/>
      <c r="F404" s="35"/>
    </row>
    <row r="405" spans="1:7" ht="14.25">
      <c r="A405" s="176"/>
      <c r="B405" s="469" t="s">
        <v>309</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4.25">
      <c r="A412" s="176"/>
      <c r="B412" s="469" t="s">
        <v>309</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4.25">
      <c r="B416" s="469" t="s">
        <v>309</v>
      </c>
      <c r="C416" s="176"/>
      <c r="D416" s="1262" t="s">
        <v>1271</v>
      </c>
      <c r="E416" s="1262"/>
      <c r="F416" s="1262"/>
      <c r="G416"/>
    </row>
    <row r="417" spans="1:7">
      <c r="D417" s="1262"/>
      <c r="E417" s="1262"/>
      <c r="F417" s="1262"/>
      <c r="G417"/>
    </row>
    <row r="418" spans="1:7">
      <c r="D418" s="35"/>
      <c r="E418" s="35"/>
      <c r="F418" s="35"/>
      <c r="G418"/>
    </row>
    <row r="419" spans="1:7" ht="14.25">
      <c r="B419" s="469" t="s">
        <v>309</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1274</v>
      </c>
      <c r="E440" s="1273"/>
      <c r="F440" s="1273"/>
    </row>
    <row r="441" spans="1:7">
      <c r="A441" s="35"/>
      <c r="B441" s="35"/>
    </row>
    <row r="442" spans="1:7">
      <c r="A442" s="1277" t="s">
        <v>1115</v>
      </c>
      <c r="B442" s="1277"/>
      <c r="C442" s="1277"/>
      <c r="D442" s="1277"/>
      <c r="E442" s="1277"/>
      <c r="F442" s="1277"/>
      <c r="G442" s="1277"/>
    </row>
    <row r="443" spans="1:7">
      <c r="A443" s="35"/>
      <c r="B443" s="35"/>
    </row>
    <row r="444" spans="1:7">
      <c r="D444" s="1274" t="s">
        <v>912</v>
      </c>
      <c r="E444" s="1274"/>
      <c r="F444" s="1274"/>
    </row>
    <row r="445" spans="1:7" ht="14.25">
      <c r="A445" s="176"/>
      <c r="B445" s="176"/>
      <c r="D445" s="1275" t="s">
        <v>1275</v>
      </c>
      <c r="E445" s="1275"/>
      <c r="F445" s="1275"/>
    </row>
    <row r="446" spans="1:7" ht="14.25">
      <c r="A446" s="176"/>
      <c r="B446" s="176"/>
      <c r="D446" s="482"/>
      <c r="E446" s="3"/>
      <c r="F446" s="3"/>
    </row>
    <row r="447" spans="1:7" ht="14.25">
      <c r="A447" s="176"/>
      <c r="B447" s="469" t="s">
        <v>309</v>
      </c>
      <c r="D447" s="1271" t="s">
        <v>1276</v>
      </c>
      <c r="E447" s="1271"/>
      <c r="F447" s="1271"/>
    </row>
    <row r="448" spans="1:7" ht="14.25">
      <c r="A448" s="176"/>
      <c r="B448" s="176"/>
      <c r="D448" s="1271"/>
      <c r="E448" s="1271"/>
      <c r="F448" s="1271"/>
    </row>
    <row r="449" spans="1:7" ht="14.25">
      <c r="A449" s="176"/>
      <c r="B449" s="176"/>
      <c r="D449" s="118"/>
      <c r="E449" s="3"/>
      <c r="F449" s="3"/>
    </row>
    <row r="450" spans="1:7">
      <c r="B450" s="469" t="s">
        <v>309</v>
      </c>
      <c r="D450" s="1276" t="s">
        <v>1277</v>
      </c>
      <c r="E450" s="1276"/>
      <c r="F450" s="1276"/>
    </row>
    <row r="451" spans="1:7" ht="14.25">
      <c r="A451" s="176"/>
      <c r="D451" s="1276"/>
      <c r="E451" s="1276"/>
      <c r="F451" s="1276"/>
    </row>
    <row r="452" spans="1:7" ht="14.25">
      <c r="A452" s="176"/>
      <c r="B452" s="176"/>
      <c r="D452" s="1276"/>
      <c r="E452" s="1276"/>
      <c r="F452" s="1276"/>
    </row>
    <row r="453" spans="1:7" ht="14.25">
      <c r="A453" s="176"/>
      <c r="B453" s="176"/>
      <c r="D453" s="1276"/>
      <c r="E453" s="1276"/>
      <c r="F453" s="1276"/>
    </row>
    <row r="454" spans="1:7">
      <c r="D454" s="3"/>
      <c r="E454" s="3"/>
      <c r="F454" s="3"/>
      <c r="G454"/>
    </row>
    <row r="455" spans="1:7" ht="14.25">
      <c r="A455" s="176"/>
      <c r="B455" s="469" t="s">
        <v>309</v>
      </c>
      <c r="D455" s="1262" t="s">
        <v>1278</v>
      </c>
      <c r="E455" s="1262"/>
      <c r="F455" s="1262"/>
      <c r="G455"/>
    </row>
    <row r="456" spans="1:7" ht="14.25">
      <c r="A456" s="176"/>
      <c r="B456" s="176"/>
      <c r="D456" s="1262"/>
      <c r="E456" s="1262"/>
      <c r="F456" s="1262"/>
      <c r="G456"/>
    </row>
    <row r="457" spans="1:7" ht="14.25">
      <c r="A457" s="176"/>
      <c r="D457" s="1262"/>
      <c r="E457" s="1262"/>
      <c r="F457" s="1262"/>
      <c r="G457"/>
    </row>
    <row r="458" spans="1:7" ht="14.25">
      <c r="A458" s="176"/>
      <c r="B458" s="176"/>
      <c r="D458" s="3"/>
      <c r="E458" s="3"/>
      <c r="F458" s="3"/>
      <c r="G458"/>
    </row>
    <row r="459" spans="1:7" ht="14.25">
      <c r="A459" s="176"/>
      <c r="B459" s="469" t="s">
        <v>309</v>
      </c>
      <c r="D459" s="1273" t="s">
        <v>1279</v>
      </c>
      <c r="E459" s="1273"/>
      <c r="F459" s="1273"/>
      <c r="G459"/>
    </row>
    <row r="460" spans="1:7" ht="14.25">
      <c r="A460" s="176"/>
      <c r="B460" s="176"/>
      <c r="D460" s="118"/>
      <c r="E460" s="3"/>
      <c r="F460" s="3"/>
      <c r="G460"/>
    </row>
    <row r="461" spans="1:7" ht="14.25">
      <c r="A461" s="176"/>
      <c r="B461" s="469" t="s">
        <v>309</v>
      </c>
      <c r="D461" s="1262" t="s">
        <v>1280</v>
      </c>
      <c r="E461" s="1262"/>
      <c r="F461" s="1262"/>
      <c r="G461"/>
    </row>
    <row r="462" spans="1:7" ht="14.25">
      <c r="A462" s="176"/>
      <c r="D462" s="1262"/>
      <c r="E462" s="1262"/>
      <c r="F462" s="1262"/>
      <c r="G462"/>
    </row>
    <row r="463" spans="1:7">
      <c r="A463" s="13"/>
      <c r="B463" s="13"/>
      <c r="D463" s="482"/>
      <c r="E463" s="3"/>
      <c r="F463" s="3"/>
      <c r="G463"/>
    </row>
    <row r="464" spans="1:7">
      <c r="A464" s="13"/>
      <c r="B464" s="469" t="s">
        <v>309</v>
      </c>
      <c r="D464" s="1273" t="s">
        <v>1281</v>
      </c>
      <c r="E464" s="1273"/>
      <c r="F464" s="1273"/>
      <c r="G464"/>
    </row>
    <row r="465" spans="1:7" ht="14.25">
      <c r="A465" s="176"/>
      <c r="B465" s="176"/>
      <c r="D465" s="35"/>
    </row>
    <row r="466" spans="1:7">
      <c r="A466" s="1277" t="s">
        <v>1116</v>
      </c>
      <c r="B466" s="1277"/>
      <c r="C466" s="1277"/>
      <c r="D466" s="1277"/>
      <c r="E466" s="1277"/>
      <c r="F466" s="1277"/>
      <c r="G466" s="1277"/>
    </row>
    <row r="467" spans="1:7" ht="12" customHeight="1">
      <c r="A467" s="176"/>
      <c r="B467" s="176"/>
      <c r="D467" s="35"/>
    </row>
    <row r="468" spans="1:7">
      <c r="C468" s="172"/>
      <c r="D468" s="1278" t="s">
        <v>817</v>
      </c>
      <c r="E468" s="1278"/>
      <c r="F468" s="1278"/>
    </row>
    <row r="469" spans="1:7" ht="13.15" customHeight="1">
      <c r="A469" s="175"/>
      <c r="B469" s="175"/>
      <c r="C469" s="175"/>
      <c r="D469" s="1279" t="s">
        <v>1159</v>
      </c>
      <c r="E469" s="1279"/>
      <c r="F469" s="1279"/>
    </row>
    <row r="470" spans="1:7">
      <c r="A470" s="175"/>
      <c r="B470" s="175"/>
      <c r="C470" s="175"/>
      <c r="D470" s="1279"/>
      <c r="E470" s="1279"/>
      <c r="F470" s="1279"/>
    </row>
    <row r="471" spans="1:7">
      <c r="A471" s="175"/>
      <c r="B471" s="175"/>
      <c r="C471" s="175"/>
      <c r="D471" s="1279"/>
      <c r="E471" s="1279"/>
      <c r="F471" s="1279"/>
    </row>
    <row r="472" spans="1:7">
      <c r="A472" s="175"/>
      <c r="B472" s="175"/>
      <c r="C472" s="175"/>
      <c r="D472" s="1279"/>
      <c r="E472" s="1279"/>
      <c r="F472" s="1279"/>
    </row>
    <row r="473" spans="1:7">
      <c r="A473" s="175"/>
      <c r="B473" s="175"/>
      <c r="C473" s="175"/>
      <c r="D473" s="1279"/>
      <c r="E473" s="1279"/>
      <c r="F473" s="1279"/>
    </row>
    <row r="474" spans="1:7">
      <c r="A474" s="175"/>
      <c r="B474" s="175"/>
      <c r="C474" s="175"/>
      <c r="D474" s="326"/>
      <c r="F474" s="35"/>
    </row>
    <row r="475" spans="1:7" ht="14.45" customHeight="1">
      <c r="A475" s="176"/>
      <c r="B475" s="469" t="s">
        <v>309</v>
      </c>
      <c r="C475" s="175"/>
      <c r="D475" s="1293" t="s">
        <v>1150</v>
      </c>
      <c r="E475" s="1293"/>
      <c r="F475" s="1293"/>
    </row>
    <row r="476" spans="1:7">
      <c r="A476" s="175"/>
      <c r="B476" s="175"/>
      <c r="C476" s="175"/>
      <c r="D476" s="1293"/>
      <c r="E476" s="1293"/>
      <c r="F476" s="1293"/>
    </row>
    <row r="477" spans="1:7">
      <c r="A477" s="175"/>
      <c r="B477" s="175"/>
      <c r="C477" s="175"/>
      <c r="D477" s="1293"/>
      <c r="E477" s="1293"/>
      <c r="F477" s="1293"/>
    </row>
    <row r="478" spans="1:7">
      <c r="A478" s="175"/>
      <c r="B478" s="175"/>
      <c r="C478" s="175"/>
      <c r="D478" s="1293"/>
      <c r="E478" s="1293"/>
      <c r="F478" s="1293"/>
    </row>
    <row r="479" spans="1:7">
      <c r="A479" s="175"/>
      <c r="B479" s="175"/>
      <c r="C479" s="175"/>
      <c r="D479" s="1293"/>
      <c r="E479" s="1293"/>
      <c r="F479" s="1293"/>
    </row>
    <row r="480" spans="1:7">
      <c r="A480" s="175"/>
      <c r="B480" s="175"/>
      <c r="C480" s="175"/>
      <c r="D480" s="220"/>
      <c r="F480" s="35"/>
    </row>
    <row r="481" spans="1:6" ht="14.45" customHeight="1">
      <c r="A481" s="176"/>
      <c r="B481" s="469" t="s">
        <v>309</v>
      </c>
      <c r="C481" s="175"/>
      <c r="D481" s="1293" t="s">
        <v>1153</v>
      </c>
      <c r="E481" s="1293"/>
      <c r="F481" s="1293"/>
    </row>
    <row r="482" spans="1:6">
      <c r="A482" s="175"/>
      <c r="B482" s="175"/>
      <c r="C482" s="175"/>
      <c r="D482" s="1293"/>
      <c r="E482" s="1293"/>
      <c r="F482" s="1293"/>
    </row>
    <row r="483" spans="1:6">
      <c r="A483" s="175"/>
      <c r="B483" s="175"/>
      <c r="C483" s="175"/>
      <c r="D483" s="1293"/>
      <c r="E483" s="1293"/>
      <c r="F483" s="1293"/>
    </row>
    <row r="484" spans="1:6">
      <c r="A484" s="175"/>
      <c r="B484" s="175"/>
      <c r="C484" s="175"/>
      <c r="D484" s="1293"/>
      <c r="E484" s="1293"/>
      <c r="F484" s="1293"/>
    </row>
    <row r="485" spans="1:6" ht="9.9499999999999993" customHeight="1">
      <c r="A485" s="175"/>
      <c r="B485" s="175"/>
      <c r="C485" s="175"/>
      <c r="D485" s="220"/>
      <c r="F485" s="35"/>
    </row>
    <row r="486" spans="1:6" ht="14.45" customHeight="1">
      <c r="A486" s="176"/>
      <c r="B486" s="469" t="s">
        <v>309</v>
      </c>
      <c r="C486" s="175"/>
      <c r="D486" s="1293" t="s">
        <v>1151</v>
      </c>
      <c r="E486" s="1293"/>
      <c r="F486" s="1293"/>
    </row>
    <row r="487" spans="1:6">
      <c r="A487" s="175"/>
      <c r="B487" s="175"/>
      <c r="C487" s="175"/>
      <c r="D487" s="1293"/>
      <c r="E487" s="1293"/>
      <c r="F487" s="1293"/>
    </row>
    <row r="488" spans="1:6">
      <c r="A488" s="175"/>
      <c r="B488" s="175"/>
      <c r="C488" s="175"/>
      <c r="D488" s="1293"/>
      <c r="E488" s="1293"/>
      <c r="F488" s="1293"/>
    </row>
    <row r="489" spans="1:6">
      <c r="A489" s="175"/>
      <c r="B489" s="175"/>
      <c r="C489" s="175"/>
      <c r="D489" s="476"/>
      <c r="E489" s="476"/>
      <c r="F489" s="476"/>
    </row>
    <row r="490" spans="1:6" ht="14.45" customHeight="1">
      <c r="A490" s="176"/>
      <c r="B490" s="469" t="s">
        <v>309</v>
      </c>
      <c r="C490" s="175"/>
      <c r="D490" s="1293" t="s">
        <v>1152</v>
      </c>
      <c r="E490" s="1293"/>
      <c r="F490" s="1293"/>
    </row>
    <row r="491" spans="1:6">
      <c r="A491" s="175"/>
      <c r="B491" s="175"/>
      <c r="C491" s="175"/>
      <c r="D491" s="1293"/>
      <c r="E491" s="1293"/>
      <c r="F491" s="1293"/>
    </row>
    <row r="492" spans="1:6">
      <c r="A492" s="175"/>
      <c r="B492" s="175"/>
      <c r="C492" s="175"/>
      <c r="D492" s="1293"/>
      <c r="E492" s="1293"/>
      <c r="F492" s="1293"/>
    </row>
    <row r="493" spans="1:6">
      <c r="A493" s="175"/>
      <c r="B493" s="175"/>
      <c r="C493" s="175"/>
      <c r="D493" s="1293"/>
      <c r="E493" s="1293"/>
      <c r="F493" s="1293"/>
    </row>
    <row r="494" spans="1:6">
      <c r="A494" s="175"/>
      <c r="B494" s="175"/>
      <c r="C494" s="175"/>
      <c r="D494" s="1293"/>
      <c r="E494" s="1293"/>
      <c r="F494" s="1293"/>
    </row>
    <row r="495" spans="1:6">
      <c r="A495" s="175"/>
      <c r="B495" s="175"/>
      <c r="C495" s="175"/>
      <c r="D495" s="1293"/>
      <c r="E495" s="1293"/>
      <c r="F495" s="1293"/>
    </row>
    <row r="496" spans="1:6">
      <c r="A496" s="175"/>
      <c r="B496" s="175"/>
      <c r="C496" s="175"/>
      <c r="D496" s="1293"/>
      <c r="E496" s="1293"/>
      <c r="F496" s="1293"/>
    </row>
    <row r="497" spans="1:7">
      <c r="A497" s="175"/>
      <c r="B497" s="175"/>
      <c r="C497" s="175"/>
      <c r="D497" s="1293"/>
      <c r="E497" s="1293"/>
      <c r="F497" s="1293"/>
    </row>
    <row r="498" spans="1:7">
      <c r="A498" s="175"/>
      <c r="B498" s="175"/>
      <c r="C498" s="175"/>
      <c r="D498" s="1293"/>
      <c r="E498" s="1293"/>
      <c r="F498" s="1293"/>
    </row>
    <row r="499" spans="1:7">
      <c r="A499" s="175"/>
      <c r="B499" s="175"/>
      <c r="C499" s="175"/>
      <c r="D499" s="220"/>
      <c r="F499" s="35"/>
    </row>
    <row r="500" spans="1:7" ht="13.15" customHeight="1">
      <c r="A500" s="175"/>
      <c r="B500" s="469" t="s">
        <v>309</v>
      </c>
      <c r="C500" s="175"/>
      <c r="D500" s="1271" t="s">
        <v>1296</v>
      </c>
      <c r="E500" s="1271"/>
      <c r="F500" s="1271"/>
    </row>
    <row r="501" spans="1:7">
      <c r="A501" s="175"/>
      <c r="B501" s="175"/>
      <c r="C501" s="175"/>
      <c r="D501" s="1271"/>
      <c r="E501" s="1271"/>
      <c r="F501" s="1271"/>
    </row>
    <row r="502" spans="1:7">
      <c r="A502" s="175"/>
      <c r="B502" s="175"/>
      <c r="C502" s="175"/>
      <c r="D502" s="1271"/>
      <c r="E502" s="1271"/>
      <c r="F502" s="1271"/>
    </row>
    <row r="503" spans="1:7">
      <c r="A503" s="175"/>
      <c r="B503" s="175"/>
      <c r="C503" s="175"/>
      <c r="D503" s="1271"/>
      <c r="E503" s="1271"/>
      <c r="F503" s="1271"/>
    </row>
    <row r="504" spans="1:7">
      <c r="A504" s="175"/>
      <c r="B504" s="175"/>
      <c r="C504" s="175"/>
      <c r="D504" s="1271"/>
      <c r="E504" s="1271"/>
      <c r="F504" s="1271"/>
    </row>
    <row r="505" spans="1:7">
      <c r="A505" s="175"/>
      <c r="B505" s="175"/>
      <c r="C505" s="175"/>
      <c r="D505" s="486"/>
      <c r="E505" s="486"/>
      <c r="F505" s="486"/>
    </row>
    <row r="506" spans="1:7" ht="14.45" customHeight="1">
      <c r="A506" s="176"/>
      <c r="B506" s="469" t="s">
        <v>309</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c r="A510" s="1277" t="s">
        <v>1117</v>
      </c>
      <c r="B510" s="1277"/>
      <c r="C510" s="1277"/>
      <c r="D510" s="1277"/>
      <c r="E510" s="1277"/>
      <c r="F510" s="1277"/>
      <c r="G510" s="1277"/>
    </row>
    <row r="511" spans="1:7">
      <c r="A511" s="35"/>
      <c r="B511" s="35"/>
      <c r="C511" s="179"/>
      <c r="F511" s="57"/>
    </row>
    <row r="512" spans="1:7">
      <c r="B512" s="1294" t="s">
        <v>449</v>
      </c>
      <c r="C512" s="1294"/>
      <c r="D512" s="1294"/>
      <c r="E512" s="1294"/>
      <c r="F512" s="1294"/>
    </row>
    <row r="513" spans="1:7">
      <c r="A513" s="35"/>
      <c r="B513" s="35"/>
      <c r="C513" s="179"/>
      <c r="D513" s="35"/>
      <c r="F513" s="35"/>
    </row>
    <row r="514" spans="1:7">
      <c r="A514" s="1308" t="s">
        <v>1118</v>
      </c>
      <c r="B514" s="1308"/>
      <c r="C514" s="1308"/>
      <c r="D514" s="1308"/>
      <c r="E514" s="1308"/>
      <c r="F514" s="1308"/>
      <c r="G514" s="1308"/>
    </row>
    <row r="515" spans="1:7">
      <c r="A515" s="35"/>
      <c r="B515" s="35"/>
      <c r="C515" s="179"/>
      <c r="D515" s="35"/>
      <c r="F515" s="35"/>
    </row>
    <row r="516" spans="1:7">
      <c r="C516" s="179"/>
      <c r="D516" s="1278" t="s">
        <v>692</v>
      </c>
      <c r="E516" s="1278"/>
      <c r="F516" s="1278"/>
    </row>
    <row r="517" spans="1:7">
      <c r="C517" s="179"/>
      <c r="D517" s="1273" t="s">
        <v>1175</v>
      </c>
      <c r="E517" s="1273"/>
      <c r="F517" s="1273"/>
    </row>
    <row r="518" spans="1:7">
      <c r="C518" s="179"/>
      <c r="D518" s="118"/>
      <c r="E518" s="118"/>
      <c r="F518" s="118"/>
    </row>
    <row r="519" spans="1:7" ht="13.15" customHeight="1">
      <c r="A519" s="176"/>
      <c r="B519" s="469" t="s">
        <v>309</v>
      </c>
      <c r="C519" s="179"/>
      <c r="D519" s="1273" t="s">
        <v>913</v>
      </c>
      <c r="E519" s="1273"/>
      <c r="F519" s="1273"/>
      <c r="G519"/>
    </row>
    <row r="520" spans="1:7" ht="13.15" customHeight="1">
      <c r="A520" s="179"/>
      <c r="B520" s="179"/>
      <c r="C520" s="179"/>
      <c r="D520" s="118"/>
      <c r="E520"/>
      <c r="F520"/>
      <c r="G520"/>
    </row>
    <row r="521" spans="1:7" ht="14.25">
      <c r="A521" s="176"/>
      <c r="B521" s="469" t="s">
        <v>309</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4.25">
      <c r="A524" s="176"/>
      <c r="B524" s="469" t="s">
        <v>309</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4.25">
      <c r="A527" s="176"/>
      <c r="B527" s="469" t="s">
        <v>309</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4.25">
      <c r="A530" s="176"/>
      <c r="B530" s="469" t="s">
        <v>309</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4.25">
      <c r="A534" s="176"/>
      <c r="B534" s="469" t="s">
        <v>309</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4.25">
      <c r="A537" s="176"/>
      <c r="B537" s="469" t="s">
        <v>309</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4.25">
      <c r="A540" s="176"/>
      <c r="B540" s="469" t="s">
        <v>309</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4.25">
      <c r="A543" s="176"/>
      <c r="B543" s="469" t="s">
        <v>309</v>
      </c>
      <c r="C543" s="179"/>
      <c r="D543" s="1273" t="s">
        <v>1182</v>
      </c>
      <c r="E543" s="1273"/>
      <c r="F543" s="1273"/>
    </row>
    <row r="544" spans="1:7">
      <c r="A544" s="13"/>
      <c r="B544" s="13"/>
      <c r="C544" s="179"/>
      <c r="D544" s="1273" t="s">
        <v>846</v>
      </c>
      <c r="E544" s="1273"/>
      <c r="F544" s="1273"/>
    </row>
    <row r="545" spans="1:7">
      <c r="A545" s="13"/>
      <c r="B545" s="13"/>
      <c r="C545" s="179"/>
      <c r="D545" s="3"/>
      <c r="E545" s="1284" t="s">
        <v>1183</v>
      </c>
      <c r="F545" s="1284"/>
    </row>
    <row r="546" spans="1:7" ht="14.25">
      <c r="A546" s="176"/>
      <c r="B546" s="176"/>
      <c r="C546" s="179"/>
      <c r="E546" s="35"/>
      <c r="F546" s="35"/>
    </row>
    <row r="547" spans="1:7" ht="14.25">
      <c r="A547" s="176"/>
      <c r="B547" s="469" t="s">
        <v>309</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4.25">
      <c r="A552" s="176"/>
      <c r="B552" s="469" t="s">
        <v>309</v>
      </c>
      <c r="C552" s="179"/>
      <c r="D552" s="1262" t="s">
        <v>1186</v>
      </c>
      <c r="E552" s="1262"/>
      <c r="F552" s="1262"/>
    </row>
    <row r="553" spans="1:7" ht="14.25">
      <c r="A553" s="176"/>
      <c r="B553" s="176"/>
      <c r="C553" s="179"/>
      <c r="D553" s="1262"/>
      <c r="E553" s="1262"/>
      <c r="F553" s="1262"/>
    </row>
    <row r="554" spans="1:7" ht="14.25">
      <c r="A554" s="176"/>
      <c r="B554" s="176"/>
      <c r="C554" s="179"/>
      <c r="D554" s="1262"/>
      <c r="E554" s="1262"/>
      <c r="F554" s="1262"/>
    </row>
    <row r="555" spans="1:7" ht="14.25">
      <c r="A555" s="176"/>
      <c r="B555" s="176"/>
      <c r="C555" s="179"/>
      <c r="D555" s="1262"/>
      <c r="E555" s="1262"/>
      <c r="F555" s="1262"/>
    </row>
    <row r="556" spans="1:7" ht="14.25">
      <c r="A556" s="176"/>
      <c r="B556" s="176"/>
      <c r="C556" s="179"/>
      <c r="D556" s="35"/>
      <c r="E556" s="35"/>
      <c r="F556" s="35"/>
    </row>
    <row r="557" spans="1:7">
      <c r="A557" s="1277" t="s">
        <v>1119</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c r="A560" s="175"/>
      <c r="B560" s="175"/>
      <c r="C560" s="175"/>
      <c r="D560" s="1276" t="s">
        <v>1135</v>
      </c>
      <c r="E560" s="1276"/>
      <c r="F560" s="1276"/>
    </row>
    <row r="561" spans="1:6">
      <c r="A561"/>
      <c r="B561"/>
      <c r="C561" s="175"/>
      <c r="D561" s="255"/>
    </row>
    <row r="562" spans="1:6">
      <c r="A562" s="175"/>
      <c r="B562" s="469" t="s">
        <v>309</v>
      </c>
      <c r="D562" s="1276" t="s">
        <v>919</v>
      </c>
      <c r="E562" s="1276"/>
      <c r="F562" s="1276"/>
    </row>
    <row r="563" spans="1:6">
      <c r="A563" s="13"/>
      <c r="B563" s="13"/>
      <c r="D563" s="218"/>
    </row>
    <row r="564" spans="1:6">
      <c r="A564" s="13"/>
      <c r="B564" s="469" t="s">
        <v>309</v>
      </c>
      <c r="D564" s="1276" t="s">
        <v>1136</v>
      </c>
      <c r="E564" s="1276"/>
      <c r="F564" s="1276"/>
    </row>
    <row r="565" spans="1:6">
      <c r="A565" s="13"/>
      <c r="B565" s="13"/>
      <c r="D565" s="1276"/>
      <c r="E565" s="1276"/>
      <c r="F565" s="1276"/>
    </row>
    <row r="566" spans="1:6">
      <c r="A566" s="13"/>
      <c r="B566" s="13"/>
      <c r="D566" s="1276"/>
      <c r="E566" s="1276"/>
      <c r="F566" s="1276"/>
    </row>
    <row r="567" spans="1:6">
      <c r="A567" s="13"/>
      <c r="B567" s="13"/>
      <c r="D567" s="255"/>
    </row>
    <row r="568" spans="1:6">
      <c r="A568" s="13"/>
      <c r="B568" s="469" t="s">
        <v>309</v>
      </c>
      <c r="D568" s="1276" t="s">
        <v>1137</v>
      </c>
      <c r="E568" s="1276"/>
      <c r="F568" s="1276"/>
    </row>
    <row r="569" spans="1:6">
      <c r="A569" s="13"/>
      <c r="B569" s="13"/>
      <c r="D569" s="1276"/>
      <c r="E569" s="1276"/>
      <c r="F569" s="1276"/>
    </row>
    <row r="570" spans="1:6">
      <c r="A570" s="13"/>
      <c r="B570" s="13"/>
      <c r="D570" s="1276"/>
      <c r="E570" s="1276"/>
      <c r="F570" s="1276"/>
    </row>
    <row r="571" spans="1:6">
      <c r="A571" s="13"/>
      <c r="B571" s="13"/>
      <c r="D571" s="1276"/>
      <c r="E571" s="1276"/>
      <c r="F571" s="1276"/>
    </row>
    <row r="572" spans="1:6">
      <c r="A572" s="13"/>
      <c r="B572" s="13"/>
      <c r="D572" s="474"/>
      <c r="E572" s="474"/>
      <c r="F572" s="474"/>
    </row>
    <row r="573" spans="1:6">
      <c r="A573" s="13"/>
      <c r="B573" s="469" t="s">
        <v>309</v>
      </c>
      <c r="D573" s="1276" t="s">
        <v>1138</v>
      </c>
      <c r="E573" s="1276"/>
      <c r="F573" s="1276"/>
    </row>
    <row r="574" spans="1:6">
      <c r="A574" s="13"/>
      <c r="B574" s="13"/>
      <c r="D574" s="1276"/>
      <c r="E574" s="1276"/>
      <c r="F574" s="1276"/>
    </row>
    <row r="575" spans="1:6">
      <c r="A575" s="13"/>
      <c r="B575" s="13"/>
      <c r="D575" s="255"/>
    </row>
    <row r="576" spans="1:6">
      <c r="A576" s="13"/>
      <c r="B576" s="469" t="s">
        <v>309</v>
      </c>
      <c r="D576" s="1276" t="s">
        <v>1139</v>
      </c>
      <c r="E576" s="1276"/>
      <c r="F576" s="1276"/>
    </row>
    <row r="577" spans="1:7">
      <c r="A577" s="13"/>
      <c r="B577" s="13"/>
      <c r="D577" s="1276"/>
      <c r="E577" s="1276"/>
      <c r="F577" s="1276"/>
    </row>
    <row r="578" spans="1:7">
      <c r="A578" s="13"/>
      <c r="B578" s="13"/>
      <c r="D578" s="255"/>
    </row>
    <row r="579" spans="1:7" ht="14.25">
      <c r="A579" s="176"/>
      <c r="B579" s="469" t="s">
        <v>309</v>
      </c>
      <c r="D579" s="1276" t="s">
        <v>914</v>
      </c>
      <c r="E579" s="1276"/>
      <c r="F579" s="1276"/>
    </row>
    <row r="580" spans="1:7" ht="14.25">
      <c r="A580" s="176"/>
      <c r="B580" s="176"/>
      <c r="D580" s="255"/>
    </row>
    <row r="581" spans="1:7" ht="14.25">
      <c r="A581" s="176"/>
      <c r="B581" s="469" t="s">
        <v>309</v>
      </c>
      <c r="D581" s="1276" t="s">
        <v>1140</v>
      </c>
      <c r="E581" s="1276"/>
      <c r="F581" s="1276"/>
    </row>
    <row r="582" spans="1:7" ht="14.25">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c r="A588" s="1277" t="s">
        <v>1120</v>
      </c>
      <c r="B588" s="1277"/>
      <c r="C588" s="1277"/>
      <c r="D588" s="1277"/>
      <c r="E588" s="1277"/>
      <c r="F588" s="1277"/>
      <c r="G588" s="1277"/>
    </row>
    <row r="589" spans="1:7"/>
    <row r="590" spans="1:7">
      <c r="D590" s="1288" t="s">
        <v>1220</v>
      </c>
      <c r="E590" s="1288"/>
      <c r="F590" s="1288"/>
    </row>
    <row r="591" spans="1:7">
      <c r="D591" s="1311" t="s">
        <v>1221</v>
      </c>
      <c r="E591" s="1311"/>
      <c r="F591" s="1311"/>
    </row>
    <row r="592" spans="1:7">
      <c r="D592" s="479"/>
      <c r="E592" s="434"/>
      <c r="F592" s="434"/>
    </row>
    <row r="593" spans="1:7" ht="14.25">
      <c r="A593" s="176"/>
      <c r="B593" s="469" t="s">
        <v>309</v>
      </c>
      <c r="D593" s="1289" t="s">
        <v>1222</v>
      </c>
      <c r="E593" s="1289"/>
      <c r="F593" s="1289"/>
    </row>
    <row r="594" spans="1:7">
      <c r="D594" s="1289"/>
      <c r="E594" s="1289"/>
      <c r="F594" s="1289"/>
    </row>
    <row r="595" spans="1:7">
      <c r="D595" s="1289"/>
      <c r="E595" s="1289"/>
      <c r="F595" s="1289"/>
    </row>
    <row r="596" spans="1:7"/>
    <row r="597" spans="1:7">
      <c r="A597" s="1277" t="s">
        <v>1121</v>
      </c>
      <c r="B597" s="1277"/>
      <c r="C597" s="1277"/>
      <c r="D597" s="1277"/>
      <c r="E597" s="1277"/>
      <c r="F597" s="1277"/>
      <c r="G597" s="1277"/>
    </row>
    <row r="598" spans="1:7">
      <c r="A598" s="35"/>
      <c r="B598" s="35"/>
    </row>
    <row r="599" spans="1:7">
      <c r="A599" s="172"/>
      <c r="B599" s="172"/>
      <c r="C599" s="172"/>
      <c r="D599" s="1312" t="s">
        <v>1223</v>
      </c>
      <c r="E599" s="1312"/>
      <c r="F599" s="1312"/>
    </row>
    <row r="600" spans="1:7">
      <c r="A600" s="172"/>
      <c r="B600" s="172"/>
      <c r="C600" s="172"/>
      <c r="D600" s="1312"/>
      <c r="E600" s="1312"/>
      <c r="F600" s="1312"/>
    </row>
    <row r="601" spans="1:7">
      <c r="C601" s="175"/>
      <c r="D601" s="1311" t="s">
        <v>1224</v>
      </c>
      <c r="E601" s="1311"/>
      <c r="F601" s="1311"/>
    </row>
    <row r="602" spans="1:7">
      <c r="C602" s="175"/>
      <c r="D602" s="479"/>
      <c r="E602" s="479"/>
      <c r="F602" s="479"/>
    </row>
    <row r="603" spans="1:7">
      <c r="A603" s="13"/>
      <c r="B603" s="469" t="s">
        <v>309</v>
      </c>
      <c r="D603" s="1311" t="s">
        <v>434</v>
      </c>
      <c r="E603" s="1311"/>
      <c r="F603" s="1311"/>
    </row>
    <row r="604" spans="1:7">
      <c r="C604" s="180"/>
      <c r="E604"/>
    </row>
    <row r="605" spans="1:7">
      <c r="A605" s="13"/>
      <c r="B605" s="469" t="s">
        <v>309</v>
      </c>
      <c r="D605" s="1287" t="s">
        <v>1225</v>
      </c>
      <c r="E605" s="1287"/>
      <c r="F605" s="1287"/>
    </row>
    <row r="606" spans="1:7">
      <c r="D606" s="1287"/>
      <c r="E606" s="1287"/>
      <c r="F606" s="1287"/>
    </row>
    <row r="607" spans="1:7">
      <c r="D607"/>
    </row>
    <row r="608" spans="1:7">
      <c r="B608" s="469" t="s">
        <v>309</v>
      </c>
      <c r="D608" s="1287" t="s">
        <v>1226</v>
      </c>
      <c r="E608" s="1287"/>
      <c r="F608" s="1287"/>
    </row>
    <row r="609" spans="1:7">
      <c r="C609" s="180"/>
      <c r="D609" s="1287"/>
      <c r="E609" s="1287"/>
      <c r="F609" s="1287"/>
    </row>
    <row r="610" spans="1:7">
      <c r="C610" s="180"/>
    </row>
    <row r="611" spans="1:7">
      <c r="B611" s="469" t="s">
        <v>309</v>
      </c>
      <c r="C611" s="180"/>
      <c r="D611" s="1287" t="s">
        <v>1227</v>
      </c>
      <c r="E611" s="1287"/>
      <c r="F611" s="1287"/>
    </row>
    <row r="612" spans="1:7">
      <c r="C612" s="180"/>
      <c r="D612" s="1287"/>
      <c r="E612" s="1287"/>
      <c r="F612" s="1287"/>
    </row>
    <row r="613" spans="1:7">
      <c r="C613" s="180"/>
    </row>
    <row r="614" spans="1:7">
      <c r="A614" s="1277" t="s">
        <v>1122</v>
      </c>
      <c r="B614" s="1277"/>
      <c r="C614" s="1277"/>
      <c r="D614" s="1277"/>
      <c r="E614" s="1277"/>
      <c r="F614" s="1277"/>
      <c r="G614" s="1277"/>
    </row>
    <row r="615" spans="1:7">
      <c r="A615" s="172"/>
      <c r="B615" s="172"/>
      <c r="C615" s="172"/>
    </row>
    <row r="616" spans="1:7">
      <c r="C616" s="13"/>
      <c r="D616" s="1288" t="s">
        <v>1228</v>
      </c>
      <c r="E616" s="1288"/>
      <c r="F616" s="1288"/>
    </row>
    <row r="617" spans="1:7">
      <c r="A617" s="13"/>
      <c r="B617" s="13"/>
      <c r="D617" s="2"/>
    </row>
    <row r="618" spans="1:7" ht="14.25">
      <c r="A618" s="176"/>
      <c r="B618" s="469" t="s">
        <v>309</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4.25">
      <c r="A625" s="176"/>
      <c r="B625" s="469" t="s">
        <v>309</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4.25">
      <c r="A628" s="176"/>
      <c r="B628" s="469" t="s">
        <v>309</v>
      </c>
      <c r="C628" s="179"/>
      <c r="D628" s="1289" t="s">
        <v>1231</v>
      </c>
      <c r="E628" s="1289"/>
      <c r="F628" s="1289"/>
    </row>
    <row r="629" spans="1:7" ht="14.25">
      <c r="A629" s="176"/>
      <c r="B629" s="176"/>
      <c r="C629" s="179"/>
      <c r="D629" s="1289"/>
      <c r="E629" s="1289"/>
      <c r="F629" s="1289"/>
    </row>
    <row r="630" spans="1:7" ht="14.25">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1232</v>
      </c>
      <c r="E633" s="1290"/>
      <c r="F633" s="1290"/>
    </row>
    <row r="634" spans="1:7">
      <c r="A634" s="179"/>
      <c r="B634" s="179"/>
      <c r="C634" s="179"/>
      <c r="D634" s="481"/>
      <c r="E634" s="481"/>
      <c r="F634" s="481"/>
    </row>
    <row r="635" spans="1:7">
      <c r="A635" s="1277" t="s">
        <v>1123</v>
      </c>
      <c r="B635" s="1277"/>
      <c r="C635" s="1277"/>
      <c r="D635" s="1277"/>
      <c r="E635" s="1277"/>
      <c r="F635" s="1277"/>
      <c r="G635" s="1277"/>
    </row>
    <row r="636" spans="1:7">
      <c r="A636" s="35"/>
      <c r="B636" s="35"/>
      <c r="C636" s="179"/>
      <c r="D636" s="35"/>
      <c r="E636" s="35"/>
      <c r="F636" s="35"/>
    </row>
    <row r="637" spans="1:7">
      <c r="C637" s="172"/>
      <c r="D637" s="1278" t="s">
        <v>1282</v>
      </c>
      <c r="E637" s="1278"/>
      <c r="F637" s="1278"/>
    </row>
    <row r="638" spans="1:7">
      <c r="A638" s="175"/>
      <c r="B638" s="175"/>
      <c r="C638" s="175"/>
      <c r="D638" s="1273" t="s">
        <v>1283</v>
      </c>
      <c r="E638" s="1273"/>
      <c r="F638" s="1273"/>
    </row>
    <row r="639" spans="1:7">
      <c r="A639" s="175"/>
      <c r="B639" s="175"/>
      <c r="C639" s="175"/>
      <c r="D639" s="118"/>
      <c r="E639" s="118"/>
      <c r="F639" s="118"/>
    </row>
    <row r="640" spans="1:7" ht="14.45" customHeight="1">
      <c r="A640" s="176"/>
      <c r="B640" s="469" t="s">
        <v>309</v>
      </c>
      <c r="C640" s="179"/>
      <c r="D640" s="1262" t="s">
        <v>1284</v>
      </c>
      <c r="E640" s="1262"/>
      <c r="F640" s="1262"/>
    </row>
    <row r="641" spans="1:11" ht="14.25">
      <c r="A641" s="176"/>
      <c r="B641" s="176"/>
      <c r="C641" s="179"/>
      <c r="D641" s="1262"/>
      <c r="E641" s="1262"/>
      <c r="F641" s="1262"/>
    </row>
    <row r="642" spans="1:11" ht="14.25">
      <c r="A642" s="176"/>
      <c r="B642" s="176"/>
      <c r="C642" s="179"/>
      <c r="D642" s="1262"/>
      <c r="E642" s="1262"/>
      <c r="F642" s="1262"/>
    </row>
    <row r="643" spans="1:11" ht="14.25">
      <c r="A643" s="176"/>
      <c r="B643" s="176"/>
      <c r="C643" s="179"/>
      <c r="D643" s="1262"/>
      <c r="E643" s="1262"/>
      <c r="F643" s="1262"/>
    </row>
    <row r="644" spans="1:11" ht="14.25">
      <c r="A644" s="176"/>
      <c r="B644" s="176"/>
      <c r="C644" s="179"/>
      <c r="D644" s="1262"/>
      <c r="E644" s="1262"/>
      <c r="F644" s="1262"/>
    </row>
    <row r="645" spans="1:11" ht="14.25">
      <c r="A645" s="176"/>
      <c r="B645" s="176"/>
      <c r="C645" s="179"/>
      <c r="D645" s="475"/>
      <c r="E645" s="475"/>
      <c r="F645" s="475"/>
    </row>
    <row r="646" spans="1:11" ht="14.25">
      <c r="A646" s="176"/>
      <c r="B646" s="469" t="s">
        <v>309</v>
      </c>
      <c r="C646" s="179"/>
      <c r="D646" s="1301" t="s">
        <v>1134</v>
      </c>
      <c r="E646" s="1301"/>
      <c r="F646" s="1301"/>
    </row>
    <row r="647" spans="1:11" ht="14.25">
      <c r="A647" s="176"/>
      <c r="B647" s="176"/>
      <c r="C647" s="179"/>
      <c r="D647" s="1302" t="s">
        <v>1285</v>
      </c>
      <c r="E647" s="1302"/>
      <c r="F647" s="1302"/>
    </row>
    <row r="648" spans="1:11" ht="14.25">
      <c r="A648" s="176"/>
      <c r="B648" s="176"/>
      <c r="C648" s="179"/>
      <c r="D648" s="1302"/>
      <c r="E648" s="1302"/>
      <c r="F648" s="1302"/>
    </row>
    <row r="649" spans="1:11" ht="14.25">
      <c r="A649" s="176"/>
      <c r="B649" s="176"/>
      <c r="C649" s="179"/>
      <c r="D649" s="1302"/>
      <c r="E649" s="1302"/>
      <c r="F649" s="1302"/>
    </row>
    <row r="650" spans="1:11" ht="14.25">
      <c r="A650" s="176"/>
      <c r="B650" s="176"/>
      <c r="C650" s="179"/>
      <c r="D650" s="1302"/>
      <c r="E650" s="1302"/>
      <c r="F650" s="1302"/>
    </row>
    <row r="651" spans="1:11" ht="14.25">
      <c r="A651" s="176"/>
      <c r="B651" s="176"/>
      <c r="C651" s="179"/>
      <c r="D651" s="1302"/>
      <c r="E651" s="1302"/>
      <c r="F651" s="1302"/>
    </row>
    <row r="652" spans="1:11" ht="14.25">
      <c r="A652" s="176"/>
      <c r="B652" s="176"/>
      <c r="C652" s="179"/>
      <c r="D652" s="1303" t="s">
        <v>1286</v>
      </c>
      <c r="E652" s="1303"/>
      <c r="F652" s="1303"/>
    </row>
    <row r="653" spans="1:11">
      <c r="A653" s="179"/>
      <c r="B653" s="179"/>
      <c r="C653" s="179"/>
      <c r="D653" s="35"/>
      <c r="E653" s="35"/>
      <c r="F653" s="35"/>
    </row>
    <row r="654" spans="1:11">
      <c r="A654" s="1277" t="s">
        <v>1124</v>
      </c>
      <c r="B654" s="1277"/>
      <c r="C654" s="1277"/>
      <c r="D654" s="1277"/>
      <c r="E654" s="1277"/>
      <c r="F654" s="1277"/>
      <c r="G654" s="1277"/>
      <c r="H654" s="181"/>
      <c r="I654" s="181"/>
      <c r="J654" s="181"/>
      <c r="K654" s="181"/>
    </row>
    <row r="655" spans="1:11">
      <c r="A655" s="483"/>
      <c r="B655" s="483"/>
      <c r="C655" s="483"/>
      <c r="D655" s="483"/>
      <c r="E655" s="483"/>
      <c r="F655" s="483"/>
      <c r="G655" s="483"/>
      <c r="H655" s="181"/>
      <c r="I655" s="181"/>
      <c r="J655" s="181"/>
      <c r="K655" s="181"/>
    </row>
    <row r="656" spans="1:11">
      <c r="C656" s="172"/>
      <c r="D656" s="1278" t="s">
        <v>100</v>
      </c>
      <c r="E656" s="1278"/>
      <c r="F656" s="1278"/>
      <c r="H656" s="181"/>
      <c r="I656" s="181"/>
      <c r="J656" s="181"/>
      <c r="K656" s="181"/>
    </row>
    <row r="657" spans="1:11">
      <c r="A657" s="172"/>
      <c r="B657" s="172"/>
      <c r="C657" s="172"/>
      <c r="D657" s="1278" t="s">
        <v>124</v>
      </c>
      <c r="E657" s="1278"/>
      <c r="F657" s="1278"/>
      <c r="H657" s="181"/>
      <c r="I657" s="181"/>
      <c r="J657" s="181"/>
      <c r="K657" s="181"/>
    </row>
    <row r="658" spans="1:11">
      <c r="A658" s="175"/>
      <c r="B658" s="175"/>
      <c r="C658" s="175"/>
      <c r="D658" s="1273" t="s">
        <v>1160</v>
      </c>
      <c r="E658" s="1273"/>
      <c r="F658" s="1273"/>
      <c r="H658" s="181"/>
      <c r="I658" s="181"/>
      <c r="J658" s="181"/>
      <c r="K658" s="181"/>
    </row>
    <row r="659" spans="1:11">
      <c r="A659" s="175"/>
      <c r="B659" s="175"/>
      <c r="C659" s="175"/>
      <c r="H659" s="181"/>
      <c r="I659" s="181"/>
      <c r="J659" s="181"/>
      <c r="K659" s="181"/>
    </row>
    <row r="660" spans="1:11" ht="14.25">
      <c r="A660" s="176"/>
      <c r="B660" s="469" t="s">
        <v>309</v>
      </c>
      <c r="C660" s="175"/>
      <c r="D660" s="1273" t="s">
        <v>915</v>
      </c>
      <c r="E660" s="1273"/>
      <c r="F660" s="1273"/>
      <c r="H660" s="181"/>
      <c r="I660" s="181"/>
      <c r="J660" s="181"/>
      <c r="K660" s="181"/>
    </row>
    <row r="661" spans="1:11">
      <c r="A661" s="175"/>
      <c r="B661" s="175"/>
      <c r="C661" s="175"/>
      <c r="D661" s="1273" t="s">
        <v>926</v>
      </c>
      <c r="E661" s="1273"/>
      <c r="F661" s="1273"/>
      <c r="H661" s="181"/>
      <c r="I661" s="181"/>
      <c r="J661" s="181"/>
      <c r="K661" s="181"/>
    </row>
    <row r="662" spans="1:11">
      <c r="A662" s="175"/>
      <c r="B662" s="175"/>
      <c r="C662" s="175"/>
      <c r="D662" s="3"/>
      <c r="E662" s="1272" t="s">
        <v>1161</v>
      </c>
      <c r="F662" s="1272"/>
      <c r="H662" s="181"/>
      <c r="I662" s="181"/>
      <c r="J662" s="181"/>
      <c r="K662" s="181"/>
    </row>
    <row r="663" spans="1:11">
      <c r="A663" s="175"/>
      <c r="B663" s="175"/>
      <c r="C663" s="175"/>
      <c r="D663" s="3"/>
      <c r="E663" s="1272"/>
      <c r="F663" s="1272"/>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2" t="s">
        <v>1162</v>
      </c>
      <c r="E665" s="1262"/>
      <c r="F665" s="1262"/>
      <c r="H665" s="181"/>
      <c r="I665" s="181"/>
      <c r="J665" s="181"/>
      <c r="K665" s="181"/>
    </row>
    <row r="666" spans="1:11">
      <c r="A666" s="13"/>
      <c r="B666" s="13"/>
      <c r="C666" s="175"/>
      <c r="D666" s="1262"/>
      <c r="E666" s="1262"/>
      <c r="F666" s="1262"/>
      <c r="H666" s="181"/>
      <c r="I666" s="181"/>
      <c r="J666" s="181"/>
      <c r="K666" s="181"/>
    </row>
    <row r="667" spans="1:11">
      <c r="A667" s="175"/>
      <c r="B667" s="175"/>
      <c r="C667" s="175"/>
      <c r="D667" s="1262"/>
      <c r="E667" s="1262"/>
      <c r="F667" s="1262"/>
      <c r="H667" s="181"/>
      <c r="I667" s="181"/>
      <c r="J667" s="181"/>
      <c r="K667" s="181"/>
    </row>
    <row r="668" spans="1:11">
      <c r="A668" s="175"/>
      <c r="B668" s="175"/>
      <c r="C668" s="175"/>
      <c r="H668" s="181"/>
      <c r="I668" s="181"/>
      <c r="J668" s="181"/>
      <c r="K668" s="181"/>
    </row>
    <row r="669" spans="1:11" ht="14.25">
      <c r="A669" s="176"/>
      <c r="B669" s="469" t="s">
        <v>309</v>
      </c>
      <c r="C669" s="175"/>
      <c r="D669" s="1273" t="s">
        <v>954</v>
      </c>
      <c r="E669" s="1273"/>
      <c r="F669" s="1273"/>
      <c r="H669" s="181"/>
      <c r="I669" s="181"/>
      <c r="J669" s="181"/>
      <c r="K669" s="181"/>
    </row>
    <row r="670" spans="1:11" ht="14.25">
      <c r="A670" s="176"/>
      <c r="B670" s="176"/>
      <c r="C670" s="175"/>
      <c r="D670" s="1273" t="s">
        <v>926</v>
      </c>
      <c r="E670" s="1273"/>
      <c r="F670" s="1273"/>
      <c r="H670" s="181"/>
      <c r="I670" s="181"/>
      <c r="J670" s="181"/>
      <c r="K670" s="181"/>
    </row>
    <row r="671" spans="1:11">
      <c r="A671" s="175"/>
      <c r="B671" s="175"/>
      <c r="C671" s="175"/>
      <c r="D671" s="3"/>
      <c r="E671" s="1284" t="s">
        <v>1163</v>
      </c>
      <c r="F671" s="1284"/>
      <c r="H671" s="181"/>
      <c r="I671" s="181"/>
      <c r="J671" s="181"/>
      <c r="K671" s="181"/>
    </row>
    <row r="672" spans="1:11">
      <c r="A672" s="175"/>
      <c r="B672" s="175"/>
      <c r="C672" s="175"/>
      <c r="D672" s="2"/>
      <c r="H672" s="181"/>
      <c r="I672" s="181"/>
      <c r="J672" s="181"/>
      <c r="K672" s="181"/>
    </row>
    <row r="673" spans="1:11" ht="14.25">
      <c r="A673" s="176"/>
      <c r="B673" s="469" t="s">
        <v>309</v>
      </c>
      <c r="C673" s="175"/>
      <c r="D673" s="1262" t="s">
        <v>1173</v>
      </c>
      <c r="E673" s="1262"/>
      <c r="F673" s="1262"/>
      <c r="H673" s="181"/>
      <c r="I673" s="181"/>
      <c r="J673" s="181"/>
      <c r="K673" s="181"/>
    </row>
    <row r="674" spans="1:11">
      <c r="A674" s="175"/>
      <c r="B674" s="175"/>
      <c r="C674" s="175"/>
      <c r="D674" s="1262"/>
      <c r="E674" s="1262"/>
      <c r="F674" s="1262"/>
      <c r="H674" s="181"/>
      <c r="I674" s="181"/>
      <c r="J674" s="181"/>
      <c r="K674" s="181"/>
    </row>
    <row r="675" spans="1:11">
      <c r="A675" s="175"/>
      <c r="B675" s="175"/>
      <c r="C675" s="175"/>
      <c r="D675" s="1262"/>
      <c r="E675" s="1262"/>
      <c r="F675" s="1262"/>
      <c r="H675" s="181"/>
      <c r="I675" s="181"/>
      <c r="J675" s="181"/>
      <c r="K675" s="181"/>
    </row>
    <row r="676" spans="1:11">
      <c r="A676" s="175"/>
      <c r="B676" s="175"/>
      <c r="C676" s="175"/>
      <c r="D676" s="1262"/>
      <c r="E676" s="1262"/>
      <c r="F676" s="1262"/>
      <c r="H676" s="181"/>
      <c r="I676" s="181"/>
      <c r="J676" s="181"/>
      <c r="K676" s="181"/>
    </row>
    <row r="677" spans="1:11">
      <c r="A677" s="175"/>
      <c r="B677" s="175"/>
      <c r="C677" s="175"/>
      <c r="D677" s="1262"/>
      <c r="E677" s="1262"/>
      <c r="F677" s="1262"/>
      <c r="H677" s="181"/>
      <c r="I677" s="181"/>
      <c r="J677" s="181"/>
      <c r="K677" s="181"/>
    </row>
    <row r="678" spans="1:11">
      <c r="A678" s="175"/>
      <c r="B678" s="175"/>
      <c r="C678" s="175"/>
      <c r="D678" s="1262"/>
      <c r="E678" s="1262"/>
      <c r="F678" s="1262"/>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2" t="s">
        <v>1164</v>
      </c>
      <c r="E680" s="1262"/>
      <c r="F680" s="1262"/>
      <c r="H680" s="181"/>
      <c r="I680" s="181"/>
      <c r="J680" s="181"/>
      <c r="K680" s="181"/>
    </row>
    <row r="681" spans="1:11">
      <c r="A681" s="175"/>
      <c r="B681" s="175"/>
      <c r="C681" s="175"/>
      <c r="D681" s="1262"/>
      <c r="E681" s="1262"/>
      <c r="F681" s="1262"/>
      <c r="H681" s="181"/>
      <c r="I681" s="181"/>
      <c r="J681" s="181"/>
      <c r="K681" s="181"/>
    </row>
    <row r="682" spans="1:11">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c r="A685" s="175"/>
      <c r="B685" s="175"/>
      <c r="C685" s="175"/>
      <c r="D685" s="1262"/>
      <c r="E685" s="1262"/>
      <c r="F685" s="1262"/>
      <c r="H685" s="181"/>
      <c r="I685" s="181"/>
      <c r="J685" s="181"/>
      <c r="K685" s="181"/>
    </row>
    <row r="686" spans="1:11">
      <c r="A686" s="175"/>
      <c r="B686" s="175"/>
      <c r="C686" s="175"/>
      <c r="D686" s="1262"/>
      <c r="E686" s="1262"/>
      <c r="F686" s="1262"/>
      <c r="H686" s="181"/>
      <c r="I686" s="181"/>
      <c r="J686" s="181"/>
      <c r="K686" s="181"/>
    </row>
    <row r="687" spans="1:11">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c r="A689" s="175"/>
      <c r="B689" s="175"/>
      <c r="C689" s="175"/>
      <c r="D689" s="1262"/>
      <c r="E689" s="1262"/>
      <c r="F689" s="1262"/>
      <c r="H689" s="181"/>
      <c r="I689" s="181"/>
      <c r="J689" s="181"/>
      <c r="K689" s="181"/>
    </row>
    <row r="690" spans="1:11">
      <c r="A690" s="175"/>
      <c r="B690" s="175"/>
      <c r="C690" s="175"/>
      <c r="D690" s="1262"/>
      <c r="E690" s="1262"/>
      <c r="F690" s="1262"/>
      <c r="H690" s="181"/>
      <c r="I690" s="181"/>
      <c r="J690" s="181"/>
      <c r="K690" s="181"/>
    </row>
    <row r="691" spans="1:11">
      <c r="A691" s="175"/>
      <c r="B691" s="175"/>
      <c r="C691" s="175"/>
      <c r="D691" s="1262"/>
      <c r="E691" s="1262"/>
      <c r="F691" s="1262"/>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2" t="s">
        <v>1174</v>
      </c>
      <c r="E693" s="1262"/>
      <c r="F693" s="1262"/>
      <c r="H693" s="181"/>
      <c r="I693" s="181"/>
      <c r="J693" s="181"/>
      <c r="K693" s="181"/>
    </row>
    <row r="694" spans="1:11">
      <c r="A694" s="175"/>
      <c r="B694" s="175"/>
      <c r="C694" s="175"/>
      <c r="D694" s="1262"/>
      <c r="E694" s="1262"/>
      <c r="F694" s="1262"/>
      <c r="H694" s="181"/>
      <c r="I694" s="181"/>
      <c r="J694" s="181"/>
      <c r="K694" s="181"/>
    </row>
    <row r="695" spans="1:11">
      <c r="A695" s="175"/>
      <c r="B695" s="175"/>
      <c r="C695" s="175"/>
      <c r="D695" s="1262"/>
      <c r="E695" s="1262"/>
      <c r="F695" s="1262"/>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2" t="s">
        <v>1171</v>
      </c>
      <c r="E697" s="1262"/>
      <c r="F697" s="1262"/>
      <c r="H697" s="181"/>
      <c r="I697" s="181"/>
      <c r="J697" s="181"/>
      <c r="K697" s="181"/>
    </row>
    <row r="698" spans="1:11">
      <c r="A698" s="175"/>
      <c r="B698" s="175"/>
      <c r="C698" s="175"/>
      <c r="D698" s="1262"/>
      <c r="E698" s="1262"/>
      <c r="F698" s="1262"/>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2" t="s">
        <v>1172</v>
      </c>
      <c r="E700" s="1262"/>
      <c r="F700" s="1262"/>
      <c r="H700" s="181"/>
      <c r="I700" s="181"/>
      <c r="J700" s="181"/>
      <c r="K700" s="181"/>
    </row>
    <row r="701" spans="1:11">
      <c r="A701" s="175"/>
      <c r="B701" s="175"/>
      <c r="C701" s="175"/>
      <c r="D701" s="1262"/>
      <c r="E701" s="1262"/>
      <c r="F701" s="1262"/>
      <c r="H701" s="181"/>
      <c r="I701" s="181"/>
      <c r="J701" s="181"/>
      <c r="K701" s="181"/>
    </row>
    <row r="702" spans="1:11">
      <c r="A702" s="175"/>
      <c r="B702" s="175"/>
      <c r="C702" s="175"/>
      <c r="D702" s="1262"/>
      <c r="E702" s="1262"/>
      <c r="F702" s="1262"/>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2" t="s">
        <v>1165</v>
      </c>
      <c r="E704" s="1262"/>
      <c r="F704" s="1262"/>
      <c r="H704" s="181"/>
      <c r="I704" s="181"/>
      <c r="J704" s="181"/>
      <c r="K704" s="181"/>
    </row>
    <row r="705" spans="1:11">
      <c r="A705" s="175"/>
      <c r="B705" s="175"/>
      <c r="C705" s="175"/>
      <c r="D705" s="1262"/>
      <c r="E705" s="1262"/>
      <c r="F705" s="1262"/>
      <c r="H705" s="181"/>
      <c r="I705" s="181"/>
      <c r="J705" s="181"/>
      <c r="K705" s="181"/>
    </row>
    <row r="706" spans="1:11">
      <c r="A706" s="175"/>
      <c r="B706" s="175"/>
      <c r="C706" s="175"/>
      <c r="D706" s="1262"/>
      <c r="E706" s="1262"/>
      <c r="F706" s="1262"/>
      <c r="H706" s="181"/>
      <c r="I706" s="181"/>
      <c r="J706" s="181"/>
      <c r="K706" s="181"/>
    </row>
    <row r="707" spans="1:11">
      <c r="A707" s="175"/>
      <c r="B707" s="175"/>
      <c r="C707" s="175"/>
      <c r="H707" s="181"/>
      <c r="I707" s="181"/>
      <c r="J707" s="181"/>
      <c r="K707" s="181"/>
    </row>
    <row r="708" spans="1:11">
      <c r="A708" s="175"/>
      <c r="B708" s="469" t="s">
        <v>309</v>
      </c>
      <c r="C708" s="175"/>
      <c r="D708" s="1262" t="s">
        <v>1166</v>
      </c>
      <c r="E708" s="1262"/>
      <c r="F708" s="1262"/>
      <c r="H708" s="181"/>
      <c r="I708" s="181"/>
      <c r="J708" s="181"/>
      <c r="K708" s="181"/>
    </row>
    <row r="709" spans="1:11">
      <c r="A709" s="175"/>
      <c r="B709" s="175"/>
      <c r="C709" s="175"/>
      <c r="D709" s="1262"/>
      <c r="E709" s="1262"/>
      <c r="F709" s="1262"/>
      <c r="H709" s="181"/>
      <c r="I709" s="181"/>
      <c r="J709" s="181"/>
      <c r="K709" s="181"/>
    </row>
    <row r="710" spans="1:11">
      <c r="A710" s="175"/>
      <c r="B710" s="175"/>
      <c r="C710" s="175"/>
      <c r="D710" s="1262"/>
      <c r="E710" s="1262"/>
      <c r="F710" s="1262"/>
      <c r="H710" s="181"/>
      <c r="I710" s="181"/>
      <c r="J710" s="181"/>
      <c r="K710" s="181"/>
    </row>
    <row r="711" spans="1:11">
      <c r="A711" s="175"/>
      <c r="B711" s="175"/>
      <c r="C711" s="175"/>
      <c r="D711"/>
      <c r="H711" s="181"/>
      <c r="I711" s="181"/>
      <c r="J711" s="181"/>
      <c r="K711" s="181"/>
    </row>
    <row r="712" spans="1:11" ht="14.25">
      <c r="A712" s="176"/>
      <c r="B712" s="469" t="s">
        <v>309</v>
      </c>
      <c r="C712" s="175"/>
      <c r="D712" s="1262" t="s">
        <v>1167</v>
      </c>
      <c r="E712" s="1262"/>
      <c r="F712" s="1262"/>
      <c r="H712" s="181"/>
      <c r="I712" s="181"/>
      <c r="J712" s="181"/>
      <c r="K712" s="181"/>
    </row>
    <row r="713" spans="1:11">
      <c r="A713" s="175"/>
      <c r="B713" s="175"/>
      <c r="C713" s="175"/>
      <c r="D713" s="1262"/>
      <c r="E713" s="1262"/>
      <c r="F713" s="1262"/>
      <c r="H713" s="181"/>
      <c r="I713" s="181"/>
      <c r="J713" s="181"/>
      <c r="K713" s="181"/>
    </row>
    <row r="714" spans="1:11">
      <c r="A714" s="175"/>
      <c r="B714" s="175"/>
      <c r="C714" s="175"/>
      <c r="D714" s="1262"/>
      <c r="E714" s="1262"/>
      <c r="F714" s="1262"/>
      <c r="H714" s="181"/>
      <c r="I714" s="181"/>
      <c r="J714" s="181"/>
      <c r="K714" s="181"/>
    </row>
    <row r="715" spans="1:11">
      <c r="A715" s="175"/>
      <c r="B715" s="175"/>
      <c r="C715" s="175"/>
      <c r="D715" s="1262"/>
      <c r="E715" s="1262"/>
      <c r="F715" s="1262"/>
      <c r="H715" s="181"/>
      <c r="I715" s="181"/>
      <c r="J715" s="181"/>
      <c r="K715" s="181"/>
    </row>
    <row r="716" spans="1:11">
      <c r="A716" s="175"/>
      <c r="B716" s="175"/>
      <c r="C716" s="175"/>
      <c r="D716" s="178"/>
      <c r="H716" s="181"/>
      <c r="I716" s="181"/>
      <c r="J716" s="181"/>
      <c r="K716" s="181"/>
    </row>
    <row r="717" spans="1:11" ht="14.25">
      <c r="A717" s="176"/>
      <c r="B717" s="469" t="s">
        <v>309</v>
      </c>
      <c r="C717" s="175"/>
      <c r="D717" s="1262" t="s">
        <v>1300</v>
      </c>
      <c r="E717" s="1262"/>
      <c r="F717" s="1262"/>
      <c r="H717" s="181"/>
      <c r="I717" s="181"/>
      <c r="J717" s="181"/>
      <c r="K717" s="181"/>
    </row>
    <row r="718" spans="1:11">
      <c r="A718" s="175"/>
      <c r="B718" s="175"/>
      <c r="C718" s="175"/>
      <c r="D718" s="1262"/>
      <c r="E718" s="1262"/>
      <c r="F718" s="1262"/>
      <c r="H718" s="181"/>
      <c r="I718" s="181"/>
      <c r="J718" s="181"/>
      <c r="K718" s="181"/>
    </row>
    <row r="719" spans="1:11">
      <c r="A719" s="175"/>
      <c r="B719" s="175"/>
      <c r="C719" s="175"/>
      <c r="D719" s="1262"/>
      <c r="E719" s="1262"/>
      <c r="F719" s="1262"/>
      <c r="H719" s="181"/>
      <c r="I719" s="181"/>
      <c r="J719" s="181"/>
      <c r="K719" s="181"/>
    </row>
    <row r="720" spans="1:11">
      <c r="A720" s="175"/>
      <c r="B720" s="175"/>
      <c r="C720" s="175"/>
      <c r="D720" s="1262"/>
      <c r="E720" s="1262"/>
      <c r="F720" s="1262"/>
      <c r="H720" s="181"/>
      <c r="I720" s="181"/>
      <c r="J720" s="181"/>
      <c r="K720" s="181"/>
    </row>
    <row r="721" spans="1:11">
      <c r="A721" s="175"/>
      <c r="B721" s="175"/>
      <c r="C721" s="175"/>
      <c r="D721" s="1262"/>
      <c r="E721" s="1262"/>
      <c r="F721" s="1262"/>
      <c r="H721" s="181"/>
      <c r="I721" s="181"/>
      <c r="J721" s="181"/>
      <c r="K721" s="181"/>
    </row>
    <row r="722" spans="1:11">
      <c r="A722" s="175"/>
      <c r="B722" s="175"/>
      <c r="C722" s="175"/>
      <c r="D722" s="1262"/>
      <c r="E722" s="1262"/>
      <c r="F722" s="1262"/>
      <c r="H722" s="181"/>
      <c r="I722" s="181"/>
      <c r="J722" s="181"/>
      <c r="K722" s="181"/>
    </row>
    <row r="723" spans="1:11">
      <c r="A723" s="175"/>
      <c r="B723" s="175"/>
      <c r="C723" s="175"/>
      <c r="D723" s="1262"/>
      <c r="E723" s="1262"/>
      <c r="F723" s="1262"/>
      <c r="H723" s="181"/>
      <c r="I723" s="181"/>
      <c r="J723" s="181"/>
      <c r="K723" s="181"/>
    </row>
    <row r="724" spans="1:11">
      <c r="A724" s="175"/>
      <c r="B724" s="175"/>
      <c r="C724" s="175"/>
      <c r="D724" s="1306" t="s">
        <v>1168</v>
      </c>
      <c r="E724" s="1306"/>
      <c r="F724" s="1306"/>
      <c r="H724" s="181"/>
      <c r="I724" s="181"/>
      <c r="J724" s="181"/>
      <c r="K724" s="181"/>
    </row>
    <row r="725" spans="1:11">
      <c r="A725" s="175"/>
      <c r="B725" s="175"/>
      <c r="C725" s="175"/>
      <c r="D725" s="370"/>
      <c r="H725" s="181"/>
      <c r="I725" s="181"/>
      <c r="J725" s="181"/>
      <c r="K725" s="181"/>
    </row>
    <row r="726" spans="1:11">
      <c r="A726" s="1308" t="s">
        <v>1125</v>
      </c>
      <c r="B726" s="1308"/>
      <c r="C726" s="1308"/>
      <c r="D726" s="1308"/>
      <c r="E726" s="1308"/>
      <c r="F726" s="1308"/>
      <c r="G726" s="1308"/>
      <c r="H726" s="181"/>
      <c r="I726" s="181"/>
      <c r="J726" s="181"/>
      <c r="K726" s="181"/>
    </row>
    <row r="727" spans="1:11">
      <c r="A727" s="175"/>
      <c r="B727" s="175"/>
      <c r="C727" s="175"/>
      <c r="D727" s="178"/>
      <c r="G727" s="183"/>
      <c r="H727" s="181"/>
      <c r="I727" s="181"/>
      <c r="J727" s="181"/>
      <c r="K727" s="181"/>
    </row>
    <row r="728" spans="1:11" ht="13.15" customHeight="1">
      <c r="C728" s="175"/>
      <c r="D728" s="1295" t="s">
        <v>1141</v>
      </c>
      <c r="E728" s="1295"/>
      <c r="F728" s="1295"/>
      <c r="G728" s="183"/>
      <c r="H728" s="181"/>
      <c r="I728" s="181"/>
      <c r="J728" s="181"/>
      <c r="K728" s="181"/>
    </row>
    <row r="729" spans="1:11">
      <c r="A729" s="175"/>
      <c r="B729" s="175"/>
      <c r="C729" s="175"/>
      <c r="D729" s="1305" t="s">
        <v>1142</v>
      </c>
      <c r="E729" s="1305"/>
      <c r="F729" s="1305"/>
      <c r="G729" s="183"/>
      <c r="H729" s="181"/>
      <c r="I729" s="181"/>
      <c r="J729" s="181"/>
      <c r="K729" s="181"/>
    </row>
    <row r="730" spans="1:11">
      <c r="A730" s="175"/>
      <c r="B730" s="175"/>
      <c r="C730" s="175"/>
      <c r="G730" s="183"/>
      <c r="H730" s="181"/>
      <c r="I730" s="181"/>
      <c r="J730" s="181"/>
      <c r="K730" s="181"/>
    </row>
    <row r="731" spans="1:11" ht="14.25">
      <c r="A731" s="176"/>
      <c r="B731" s="469" t="s">
        <v>309</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6"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4.25">
      <c r="A743" s="176"/>
      <c r="B743" s="469" t="s">
        <v>309</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4.25">
      <c r="A747" s="176"/>
      <c r="B747" s="469" t="s">
        <v>309</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c r="A754" s="1277" t="s">
        <v>1148</v>
      </c>
      <c r="B754" s="1277"/>
      <c r="C754" s="1277"/>
      <c r="D754" s="1277"/>
      <c r="E754" s="1277"/>
      <c r="F754" s="1277"/>
      <c r="G754" s="1277"/>
    </row>
    <row r="755" spans="1:11">
      <c r="A755" s="175"/>
      <c r="B755" s="175"/>
      <c r="C755" s="175"/>
      <c r="D755" s="184"/>
      <c r="F755" s="35"/>
      <c r="G755" s="183"/>
    </row>
    <row r="756" spans="1:11">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4.25">
      <c r="A759" s="176"/>
      <c r="B759" s="469" t="s">
        <v>309</v>
      </c>
      <c r="D759" s="1292" t="s">
        <v>1026</v>
      </c>
      <c r="E759" s="1292"/>
      <c r="F759" s="1292"/>
      <c r="G759" s="183"/>
    </row>
    <row r="760" spans="1:11">
      <c r="D760" s="434"/>
      <c r="E760" s="1304" t="s">
        <v>1133</v>
      </c>
      <c r="F760" s="1304"/>
      <c r="G760" s="183"/>
    </row>
    <row r="761" spans="1:11">
      <c r="A761" s="172"/>
      <c r="B761" s="172"/>
      <c r="C761" s="172"/>
      <c r="D761" s="35"/>
      <c r="G761" s="183"/>
    </row>
    <row r="762" spans="1:11">
      <c r="A762" s="1307" t="s">
        <v>450</v>
      </c>
      <c r="B762" s="1307"/>
      <c r="C762" s="1307"/>
      <c r="D762" s="1307"/>
      <c r="E762" s="1307"/>
      <c r="F762" s="1307"/>
      <c r="G762" s="1307"/>
    </row>
    <row r="763" spans="1:11">
      <c r="A763" s="172"/>
      <c r="B763" s="172"/>
      <c r="C763" s="179"/>
      <c r="D763" s="183"/>
      <c r="E763" s="183"/>
      <c r="F763" s="183"/>
      <c r="G763" s="183"/>
    </row>
    <row r="764" spans="1:11">
      <c r="A764" s="35"/>
      <c r="B764" s="1305" t="s">
        <v>1025</v>
      </c>
      <c r="C764" s="1305"/>
      <c r="D764" s="1305"/>
      <c r="E764" s="1305"/>
      <c r="F764" s="1305"/>
      <c r="G764" s="183"/>
    </row>
    <row r="765" spans="1:11">
      <c r="A765" s="13"/>
      <c r="B765" s="13"/>
      <c r="G765" s="183"/>
    </row>
    <row r="766" spans="1:11">
      <c r="A766" s="1307" t="s">
        <v>451</v>
      </c>
      <c r="B766" s="1307"/>
      <c r="C766" s="1307"/>
      <c r="D766" s="1307"/>
      <c r="E766" s="1307"/>
      <c r="F766" s="1307"/>
      <c r="G766" s="1307"/>
    </row>
    <row r="767" spans="1:11">
      <c r="A767" s="172"/>
      <c r="B767" s="172"/>
      <c r="C767" s="172"/>
      <c r="D767" s="178"/>
      <c r="G767" s="183"/>
    </row>
    <row r="768" spans="1:11">
      <c r="A768" s="35"/>
      <c r="B768" s="1273" t="s">
        <v>449</v>
      </c>
      <c r="C768" s="1273"/>
      <c r="D768" s="1273"/>
      <c r="E768" s="1273"/>
      <c r="F768" s="1273"/>
      <c r="G768" s="183"/>
    </row>
    <row r="769" spans="1:7" ht="14.25">
      <c r="A769" s="176"/>
      <c r="B769" s="176"/>
      <c r="D769" s="35"/>
      <c r="E769" s="35"/>
      <c r="F769" s="183"/>
      <c r="G769" s="183"/>
    </row>
    <row r="770" spans="1:7">
      <c r="A770" s="1307" t="s">
        <v>452</v>
      </c>
      <c r="B770" s="1307"/>
      <c r="C770" s="1307"/>
      <c r="D770" s="1307"/>
      <c r="E770" s="1307"/>
      <c r="F770" s="1307"/>
      <c r="G770" s="1307"/>
    </row>
    <row r="771" spans="1:7">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c r="A777" s="179"/>
      <c r="B777" s="179"/>
      <c r="C777" s="179"/>
      <c r="D777" s="174"/>
      <c r="F777" s="183"/>
    </row>
    <row r="778" spans="1:7">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c r="A781" s="179"/>
      <c r="B781" s="179"/>
      <c r="C781" s="179"/>
      <c r="D781" s="174"/>
      <c r="F781" s="183"/>
    </row>
    <row r="782" spans="1:7">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c r="D785" s="174"/>
    </row>
    <row r="786" spans="1:7">
      <c r="A786" s="1307" t="s">
        <v>188</v>
      </c>
      <c r="B786" s="1307"/>
      <c r="C786" s="1307"/>
      <c r="D786" s="1307"/>
      <c r="E786" s="1307"/>
      <c r="F786" s="1307"/>
      <c r="G786" s="1307"/>
    </row>
    <row r="787" spans="1:7">
      <c r="A787" s="35"/>
      <c r="B787" s="35"/>
    </row>
    <row r="788" spans="1:7">
      <c r="A788" s="35"/>
      <c r="B788" s="1273" t="s">
        <v>449</v>
      </c>
      <c r="C788" s="1273"/>
      <c r="D788" s="1273"/>
      <c r="E788" s="1273"/>
      <c r="F788" s="1273"/>
    </row>
    <row r="789" spans="1:7">
      <c r="A789" s="35"/>
      <c r="B789" s="35"/>
      <c r="D789" s="174"/>
    </row>
    <row r="790" spans="1:7">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434" customWidth="1"/>
    <col min="11" max="16384" width="8.85546875" style="434" hidden="1"/>
  </cols>
  <sheetData>
    <row r="1" spans="1:10" ht="14.25" customHeight="1"/>
    <row r="2" spans="1:10" ht="15.75">
      <c r="A2" s="1313" t="s">
        <v>2134</v>
      </c>
      <c r="B2" s="1314"/>
      <c r="C2" s="1314"/>
      <c r="D2" s="1314"/>
      <c r="E2" s="1314"/>
      <c r="F2" s="1314"/>
      <c r="G2" s="1314"/>
      <c r="H2" s="1314"/>
      <c r="I2" s="1314"/>
      <c r="J2" s="1314"/>
    </row>
    <row r="3" spans="1:10" ht="15">
      <c r="A3" s="1317" t="s">
        <v>1426</v>
      </c>
      <c r="B3" s="1318"/>
      <c r="C3" s="1318"/>
      <c r="D3" s="1318"/>
      <c r="E3" s="1318"/>
      <c r="F3" s="1318"/>
      <c r="G3" s="1318"/>
      <c r="H3" s="1318"/>
      <c r="I3" s="1318"/>
      <c r="J3" s="1318"/>
    </row>
    <row r="4" spans="1:10" ht="12.75"/>
    <row r="5" spans="1:10" ht="12.75" customHeight="1">
      <c r="A5" s="1315" t="s">
        <v>2442</v>
      </c>
      <c r="B5" s="1315"/>
      <c r="C5" s="1315"/>
      <c r="D5" s="1315"/>
      <c r="E5" s="1315"/>
      <c r="F5" s="1315"/>
      <c r="G5" s="1315"/>
      <c r="H5" s="1315"/>
      <c r="I5" s="1315"/>
      <c r="J5" s="1315"/>
    </row>
    <row r="6" spans="1:10" ht="12.7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75">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ht="12.75"/>
    <row r="11" spans="1:10" ht="12.75" customHeight="1">
      <c r="A11" s="1319" t="s">
        <v>2139</v>
      </c>
      <c r="B11" s="1319"/>
      <c r="C11" s="1319"/>
      <c r="D11" s="1319"/>
      <c r="E11" s="1319"/>
      <c r="F11" s="1319"/>
      <c r="G11" s="1319"/>
      <c r="H11" s="1319"/>
      <c r="I11" s="1319"/>
      <c r="J11" s="1319"/>
    </row>
    <row r="12" spans="1:10" ht="12.75">
      <c r="A12" s="1319"/>
      <c r="B12" s="1319"/>
      <c r="C12" s="1319"/>
      <c r="D12" s="1319"/>
      <c r="E12" s="1319"/>
      <c r="F12" s="1319"/>
      <c r="G12" s="1319"/>
      <c r="H12" s="1319"/>
      <c r="I12" s="1319"/>
      <c r="J12" s="1319"/>
    </row>
    <row r="13" spans="1:10" ht="12.75">
      <c r="A13" s="1319"/>
      <c r="B13" s="1319"/>
      <c r="C13" s="1319"/>
      <c r="D13" s="1319"/>
      <c r="E13" s="1319"/>
      <c r="F13" s="1319"/>
      <c r="G13" s="1319"/>
      <c r="H13" s="1319"/>
      <c r="I13" s="1319"/>
      <c r="J13" s="1319"/>
    </row>
    <row r="14" spans="1:10" ht="12.75">
      <c r="A14" s="1319"/>
      <c r="B14" s="1319"/>
      <c r="C14" s="1319"/>
      <c r="D14" s="1319"/>
      <c r="E14" s="1319"/>
      <c r="F14" s="1319"/>
      <c r="G14" s="1319"/>
      <c r="H14" s="1319"/>
      <c r="I14" s="1319"/>
      <c r="J14" s="1319"/>
    </row>
    <row r="15" spans="1:10" ht="12.75">
      <c r="A15" s="1319"/>
      <c r="B15" s="1319"/>
      <c r="C15" s="1319"/>
      <c r="D15" s="1319"/>
      <c r="E15" s="1319"/>
      <c r="F15" s="1319"/>
      <c r="G15" s="1319"/>
      <c r="H15" s="1319"/>
      <c r="I15" s="1319"/>
      <c r="J15" s="1319"/>
    </row>
    <row r="16" spans="1:10" ht="12.75">
      <c r="A16" s="1319"/>
      <c r="B16" s="1319"/>
      <c r="C16" s="1319"/>
      <c r="D16" s="1319"/>
      <c r="E16" s="1319"/>
      <c r="F16" s="1319"/>
      <c r="G16" s="1319"/>
      <c r="H16" s="1319"/>
      <c r="I16" s="1319"/>
      <c r="J16" s="1319"/>
    </row>
    <row r="17" spans="1:10" ht="12.75">
      <c r="A17" s="559"/>
      <c r="B17" s="559"/>
      <c r="C17" s="559"/>
      <c r="D17" s="559"/>
      <c r="E17" s="559"/>
      <c r="F17" s="559"/>
      <c r="G17" s="559"/>
      <c r="H17" s="559"/>
      <c r="I17" s="559"/>
      <c r="J17" s="559"/>
    </row>
    <row r="18" spans="1:10" ht="12.75">
      <c r="A18" s="511" t="s">
        <v>2138</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8" t="s">
        <v>1332</v>
      </c>
      <c r="B20" s="1318"/>
      <c r="C20" s="1318"/>
      <c r="D20" s="1318"/>
      <c r="E20" s="131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5" t="s">
        <v>1333</v>
      </c>
      <c r="B57" s="1315"/>
      <c r="C57" s="1315"/>
      <c r="D57" s="1315"/>
      <c r="E57" s="1315"/>
      <c r="F57" s="1315"/>
      <c r="G57" s="1315"/>
      <c r="H57" s="1315"/>
      <c r="I57" s="1315"/>
      <c r="J57" s="1315"/>
    </row>
    <row r="58" spans="1:10" ht="12.75">
      <c r="A58" s="1315"/>
      <c r="B58" s="1315"/>
      <c r="C58" s="1315"/>
      <c r="D58" s="1315"/>
      <c r="E58" s="1315"/>
      <c r="F58" s="1315"/>
      <c r="G58" s="1315"/>
      <c r="H58" s="1315"/>
      <c r="I58" s="1315"/>
      <c r="J58" s="1315"/>
    </row>
    <row r="59" spans="1:10" ht="12.75">
      <c r="A59" s="1315"/>
      <c r="B59" s="1315"/>
      <c r="C59" s="1315"/>
      <c r="D59" s="1315"/>
      <c r="E59" s="1315"/>
      <c r="F59" s="1315"/>
      <c r="G59" s="1315"/>
      <c r="H59" s="1315"/>
      <c r="I59" s="1315"/>
      <c r="J59" s="1315"/>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6" t="s">
        <v>2135</v>
      </c>
      <c r="B72" s="1316"/>
      <c r="C72" s="1316"/>
      <c r="D72" s="1316"/>
      <c r="E72" s="1316"/>
      <c r="F72" s="1316"/>
      <c r="G72" s="1316"/>
      <c r="H72" s="1316"/>
      <c r="I72" s="1316"/>
    </row>
    <row r="73" spans="1:9" ht="12.75">
      <c r="A73" s="1268" t="s">
        <v>2440</v>
      </c>
      <c r="B73" s="1268"/>
      <c r="C73" s="1268"/>
      <c r="D73" s="1268"/>
      <c r="E73" s="1268"/>
    </row>
    <row r="74" spans="1:9" ht="12.75">
      <c r="A74" s="1268" t="s">
        <v>2441</v>
      </c>
      <c r="B74" s="1268"/>
      <c r="C74" s="1268"/>
      <c r="D74" s="1268"/>
      <c r="E74" s="1268"/>
    </row>
    <row r="75" spans="1:9" ht="12.75">
      <c r="A75" s="1268" t="s">
        <v>2136</v>
      </c>
      <c r="B75" s="1268"/>
      <c r="C75" s="1268"/>
      <c r="D75" s="1268"/>
      <c r="E75" s="12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abSelected="1" topLeftCell="A1081" zoomScaleNormal="100" zoomScaleSheetLayoutView="100" workbookViewId="0">
      <selection activeCell="B1105" sqref="B1105"/>
    </sheetView>
  </sheetViews>
  <sheetFormatPr defaultColWidth="0" defaultRowHeight="12.75" zeroHeight="1"/>
  <cols>
    <col min="1" max="1" width="3.5703125" style="515" customWidth="1"/>
    <col min="2" max="2" width="13.5703125" style="515" customWidth="1"/>
    <col min="3" max="3" width="2.5703125" style="515" customWidth="1"/>
    <col min="4" max="5" width="3.5703125" style="434" customWidth="1"/>
    <col min="6" max="6" width="65.5703125" style="434" customWidth="1"/>
    <col min="7" max="7" width="1.5703125" style="434" customWidth="1"/>
    <col min="8" max="8" width="3.5703125" style="434" customWidth="1"/>
    <col min="9" max="9" width="24.42578125" style="436" customWidth="1"/>
    <col min="10" max="10" width="8.85546875" style="434" customWidth="1"/>
    <col min="11" max="16384" width="8.85546875" style="434" hidden="1"/>
  </cols>
  <sheetData>
    <row r="1" spans="1:13"/>
    <row r="2" spans="1:13">
      <c r="A2" s="1337" t="s">
        <v>2608</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2145</v>
      </c>
    </row>
    <row r="7" spans="1:13">
      <c r="A7" s="1337" t="s">
        <v>1203</v>
      </c>
      <c r="B7" s="1337"/>
      <c r="C7" s="1338"/>
      <c r="D7" s="1338"/>
      <c r="E7" s="1338"/>
      <c r="F7" s="1338"/>
      <c r="G7" s="1338"/>
      <c r="I7" s="525" t="s">
        <v>2146</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7"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ht="14.25">
      <c r="A15" s="519"/>
      <c r="B15" s="520" t="s">
        <v>2749</v>
      </c>
      <c r="C15" s="518"/>
      <c r="D15" s="1289" t="s">
        <v>2303</v>
      </c>
      <c r="E15" s="1289"/>
      <c r="F15" s="1289"/>
      <c r="I15" s="436" t="s">
        <v>2147</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2301</v>
      </c>
      <c r="F18" s="480"/>
    </row>
    <row r="19" spans="1:9">
      <c r="A19" s="518"/>
      <c r="B19" s="518"/>
      <c r="C19" s="518"/>
    </row>
    <row r="20" spans="1:9" ht="14.25">
      <c r="A20" s="519"/>
      <c r="B20" s="520" t="s">
        <v>2749</v>
      </c>
      <c r="D20" s="1289" t="s">
        <v>2304</v>
      </c>
      <c r="E20" s="1289"/>
      <c r="F20" s="1289"/>
      <c r="I20" s="436" t="s">
        <v>2148</v>
      </c>
    </row>
    <row r="21" spans="1:9" ht="14.25">
      <c r="A21" s="519"/>
      <c r="D21" s="1289"/>
      <c r="E21" s="1289"/>
      <c r="F21" s="1289"/>
    </row>
    <row r="22" spans="1:9" ht="14.25">
      <c r="A22" s="519"/>
      <c r="D22" s="424"/>
      <c r="E22" s="96" t="s">
        <v>2300</v>
      </c>
      <c r="F22" s="424"/>
    </row>
    <row r="23" spans="1:9" ht="14.25">
      <c r="A23" s="519"/>
      <c r="B23" s="519"/>
      <c r="D23" s="481"/>
    </row>
    <row r="24" spans="1:9" ht="14.25">
      <c r="A24" s="519"/>
      <c r="B24" s="520" t="s">
        <v>2624</v>
      </c>
      <c r="D24" s="1289" t="s">
        <v>1190</v>
      </c>
      <c r="E24" s="1289"/>
      <c r="F24" s="1289"/>
      <c r="I24" s="436" t="s">
        <v>2148</v>
      </c>
    </row>
    <row r="25" spans="1:9" ht="14.25">
      <c r="A25" s="519"/>
      <c r="B25" s="519"/>
      <c r="D25" s="1289"/>
      <c r="E25" s="1289"/>
      <c r="F25" s="1289"/>
    </row>
    <row r="26" spans="1:9"/>
    <row r="27" spans="1:9" ht="14.25">
      <c r="A27" s="519"/>
      <c r="B27" s="520" t="s">
        <v>2749</v>
      </c>
      <c r="D27" s="1289" t="s">
        <v>2443</v>
      </c>
      <c r="E27" s="1289"/>
      <c r="F27" s="1289"/>
      <c r="I27" s="436" t="s">
        <v>2151</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2624</v>
      </c>
      <c r="D33" s="1289" t="s">
        <v>2444</v>
      </c>
      <c r="E33" s="1289"/>
      <c r="F33" s="1289"/>
      <c r="I33" s="436" t="s">
        <v>2147</v>
      </c>
    </row>
    <row r="34" spans="1:9">
      <c r="D34" s="1289"/>
      <c r="E34" s="1289"/>
      <c r="F34" s="1289"/>
    </row>
    <row r="35" spans="1:9" ht="14.25">
      <c r="A35" s="519"/>
      <c r="B35" s="519"/>
      <c r="D35" s="482"/>
    </row>
    <row r="36" spans="1:9" ht="14.45" customHeight="1">
      <c r="A36" s="519"/>
      <c r="B36" s="520" t="s">
        <v>2624</v>
      </c>
      <c r="D36" s="1289" t="s">
        <v>1357</v>
      </c>
      <c r="E36" s="1289"/>
      <c r="F36" s="1289"/>
      <c r="I36" s="436" t="s">
        <v>2218</v>
      </c>
    </row>
    <row r="37" spans="1:9" ht="14.25">
      <c r="A37" s="519"/>
      <c r="B37" s="519"/>
      <c r="D37" s="1289"/>
      <c r="E37" s="1289"/>
      <c r="F37" s="1289"/>
    </row>
    <row r="38" spans="1:9" ht="14.25">
      <c r="A38" s="519"/>
      <c r="B38" s="519"/>
      <c r="D38" s="1289"/>
      <c r="E38" s="1289"/>
      <c r="F38" s="1289"/>
    </row>
    <row r="39" spans="1:9" ht="14.25">
      <c r="A39" s="519"/>
      <c r="B39" s="519"/>
      <c r="D39" s="1289"/>
      <c r="E39" s="1289"/>
      <c r="F39" s="1289"/>
    </row>
    <row r="40" spans="1:9" ht="14.25">
      <c r="A40" s="519"/>
      <c r="B40" s="519"/>
    </row>
    <row r="41" spans="1:9" ht="14.25">
      <c r="A41" s="519"/>
      <c r="B41" s="520" t="s">
        <v>2624</v>
      </c>
      <c r="D41" s="1289" t="s">
        <v>1194</v>
      </c>
      <c r="E41" s="1289"/>
      <c r="F41" s="1289"/>
    </row>
    <row r="42" spans="1:9" ht="14.25">
      <c r="A42" s="519"/>
      <c r="B42" s="519"/>
      <c r="D42" s="1289"/>
      <c r="E42" s="1289"/>
      <c r="F42" s="1289"/>
    </row>
    <row r="43" spans="1:9" ht="14.25">
      <c r="A43" s="519"/>
      <c r="B43" s="519"/>
      <c r="D43" s="1289"/>
      <c r="E43" s="1289"/>
      <c r="F43" s="1289"/>
    </row>
    <row r="44" spans="1:9" ht="14.25">
      <c r="A44" s="519"/>
      <c r="B44" s="519"/>
      <c r="D44" s="1289"/>
      <c r="E44" s="1289"/>
      <c r="F44" s="1289"/>
    </row>
    <row r="45" spans="1:9" ht="14.25">
      <c r="A45" s="519"/>
      <c r="B45" s="519"/>
      <c r="D45" s="1289"/>
      <c r="E45" s="1289"/>
      <c r="F45" s="1289"/>
    </row>
    <row r="46" spans="1:9" ht="14.25">
      <c r="A46" s="519"/>
      <c r="B46" s="519"/>
      <c r="D46" s="480"/>
      <c r="E46" s="480"/>
      <c r="F46" s="480"/>
    </row>
    <row r="47" spans="1:9" ht="14.25">
      <c r="A47" s="519"/>
      <c r="B47" s="520" t="s">
        <v>2749</v>
      </c>
      <c r="D47" s="1289" t="s">
        <v>1195</v>
      </c>
      <c r="E47" s="1289"/>
      <c r="F47" s="1289"/>
      <c r="I47" s="436" t="s">
        <v>2218</v>
      </c>
    </row>
    <row r="48" spans="1:9" ht="14.25">
      <c r="A48" s="519"/>
      <c r="B48" s="519"/>
      <c r="D48" s="1289"/>
      <c r="E48" s="1289"/>
      <c r="F48" s="1289"/>
    </row>
    <row r="49" spans="1:9" ht="14.25">
      <c r="A49" s="519"/>
      <c r="B49" s="519"/>
      <c r="D49" s="1289"/>
      <c r="E49" s="1289"/>
      <c r="F49" s="1289"/>
    </row>
    <row r="50" spans="1:9" ht="23.25" customHeight="1">
      <c r="A50" s="519"/>
      <c r="B50" s="519"/>
      <c r="D50" s="1289"/>
      <c r="E50" s="1289"/>
      <c r="F50" s="1289"/>
    </row>
    <row r="51" spans="1:9" ht="14.25">
      <c r="A51" s="519"/>
      <c r="B51" s="519"/>
      <c r="D51" s="481"/>
    </row>
    <row r="52" spans="1:9" ht="14.45" customHeight="1">
      <c r="A52" s="519"/>
      <c r="B52" s="520" t="s">
        <v>2624</v>
      </c>
      <c r="D52" s="1289" t="s">
        <v>1196</v>
      </c>
      <c r="E52" s="1289"/>
      <c r="F52" s="1289"/>
      <c r="I52" s="436" t="s">
        <v>2218</v>
      </c>
    </row>
    <row r="53" spans="1:9" ht="14.25">
      <c r="A53" s="519"/>
      <c r="B53" s="519"/>
      <c r="D53" s="1289"/>
      <c r="E53" s="1289"/>
      <c r="F53" s="1289"/>
    </row>
    <row r="54" spans="1:9" ht="14.25">
      <c r="A54" s="519"/>
      <c r="B54" s="519"/>
      <c r="D54" s="1289"/>
      <c r="E54" s="1289"/>
      <c r="F54" s="1289"/>
    </row>
    <row r="55" spans="1:9" ht="14.25">
      <c r="A55" s="519"/>
      <c r="B55" s="519"/>
    </row>
    <row r="56" spans="1:9" ht="14.25">
      <c r="A56" s="519"/>
      <c r="B56" s="520" t="s">
        <v>2749</v>
      </c>
      <c r="D56" s="1335" t="s">
        <v>1197</v>
      </c>
      <c r="E56" s="1335"/>
      <c r="F56" s="1335"/>
    </row>
    <row r="57" spans="1:9" ht="14.25">
      <c r="A57" s="519"/>
      <c r="B57" s="519"/>
      <c r="D57" s="1335"/>
      <c r="E57" s="1335"/>
      <c r="F57" s="1335"/>
    </row>
    <row r="58" spans="1:9" ht="14.25">
      <c r="A58" s="519"/>
      <c r="B58" s="519"/>
      <c r="D58" s="424" t="s">
        <v>2302</v>
      </c>
      <c r="E58" s="480"/>
      <c r="F58" s="480"/>
    </row>
    <row r="59" spans="1:9" ht="14.25">
      <c r="A59" s="519"/>
      <c r="B59" s="519"/>
      <c r="D59" s="480"/>
      <c r="E59" s="336" t="s">
        <v>2301</v>
      </c>
      <c r="F59" s="480"/>
    </row>
    <row r="60" spans="1:9">
      <c r="D60" s="482"/>
    </row>
    <row r="61" spans="1:9" ht="14.25">
      <c r="A61" s="519"/>
      <c r="B61" s="520" t="s">
        <v>2749</v>
      </c>
      <c r="D61" s="1289" t="s">
        <v>1198</v>
      </c>
      <c r="E61" s="1289"/>
      <c r="F61" s="1289"/>
      <c r="I61" s="436" t="s">
        <v>2149</v>
      </c>
    </row>
    <row r="62" spans="1:9">
      <c r="D62" s="1289"/>
      <c r="E62" s="1289"/>
      <c r="F62" s="1289"/>
    </row>
    <row r="63" spans="1:9">
      <c r="D63" s="1289"/>
      <c r="E63" s="1289"/>
      <c r="F63" s="1289"/>
    </row>
    <row r="64" spans="1:9"/>
    <row r="65" spans="1:9" ht="14.25">
      <c r="A65" s="519"/>
      <c r="B65" s="520" t="s">
        <v>2624</v>
      </c>
      <c r="D65" s="1289" t="s">
        <v>1199</v>
      </c>
      <c r="E65" s="1289"/>
      <c r="F65" s="1289"/>
      <c r="I65" s="436" t="s">
        <v>2150</v>
      </c>
    </row>
    <row r="66" spans="1:9">
      <c r="D66" s="1289"/>
      <c r="E66" s="1289"/>
      <c r="F66" s="1289"/>
    </row>
    <row r="67" spans="1:9"/>
    <row r="68" spans="1:9" ht="14.25">
      <c r="A68" s="519"/>
      <c r="B68" s="520" t="s">
        <v>2624</v>
      </c>
      <c r="D68" s="1289" t="s">
        <v>1200</v>
      </c>
      <c r="E68" s="1289"/>
      <c r="F68" s="1289"/>
    </row>
    <row r="69" spans="1:9">
      <c r="D69" s="1289"/>
      <c r="E69" s="1289"/>
      <c r="F69" s="1289"/>
      <c r="I69" s="436" t="s">
        <v>2151</v>
      </c>
    </row>
    <row r="70" spans="1:9">
      <c r="D70" s="1289"/>
      <c r="E70" s="1289"/>
      <c r="F70" s="1289"/>
    </row>
    <row r="71" spans="1:9"/>
    <row r="72" spans="1:9" ht="14.25">
      <c r="A72" s="519"/>
      <c r="B72" s="520" t="s">
        <v>1106</v>
      </c>
      <c r="D72" s="1289" t="s">
        <v>1201</v>
      </c>
      <c r="E72" s="1289"/>
      <c r="F72" s="1289"/>
      <c r="I72" s="436" t="s">
        <v>2151</v>
      </c>
    </row>
    <row r="73" spans="1:9">
      <c r="D73" s="1289"/>
      <c r="E73" s="1289"/>
      <c r="F73" s="1289"/>
    </row>
    <row r="74" spans="1:9" ht="14.25">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7" customHeight="1">
      <c r="A80" s="519"/>
      <c r="B80" s="520" t="s">
        <v>2749</v>
      </c>
      <c r="D80" s="1289" t="s">
        <v>1401</v>
      </c>
      <c r="E80" s="1289"/>
      <c r="F80" s="1289"/>
      <c r="I80" s="436" t="s">
        <v>2152</v>
      </c>
    </row>
    <row r="81" spans="1:9" ht="14.25">
      <c r="A81" s="519"/>
      <c r="B81" s="519"/>
      <c r="D81" s="1289"/>
      <c r="E81" s="1289"/>
      <c r="F81" s="1289"/>
    </row>
    <row r="82" spans="1:9" ht="14.25">
      <c r="A82" s="519"/>
      <c r="B82" s="519"/>
      <c r="D82" s="1289"/>
      <c r="E82" s="1289"/>
      <c r="F82" s="1289"/>
    </row>
    <row r="83" spans="1:9" ht="14.25">
      <c r="A83" s="519"/>
      <c r="B83" s="519"/>
      <c r="D83" s="1289"/>
      <c r="E83" s="1289"/>
      <c r="F83" s="1289"/>
    </row>
    <row r="84" spans="1:9" ht="14.25">
      <c r="A84" s="519"/>
      <c r="B84" s="519"/>
      <c r="D84" s="1289"/>
      <c r="E84" s="1289"/>
      <c r="F84" s="1289"/>
    </row>
    <row r="85" spans="1:9" ht="14.25">
      <c r="A85" s="519"/>
      <c r="B85" s="519"/>
      <c r="D85" s="1289"/>
      <c r="E85" s="1289"/>
      <c r="F85" s="1289"/>
    </row>
    <row r="86" spans="1:9" ht="14.25">
      <c r="A86" s="519"/>
      <c r="B86" s="519"/>
      <c r="D86" s="1289"/>
      <c r="E86" s="1289"/>
      <c r="F86" s="1289"/>
    </row>
    <row r="87" spans="1:9" ht="14.25">
      <c r="A87" s="519"/>
      <c r="B87" s="519"/>
      <c r="D87" s="1289"/>
      <c r="E87" s="1289"/>
      <c r="F87" s="1289"/>
    </row>
    <row r="88" spans="1:9" ht="14.25">
      <c r="A88" s="519"/>
      <c r="B88" s="519"/>
      <c r="D88" s="417"/>
      <c r="E88" s="417"/>
      <c r="F88" s="417"/>
    </row>
    <row r="89" spans="1:9" ht="15" customHeight="1">
      <c r="A89" s="519"/>
      <c r="B89" s="520" t="s">
        <v>2749</v>
      </c>
      <c r="D89" s="1289" t="s">
        <v>2003</v>
      </c>
      <c r="E89" s="1289"/>
      <c r="F89" s="1289"/>
      <c r="I89" s="436" t="s">
        <v>2153</v>
      </c>
    </row>
    <row r="90" spans="1:9" ht="14.25">
      <c r="A90" s="519"/>
      <c r="B90" s="519"/>
      <c r="D90" s="1289"/>
      <c r="E90" s="1289"/>
      <c r="F90" s="1289"/>
    </row>
    <row r="91" spans="1:9" ht="14.25">
      <c r="A91" s="519"/>
      <c r="B91" s="519"/>
      <c r="D91" s="480"/>
      <c r="E91" s="480"/>
      <c r="F91" s="480"/>
    </row>
    <row r="92" spans="1:9" ht="14.25">
      <c r="A92" s="519"/>
      <c r="B92" s="520" t="s">
        <v>2749</v>
      </c>
      <c r="D92" s="1289" t="s">
        <v>2006</v>
      </c>
      <c r="E92" s="1289"/>
      <c r="F92" s="1289"/>
      <c r="I92" s="436" t="s">
        <v>2154</v>
      </c>
    </row>
    <row r="93" spans="1:9" ht="14.25">
      <c r="A93" s="519"/>
      <c r="B93" s="519"/>
      <c r="D93" s="1289"/>
      <c r="E93" s="1289"/>
      <c r="F93" s="1289"/>
    </row>
    <row r="94" spans="1:9" ht="14.25">
      <c r="A94" s="519"/>
      <c r="B94" s="519"/>
      <c r="D94" s="1289"/>
      <c r="E94" s="1289"/>
      <c r="F94" s="1289"/>
    </row>
    <row r="95" spans="1:9" ht="14.25">
      <c r="A95" s="519"/>
      <c r="B95" s="519"/>
      <c r="D95" s="480"/>
      <c r="E95" s="480"/>
      <c r="F95" s="480"/>
    </row>
    <row r="96" spans="1:9" ht="14.25">
      <c r="A96" s="519"/>
      <c r="B96" s="520" t="s">
        <v>2749</v>
      </c>
      <c r="D96" s="1289" t="s">
        <v>2005</v>
      </c>
      <c r="E96" s="1289"/>
      <c r="F96" s="1289"/>
      <c r="I96" s="436" t="s">
        <v>2199</v>
      </c>
    </row>
    <row r="97" spans="1:9" s="1024" customFormat="1" ht="14.25">
      <c r="A97" s="1022"/>
      <c r="B97" s="1022"/>
      <c r="C97" s="1023"/>
      <c r="D97" s="1289"/>
      <c r="E97" s="1289"/>
      <c r="F97" s="1289"/>
      <c r="I97" s="1063"/>
    </row>
    <row r="98" spans="1:9" ht="14.25">
      <c r="A98" s="519"/>
      <c r="B98" s="519"/>
      <c r="D98" s="424"/>
      <c r="E98" s="336" t="s">
        <v>2305</v>
      </c>
      <c r="F98" s="480"/>
    </row>
    <row r="99" spans="1:9" ht="14.25">
      <c r="A99" s="519"/>
      <c r="B99" s="519"/>
      <c r="D99" s="417"/>
      <c r="E99" s="417"/>
      <c r="F99" s="417"/>
    </row>
    <row r="100" spans="1:9" ht="14.25">
      <c r="A100" s="519"/>
      <c r="B100" s="520" t="s">
        <v>2624</v>
      </c>
      <c r="D100" s="1289" t="s">
        <v>2004</v>
      </c>
      <c r="E100" s="1289"/>
      <c r="F100" s="1289"/>
      <c r="I100" s="436" t="s">
        <v>2155</v>
      </c>
    </row>
    <row r="101" spans="1:9" ht="14.25">
      <c r="A101" s="519"/>
      <c r="B101" s="519"/>
      <c r="D101" s="1289"/>
      <c r="E101" s="1289"/>
      <c r="F101" s="1289"/>
    </row>
    <row r="102" spans="1:9" ht="14.25">
      <c r="A102" s="519"/>
      <c r="B102" s="519"/>
      <c r="D102" s="480"/>
      <c r="E102" s="480"/>
      <c r="F102" s="480"/>
    </row>
    <row r="103" spans="1:9" ht="14.45" customHeight="1">
      <c r="A103" s="519"/>
      <c r="B103" s="520" t="s">
        <v>2624</v>
      </c>
      <c r="D103" s="1289" t="s">
        <v>1337</v>
      </c>
      <c r="E103" s="1289"/>
      <c r="F103" s="1289"/>
      <c r="I103" s="436" t="s">
        <v>2156</v>
      </c>
    </row>
    <row r="104" spans="1:9" ht="14.25">
      <c r="A104" s="519"/>
      <c r="B104" s="519"/>
      <c r="D104" s="1289"/>
      <c r="E104" s="1289"/>
      <c r="F104" s="1289"/>
    </row>
    <row r="105" spans="1:9" ht="14.25">
      <c r="A105" s="519"/>
      <c r="B105" s="519"/>
      <c r="D105" s="1289"/>
      <c r="E105" s="1289"/>
      <c r="F105" s="1289"/>
    </row>
    <row r="106" spans="1:9" ht="14.25">
      <c r="A106" s="519"/>
      <c r="B106" s="519"/>
      <c r="D106" s="1289"/>
      <c r="E106" s="1289"/>
      <c r="F106" s="1289"/>
    </row>
    <row r="107" spans="1:9" ht="14.25">
      <c r="A107" s="519"/>
      <c r="B107" s="519"/>
      <c r="D107" s="1289"/>
      <c r="E107" s="1289"/>
      <c r="F107" s="1289"/>
    </row>
    <row r="108" spans="1:9" ht="14.25">
      <c r="A108" s="519"/>
      <c r="B108" s="519"/>
      <c r="D108" s="1289"/>
      <c r="E108" s="1289"/>
      <c r="F108" s="1289"/>
    </row>
    <row r="109" spans="1:9" ht="14.25">
      <c r="A109" s="519"/>
      <c r="B109" s="519"/>
      <c r="D109" s="1289"/>
      <c r="E109" s="1289"/>
      <c r="F109" s="1289"/>
    </row>
    <row r="110" spans="1:9" ht="14.25">
      <c r="A110" s="519"/>
      <c r="B110" s="519"/>
      <c r="D110" s="1289"/>
      <c r="E110" s="1289"/>
      <c r="F110" s="1289"/>
    </row>
    <row r="111" spans="1:9" ht="14.25">
      <c r="A111" s="519"/>
      <c r="B111" s="519"/>
      <c r="D111" s="1289"/>
      <c r="E111" s="1289"/>
      <c r="F111" s="1289"/>
    </row>
    <row r="112" spans="1:9" ht="14.25">
      <c r="A112" s="519"/>
      <c r="B112" s="519"/>
      <c r="D112" s="1289"/>
      <c r="E112" s="1289"/>
      <c r="F112" s="1289"/>
    </row>
    <row r="113" spans="1:9" ht="14.25">
      <c r="A113" s="519"/>
      <c r="B113" s="519"/>
      <c r="D113" s="1289"/>
      <c r="E113" s="1289"/>
      <c r="F113" s="1289"/>
    </row>
    <row r="114" spans="1:9" ht="14.25">
      <c r="A114" s="519"/>
      <c r="B114" s="519"/>
      <c r="D114" s="1289"/>
      <c r="E114" s="1289"/>
      <c r="F114" s="1289"/>
    </row>
    <row r="115" spans="1:9" ht="14.25">
      <c r="A115" s="519"/>
      <c r="B115" s="519"/>
      <c r="D115" s="1289"/>
      <c r="E115" s="1289"/>
      <c r="F115" s="1289"/>
    </row>
    <row r="116" spans="1:9" ht="14.25">
      <c r="A116" s="519"/>
      <c r="B116" s="519"/>
      <c r="D116" s="1289"/>
      <c r="E116" s="1289"/>
      <c r="F116" s="1289"/>
    </row>
    <row r="117" spans="1:9" ht="14.25">
      <c r="A117" s="519"/>
      <c r="B117" s="519"/>
      <c r="D117" s="1289"/>
      <c r="E117" s="1289"/>
      <c r="F117" s="1289"/>
    </row>
    <row r="118" spans="1:9" ht="14.25">
      <c r="A118" s="519"/>
      <c r="B118" s="519"/>
      <c r="D118" s="559"/>
      <c r="E118" s="559"/>
      <c r="F118" s="559"/>
    </row>
    <row r="119" spans="1:9" ht="14.25" customHeight="1">
      <c r="A119" s="519"/>
      <c r="B119" s="520" t="s">
        <v>2624</v>
      </c>
      <c r="D119" s="1300" t="s">
        <v>1208</v>
      </c>
      <c r="E119" s="1300"/>
      <c r="F119" s="1300"/>
    </row>
    <row r="120" spans="1:9" ht="14.25">
      <c r="A120" s="519"/>
      <c r="B120" s="519"/>
      <c r="D120" s="1300"/>
      <c r="E120" s="1300"/>
      <c r="F120" s="1300"/>
    </row>
    <row r="121" spans="1:9" ht="14.25">
      <c r="A121" s="519"/>
      <c r="B121" s="519"/>
      <c r="D121" s="1300"/>
      <c r="E121" s="1300"/>
      <c r="F121" s="1300"/>
    </row>
    <row r="122" spans="1:9" ht="14.25">
      <c r="A122" s="519"/>
      <c r="B122" s="519"/>
      <c r="D122" s="1300"/>
      <c r="E122" s="1300"/>
      <c r="F122" s="1300"/>
    </row>
    <row r="123" spans="1:9" ht="14.25">
      <c r="A123" s="519"/>
      <c r="B123" s="519"/>
      <c r="D123" s="1300"/>
      <c r="E123" s="1300"/>
      <c r="F123" s="1300"/>
    </row>
    <row r="124" spans="1:9" ht="14.25">
      <c r="A124" s="519"/>
      <c r="B124" s="519"/>
      <c r="D124" s="1300"/>
      <c r="E124" s="1300"/>
      <c r="F124" s="1300"/>
    </row>
    <row r="125" spans="1:9" ht="14.25">
      <c r="A125" s="519"/>
      <c r="B125" s="519"/>
      <c r="D125" s="1300"/>
      <c r="E125" s="1300"/>
      <c r="F125" s="1300"/>
    </row>
    <row r="126" spans="1:9" ht="14.25">
      <c r="A126" s="519"/>
      <c r="B126" s="519"/>
      <c r="D126" s="1300"/>
      <c r="E126" s="1300"/>
      <c r="F126" s="1300"/>
    </row>
    <row r="127" spans="1:9">
      <c r="C127" s="434"/>
      <c r="D127" s="560"/>
      <c r="E127" s="560"/>
      <c r="F127" s="560"/>
    </row>
    <row r="128" spans="1:9" ht="14.25">
      <c r="A128" s="519"/>
      <c r="B128" s="520" t="s">
        <v>2749</v>
      </c>
      <c r="C128" s="434"/>
      <c r="D128" s="1300" t="s">
        <v>2445</v>
      </c>
      <c r="E128" s="1300"/>
      <c r="F128" s="1300"/>
      <c r="I128" s="436" t="s">
        <v>2157</v>
      </c>
    </row>
    <row r="129" spans="1:9" ht="14.25">
      <c r="A129" s="519"/>
      <c r="B129" s="519"/>
      <c r="C129" s="434"/>
      <c r="D129" s="1300"/>
      <c r="E129" s="1300"/>
      <c r="F129" s="1300"/>
    </row>
    <row r="130" spans="1:9"/>
    <row r="131" spans="1:9" ht="14.25">
      <c r="A131" s="519"/>
      <c r="B131" s="520" t="s">
        <v>2749</v>
      </c>
      <c r="D131" s="1289" t="s">
        <v>1211</v>
      </c>
      <c r="E131" s="1289"/>
      <c r="F131" s="1289"/>
      <c r="I131" s="436"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ht="14.25">
      <c r="A137" s="519"/>
      <c r="B137" s="520" t="s">
        <v>2749</v>
      </c>
      <c r="D137" s="1289" t="s">
        <v>1212</v>
      </c>
      <c r="E137" s="1289"/>
      <c r="F137" s="1289"/>
      <c r="I137" s="436" t="s">
        <v>2158</v>
      </c>
    </row>
    <row r="138" spans="1:9" s="449" customFormat="1" ht="13.7" customHeight="1">
      <c r="A138" s="523"/>
      <c r="B138" s="523"/>
      <c r="C138" s="523"/>
      <c r="D138" s="1289"/>
      <c r="E138" s="1289"/>
      <c r="F138" s="1289"/>
      <c r="I138" s="1064"/>
    </row>
    <row r="139" spans="1:9" ht="13.7" customHeight="1">
      <c r="D139" s="1289"/>
      <c r="E139" s="1289"/>
      <c r="F139" s="1289"/>
    </row>
    <row r="140" spans="1:9" ht="13.7" customHeight="1">
      <c r="D140" s="1289"/>
      <c r="E140" s="1289"/>
      <c r="F140" s="1289"/>
    </row>
    <row r="141" spans="1:9" ht="13.7" customHeight="1">
      <c r="D141" s="1289"/>
      <c r="E141" s="1289"/>
      <c r="F141" s="1289"/>
    </row>
    <row r="142" spans="1:9" ht="13.7" customHeight="1">
      <c r="A142" s="524"/>
      <c r="B142" s="524"/>
      <c r="D142" s="1289"/>
      <c r="E142" s="1289"/>
      <c r="F142" s="1289"/>
    </row>
    <row r="143" spans="1:9" ht="13.7" customHeight="1">
      <c r="D143" s="1289"/>
      <c r="E143" s="1289"/>
      <c r="F143" s="1289"/>
    </row>
    <row r="144" spans="1:9" ht="13.7" customHeight="1">
      <c r="D144" s="1289"/>
      <c r="E144" s="1289"/>
      <c r="F144" s="1289"/>
    </row>
    <row r="145" spans="2:9" ht="13.7" customHeight="1">
      <c r="D145" s="1289"/>
      <c r="E145" s="1289"/>
      <c r="F145" s="1289"/>
    </row>
    <row r="146" spans="2:9" ht="13.7" customHeight="1">
      <c r="D146" s="1289"/>
      <c r="E146" s="1289"/>
      <c r="F146" s="1289"/>
    </row>
    <row r="147" spans="2:9" ht="13.7" customHeight="1">
      <c r="D147" s="1289"/>
      <c r="E147" s="1289"/>
      <c r="F147" s="1289"/>
    </row>
    <row r="148" spans="2:9" ht="13.7" customHeight="1">
      <c r="D148" s="1289"/>
      <c r="E148" s="1289"/>
      <c r="F148" s="1289"/>
    </row>
    <row r="149" spans="2:9" ht="13.7" customHeight="1">
      <c r="D149" s="1289"/>
      <c r="E149" s="1289"/>
      <c r="F149" s="1289"/>
    </row>
    <row r="150" spans="2:9" ht="13.7" customHeight="1">
      <c r="D150" s="511"/>
      <c r="E150" s="481"/>
      <c r="F150" s="481"/>
    </row>
    <row r="151" spans="2:9" ht="13.7" customHeight="1">
      <c r="B151" s="520" t="s">
        <v>2624</v>
      </c>
      <c r="D151" s="1289" t="s">
        <v>1320</v>
      </c>
      <c r="E151" s="1289"/>
      <c r="F151" s="1289"/>
      <c r="I151" s="436" t="s">
        <v>2159</v>
      </c>
    </row>
    <row r="152" spans="2:9" ht="13.7" customHeight="1">
      <c r="D152" s="1289"/>
      <c r="E152" s="1289"/>
      <c r="F152" s="1289"/>
    </row>
    <row r="153" spans="2:9" ht="13.7" customHeight="1">
      <c r="D153" s="1289"/>
      <c r="E153" s="1289"/>
      <c r="F153" s="1289"/>
    </row>
    <row r="154" spans="2:9" ht="13.7" customHeight="1">
      <c r="D154" s="1289"/>
      <c r="E154" s="1289"/>
      <c r="F154" s="1289"/>
    </row>
    <row r="155" spans="2:9" ht="13.7" customHeight="1">
      <c r="D155" s="1289"/>
      <c r="E155" s="1289"/>
      <c r="F155" s="1289"/>
    </row>
    <row r="156" spans="2:9" ht="13.7" customHeight="1">
      <c r="D156" s="1289"/>
      <c r="E156" s="1289"/>
      <c r="F156" s="1289"/>
    </row>
    <row r="157" spans="2:9" ht="13.7" customHeight="1">
      <c r="D157" s="1289"/>
      <c r="E157" s="1289"/>
      <c r="F157" s="1289"/>
    </row>
    <row r="158" spans="2:9" ht="13.7" customHeight="1">
      <c r="D158" s="1289"/>
      <c r="E158" s="1289"/>
      <c r="F158" s="1289"/>
    </row>
    <row r="159" spans="2:9" ht="13.7" customHeight="1">
      <c r="D159" s="1289"/>
      <c r="E159" s="1289"/>
      <c r="F159" s="1289"/>
    </row>
    <row r="160" spans="2:9" ht="13.7" customHeight="1">
      <c r="D160" s="1289"/>
      <c r="E160" s="1289"/>
      <c r="F160" s="1289"/>
    </row>
    <row r="161" spans="1:9" ht="13.7" customHeight="1">
      <c r="D161" s="1289"/>
      <c r="E161" s="1289"/>
      <c r="F161" s="1289"/>
    </row>
    <row r="162" spans="1:9" ht="13.7" customHeight="1">
      <c r="D162" s="1289"/>
      <c r="E162" s="1289"/>
      <c r="F162" s="1289"/>
    </row>
    <row r="163" spans="1:9" ht="13.7" customHeight="1">
      <c r="D163" s="1289"/>
      <c r="E163" s="1289"/>
      <c r="F163" s="1289"/>
    </row>
    <row r="164" spans="1:9" ht="13.7" customHeight="1">
      <c r="D164" s="1289"/>
      <c r="E164" s="1289"/>
      <c r="F164" s="1289"/>
    </row>
    <row r="165" spans="1:9" ht="13.7" customHeight="1">
      <c r="D165" s="1289"/>
      <c r="E165" s="1289"/>
      <c r="F165" s="1289"/>
    </row>
    <row r="166" spans="1:9" ht="13.7" customHeight="1">
      <c r="D166" s="1289"/>
      <c r="E166" s="1289"/>
      <c r="F166" s="1289"/>
    </row>
    <row r="167" spans="1:9" ht="13.7" customHeight="1">
      <c r="D167" s="1289"/>
      <c r="E167" s="1289"/>
      <c r="F167" s="1289"/>
    </row>
    <row r="168" spans="1:9" ht="13.7" customHeight="1">
      <c r="D168" s="1289"/>
      <c r="E168" s="1289"/>
      <c r="F168" s="1289"/>
    </row>
    <row r="169" spans="1:9" ht="13.7" customHeight="1">
      <c r="D169" s="1334" t="s">
        <v>2469</v>
      </c>
      <c r="E169" s="1334"/>
      <c r="F169" s="1334"/>
      <c r="G169" s="542"/>
    </row>
    <row r="170" spans="1:9" ht="13.7" customHeight="1">
      <c r="D170" s="1275"/>
      <c r="E170" s="1275"/>
      <c r="F170" s="1275"/>
      <c r="G170" s="1275"/>
    </row>
    <row r="171" spans="1:9" ht="14.45" customHeight="1">
      <c r="A171" s="524"/>
      <c r="B171" s="520" t="s">
        <v>2624</v>
      </c>
      <c r="C171" s="511"/>
      <c r="D171" s="1271" t="s">
        <v>1367</v>
      </c>
      <c r="E171" s="1271"/>
      <c r="F171" s="1271"/>
      <c r="G171" s="511"/>
      <c r="I171" s="436" t="s">
        <v>2154</v>
      </c>
    </row>
    <row r="172" spans="1:9" ht="14.45" customHeight="1">
      <c r="A172" s="524"/>
      <c r="B172" s="524"/>
      <c r="C172" s="511"/>
      <c r="D172" s="1271"/>
      <c r="E172" s="1271"/>
      <c r="F172" s="1271"/>
      <c r="G172" s="511"/>
    </row>
    <row r="173" spans="1:9" ht="13.7" customHeight="1">
      <c r="A173" s="524"/>
      <c r="B173" s="524"/>
      <c r="C173" s="511"/>
      <c r="D173" s="1271"/>
      <c r="E173" s="1271"/>
      <c r="F173" s="1271"/>
      <c r="G173" s="511"/>
    </row>
    <row r="174" spans="1:9" ht="13.7" customHeight="1">
      <c r="A174" s="524"/>
      <c r="B174" s="524"/>
      <c r="C174" s="511"/>
      <c r="D174" s="511"/>
      <c r="E174" s="511"/>
      <c r="F174" s="511"/>
      <c r="G174" s="511"/>
    </row>
    <row r="175" spans="1:9" ht="13.7" customHeight="1">
      <c r="A175" s="524"/>
      <c r="B175" s="520" t="s">
        <v>2624</v>
      </c>
      <c r="C175" s="511"/>
      <c r="D175" s="1271" t="s">
        <v>1214</v>
      </c>
      <c r="E175" s="1271"/>
      <c r="F175" s="1271"/>
      <c r="G175" s="511"/>
      <c r="I175" s="436" t="s">
        <v>2160</v>
      </c>
    </row>
    <row r="176" spans="1:9" ht="13.7" customHeight="1">
      <c r="A176" s="524"/>
      <c r="B176" s="524"/>
      <c r="C176" s="511"/>
      <c r="D176" s="1271"/>
      <c r="E176" s="1271"/>
      <c r="F176" s="1271"/>
      <c r="G176" s="511"/>
    </row>
    <row r="177" spans="1:9" ht="13.7" customHeight="1">
      <c r="A177" s="524"/>
      <c r="B177" s="524"/>
      <c r="C177" s="511"/>
      <c r="D177" s="1271"/>
      <c r="E177" s="1271"/>
      <c r="F177" s="1271"/>
      <c r="G177" s="511"/>
    </row>
    <row r="178" spans="1:9" ht="13.7" customHeight="1">
      <c r="A178" s="524"/>
      <c r="B178" s="524"/>
      <c r="C178" s="511"/>
      <c r="D178" s="1271"/>
      <c r="E178" s="1271"/>
      <c r="F178" s="1271"/>
      <c r="G178" s="511"/>
    </row>
    <row r="179" spans="1:9" ht="13.7" customHeight="1">
      <c r="D179" s="481"/>
      <c r="E179" s="481"/>
      <c r="F179" s="481"/>
    </row>
    <row r="180" spans="1:9" ht="13.7" customHeight="1">
      <c r="B180" s="520" t="s">
        <v>2624</v>
      </c>
      <c r="D180" s="1276" t="s">
        <v>2446</v>
      </c>
      <c r="E180" s="1276"/>
      <c r="F180" s="1276"/>
      <c r="I180" s="436" t="s">
        <v>2161</v>
      </c>
    </row>
    <row r="181" spans="1:9" ht="13.7" customHeight="1">
      <c r="D181" s="1276"/>
      <c r="E181" s="1276"/>
      <c r="F181" s="1276"/>
    </row>
    <row r="182" spans="1:9" ht="13.7" customHeight="1">
      <c r="D182" s="1276"/>
      <c r="E182" s="1276"/>
      <c r="F182" s="1276"/>
    </row>
    <row r="183" spans="1:9" ht="13.7" customHeight="1">
      <c r="A183" s="525"/>
      <c r="B183" s="525"/>
      <c r="E183" s="481"/>
      <c r="F183" s="481"/>
    </row>
    <row r="184" spans="1:9">
      <c r="A184" s="1277" t="s">
        <v>2447</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2140</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7" customHeight="1">
      <c r="A191" s="436"/>
      <c r="B191" s="436"/>
      <c r="D191" s="1291" t="s">
        <v>2007</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2624</v>
      </c>
      <c r="D195" s="1273" t="s">
        <v>2008</v>
      </c>
      <c r="E195" s="1273"/>
      <c r="F195" s="1273"/>
      <c r="I195" s="436" t="s">
        <v>2210</v>
      </c>
    </row>
    <row r="196" spans="1:9">
      <c r="A196" s="436"/>
      <c r="B196" s="436"/>
      <c r="D196" s="1305" t="s">
        <v>2283</v>
      </c>
      <c r="E196" s="1305"/>
      <c r="F196" s="1305"/>
    </row>
    <row r="197" spans="1:9">
      <c r="A197" s="436"/>
      <c r="B197" s="436"/>
      <c r="D197" s="96" t="s">
        <v>2009</v>
      </c>
      <c r="E197" s="1336" t="s">
        <v>2306</v>
      </c>
      <c r="F197" s="1336"/>
    </row>
    <row r="198" spans="1:9">
      <c r="A198" s="436"/>
      <c r="B198" s="436"/>
      <c r="D198" s="3"/>
      <c r="E198" s="3"/>
      <c r="F198" s="3"/>
    </row>
    <row r="199" spans="1:9">
      <c r="A199" s="436"/>
      <c r="B199" s="520" t="s">
        <v>2624</v>
      </c>
      <c r="D199" s="1305" t="s">
        <v>2010</v>
      </c>
      <c r="E199" s="1305"/>
      <c r="F199" s="1305"/>
      <c r="I199" s="436" t="s">
        <v>2211</v>
      </c>
    </row>
    <row r="200" spans="1:9">
      <c r="A200" s="436"/>
      <c r="B200" s="436"/>
      <c r="D200" s="1273" t="s">
        <v>2283</v>
      </c>
      <c r="E200" s="1273"/>
      <c r="F200" s="1273"/>
    </row>
    <row r="201" spans="1:9">
      <c r="A201" s="436"/>
      <c r="B201" s="436"/>
      <c r="D201" s="57" t="s">
        <v>2011</v>
      </c>
      <c r="E201" s="1336" t="s">
        <v>2307</v>
      </c>
      <c r="F201" s="1336"/>
    </row>
    <row r="202" spans="1:9">
      <c r="A202" s="436"/>
      <c r="B202" s="436"/>
      <c r="D202" s="3"/>
      <c r="E202" s="3"/>
      <c r="F202" s="3"/>
    </row>
    <row r="203" spans="1:9">
      <c r="A203" s="436"/>
      <c r="B203" s="520" t="s">
        <v>2749</v>
      </c>
      <c r="D203" s="1305" t="s">
        <v>2012</v>
      </c>
      <c r="E203" s="1305"/>
      <c r="F203" s="1305"/>
      <c r="I203" s="436" t="s">
        <v>2212</v>
      </c>
    </row>
    <row r="204" spans="1:9">
      <c r="A204" s="436"/>
      <c r="B204" s="436"/>
      <c r="D204" s="1273" t="s">
        <v>2283</v>
      </c>
      <c r="E204" s="1273"/>
      <c r="F204" s="1273"/>
    </row>
    <row r="205" spans="1:9">
      <c r="A205" s="436"/>
      <c r="B205" s="436"/>
      <c r="D205" s="57" t="s">
        <v>2009</v>
      </c>
      <c r="E205" s="1336" t="s">
        <v>2308</v>
      </c>
      <c r="F205" s="1336"/>
    </row>
    <row r="206" spans="1:9">
      <c r="A206" s="436"/>
      <c r="B206" s="436"/>
      <c r="D206" s="424"/>
      <c r="E206" s="424"/>
      <c r="F206" s="424"/>
    </row>
    <row r="207" spans="1:9" ht="14.25" customHeight="1">
      <c r="A207" s="519"/>
      <c r="B207" s="520" t="s">
        <v>2624</v>
      </c>
      <c r="D207" s="418" t="s">
        <v>2276</v>
      </c>
      <c r="E207" s="417"/>
      <c r="F207" s="417"/>
      <c r="I207" s="436" t="s">
        <v>2213</v>
      </c>
    </row>
    <row r="208" spans="1:9" ht="14.25">
      <c r="A208" s="519"/>
      <c r="B208" s="519"/>
      <c r="D208" s="1273" t="s">
        <v>2283</v>
      </c>
      <c r="E208" s="1273"/>
      <c r="F208" s="1273"/>
    </row>
    <row r="209" spans="1:9">
      <c r="D209" s="417"/>
      <c r="E209" s="1336" t="s">
        <v>2309</v>
      </c>
      <c r="F209" s="1336"/>
    </row>
    <row r="210" spans="1:9">
      <c r="D210" s="482"/>
    </row>
    <row r="211" spans="1:9">
      <c r="B211" s="520" t="s">
        <v>2624</v>
      </c>
      <c r="D211" s="1305" t="s">
        <v>2013</v>
      </c>
      <c r="E211" s="1305"/>
      <c r="F211" s="1305"/>
      <c r="I211" s="436" t="s">
        <v>2214</v>
      </c>
    </row>
    <row r="212" spans="1:9">
      <c r="D212" s="1273" t="s">
        <v>2283</v>
      </c>
      <c r="E212" s="1273"/>
      <c r="F212" s="1273"/>
    </row>
    <row r="213" spans="1:9">
      <c r="D213" s="57" t="s">
        <v>2009</v>
      </c>
      <c r="E213" s="1336" t="s">
        <v>2310</v>
      </c>
      <c r="F213" s="1336"/>
    </row>
    <row r="214" spans="1:9">
      <c r="D214" s="486"/>
      <c r="E214" s="486"/>
      <c r="F214" s="486"/>
    </row>
    <row r="215" spans="1:9" ht="14.25">
      <c r="A215" s="519"/>
      <c r="B215" s="520" t="s">
        <v>2624</v>
      </c>
      <c r="D215" s="1289" t="s">
        <v>1359</v>
      </c>
      <c r="E215" s="1289"/>
      <c r="F215" s="1289"/>
    </row>
    <row r="216" spans="1:9" ht="14.45" customHeight="1">
      <c r="A216" s="519"/>
      <c r="B216" s="434"/>
      <c r="D216" s="1289"/>
      <c r="E216" s="1289"/>
      <c r="F216" s="1289"/>
    </row>
    <row r="217" spans="1:9" ht="14.25">
      <c r="A217" s="519"/>
      <c r="D217" s="1289"/>
      <c r="E217" s="1289"/>
      <c r="F217" s="1289"/>
    </row>
    <row r="218" spans="1:9" ht="14.25">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1240</v>
      </c>
      <c r="E223" s="1290"/>
      <c r="F223" s="1290"/>
    </row>
    <row r="224" spans="1:9" ht="12" customHeight="1">
      <c r="A224" s="525"/>
      <c r="B224" s="525"/>
      <c r="C224" s="525"/>
    </row>
    <row r="225" spans="1:9" ht="13.7" customHeight="1">
      <c r="A225" s="525"/>
      <c r="C225" s="525"/>
      <c r="D225" s="1288" t="s">
        <v>555</v>
      </c>
      <c r="E225" s="1288"/>
      <c r="F225" s="1288"/>
      <c r="I225" s="436" t="s">
        <v>2162</v>
      </c>
    </row>
    <row r="226" spans="1:9" ht="14.25">
      <c r="A226" s="519"/>
      <c r="B226" s="520" t="s">
        <v>2749</v>
      </c>
      <c r="D226" s="1289" t="s">
        <v>2014</v>
      </c>
      <c r="E226" s="1289"/>
      <c r="F226" s="1289"/>
    </row>
    <row r="227" spans="1:9" ht="14.25" customHeight="1">
      <c r="A227" s="519"/>
      <c r="B227" s="519"/>
      <c r="D227" s="1289"/>
      <c r="E227" s="1289"/>
      <c r="F227" s="1289"/>
    </row>
    <row r="228" spans="1:9" ht="14.25" customHeight="1">
      <c r="A228" s="519"/>
      <c r="B228" s="519"/>
      <c r="D228" s="1289"/>
      <c r="E228" s="1289"/>
      <c r="F228" s="1289"/>
    </row>
    <row r="229" spans="1:9" ht="14.25">
      <c r="A229" s="519"/>
      <c r="B229" s="519"/>
      <c r="D229" s="1289"/>
      <c r="E229" s="1289"/>
      <c r="F229" s="1289"/>
    </row>
    <row r="230" spans="1:9" ht="14.25">
      <c r="A230" s="519"/>
      <c r="B230" s="519"/>
      <c r="D230" s="480"/>
      <c r="E230" s="480"/>
      <c r="F230" s="480"/>
    </row>
    <row r="231" spans="1:9" ht="14.25">
      <c r="A231" s="519"/>
      <c r="B231" s="520" t="s">
        <v>2749</v>
      </c>
      <c r="D231" s="1289" t="s">
        <v>2015</v>
      </c>
      <c r="E231" s="1289"/>
      <c r="F231" s="1289"/>
      <c r="I231" s="436" t="s">
        <v>2163</v>
      </c>
    </row>
    <row r="232" spans="1:9" ht="14.25">
      <c r="A232" s="519"/>
      <c r="B232" s="519"/>
      <c r="D232" s="1289"/>
      <c r="E232" s="1289"/>
      <c r="F232" s="1289"/>
    </row>
    <row r="233" spans="1:9" ht="14.25">
      <c r="A233" s="519"/>
      <c r="B233" s="519"/>
      <c r="D233" s="1289"/>
      <c r="E233" s="1289"/>
      <c r="F233" s="1289"/>
    </row>
    <row r="234" spans="1:9" ht="14.25">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ht="14.25">
      <c r="A237" s="519"/>
      <c r="B237" s="519"/>
      <c r="D237" s="1289" t="s">
        <v>1236</v>
      </c>
      <c r="E237" s="1289"/>
      <c r="F237" s="1289"/>
      <c r="I237" s="436" t="s">
        <v>2162</v>
      </c>
    </row>
    <row r="238" spans="1:9" ht="14.25">
      <c r="A238" s="519"/>
      <c r="B238" s="519"/>
      <c r="D238" s="1289"/>
      <c r="E238" s="1289"/>
      <c r="F238" s="1289"/>
    </row>
    <row r="239" spans="1:9" ht="14.25">
      <c r="A239" s="519"/>
      <c r="B239" s="519"/>
      <c r="D239" s="1289"/>
      <c r="E239" s="1289"/>
      <c r="F239" s="1289"/>
    </row>
    <row r="240" spans="1:9" ht="14.25">
      <c r="A240" s="519"/>
      <c r="B240" s="519"/>
      <c r="D240" s="1289"/>
      <c r="E240" s="1289"/>
      <c r="F240" s="1289"/>
    </row>
    <row r="241" spans="1:9" ht="14.25">
      <c r="A241" s="519"/>
      <c r="B241" s="519"/>
      <c r="D241" s="1289"/>
      <c r="E241" s="1289"/>
      <c r="F241" s="1289"/>
    </row>
    <row r="242" spans="1:9" ht="14.25">
      <c r="A242" s="519"/>
      <c r="B242" s="519"/>
      <c r="D242" s="481"/>
      <c r="E242" s="481"/>
      <c r="F242" s="481"/>
    </row>
    <row r="243" spans="1:9" ht="14.25">
      <c r="A243" s="519"/>
      <c r="B243" s="520" t="s">
        <v>2624</v>
      </c>
      <c r="D243" s="1289" t="s">
        <v>2448</v>
      </c>
      <c r="E243" s="1289"/>
      <c r="F243" s="1289"/>
      <c r="I243" s="436" t="s">
        <v>2201</v>
      </c>
    </row>
    <row r="244" spans="1:9" ht="14.25">
      <c r="A244" s="519"/>
      <c r="B244" s="519"/>
      <c r="D244" s="1289"/>
      <c r="E244" s="1289"/>
      <c r="F244" s="1289"/>
    </row>
    <row r="245" spans="1:9" ht="14.25">
      <c r="A245" s="519"/>
      <c r="B245" s="519"/>
      <c r="D245" s="1289"/>
      <c r="E245" s="1289"/>
      <c r="F245" s="1289"/>
    </row>
    <row r="246" spans="1:9" ht="14.25">
      <c r="A246" s="519"/>
      <c r="B246" s="519"/>
      <c r="E246" s="1080" t="s">
        <v>2277</v>
      </c>
    </row>
    <row r="247" spans="1:9" ht="14.25">
      <c r="A247" s="519"/>
      <c r="B247" s="519"/>
      <c r="D247" s="481"/>
      <c r="E247" s="481"/>
      <c r="F247" s="481"/>
    </row>
    <row r="248" spans="1:9" ht="14.45" customHeight="1">
      <c r="A248" s="519"/>
      <c r="B248" s="520" t="s">
        <v>2624</v>
      </c>
      <c r="D248" s="1289" t="s">
        <v>2449</v>
      </c>
      <c r="E248" s="1289"/>
      <c r="F248" s="1289"/>
      <c r="I248" s="436" t="s">
        <v>2219</v>
      </c>
    </row>
    <row r="249" spans="1:9" ht="14.25">
      <c r="A249" s="519"/>
      <c r="B249" s="519"/>
      <c r="D249" s="1289"/>
      <c r="E249" s="1289"/>
      <c r="F249" s="1289"/>
    </row>
    <row r="250" spans="1:9" ht="14.25">
      <c r="A250" s="519"/>
      <c r="B250" s="519"/>
      <c r="D250" s="1289"/>
      <c r="E250" s="1289"/>
      <c r="F250" s="1289"/>
    </row>
    <row r="251" spans="1:9" ht="14.25">
      <c r="A251" s="519"/>
      <c r="B251" s="519"/>
      <c r="D251" s="1289"/>
      <c r="E251" s="1289"/>
      <c r="F251" s="1289"/>
    </row>
    <row r="252" spans="1:9" ht="14.25">
      <c r="A252" s="519"/>
      <c r="B252" s="519"/>
      <c r="D252" s="1289"/>
      <c r="E252" s="1289"/>
      <c r="F252" s="1289"/>
    </row>
    <row r="253" spans="1:9" ht="14.25">
      <c r="A253" s="519"/>
      <c r="B253" s="519"/>
      <c r="D253" s="480"/>
      <c r="E253" s="480"/>
      <c r="F253" s="480"/>
    </row>
    <row r="254" spans="1:9" ht="14.25">
      <c r="A254" s="519"/>
      <c r="B254" s="520" t="s">
        <v>2749</v>
      </c>
      <c r="D254" s="424" t="s">
        <v>2450</v>
      </c>
      <c r="E254" s="480"/>
      <c r="F254" s="480"/>
      <c r="I254" s="436" t="s">
        <v>2200</v>
      </c>
    </row>
    <row r="255" spans="1:9" ht="14.25">
      <c r="A255" s="519"/>
      <c r="B255" s="519"/>
      <c r="E255" s="1080" t="s">
        <v>2278</v>
      </c>
    </row>
    <row r="256" spans="1:9">
      <c r="D256" s="481"/>
      <c r="E256" s="481"/>
      <c r="F256" s="481"/>
    </row>
    <row r="257" spans="1:9" ht="14.25">
      <c r="A257" s="519"/>
      <c r="B257" s="520" t="s">
        <v>2749</v>
      </c>
      <c r="D257" s="1289" t="s">
        <v>1238</v>
      </c>
      <c r="E257" s="1289"/>
      <c r="F257" s="1289"/>
    </row>
    <row r="258" spans="1:9" ht="14.25">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271</v>
      </c>
      <c r="E264" s="1288"/>
      <c r="F264" s="1288"/>
      <c r="I264" s="436" t="s">
        <v>2202</v>
      </c>
    </row>
    <row r="265" spans="1:9" ht="14.45" customHeight="1">
      <c r="A265" s="519"/>
      <c r="B265" s="520" t="s">
        <v>2749</v>
      </c>
      <c r="D265" s="1289" t="s">
        <v>1339</v>
      </c>
      <c r="E265" s="1289"/>
      <c r="F265" s="1289"/>
    </row>
    <row r="266" spans="1:9">
      <c r="D266" s="1289"/>
      <c r="E266" s="1289"/>
      <c r="F266" s="1289"/>
    </row>
    <row r="267" spans="1:9">
      <c r="E267" s="1080" t="s">
        <v>2279</v>
      </c>
    </row>
    <row r="268" spans="1:9">
      <c r="D268" s="481"/>
      <c r="E268" s="481"/>
      <c r="F268" s="481"/>
    </row>
    <row r="269" spans="1:9" ht="14.45" customHeight="1">
      <c r="A269" s="519"/>
      <c r="B269" s="520" t="s">
        <v>2624</v>
      </c>
      <c r="D269" s="1289" t="s">
        <v>2451</v>
      </c>
      <c r="E269" s="1289"/>
      <c r="F269" s="1289"/>
      <c r="I269" s="436"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ht="14.25">
      <c r="A276" s="519"/>
      <c r="B276" s="520" t="s">
        <v>2624</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1247</v>
      </c>
      <c r="E286" s="1340"/>
      <c r="F286" s="1340"/>
    </row>
    <row r="287" spans="1:9">
      <c r="E287" s="481"/>
      <c r="F287" s="481"/>
    </row>
    <row r="288" spans="1:9" ht="14.25">
      <c r="A288" s="519"/>
      <c r="B288" s="520" t="s">
        <v>2624</v>
      </c>
      <c r="D288" s="1289" t="s">
        <v>1248</v>
      </c>
      <c r="E288" s="1289"/>
      <c r="F288" s="1289"/>
      <c r="I288" s="436" t="s">
        <v>2164</v>
      </c>
    </row>
    <row r="289" spans="1:9" ht="14.25">
      <c r="A289" s="519"/>
      <c r="B289" s="519"/>
      <c r="D289" s="1289"/>
      <c r="E289" s="1289"/>
      <c r="F289" s="1289"/>
    </row>
    <row r="290" spans="1:9">
      <c r="D290" s="481"/>
      <c r="E290" s="481"/>
      <c r="F290" s="481"/>
    </row>
    <row r="291" spans="1:9" ht="14.25">
      <c r="A291" s="519"/>
      <c r="B291" s="520" t="s">
        <v>2624</v>
      </c>
      <c r="D291" s="1289" t="s">
        <v>1249</v>
      </c>
      <c r="E291" s="1289"/>
      <c r="F291" s="1289"/>
      <c r="I291" s="436" t="s">
        <v>2164</v>
      </c>
    </row>
    <row r="292" spans="1:9" ht="14.25">
      <c r="A292" s="519"/>
      <c r="B292" s="519"/>
      <c r="D292" s="1289"/>
      <c r="E292" s="1289"/>
      <c r="F292" s="1289"/>
    </row>
    <row r="293" spans="1:9" ht="14.25">
      <c r="A293" s="519"/>
      <c r="B293" s="519"/>
      <c r="D293" s="1289"/>
      <c r="E293" s="1289"/>
      <c r="F293" s="1289"/>
    </row>
    <row r="294" spans="1:9">
      <c r="D294" s="481"/>
      <c r="E294" s="481"/>
      <c r="F294" s="481"/>
    </row>
    <row r="295" spans="1:9" ht="14.25">
      <c r="A295" s="519"/>
      <c r="B295" s="520" t="s">
        <v>2624</v>
      </c>
      <c r="D295" s="1289" t="s">
        <v>1250</v>
      </c>
      <c r="E295" s="1289"/>
      <c r="F295" s="1289"/>
      <c r="I295" s="436" t="s">
        <v>2164</v>
      </c>
    </row>
    <row r="296" spans="1:9" ht="14.25">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2749</v>
      </c>
      <c r="D303" s="1290" t="s">
        <v>1252</v>
      </c>
      <c r="E303" s="1290"/>
      <c r="F303" s="1290"/>
      <c r="I303" s="436" t="s">
        <v>2165</v>
      </c>
    </row>
    <row r="304" spans="1:9" ht="14.25">
      <c r="A304" s="519"/>
      <c r="B304" s="519"/>
      <c r="D304" s="529"/>
      <c r="E304" s="530"/>
      <c r="F304" s="530"/>
    </row>
    <row r="305" spans="1:9" ht="13.7" customHeight="1">
      <c r="B305" s="520" t="s">
        <v>2624</v>
      </c>
      <c r="D305" s="1343" t="s">
        <v>1363</v>
      </c>
      <c r="E305" s="1343"/>
      <c r="F305" s="1343"/>
      <c r="I305" s="436" t="s">
        <v>2165</v>
      </c>
    </row>
    <row r="306" spans="1:9" ht="14.25">
      <c r="A306" s="519"/>
      <c r="B306" s="519"/>
      <c r="D306" s="1343"/>
      <c r="E306" s="1343"/>
      <c r="F306" s="1343"/>
    </row>
    <row r="307" spans="1:9" ht="14.25">
      <c r="A307" s="519"/>
      <c r="B307" s="519"/>
      <c r="D307" s="1343"/>
      <c r="E307" s="1343"/>
      <c r="F307" s="1343"/>
    </row>
    <row r="308" spans="1:9" ht="14.25">
      <c r="A308" s="519"/>
      <c r="B308" s="519"/>
      <c r="D308" s="1343"/>
      <c r="E308" s="1343"/>
      <c r="F308" s="1343"/>
    </row>
    <row r="309" spans="1:9" ht="14.25">
      <c r="A309" s="519"/>
      <c r="B309" s="519"/>
      <c r="D309" s="1343"/>
      <c r="E309" s="1343"/>
      <c r="F309" s="1343"/>
    </row>
    <row r="310" spans="1:9" ht="14.25">
      <c r="A310" s="519"/>
      <c r="B310" s="519"/>
      <c r="D310" s="529"/>
      <c r="E310" s="530"/>
      <c r="F310" s="530"/>
    </row>
    <row r="311" spans="1:9" ht="13.7" customHeight="1">
      <c r="B311" s="520" t="s">
        <v>2624</v>
      </c>
      <c r="D311" s="1343" t="s">
        <v>1254</v>
      </c>
      <c r="E311" s="1343"/>
      <c r="F311" s="1343"/>
      <c r="I311" s="436" t="s">
        <v>2165</v>
      </c>
    </row>
    <row r="312" spans="1:9">
      <c r="D312" s="1343"/>
      <c r="E312" s="1343"/>
      <c r="F312" s="1343"/>
    </row>
    <row r="313" spans="1:9" ht="14.25">
      <c r="A313" s="519"/>
      <c r="B313" s="519"/>
      <c r="D313" s="529"/>
      <c r="E313" s="530"/>
      <c r="F313" s="530"/>
    </row>
    <row r="314" spans="1:9">
      <c r="B314" s="520" t="s">
        <v>2624</v>
      </c>
      <c r="D314" s="1290" t="s">
        <v>1255</v>
      </c>
      <c r="E314" s="1290"/>
      <c r="F314" s="1290"/>
      <c r="I314" s="436" t="s">
        <v>2151</v>
      </c>
    </row>
    <row r="315" spans="1:9">
      <c r="E315" s="481"/>
      <c r="F315" s="481"/>
    </row>
    <row r="316" spans="1:9" ht="14.25">
      <c r="A316" s="519"/>
      <c r="B316" s="520" t="s">
        <v>2624</v>
      </c>
      <c r="D316" s="1289" t="s">
        <v>2470</v>
      </c>
      <c r="E316" s="1289"/>
      <c r="F316" s="1289"/>
      <c r="I316" s="436" t="s">
        <v>2166</v>
      </c>
    </row>
    <row r="317" spans="1:9" ht="14.25">
      <c r="A317" s="519"/>
      <c r="B317" s="519"/>
      <c r="D317" s="1289"/>
      <c r="E317" s="1289"/>
      <c r="F317" s="1289"/>
    </row>
    <row r="318" spans="1:9" ht="14.25">
      <c r="A318" s="519"/>
      <c r="B318" s="519"/>
      <c r="D318" s="1289"/>
      <c r="E318" s="1289"/>
      <c r="F318" s="1289"/>
    </row>
    <row r="319" spans="1:9" ht="14.25">
      <c r="A319" s="519"/>
      <c r="B319" s="519"/>
      <c r="D319" s="1289"/>
      <c r="E319" s="1289"/>
      <c r="F319" s="1289"/>
    </row>
    <row r="320" spans="1:9" ht="14.25">
      <c r="A320" s="519"/>
      <c r="B320" s="519"/>
      <c r="D320" s="1289"/>
      <c r="E320" s="1289"/>
      <c r="F320" s="1289"/>
    </row>
    <row r="321" spans="1:9" ht="14.25">
      <c r="A321" s="519"/>
      <c r="B321" s="519"/>
      <c r="D321" s="1289"/>
      <c r="E321" s="1289"/>
      <c r="F321" s="1289"/>
    </row>
    <row r="322" spans="1:9" ht="14.25">
      <c r="A322" s="519"/>
      <c r="B322" s="519"/>
      <c r="D322" s="1289"/>
      <c r="E322" s="1289"/>
      <c r="F322" s="1289"/>
    </row>
    <row r="323" spans="1:9" ht="14.25">
      <c r="A323" s="519"/>
      <c r="B323" s="519"/>
      <c r="D323" s="1289"/>
      <c r="E323" s="1289"/>
      <c r="F323" s="1289"/>
    </row>
    <row r="324" spans="1:9" ht="14.25">
      <c r="A324" s="519"/>
      <c r="B324" s="519"/>
      <c r="D324" s="1289"/>
      <c r="E324" s="1289"/>
      <c r="F324" s="1289"/>
    </row>
    <row r="325" spans="1:9" ht="14.25">
      <c r="A325" s="519"/>
      <c r="B325" s="519"/>
      <c r="D325" s="1289"/>
      <c r="E325" s="1289"/>
      <c r="F325" s="1289"/>
    </row>
    <row r="326" spans="1:9" ht="14.25">
      <c r="A326" s="519"/>
      <c r="B326" s="519"/>
      <c r="D326" s="1289"/>
      <c r="E326" s="1289"/>
      <c r="F326" s="1289"/>
    </row>
    <row r="327" spans="1:9" ht="14.25">
      <c r="A327" s="519"/>
      <c r="B327" s="519"/>
      <c r="D327" s="1289"/>
      <c r="E327" s="1289"/>
      <c r="F327" s="1289"/>
    </row>
    <row r="328" spans="1:9" ht="14.25">
      <c r="A328" s="519"/>
      <c r="B328" s="519"/>
      <c r="D328" s="1289"/>
      <c r="E328" s="1289"/>
      <c r="F328" s="1289"/>
    </row>
    <row r="329" spans="1:9" ht="14.25">
      <c r="A329" s="519"/>
      <c r="B329" s="519"/>
      <c r="D329" s="1289"/>
      <c r="E329" s="1289"/>
      <c r="F329" s="1289"/>
    </row>
    <row r="330" spans="1:9" ht="14.25">
      <c r="A330" s="519"/>
      <c r="B330" s="519"/>
      <c r="D330" s="1289"/>
      <c r="E330" s="1289"/>
      <c r="F330" s="1289"/>
    </row>
    <row r="331" spans="1:9">
      <c r="D331" s="481"/>
      <c r="E331" s="481"/>
      <c r="F331" s="481"/>
    </row>
    <row r="332" spans="1:9" ht="14.25">
      <c r="A332" s="519"/>
      <c r="B332" s="520" t="s">
        <v>2624</v>
      </c>
      <c r="D332" s="1289" t="s">
        <v>1257</v>
      </c>
      <c r="E332" s="1289"/>
      <c r="F332" s="1289"/>
      <c r="I332" s="436"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2624</v>
      </c>
      <c r="D342" s="1289" t="s">
        <v>2284</v>
      </c>
      <c r="E342" s="1289"/>
      <c r="F342" s="1289"/>
      <c r="I342" s="436" t="s">
        <v>2203</v>
      </c>
    </row>
    <row r="343" spans="1:9">
      <c r="D343" s="1289"/>
      <c r="E343" s="1289"/>
      <c r="F343" s="1289"/>
    </row>
    <row r="344" spans="1:9">
      <c r="D344" s="1289"/>
      <c r="E344" s="1289"/>
      <c r="F344" s="1289"/>
    </row>
    <row r="345" spans="1:9">
      <c r="D345" s="1289"/>
      <c r="E345" s="1289"/>
      <c r="F345" s="1289"/>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2" t="s">
        <v>1019</v>
      </c>
      <c r="E349" s="1332"/>
      <c r="F349" s="1332"/>
      <c r="G349" s="1069"/>
      <c r="H349" s="1069"/>
      <c r="I349" s="1070"/>
    </row>
    <row r="350" spans="1:9" ht="13.5" thickTop="1">
      <c r="D350" s="1344" t="s">
        <v>1259</v>
      </c>
      <c r="E350" s="1344"/>
      <c r="F350" s="1344"/>
    </row>
    <row r="351" spans="1:9">
      <c r="D351" s="481"/>
      <c r="E351" s="481"/>
      <c r="F351" s="481"/>
    </row>
    <row r="352" spans="1:9">
      <c r="A352" s="511"/>
      <c r="B352" s="511"/>
      <c r="C352" s="511"/>
      <c r="D352" s="482"/>
      <c r="E352" s="482"/>
      <c r="F352" s="481"/>
      <c r="I352" s="436" t="s">
        <v>2167</v>
      </c>
    </row>
    <row r="353" spans="1:9" ht="14.25">
      <c r="A353" s="519"/>
      <c r="B353" s="520" t="s">
        <v>2624</v>
      </c>
      <c r="C353" s="522"/>
      <c r="D353" s="1290" t="s">
        <v>2282</v>
      </c>
      <c r="E353" s="1290"/>
      <c r="F353" s="1290"/>
      <c r="I353" s="1346" t="s">
        <v>2217</v>
      </c>
    </row>
    <row r="354" spans="1:9" ht="12.75" customHeight="1">
      <c r="D354" s="1081"/>
      <c r="E354" s="96" t="s">
        <v>2281</v>
      </c>
      <c r="F354" s="1081"/>
      <c r="I354" s="1347"/>
    </row>
    <row r="355" spans="1:9">
      <c r="D355" s="1289" t="s">
        <v>1386</v>
      </c>
      <c r="E355" s="1289"/>
      <c r="F355" s="1289"/>
      <c r="I355" s="1347"/>
    </row>
    <row r="356" spans="1:9">
      <c r="D356" s="1289"/>
      <c r="E356" s="1289"/>
      <c r="F356" s="1289"/>
      <c r="I356" s="1347"/>
    </row>
    <row r="357" spans="1:9">
      <c r="D357" s="1289"/>
      <c r="E357" s="1289"/>
      <c r="F357" s="1289"/>
      <c r="I357" s="1348"/>
    </row>
    <row r="358" spans="1:9" ht="14.25">
      <c r="A358" s="519"/>
      <c r="B358" s="520" t="s">
        <v>2624</v>
      </c>
      <c r="C358" s="511"/>
      <c r="D358" s="1275" t="s">
        <v>2452</v>
      </c>
      <c r="E358" s="1275"/>
      <c r="F358" s="1275"/>
      <c r="I358" s="434"/>
    </row>
    <row r="359" spans="1:9">
      <c r="A359" s="511"/>
      <c r="B359" s="511"/>
      <c r="C359" s="511"/>
      <c r="D359" s="482"/>
      <c r="E359" s="482"/>
      <c r="F359" s="481"/>
    </row>
    <row r="360" spans="1:9">
      <c r="A360" s="511"/>
      <c r="B360" s="520" t="s">
        <v>2624</v>
      </c>
      <c r="C360" s="511"/>
      <c r="D360" s="1271" t="s">
        <v>2453</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4" customHeight="1">
      <c r="A373" s="511"/>
      <c r="B373" s="520" t="s">
        <v>2624</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2624</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ht="14.25">
      <c r="A385" s="519"/>
      <c r="B385" s="520" t="s">
        <v>2624</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2624</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45" customHeight="1">
      <c r="A421" s="519"/>
      <c r="B421" s="520" t="s">
        <v>2624</v>
      </c>
      <c r="D421" s="1271" t="s">
        <v>2204</v>
      </c>
      <c r="E421" s="1271"/>
      <c r="F421" s="1271"/>
    </row>
    <row r="422" spans="1:6" ht="14.45" customHeight="1">
      <c r="A422" s="519"/>
      <c r="D422" s="1271"/>
      <c r="E422" s="1271"/>
      <c r="F422" s="1271"/>
    </row>
    <row r="423" spans="1:6" ht="14.45" customHeight="1">
      <c r="A423" s="519"/>
      <c r="D423" s="1271"/>
      <c r="E423" s="1271"/>
      <c r="F423" s="1271"/>
    </row>
    <row r="424" spans="1:6" ht="14.45" customHeight="1">
      <c r="A424" s="519"/>
      <c r="D424" s="1271"/>
      <c r="E424" s="1271"/>
      <c r="F424" s="1271"/>
    </row>
    <row r="425" spans="1:6" ht="14.45" customHeight="1">
      <c r="A425" s="519"/>
      <c r="D425" s="1271"/>
      <c r="E425" s="1271"/>
      <c r="F425" s="1271"/>
    </row>
    <row r="426" spans="1:6" ht="14.45" customHeight="1">
      <c r="A426" s="519"/>
      <c r="D426" s="417"/>
      <c r="E426" s="417"/>
      <c r="F426" s="417"/>
    </row>
    <row r="427" spans="1:6" ht="13.7" customHeight="1">
      <c r="A427" s="519"/>
      <c r="B427" s="520" t="s">
        <v>2624</v>
      </c>
      <c r="C427" s="511"/>
      <c r="D427" s="1271" t="s">
        <v>1388</v>
      </c>
      <c r="E427" s="1271"/>
      <c r="F427" s="1271"/>
    </row>
    <row r="428" spans="1:6" ht="14.25">
      <c r="A428" s="532"/>
      <c r="B428" s="532"/>
      <c r="C428" s="511"/>
      <c r="D428" s="1271"/>
      <c r="E428" s="1271"/>
      <c r="F428" s="1271"/>
    </row>
    <row r="429" spans="1:6" ht="14.25">
      <c r="A429" s="532"/>
      <c r="B429" s="532"/>
      <c r="C429" s="511"/>
      <c r="D429" s="1271"/>
      <c r="E429" s="1271"/>
      <c r="F429" s="1271"/>
    </row>
    <row r="430" spans="1:6" ht="14.25">
      <c r="A430" s="532"/>
      <c r="B430" s="532"/>
      <c r="C430" s="511"/>
      <c r="D430" s="1271"/>
      <c r="E430" s="1271"/>
      <c r="F430" s="1271"/>
    </row>
    <row r="431" spans="1:6" ht="15.75" customHeight="1">
      <c r="A431" s="532"/>
      <c r="B431" s="532"/>
      <c r="C431" s="511"/>
      <c r="D431" s="1345" t="s">
        <v>2471</v>
      </c>
      <c r="E431" s="1271"/>
      <c r="F431" s="1271"/>
    </row>
    <row r="432" spans="1:6">
      <c r="D432" s="481"/>
      <c r="E432" s="481"/>
      <c r="F432" s="481"/>
    </row>
    <row r="433" spans="1:6" ht="14.25">
      <c r="A433" s="519"/>
      <c r="B433" s="520" t="s">
        <v>2624</v>
      </c>
      <c r="C433" s="522"/>
      <c r="D433" s="1289" t="s">
        <v>2454</v>
      </c>
      <c r="E433" s="1289"/>
      <c r="F433" s="1289"/>
    </row>
    <row r="434" spans="1:6" ht="14.25">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00000000000003" customHeight="1">
      <c r="D463" s="1289"/>
      <c r="E463" s="1289"/>
      <c r="F463" s="1289"/>
    </row>
    <row r="464" spans="1:6">
      <c r="D464" s="481"/>
      <c r="E464" s="481"/>
      <c r="F464" s="481"/>
    </row>
    <row r="465" spans="1:6" ht="14.25">
      <c r="A465" s="519"/>
      <c r="B465" s="520" t="s">
        <v>2624</v>
      </c>
      <c r="C465" s="522"/>
      <c r="D465" s="1289" t="s">
        <v>1270</v>
      </c>
      <c r="E465" s="1289"/>
      <c r="F465" s="1289"/>
    </row>
    <row r="466" spans="1:6">
      <c r="D466" s="1289"/>
      <c r="E466" s="1289"/>
      <c r="F466" s="1289"/>
    </row>
    <row r="467" spans="1:6">
      <c r="D467" s="1289"/>
      <c r="E467" s="1289"/>
      <c r="F467" s="1289"/>
    </row>
    <row r="468" spans="1:6">
      <c r="D468" s="480"/>
      <c r="E468" s="480"/>
      <c r="F468" s="480"/>
    </row>
    <row r="469" spans="1:6" ht="14.25">
      <c r="B469" s="520" t="s">
        <v>2624</v>
      </c>
      <c r="C469" s="519"/>
      <c r="D469" s="1289" t="s">
        <v>1340</v>
      </c>
      <c r="E469" s="1289"/>
      <c r="F469" s="1289"/>
    </row>
    <row r="470" spans="1:6">
      <c r="D470" s="1289"/>
      <c r="E470" s="1289"/>
      <c r="F470" s="1289"/>
    </row>
    <row r="471" spans="1:6">
      <c r="D471" s="481"/>
      <c r="E471" s="481"/>
      <c r="F471" s="481"/>
    </row>
    <row r="472" spans="1:6" ht="14.25">
      <c r="B472" s="520" t="s">
        <v>2624</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2624</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2624</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2624</v>
      </c>
      <c r="C484" s="434"/>
      <c r="D484" s="1289"/>
      <c r="E484" s="1289"/>
      <c r="F484" s="1289"/>
    </row>
    <row r="485" spans="1:9">
      <c r="A485" s="434"/>
      <c r="C485" s="434"/>
      <c r="D485" s="1289"/>
      <c r="E485" s="1289"/>
      <c r="F485" s="1289"/>
    </row>
    <row r="486" spans="1:9">
      <c r="A486" s="434"/>
      <c r="B486" s="520" t="s">
        <v>2624</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2624</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ht="14.25">
      <c r="A497" s="519"/>
      <c r="B497" s="519"/>
      <c r="D497" s="1275" t="s">
        <v>1275</v>
      </c>
      <c r="E497" s="1275"/>
      <c r="F497" s="1275"/>
    </row>
    <row r="498" spans="1:9" ht="14.25">
      <c r="A498" s="519"/>
      <c r="B498" s="519"/>
      <c r="D498" s="482"/>
    </row>
    <row r="499" spans="1:9" ht="14.25">
      <c r="A499" s="519"/>
      <c r="B499" s="520" t="s">
        <v>2624</v>
      </c>
      <c r="D499" s="1271" t="s">
        <v>1276</v>
      </c>
      <c r="E499" s="1271"/>
      <c r="F499" s="1271"/>
      <c r="I499" s="436" t="s">
        <v>2168</v>
      </c>
    </row>
    <row r="500" spans="1:9" ht="14.25">
      <c r="A500" s="519"/>
      <c r="B500" s="519"/>
      <c r="D500" s="1271"/>
      <c r="E500" s="1271"/>
      <c r="F500" s="1271"/>
    </row>
    <row r="501" spans="1:9" ht="14.25">
      <c r="A501" s="519"/>
      <c r="B501" s="519"/>
      <c r="D501" s="481"/>
    </row>
    <row r="502" spans="1:9" ht="12.75" customHeight="1">
      <c r="B502" s="520" t="s">
        <v>2624</v>
      </c>
      <c r="D502" s="1276" t="s">
        <v>1431</v>
      </c>
      <c r="E502" s="1276"/>
      <c r="F502" s="1276"/>
      <c r="I502" s="436" t="s">
        <v>2169</v>
      </c>
    </row>
    <row r="503" spans="1:9" ht="14.25">
      <c r="A503" s="519"/>
      <c r="D503" s="1276"/>
      <c r="E503" s="1276"/>
      <c r="F503" s="1276"/>
    </row>
    <row r="504" spans="1:9" ht="14.25">
      <c r="A504" s="519"/>
      <c r="B504" s="519"/>
      <c r="D504" s="1276"/>
      <c r="E504" s="1276"/>
      <c r="F504" s="1276"/>
    </row>
    <row r="505" spans="1:9" ht="14.25">
      <c r="A505" s="519"/>
      <c r="B505" s="519"/>
      <c r="D505" s="1276"/>
      <c r="E505" s="1276"/>
      <c r="F505" s="1276"/>
    </row>
    <row r="506" spans="1:9" ht="14.25">
      <c r="A506" s="519"/>
      <c r="D506" s="555"/>
      <c r="E506" s="555"/>
      <c r="F506" s="555"/>
    </row>
    <row r="507" spans="1:9" ht="14.25">
      <c r="A507" s="519"/>
      <c r="B507" s="520" t="s">
        <v>2624</v>
      </c>
      <c r="D507" s="1290" t="s">
        <v>1279</v>
      </c>
      <c r="E507" s="1290"/>
      <c r="F507" s="1290"/>
      <c r="I507" s="436" t="s">
        <v>2170</v>
      </c>
    </row>
    <row r="508" spans="1:9" ht="14.25">
      <c r="A508" s="519"/>
      <c r="B508" s="519"/>
      <c r="D508" s="481"/>
    </row>
    <row r="509" spans="1:9" ht="14.25">
      <c r="A509" s="519"/>
      <c r="B509" s="520" t="s">
        <v>2624</v>
      </c>
      <c r="D509" s="1289" t="s">
        <v>1280</v>
      </c>
      <c r="E509" s="1289"/>
      <c r="F509" s="1289"/>
      <c r="I509" s="436" t="s">
        <v>2170</v>
      </c>
    </row>
    <row r="510" spans="1:9" ht="14.25">
      <c r="A510" s="519"/>
      <c r="D510" s="1289"/>
      <c r="E510" s="1289"/>
      <c r="F510" s="1289"/>
    </row>
    <row r="511" spans="1:9">
      <c r="A511" s="525"/>
      <c r="B511" s="525"/>
      <c r="D511" s="482"/>
    </row>
    <row r="512" spans="1:9">
      <c r="A512" s="525"/>
      <c r="B512" s="520" t="s">
        <v>2624</v>
      </c>
      <c r="D512" s="1290" t="s">
        <v>1281</v>
      </c>
      <c r="E512" s="1290"/>
      <c r="F512" s="1290"/>
      <c r="I512" s="436" t="s">
        <v>2223</v>
      </c>
    </row>
    <row r="513" spans="1:9" ht="14.25">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2749</v>
      </c>
      <c r="C520" s="518"/>
      <c r="D520" s="1271" t="s">
        <v>2455</v>
      </c>
      <c r="E520" s="1271"/>
      <c r="F520" s="1271"/>
      <c r="I520" s="436" t="s">
        <v>2205</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2749</v>
      </c>
      <c r="D523" s="418" t="s">
        <v>2285</v>
      </c>
      <c r="E523" s="417"/>
      <c r="F523" s="417"/>
      <c r="I523" s="436" t="s">
        <v>2171</v>
      </c>
    </row>
    <row r="524" spans="1:9">
      <c r="A524" s="518"/>
      <c r="B524" s="518"/>
      <c r="C524" s="518"/>
      <c r="D524" s="417"/>
      <c r="E524" s="96" t="s">
        <v>2286</v>
      </c>
    </row>
    <row r="525" spans="1:9">
      <c r="A525" s="518"/>
      <c r="B525" s="518"/>
      <c r="D525" s="1319" t="s">
        <v>2456</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5" customHeight="1">
      <c r="A529" s="518"/>
      <c r="B529" s="520" t="s">
        <v>2749</v>
      </c>
      <c r="C529" s="518"/>
      <c r="D529" s="1289" t="s">
        <v>2457</v>
      </c>
      <c r="E529" s="1289"/>
      <c r="F529" s="1289"/>
      <c r="I529" s="436" t="s">
        <v>2171</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7" customHeight="1">
      <c r="A541" s="519"/>
      <c r="B541" s="520" t="s">
        <v>2749</v>
      </c>
      <c r="C541" s="522"/>
      <c r="D541" s="1290" t="s">
        <v>913</v>
      </c>
      <c r="E541" s="1290"/>
      <c r="F541" s="1290"/>
      <c r="I541" s="436" t="s">
        <v>2221</v>
      </c>
    </row>
    <row r="542" spans="1:9" ht="13.7" customHeight="1">
      <c r="A542" s="522"/>
      <c r="B542" s="522"/>
      <c r="C542" s="522"/>
      <c r="D542" s="481"/>
    </row>
    <row r="543" spans="1:9" ht="14.25">
      <c r="A543" s="519"/>
      <c r="B543" s="520" t="s">
        <v>2749</v>
      </c>
      <c r="C543" s="522"/>
      <c r="D543" s="1289" t="s">
        <v>1176</v>
      </c>
      <c r="E543" s="1289"/>
      <c r="F543" s="1289"/>
      <c r="I543" s="436" t="s">
        <v>2221</v>
      </c>
    </row>
    <row r="544" spans="1:9">
      <c r="A544" s="522"/>
      <c r="B544" s="522"/>
      <c r="C544" s="522"/>
      <c r="D544" s="1289"/>
      <c r="E544" s="1289"/>
      <c r="F544" s="1289"/>
    </row>
    <row r="545" spans="1:9">
      <c r="A545" s="522"/>
      <c r="B545" s="522"/>
      <c r="C545" s="522"/>
      <c r="D545" s="481"/>
      <c r="E545" s="481"/>
      <c r="F545" s="481"/>
    </row>
    <row r="546" spans="1:9" ht="14.25">
      <c r="A546" s="519"/>
      <c r="B546" s="520" t="s">
        <v>2749</v>
      </c>
      <c r="C546" s="522"/>
      <c r="D546" s="1289" t="s">
        <v>1177</v>
      </c>
      <c r="E546" s="1289"/>
      <c r="F546" s="1289"/>
      <c r="I546" s="436" t="s">
        <v>2172</v>
      </c>
    </row>
    <row r="547" spans="1:9">
      <c r="A547" s="522"/>
      <c r="B547" s="522"/>
      <c r="C547" s="522"/>
      <c r="D547" s="1289"/>
      <c r="E547" s="1289"/>
      <c r="F547" s="1289"/>
    </row>
    <row r="548" spans="1:9">
      <c r="A548" s="522"/>
      <c r="B548" s="522"/>
      <c r="C548" s="522"/>
      <c r="D548" s="481"/>
      <c r="E548" s="481"/>
      <c r="F548" s="481"/>
    </row>
    <row r="549" spans="1:9" ht="14.25">
      <c r="A549" s="519"/>
      <c r="B549" s="520" t="s">
        <v>2749</v>
      </c>
      <c r="C549" s="522"/>
      <c r="D549" s="1289" t="s">
        <v>1178</v>
      </c>
      <c r="E549" s="1289"/>
      <c r="F549" s="1289"/>
      <c r="I549" s="436" t="s">
        <v>2173</v>
      </c>
    </row>
    <row r="550" spans="1:9">
      <c r="A550" s="522"/>
      <c r="B550" s="522"/>
      <c r="C550" s="522"/>
      <c r="D550" s="1289"/>
      <c r="E550" s="1289"/>
      <c r="F550" s="1289"/>
    </row>
    <row r="551" spans="1:9">
      <c r="A551" s="522"/>
      <c r="B551" s="522"/>
      <c r="C551" s="522"/>
      <c r="D551" s="481"/>
      <c r="E551" s="481"/>
      <c r="F551" s="481"/>
    </row>
    <row r="552" spans="1:9" ht="14.25">
      <c r="A552" s="519"/>
      <c r="B552" s="520" t="s">
        <v>2749</v>
      </c>
      <c r="C552" s="522"/>
      <c r="D552" s="1289" t="s">
        <v>1179</v>
      </c>
      <c r="E552" s="1289"/>
      <c r="F552" s="1289"/>
      <c r="I552" s="436" t="s">
        <v>2222</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ht="14.25">
      <c r="A556" s="519"/>
      <c r="B556" s="520" t="s">
        <v>2624</v>
      </c>
      <c r="C556" s="522"/>
      <c r="D556" s="1289" t="s">
        <v>1297</v>
      </c>
      <c r="E556" s="1289"/>
      <c r="F556" s="1289"/>
      <c r="I556" s="436" t="s">
        <v>2221</v>
      </c>
    </row>
    <row r="557" spans="1:9">
      <c r="A557" s="522"/>
      <c r="B557" s="522"/>
      <c r="C557" s="522"/>
      <c r="D557" s="1289"/>
      <c r="E557" s="1289"/>
      <c r="F557" s="1289"/>
    </row>
    <row r="558" spans="1:9">
      <c r="A558" s="522"/>
      <c r="B558" s="522"/>
      <c r="C558" s="522"/>
      <c r="D558" s="481"/>
      <c r="E558" s="481"/>
      <c r="F558" s="481"/>
    </row>
    <row r="559" spans="1:9" ht="14.25">
      <c r="A559" s="519"/>
      <c r="B559" s="520" t="s">
        <v>2624</v>
      </c>
      <c r="C559" s="522"/>
      <c r="D559" s="1289" t="s">
        <v>1181</v>
      </c>
      <c r="E559" s="1289"/>
      <c r="F559" s="1289"/>
      <c r="I559" s="436" t="s">
        <v>2221</v>
      </c>
    </row>
    <row r="560" spans="1:9">
      <c r="A560" s="522"/>
      <c r="B560" s="522"/>
      <c r="C560" s="522"/>
      <c r="D560" s="1289"/>
      <c r="E560" s="1289"/>
      <c r="F560" s="1289"/>
    </row>
    <row r="561" spans="1:9">
      <c r="A561" s="522"/>
      <c r="B561" s="522"/>
      <c r="C561" s="522"/>
      <c r="D561" s="481"/>
      <c r="E561" s="481"/>
      <c r="F561" s="481"/>
    </row>
    <row r="562" spans="1:9" ht="14.25">
      <c r="A562" s="519"/>
      <c r="B562" s="520" t="s">
        <v>2749</v>
      </c>
      <c r="C562" s="522"/>
      <c r="D562" s="1290" t="s">
        <v>1182</v>
      </c>
      <c r="E562" s="1290"/>
      <c r="F562" s="1290"/>
      <c r="I562" s="436" t="s">
        <v>2224</v>
      </c>
    </row>
    <row r="563" spans="1:9">
      <c r="A563" s="525"/>
      <c r="B563" s="525"/>
      <c r="C563" s="522"/>
      <c r="D563" s="1290" t="s">
        <v>2288</v>
      </c>
      <c r="E563" s="1290"/>
      <c r="F563" s="1290"/>
    </row>
    <row r="564" spans="1:9">
      <c r="A564" s="525"/>
      <c r="B564" s="525"/>
      <c r="C564" s="522"/>
      <c r="E564" s="96" t="s">
        <v>2287</v>
      </c>
      <c r="F564" s="436"/>
    </row>
    <row r="565" spans="1:9" ht="14.25">
      <c r="A565" s="519"/>
      <c r="B565" s="519"/>
      <c r="C565" s="522"/>
      <c r="E565" s="481"/>
      <c r="F565" s="481"/>
    </row>
    <row r="566" spans="1:9" ht="14.25">
      <c r="A566" s="519"/>
      <c r="B566" s="520" t="s">
        <v>2749</v>
      </c>
      <c r="C566" s="522"/>
      <c r="D566" s="1290" t="s">
        <v>1184</v>
      </c>
      <c r="E566" s="1290"/>
      <c r="F566" s="1290"/>
      <c r="I566" s="436" t="s">
        <v>2174</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ht="14.25">
      <c r="A571" s="519"/>
      <c r="B571" s="520" t="s">
        <v>2749</v>
      </c>
      <c r="C571" s="522"/>
      <c r="D571" s="1289" t="s">
        <v>2458</v>
      </c>
      <c r="E571" s="1289"/>
      <c r="F571" s="1289"/>
      <c r="I571" s="436" t="s">
        <v>2175</v>
      </c>
    </row>
    <row r="572" spans="1:9" ht="14.25">
      <c r="A572" s="519"/>
      <c r="B572" s="519"/>
      <c r="C572" s="522"/>
      <c r="D572" s="1289"/>
      <c r="E572" s="1289"/>
      <c r="F572" s="1289"/>
    </row>
    <row r="573" spans="1:9" ht="14.25">
      <c r="A573" s="519"/>
      <c r="B573" s="519"/>
      <c r="C573" s="522"/>
      <c r="D573" s="1289"/>
      <c r="E573" s="1289"/>
      <c r="F573" s="1289"/>
    </row>
    <row r="574" spans="1:9" ht="14.25">
      <c r="A574" s="519"/>
      <c r="B574" s="519"/>
      <c r="C574" s="522"/>
      <c r="D574" s="1289"/>
      <c r="E574" s="1289"/>
      <c r="F574" s="1289"/>
    </row>
    <row r="575" spans="1:9" ht="14.25">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1135</v>
      </c>
      <c r="E579" s="1276"/>
      <c r="F579" s="1276"/>
    </row>
    <row r="580" spans="1:9">
      <c r="A580" s="434"/>
      <c r="B580" s="434"/>
      <c r="C580" s="518"/>
      <c r="D580" s="534"/>
      <c r="I580" s="436" t="s">
        <v>2176</v>
      </c>
    </row>
    <row r="581" spans="1:9">
      <c r="A581" s="518"/>
      <c r="B581" s="520" t="s">
        <v>2749</v>
      </c>
      <c r="D581" s="1276" t="s">
        <v>919</v>
      </c>
      <c r="E581" s="1276"/>
      <c r="F581" s="1276"/>
    </row>
    <row r="582" spans="1:9">
      <c r="A582" s="525"/>
      <c r="B582" s="525"/>
      <c r="D582" s="511"/>
    </row>
    <row r="583" spans="1:9">
      <c r="A583" s="525"/>
      <c r="B583" s="520" t="s">
        <v>2749</v>
      </c>
      <c r="D583" s="1276" t="s">
        <v>2459</v>
      </c>
      <c r="E583" s="1276"/>
      <c r="F583" s="1276"/>
      <c r="I583" s="436" t="s">
        <v>2178</v>
      </c>
    </row>
    <row r="584" spans="1:9">
      <c r="A584" s="525"/>
      <c r="B584" s="525"/>
      <c r="D584" s="1276"/>
      <c r="E584" s="1276"/>
      <c r="F584" s="1276"/>
      <c r="I584" s="436" t="s">
        <v>2177</v>
      </c>
    </row>
    <row r="585" spans="1:9">
      <c r="A585" s="525"/>
      <c r="B585" s="525"/>
      <c r="D585" s="1276"/>
      <c r="E585" s="1276"/>
      <c r="F585" s="1276"/>
    </row>
    <row r="586" spans="1:9">
      <c r="A586" s="525"/>
      <c r="B586" s="525"/>
      <c r="D586" s="1276"/>
      <c r="E586" s="1276"/>
      <c r="F586" s="1276"/>
    </row>
    <row r="587" spans="1:9">
      <c r="A587" s="525"/>
      <c r="B587" s="520" t="s">
        <v>2624</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2749</v>
      </c>
      <c r="D592" s="1276" t="s">
        <v>2460</v>
      </c>
      <c r="E592" s="1276"/>
      <c r="F592" s="1276"/>
    </row>
    <row r="593" spans="1:9">
      <c r="A593" s="525"/>
      <c r="B593" s="525"/>
      <c r="D593" s="1276"/>
      <c r="E593" s="1276"/>
      <c r="F593" s="1276"/>
    </row>
    <row r="594" spans="1:9">
      <c r="A594" s="525"/>
      <c r="B594" s="525"/>
      <c r="D594" s="534"/>
    </row>
    <row r="595" spans="1:9">
      <c r="A595" s="525"/>
      <c r="B595" s="520" t="s">
        <v>2624</v>
      </c>
      <c r="D595" s="1276" t="s">
        <v>1139</v>
      </c>
      <c r="E595" s="1276"/>
      <c r="F595" s="1276"/>
      <c r="I595" s="436" t="s">
        <v>2225</v>
      </c>
    </row>
    <row r="596" spans="1:9">
      <c r="A596" s="525"/>
      <c r="B596" s="525"/>
      <c r="D596" s="1276"/>
      <c r="E596" s="1276"/>
      <c r="F596" s="1276"/>
    </row>
    <row r="597" spans="1:9" ht="14.25">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2749</v>
      </c>
      <c r="D603" s="1331" t="s">
        <v>2289</v>
      </c>
      <c r="E603" s="1331"/>
      <c r="F603" s="1331"/>
      <c r="I603" s="436" t="s">
        <v>2206</v>
      </c>
    </row>
    <row r="604" spans="1:9">
      <c r="D604" s="1331"/>
      <c r="E604" s="1331"/>
      <c r="F604" s="1331"/>
    </row>
    <row r="605" spans="1:9">
      <c r="D605" s="417"/>
      <c r="E605" s="1080" t="s">
        <v>2290</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2749</v>
      </c>
      <c r="D613" s="1287" t="s">
        <v>1225</v>
      </c>
      <c r="E613" s="1287"/>
      <c r="F613" s="1287"/>
      <c r="I613" s="436" t="s">
        <v>2226</v>
      </c>
    </row>
    <row r="614" spans="1:9">
      <c r="D614" s="1287"/>
      <c r="E614" s="1287"/>
      <c r="F614" s="1287"/>
    </row>
    <row r="615" spans="1:9"/>
    <row r="616" spans="1:9">
      <c r="B616" s="520" t="s">
        <v>2749</v>
      </c>
      <c r="D616" s="1287" t="s">
        <v>1226</v>
      </c>
      <c r="E616" s="1287"/>
      <c r="F616" s="1287"/>
      <c r="I616" s="436" t="s">
        <v>2179</v>
      </c>
    </row>
    <row r="617" spans="1:9">
      <c r="C617" s="535"/>
      <c r="D617" s="1287"/>
      <c r="E617" s="1287"/>
      <c r="F617" s="1287"/>
    </row>
    <row r="618" spans="1:9">
      <c r="C618" s="535"/>
    </row>
    <row r="619" spans="1:9">
      <c r="B619" s="520" t="s">
        <v>2624</v>
      </c>
      <c r="C619" s="535"/>
      <c r="D619" s="1287" t="s">
        <v>1227</v>
      </c>
      <c r="E619" s="1287"/>
      <c r="F619" s="1287"/>
      <c r="I619" s="436" t="s">
        <v>2227</v>
      </c>
    </row>
    <row r="620" spans="1:9">
      <c r="C620" s="535"/>
      <c r="D620" s="1287"/>
      <c r="E620" s="1287"/>
      <c r="F620" s="1287"/>
      <c r="I620" s="1068" t="s">
        <v>2228</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2749</v>
      </c>
      <c r="D626" s="1331" t="s">
        <v>2461</v>
      </c>
      <c r="E626" s="1331"/>
      <c r="F626" s="1331"/>
      <c r="I626" s="436" t="s">
        <v>2207</v>
      </c>
    </row>
    <row r="627" spans="1:9">
      <c r="D627" s="1331"/>
      <c r="E627" s="1331"/>
      <c r="F627" s="1331"/>
    </row>
    <row r="628" spans="1:9">
      <c r="D628" s="417"/>
      <c r="E628" s="1080" t="s">
        <v>2292</v>
      </c>
      <c r="F628" s="417"/>
    </row>
    <row r="629" spans="1:9">
      <c r="D629" s="1289" t="s">
        <v>2291</v>
      </c>
      <c r="E629" s="1289"/>
      <c r="F629" s="1289"/>
    </row>
    <row r="630" spans="1:9">
      <c r="D630" s="1289"/>
      <c r="E630" s="1289"/>
      <c r="F630" s="1289"/>
    </row>
    <row r="631" spans="1:9">
      <c r="D631" s="1289"/>
      <c r="E631" s="1289"/>
      <c r="F631" s="1289"/>
    </row>
    <row r="632" spans="1:9">
      <c r="D632" s="480"/>
      <c r="E632" s="480"/>
      <c r="F632" s="480"/>
    </row>
    <row r="633" spans="1:9" ht="14.25">
      <c r="A633" s="519"/>
      <c r="B633" s="520" t="s">
        <v>2624</v>
      </c>
      <c r="D633" s="1289" t="s">
        <v>1230</v>
      </c>
      <c r="E633" s="1289"/>
      <c r="F633" s="1289"/>
      <c r="I633" s="436" t="s">
        <v>2229</v>
      </c>
    </row>
    <row r="634" spans="1:9">
      <c r="A634" s="522"/>
      <c r="B634" s="522"/>
      <c r="C634" s="522"/>
      <c r="D634" s="1289"/>
      <c r="E634" s="1289"/>
      <c r="F634" s="1289"/>
    </row>
    <row r="635" spans="1:9">
      <c r="A635" s="522"/>
      <c r="B635" s="522"/>
      <c r="C635" s="522"/>
      <c r="D635" s="481"/>
      <c r="E635" s="481"/>
      <c r="F635" s="481"/>
    </row>
    <row r="636" spans="1:9" ht="14.25">
      <c r="A636" s="519"/>
      <c r="B636" s="520" t="s">
        <v>2624</v>
      </c>
      <c r="C636" s="522"/>
      <c r="D636" s="1289" t="s">
        <v>1372</v>
      </c>
      <c r="E636" s="1289"/>
      <c r="F636" s="1289"/>
      <c r="I636" s="436" t="s">
        <v>2180</v>
      </c>
    </row>
    <row r="637" spans="1:9" ht="14.25">
      <c r="A637" s="519"/>
      <c r="B637" s="519"/>
      <c r="C637" s="522"/>
      <c r="D637" s="1289"/>
      <c r="E637" s="1289"/>
      <c r="F637" s="1289"/>
    </row>
    <row r="638" spans="1:9" ht="14.25">
      <c r="A638" s="519"/>
      <c r="B638" s="519"/>
      <c r="C638" s="522"/>
      <c r="D638" s="1289"/>
      <c r="E638" s="1289"/>
      <c r="F638" s="1289"/>
    </row>
    <row r="639" spans="1:9">
      <c r="A639" s="522"/>
      <c r="B639" s="520" t="s">
        <v>2624</v>
      </c>
      <c r="C639" s="522"/>
      <c r="D639" s="1290" t="s">
        <v>1232</v>
      </c>
      <c r="E639" s="1290"/>
      <c r="F639" s="1290"/>
      <c r="I639" s="436" t="s">
        <v>2180</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2749</v>
      </c>
      <c r="C646" s="522"/>
      <c r="D646" s="1289" t="s">
        <v>1445</v>
      </c>
      <c r="E646" s="1289"/>
      <c r="F646" s="1289"/>
      <c r="I646" s="436" t="s">
        <v>2232</v>
      </c>
    </row>
    <row r="647" spans="1:9">
      <c r="D647" s="1289"/>
      <c r="E647" s="1289"/>
      <c r="F647" s="1289"/>
    </row>
    <row r="648" spans="1:9">
      <c r="D648" s="1289"/>
      <c r="E648" s="1289"/>
      <c r="F648" s="1289"/>
    </row>
    <row r="649" spans="1:9">
      <c r="D649" s="1289"/>
      <c r="E649" s="1289"/>
      <c r="F649" s="1289"/>
    </row>
    <row r="650" spans="1:9" ht="14.45" customHeight="1">
      <c r="A650" s="519"/>
      <c r="B650" s="519"/>
      <c r="C650" s="522"/>
      <c r="D650" s="417"/>
      <c r="E650" s="417"/>
      <c r="F650" s="417"/>
    </row>
    <row r="651" spans="1:9" ht="12.75" customHeight="1">
      <c r="A651" s="518"/>
      <c r="B651" s="520" t="s">
        <v>2749</v>
      </c>
      <c r="C651" s="522"/>
      <c r="D651" s="1289" t="s">
        <v>1447</v>
      </c>
      <c r="E651" s="1289"/>
      <c r="F651" s="1289"/>
      <c r="I651" s="436" t="s">
        <v>2232</v>
      </c>
    </row>
    <row r="652" spans="1:9" ht="14.25">
      <c r="A652" s="518"/>
      <c r="B652" s="519"/>
      <c r="C652" s="522"/>
      <c r="D652" s="1289"/>
      <c r="E652" s="1289"/>
      <c r="F652" s="1289"/>
    </row>
    <row r="653" spans="1:9" ht="14.25">
      <c r="A653" s="518"/>
      <c r="B653" s="519"/>
      <c r="C653" s="522"/>
      <c r="D653" s="1289"/>
      <c r="E653" s="1289"/>
      <c r="F653" s="1289"/>
    </row>
    <row r="654" spans="1:9" ht="14.25">
      <c r="A654" s="518"/>
      <c r="B654" s="519"/>
      <c r="C654" s="522"/>
      <c r="D654" s="1289"/>
      <c r="E654" s="1289"/>
      <c r="F654" s="1289"/>
    </row>
    <row r="655" spans="1:9" ht="14.25">
      <c r="A655" s="518"/>
      <c r="B655" s="519"/>
      <c r="C655" s="522"/>
      <c r="D655" s="1289"/>
      <c r="E655" s="1289"/>
      <c r="F655" s="1289"/>
    </row>
    <row r="656" spans="1:9" ht="14.25" customHeight="1">
      <c r="A656" s="518"/>
      <c r="B656" s="519"/>
      <c r="C656" s="522"/>
      <c r="F656" s="418"/>
    </row>
    <row r="657" spans="1:11" ht="12.75" customHeight="1">
      <c r="A657" s="518"/>
      <c r="B657" s="520" t="s">
        <v>2749</v>
      </c>
      <c r="C657" s="522"/>
      <c r="D657" s="1289" t="s">
        <v>1446</v>
      </c>
      <c r="E657" s="1289"/>
      <c r="F657" s="1289"/>
      <c r="I657" s="436" t="s">
        <v>2232</v>
      </c>
    </row>
    <row r="658" spans="1:11" ht="14.25">
      <c r="A658" s="518"/>
      <c r="B658" s="519"/>
      <c r="C658" s="522"/>
      <c r="D658" s="1289"/>
      <c r="E658" s="1289"/>
      <c r="F658" s="1289"/>
    </row>
    <row r="659" spans="1:11" ht="14.25">
      <c r="A659" s="519"/>
      <c r="B659" s="519"/>
      <c r="C659" s="522"/>
      <c r="D659" s="1289"/>
      <c r="E659" s="1289"/>
      <c r="F659" s="1289"/>
    </row>
    <row r="660" spans="1:11" ht="14.25">
      <c r="A660" s="519"/>
      <c r="B660" s="519"/>
      <c r="C660" s="522"/>
      <c r="D660" s="1289"/>
      <c r="E660" s="1289"/>
      <c r="F660" s="1289"/>
    </row>
    <row r="661" spans="1:11" ht="14.25">
      <c r="A661" s="519"/>
      <c r="B661" s="519"/>
      <c r="C661" s="522"/>
      <c r="D661" s="480"/>
      <c r="E661" s="480"/>
      <c r="F661" s="480"/>
    </row>
    <row r="662" spans="1:11" ht="12.75" customHeight="1">
      <c r="A662" s="518"/>
      <c r="B662" s="520" t="s">
        <v>2624</v>
      </c>
      <c r="C662" s="522"/>
      <c r="D662" s="1289" t="s">
        <v>2462</v>
      </c>
      <c r="E662" s="1289"/>
      <c r="F662" s="1289"/>
      <c r="I662" s="436" t="s">
        <v>2232</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ht="14.25">
      <c r="A678" s="519"/>
      <c r="B678" s="520" t="s">
        <v>2749</v>
      </c>
      <c r="C678" s="518"/>
      <c r="D678" s="1290" t="s">
        <v>915</v>
      </c>
      <c r="E678" s="1290"/>
      <c r="F678" s="1290"/>
      <c r="H678" s="536"/>
      <c r="I678" s="1065" t="s">
        <v>2208</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ht="14.25">
      <c r="A683" s="519"/>
      <c r="B683" s="520" t="s">
        <v>2749</v>
      </c>
      <c r="C683" s="518"/>
      <c r="D683" s="1289" t="s">
        <v>2463</v>
      </c>
      <c r="E683" s="1289"/>
      <c r="F683" s="1289"/>
      <c r="H683" s="536"/>
      <c r="I683" s="1065" t="s">
        <v>2230</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2209</v>
      </c>
      <c r="J686" s="536"/>
      <c r="K686" s="536"/>
    </row>
    <row r="687" spans="1:11" ht="14.25">
      <c r="A687" s="519"/>
      <c r="B687" s="520" t="s">
        <v>2749</v>
      </c>
      <c r="C687" s="518"/>
      <c r="D687" s="1290" t="s">
        <v>954</v>
      </c>
      <c r="E687" s="1290"/>
      <c r="F687" s="1290"/>
      <c r="H687" s="536"/>
      <c r="I687" s="1065"/>
      <c r="J687" s="536"/>
      <c r="K687" s="536"/>
    </row>
    <row r="688" spans="1:11" ht="14.25">
      <c r="A688" s="519"/>
      <c r="B688" s="519"/>
      <c r="C688" s="518"/>
      <c r="D688" s="1290" t="s">
        <v>926</v>
      </c>
      <c r="E688" s="1290"/>
      <c r="F688" s="1290"/>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ht="14.25">
      <c r="A691" s="519"/>
      <c r="B691" s="520" t="s">
        <v>2749</v>
      </c>
      <c r="C691" s="518"/>
      <c r="D691" s="1289" t="s">
        <v>1173</v>
      </c>
      <c r="E691" s="1289"/>
      <c r="F691" s="1289"/>
      <c r="H691" s="536"/>
      <c r="I691" s="1065" t="s">
        <v>2181</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2749</v>
      </c>
      <c r="C698" s="518"/>
      <c r="D698" s="1289" t="s">
        <v>1344</v>
      </c>
      <c r="E698" s="1289"/>
      <c r="F698" s="1289"/>
      <c r="H698" s="536"/>
      <c r="I698" s="1065" t="s">
        <v>2181</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ht="14.25">
      <c r="A701" s="519"/>
      <c r="B701" s="520" t="s">
        <v>2624</v>
      </c>
      <c r="C701" s="518"/>
      <c r="D701" s="1289" t="s">
        <v>1164</v>
      </c>
      <c r="E701" s="1289"/>
      <c r="F701" s="1289"/>
      <c r="H701" s="536"/>
      <c r="I701" s="1065" t="s">
        <v>2181</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2624</v>
      </c>
      <c r="C714" s="518"/>
      <c r="D714" s="1289" t="s">
        <v>1171</v>
      </c>
      <c r="E714" s="1289"/>
      <c r="F714" s="1289"/>
      <c r="H714" s="536"/>
      <c r="I714" s="1065" t="s">
        <v>2231</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2624</v>
      </c>
      <c r="C717" s="518"/>
      <c r="D717" s="1289" t="s">
        <v>1165</v>
      </c>
      <c r="E717" s="1289"/>
      <c r="F717" s="1289"/>
      <c r="H717" s="536"/>
      <c r="I717" s="1065" t="s">
        <v>2231</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2624</v>
      </c>
      <c r="C721" s="518"/>
      <c r="D721" s="1289" t="s">
        <v>1166</v>
      </c>
      <c r="E721" s="1289"/>
      <c r="F721" s="1289"/>
      <c r="H721" s="536"/>
      <c r="I721" s="1065" t="s">
        <v>2231</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ht="14.25">
      <c r="A725" s="519"/>
      <c r="B725" s="520" t="s">
        <v>2624</v>
      </c>
      <c r="C725" s="518"/>
      <c r="D725" s="1289" t="s">
        <v>1167</v>
      </c>
      <c r="E725" s="1289"/>
      <c r="F725" s="1289"/>
      <c r="H725" s="536"/>
      <c r="I725" s="1065" t="s">
        <v>2182</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ht="14.25">
      <c r="A730" s="519"/>
      <c r="B730" s="520" t="s">
        <v>2749</v>
      </c>
      <c r="C730" s="518"/>
      <c r="D730" s="1289" t="s">
        <v>2618</v>
      </c>
      <c r="E730" s="1289"/>
      <c r="F730" s="1289"/>
      <c r="H730" s="536"/>
      <c r="I730" s="1065" t="s">
        <v>2198</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2472</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ht="14.25">
      <c r="A744" s="519"/>
      <c r="B744" s="520" t="s">
        <v>2749</v>
      </c>
      <c r="D744" s="1289" t="s">
        <v>1143</v>
      </c>
      <c r="E744" s="1289"/>
      <c r="F744" s="1289"/>
      <c r="G744" s="536"/>
      <c r="H744" s="536"/>
      <c r="I744" s="1065" t="s">
        <v>2183</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6"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ht="14.25">
      <c r="A751" s="538"/>
      <c r="B751" s="520" t="s">
        <v>2749</v>
      </c>
      <c r="C751" s="539"/>
      <c r="D751" s="1289" t="s">
        <v>1389</v>
      </c>
      <c r="E751" s="1289"/>
      <c r="F751" s="1289"/>
      <c r="I751" s="1066" t="s">
        <v>2183</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ht="14.25">
      <c r="A756" s="519"/>
      <c r="B756" s="520" t="s">
        <v>2624</v>
      </c>
      <c r="C756" s="539"/>
      <c r="D756" s="1287" t="s">
        <v>1390</v>
      </c>
      <c r="E756" s="1287"/>
      <c r="F756" s="1287"/>
      <c r="I756" s="1066" t="s">
        <v>2184</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ht="14.25">
      <c r="A760" s="519"/>
      <c r="B760" s="520" t="s">
        <v>2749</v>
      </c>
      <c r="D760" s="1289" t="s">
        <v>1341</v>
      </c>
      <c r="E760" s="1289"/>
      <c r="F760" s="1289"/>
      <c r="G760" s="536"/>
      <c r="H760" s="536"/>
      <c r="I760" s="1065" t="s">
        <v>2183</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2624</v>
      </c>
      <c r="D763" s="1289" t="s">
        <v>1358</v>
      </c>
      <c r="E763" s="1289"/>
      <c r="F763" s="1289"/>
      <c r="G763" s="536"/>
      <c r="H763" s="536"/>
      <c r="I763" s="1065" t="s">
        <v>2183</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2063</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2117</v>
      </c>
      <c r="E769" s="1342"/>
      <c r="F769" s="1342"/>
      <c r="G769" s="3"/>
    </row>
    <row r="770" spans="1:9">
      <c r="A770" s="57"/>
      <c r="B770" s="57"/>
      <c r="C770" s="386"/>
      <c r="D770" s="1275" t="s">
        <v>2016</v>
      </c>
      <c r="E770" s="1275"/>
      <c r="F770" s="1275"/>
      <c r="G770" s="3"/>
    </row>
    <row r="771" spans="1:9">
      <c r="A771" s="57"/>
      <c r="B771" s="57"/>
      <c r="C771" s="386"/>
      <c r="D771" s="482"/>
      <c r="E771" s="482"/>
      <c r="F771" s="482"/>
      <c r="G771" s="3"/>
    </row>
    <row r="772" spans="1:9">
      <c r="A772" s="57"/>
      <c r="B772" s="520" t="s">
        <v>2749</v>
      </c>
      <c r="C772" s="386"/>
      <c r="D772" s="1302" t="s">
        <v>2017</v>
      </c>
      <c r="E772" s="1302"/>
      <c r="F772" s="1302"/>
      <c r="G772" s="3"/>
      <c r="I772" s="1065" t="s">
        <v>2233</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2749</v>
      </c>
      <c r="C776" s="172"/>
      <c r="D776" s="1302" t="s">
        <v>2018</v>
      </c>
      <c r="E776" s="1302"/>
      <c r="F776" s="1302"/>
      <c r="G776" s="3"/>
      <c r="I776" s="1065"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ht="14.25">
      <c r="A780" s="176"/>
      <c r="B780" s="520" t="s">
        <v>2624</v>
      </c>
      <c r="C780" s="1026"/>
      <c r="D780" s="1302" t="s">
        <v>2019</v>
      </c>
      <c r="E780" s="1302"/>
      <c r="F780" s="1302"/>
      <c r="G780" s="1025"/>
      <c r="I780" s="1065" t="s">
        <v>2233</v>
      </c>
    </row>
    <row r="781" spans="1:9" ht="14.25">
      <c r="A781" s="176"/>
      <c r="B781" s="176"/>
      <c r="C781" s="1026"/>
      <c r="D781" s="1302"/>
      <c r="E781" s="1302"/>
      <c r="F781" s="1302"/>
      <c r="G781" s="1025"/>
    </row>
    <row r="782" spans="1:9" ht="14.25">
      <c r="A782" s="176"/>
      <c r="B782" s="176"/>
      <c r="C782" s="1026"/>
      <c r="D782" s="1302"/>
      <c r="E782" s="1302"/>
      <c r="F782" s="1302"/>
      <c r="G782" s="1025"/>
    </row>
    <row r="783" spans="1:9" ht="14.25">
      <c r="A783" s="176"/>
      <c r="B783" s="176"/>
      <c r="C783" s="1026"/>
      <c r="D783" s="118"/>
      <c r="E783" s="3"/>
      <c r="F783" s="3"/>
      <c r="G783" s="1025"/>
    </row>
    <row r="784" spans="1:9" ht="14.25">
      <c r="A784" s="176"/>
      <c r="B784" s="520" t="s">
        <v>2624</v>
      </c>
      <c r="C784" s="1026"/>
      <c r="D784" s="1302" t="s">
        <v>2020</v>
      </c>
      <c r="E784" s="1302"/>
      <c r="F784" s="1302"/>
      <c r="G784" s="1025"/>
      <c r="I784" s="1065" t="s">
        <v>2233</v>
      </c>
    </row>
    <row r="785" spans="1:9" ht="14.25">
      <c r="A785" s="176"/>
      <c r="B785" s="176"/>
      <c r="C785" s="1026"/>
      <c r="D785" s="1302"/>
      <c r="E785" s="1302"/>
      <c r="F785" s="1302"/>
      <c r="G785" s="1025"/>
    </row>
    <row r="786" spans="1:9" ht="14.25">
      <c r="A786" s="176"/>
      <c r="B786" s="176"/>
      <c r="C786" s="1026"/>
      <c r="D786" s="1302"/>
      <c r="E786" s="1302"/>
      <c r="F786" s="1302"/>
      <c r="G786" s="1025"/>
    </row>
    <row r="787" spans="1:9" ht="14.25">
      <c r="A787" s="176"/>
      <c r="B787" s="176"/>
      <c r="C787" s="1026"/>
      <c r="D787" s="1302"/>
      <c r="E787" s="1302"/>
      <c r="F787" s="1302"/>
      <c r="G787" s="1025"/>
    </row>
    <row r="788" spans="1:9" ht="14.25">
      <c r="A788" s="176"/>
      <c r="B788" s="176"/>
      <c r="C788" s="1026"/>
      <c r="D788" s="1302"/>
      <c r="E788" s="1302"/>
      <c r="F788" s="1302"/>
      <c r="G788" s="1025"/>
    </row>
    <row r="789" spans="1:9" ht="14.25">
      <c r="A789" s="176"/>
      <c r="B789" s="176"/>
      <c r="C789" s="1026"/>
      <c r="D789" s="1302"/>
      <c r="E789" s="1302"/>
      <c r="F789" s="1302"/>
      <c r="G789" s="1025"/>
    </row>
    <row r="790" spans="1:9" ht="14.25">
      <c r="A790" s="176"/>
      <c r="B790" s="176"/>
      <c r="C790" s="1026"/>
      <c r="D790" s="1302" t="s">
        <v>2064</v>
      </c>
      <c r="E790" s="1302"/>
      <c r="F790" s="1302"/>
      <c r="G790" s="1025"/>
    </row>
    <row r="791" spans="1:9" ht="14.25">
      <c r="A791" s="176"/>
      <c r="B791" s="176"/>
      <c r="C791" s="1026"/>
      <c r="D791" s="1302"/>
      <c r="E791" s="1302"/>
      <c r="F791" s="1302"/>
      <c r="G791" s="1025"/>
    </row>
    <row r="792" spans="1:9" ht="14.25">
      <c r="A792" s="176"/>
      <c r="B792" s="176"/>
      <c r="C792" s="1026"/>
      <c r="D792" s="1302"/>
      <c r="E792" s="1302"/>
      <c r="F792" s="1302"/>
      <c r="G792" s="1025"/>
    </row>
    <row r="793" spans="1:9" ht="14.25">
      <c r="A793" s="176"/>
      <c r="B793" s="386"/>
      <c r="C793" s="1026"/>
      <c r="D793" s="1027"/>
      <c r="E793" s="1027"/>
      <c r="F793" s="1027"/>
      <c r="G793" s="1025"/>
    </row>
    <row r="794" spans="1:9" ht="14.25">
      <c r="A794" s="176"/>
      <c r="B794" s="520" t="s">
        <v>2624</v>
      </c>
      <c r="C794" s="1026"/>
      <c r="D794" s="1302" t="s">
        <v>2021</v>
      </c>
      <c r="E794" s="1302"/>
      <c r="F794" s="1302"/>
      <c r="G794" s="1025"/>
      <c r="I794" s="1065" t="s">
        <v>2233</v>
      </c>
    </row>
    <row r="795" spans="1:9" ht="14.25">
      <c r="A795" s="176"/>
      <c r="B795" s="176"/>
      <c r="C795" s="1026"/>
      <c r="D795" s="1302"/>
      <c r="E795" s="1302"/>
      <c r="F795" s="1302"/>
      <c r="G795" s="1025"/>
    </row>
    <row r="796" spans="1:9" ht="14.25">
      <c r="A796" s="176"/>
      <c r="B796" s="176"/>
      <c r="C796" s="1026"/>
      <c r="D796" s="1302"/>
      <c r="E796" s="1302"/>
      <c r="F796" s="1302"/>
      <c r="G796" s="1025"/>
    </row>
    <row r="797" spans="1:9" ht="14.25">
      <c r="A797" s="176"/>
      <c r="B797" s="176"/>
      <c r="C797" s="1026"/>
      <c r="D797" s="1302"/>
      <c r="E797" s="1302"/>
      <c r="F797" s="1302"/>
      <c r="G797" s="1025"/>
    </row>
    <row r="798" spans="1:9" ht="14.25">
      <c r="A798" s="176"/>
      <c r="B798" s="176"/>
      <c r="C798" s="1026"/>
      <c r="D798" s="1302"/>
      <c r="E798" s="1302"/>
      <c r="F798" s="1302"/>
      <c r="G798" s="1025"/>
    </row>
    <row r="799" spans="1:9" ht="14.25">
      <c r="A799" s="176"/>
      <c r="B799" s="176"/>
      <c r="C799" s="1026"/>
      <c r="D799" s="1302"/>
      <c r="E799" s="1302"/>
      <c r="F799" s="1302"/>
      <c r="G799" s="1025"/>
    </row>
    <row r="800" spans="1:9" ht="14.25">
      <c r="A800" s="176"/>
      <c r="B800" s="176"/>
      <c r="C800" s="1026"/>
      <c r="D800" s="1019"/>
      <c r="E800" s="1019"/>
      <c r="F800" s="1019"/>
      <c r="G800" s="1025"/>
    </row>
    <row r="801" spans="1:9" ht="14.25">
      <c r="A801" s="176"/>
      <c r="B801" s="520" t="s">
        <v>2749</v>
      </c>
      <c r="C801" s="1026"/>
      <c r="D801" s="1302" t="s">
        <v>2022</v>
      </c>
      <c r="E801" s="1302"/>
      <c r="F801" s="1302"/>
      <c r="G801" s="1025"/>
      <c r="I801" s="1065" t="s">
        <v>2233</v>
      </c>
    </row>
    <row r="802" spans="1:9" ht="14.25">
      <c r="A802" s="176"/>
      <c r="B802" s="176"/>
      <c r="C802" s="1026"/>
      <c r="D802" s="1302"/>
      <c r="E802" s="1302"/>
      <c r="F802" s="1302"/>
      <c r="G802" s="1025"/>
    </row>
    <row r="803" spans="1:9" ht="14.25">
      <c r="A803" s="176"/>
      <c r="B803" s="176"/>
      <c r="C803" s="1026"/>
      <c r="D803" s="1302"/>
      <c r="E803" s="1302"/>
      <c r="F803" s="1302"/>
      <c r="G803" s="1025"/>
    </row>
    <row r="804" spans="1:9" ht="14.25">
      <c r="A804" s="176"/>
      <c r="B804" s="176"/>
      <c r="C804" s="1026"/>
      <c r="D804" s="1302"/>
      <c r="E804" s="1302"/>
      <c r="F804" s="1302"/>
      <c r="G804" s="1025"/>
    </row>
    <row r="805" spans="1:9" ht="14.25">
      <c r="A805" s="176"/>
      <c r="B805" s="176"/>
      <c r="C805" s="1026"/>
      <c r="D805" s="1302"/>
      <c r="E805" s="1302"/>
      <c r="F805" s="1302"/>
      <c r="G805" s="1025"/>
    </row>
    <row r="806" spans="1:9" ht="14.25">
      <c r="A806" s="176"/>
      <c r="B806" s="176"/>
      <c r="C806" s="1026"/>
      <c r="D806" s="1302"/>
      <c r="E806" s="1302"/>
      <c r="F806" s="1302"/>
      <c r="G806" s="1025"/>
    </row>
    <row r="807" spans="1:9" ht="14.25">
      <c r="A807" s="176"/>
      <c r="B807" s="176"/>
      <c r="C807" s="1026"/>
      <c r="D807" s="1019"/>
      <c r="E807" s="1019"/>
      <c r="F807" s="1019"/>
      <c r="G807" s="1025"/>
    </row>
    <row r="808" spans="1:9" ht="14.25">
      <c r="A808" s="176"/>
      <c r="B808" s="520" t="s">
        <v>2624</v>
      </c>
      <c r="C808" s="1026"/>
      <c r="D808" s="1299" t="s">
        <v>2023</v>
      </c>
      <c r="E808" s="1299"/>
      <c r="F808" s="1299"/>
      <c r="G808" s="1025"/>
      <c r="I808" s="1065" t="s">
        <v>2233</v>
      </c>
    </row>
    <row r="809" spans="1:9" ht="14.25">
      <c r="A809" s="176"/>
      <c r="B809" s="176"/>
      <c r="C809" s="1026"/>
      <c r="D809" s="1299"/>
      <c r="E809" s="1299"/>
      <c r="F809" s="1299"/>
      <c r="G809" s="1025"/>
    </row>
    <row r="810" spans="1:9">
      <c r="A810" s="13"/>
      <c r="B810" s="13"/>
      <c r="C810" s="1026"/>
      <c r="D810" s="1299"/>
      <c r="E810" s="1299"/>
      <c r="F810" s="1299"/>
      <c r="G810" s="1025"/>
    </row>
    <row r="811" spans="1:9" ht="14.25">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2024</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2065</v>
      </c>
      <c r="E817" s="1295"/>
      <c r="F817" s="1295"/>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2749</v>
      </c>
      <c r="C820" s="1026"/>
      <c r="D820" s="1262" t="s">
        <v>2026</v>
      </c>
      <c r="E820" s="1262"/>
      <c r="F820" s="1262"/>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309</v>
      </c>
      <c r="C823" s="1026"/>
      <c r="D823" s="1330" t="s">
        <v>2473</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2749</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2624</v>
      </c>
      <c r="C838" s="1026"/>
      <c r="D838" s="1295" t="s">
        <v>2028</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2464</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2624</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2624</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2066</v>
      </c>
      <c r="E858" s="1278"/>
      <c r="F858" s="1278"/>
      <c r="G858" s="1025"/>
    </row>
    <row r="859" spans="1:9" ht="12.75" customHeight="1">
      <c r="A859" s="386"/>
      <c r="B859" s="386"/>
      <c r="C859" s="175"/>
      <c r="D859" s="1329" t="s">
        <v>2033</v>
      </c>
      <c r="E859" s="1329"/>
      <c r="F859" s="1329"/>
      <c r="G859" s="1025"/>
    </row>
    <row r="860" spans="1:9" ht="12.75" customHeight="1">
      <c r="A860" s="386"/>
      <c r="B860" s="386"/>
      <c r="C860" s="175"/>
      <c r="D860" s="1032"/>
      <c r="E860" s="1032"/>
      <c r="F860" s="1032"/>
      <c r="G860" s="1025"/>
    </row>
    <row r="861" spans="1:9" ht="12.75" customHeight="1">
      <c r="A861" s="176"/>
      <c r="B861" s="520" t="s">
        <v>2749</v>
      </c>
      <c r="C861" s="386"/>
      <c r="D861" s="1273" t="s">
        <v>2034</v>
      </c>
      <c r="E861" s="1273"/>
      <c r="F861" s="1273"/>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2749</v>
      </c>
      <c r="C864" s="386"/>
      <c r="D864" s="1262" t="s">
        <v>2035</v>
      </c>
      <c r="E864" s="1280"/>
      <c r="F864" s="1280"/>
      <c r="G864" s="3"/>
      <c r="I864" s="436" t="s">
        <v>2220</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2749</v>
      </c>
      <c r="C867" s="386"/>
      <c r="D867" s="1327" t="s">
        <v>2036</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2464</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2624</v>
      </c>
      <c r="C876" s="386"/>
      <c r="D876" s="1305" t="s">
        <v>2029</v>
      </c>
      <c r="E876" s="1305"/>
      <c r="F876" s="1305"/>
      <c r="G876" s="1025"/>
      <c r="I876" s="436" t="s">
        <v>2202</v>
      </c>
    </row>
    <row r="877" spans="1:9" ht="12.75" customHeight="1">
      <c r="A877" s="176"/>
      <c r="B877" s="176"/>
      <c r="C877" s="386"/>
      <c r="D877" s="1305" t="s">
        <v>2030</v>
      </c>
      <c r="E877" s="1305"/>
      <c r="F877" s="130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2624</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2067</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8"/>
      <c r="E888" s="1018"/>
      <c r="F888" s="1018"/>
      <c r="G888" s="57"/>
    </row>
    <row r="889" spans="1:9" ht="12.75" customHeight="1">
      <c r="A889" s="57"/>
      <c r="B889" s="520" t="s">
        <v>2749</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1" t="s">
        <v>2068</v>
      </c>
      <c r="E891" s="1301"/>
      <c r="F891" s="1301"/>
      <c r="G891" s="1025"/>
    </row>
    <row r="892" spans="1:9" ht="12.75" customHeight="1">
      <c r="A892" s="172"/>
      <c r="B892" s="172"/>
      <c r="C892" s="172"/>
      <c r="D892" s="1273" t="s">
        <v>2037</v>
      </c>
      <c r="E892" s="1273"/>
      <c r="F892" s="1273"/>
      <c r="G892" s="1025"/>
    </row>
    <row r="893" spans="1:9" ht="12.75" customHeight="1">
      <c r="A893" s="1026"/>
      <c r="B893" s="1026"/>
      <c r="C893" s="1026"/>
      <c r="D893" s="2"/>
      <c r="E893" s="1025"/>
      <c r="F893" s="1025"/>
      <c r="G893" s="1025"/>
    </row>
    <row r="894" spans="1:9" ht="12.75" customHeight="1">
      <c r="A894" s="176"/>
      <c r="B894" s="520" t="s">
        <v>2749</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2749</v>
      </c>
      <c r="C899" s="175"/>
      <c r="D899" s="1272" t="s">
        <v>2038</v>
      </c>
      <c r="E899" s="1272"/>
      <c r="F899" s="1272"/>
      <c r="G899" s="1025"/>
      <c r="I899" s="436" t="s">
        <v>2185</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2624</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2624</v>
      </c>
      <c r="C911" s="1026"/>
      <c r="D911" s="1299" t="s">
        <v>2043</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2624</v>
      </c>
      <c r="C916" s="1026"/>
      <c r="D916" s="1273" t="s">
        <v>2465</v>
      </c>
      <c r="E916" s="1273"/>
      <c r="F916" s="1273"/>
      <c r="G916" s="1025"/>
    </row>
    <row r="917" spans="1:9" ht="12.75" customHeight="1">
      <c r="A917" s="1026"/>
      <c r="B917" s="1026"/>
      <c r="C917" s="1026"/>
      <c r="D917" s="118"/>
      <c r="E917" s="1025"/>
      <c r="F917" s="1025"/>
      <c r="G917" s="1025"/>
    </row>
    <row r="918" spans="1:9" ht="12.75" customHeight="1">
      <c r="A918" s="1026"/>
      <c r="B918" s="520" t="s">
        <v>2624</v>
      </c>
      <c r="C918" s="1026"/>
      <c r="D918" s="1273" t="s">
        <v>2466</v>
      </c>
      <c r="E918" s="1273"/>
      <c r="F918" s="1273"/>
      <c r="G918" s="1025"/>
    </row>
    <row r="919" spans="1:9" ht="12.75" customHeight="1">
      <c r="A919" s="175"/>
      <c r="B919" s="175"/>
      <c r="C919" s="175"/>
      <c r="D919" s="2"/>
      <c r="E919" s="3"/>
      <c r="F919" s="1025"/>
      <c r="G919" s="1025"/>
    </row>
    <row r="920" spans="1:9" ht="12.75" customHeight="1">
      <c r="A920" s="1034"/>
      <c r="B920" s="520" t="s">
        <v>2624</v>
      </c>
      <c r="C920" s="1035"/>
      <c r="D920" s="1272" t="s">
        <v>2039</v>
      </c>
      <c r="E920" s="1272"/>
      <c r="F920" s="1272"/>
      <c r="G920" s="1036"/>
      <c r="I920" s="436" t="s">
        <v>2235</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2624</v>
      </c>
      <c r="C930" s="175"/>
      <c r="D930" s="1328" t="s">
        <v>2237</v>
      </c>
      <c r="E930" s="1328"/>
      <c r="F930" s="1328"/>
      <c r="G930" s="1025"/>
      <c r="I930" s="436" t="s">
        <v>2235</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2749</v>
      </c>
      <c r="C938" s="175"/>
      <c r="D938" s="1271" t="s">
        <v>2559</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2624</v>
      </c>
      <c r="C945" s="1026"/>
      <c r="D945" s="1299" t="s">
        <v>2044</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2749</v>
      </c>
      <c r="C950" s="175"/>
      <c r="D950" s="1272" t="s">
        <v>2236</v>
      </c>
      <c r="E950" s="1272"/>
      <c r="F950" s="1272"/>
      <c r="G950" s="1025"/>
      <c r="I950" s="436" t="s">
        <v>2235</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2045</v>
      </c>
      <c r="E955" s="1278"/>
      <c r="F955" s="1278"/>
      <c r="G955" s="3"/>
    </row>
    <row r="956" spans="1:9" ht="12.75" customHeight="1">
      <c r="A956" s="176"/>
      <c r="B956" s="520" t="s">
        <v>2624</v>
      </c>
      <c r="C956" s="386"/>
      <c r="D956" s="1273" t="s">
        <v>2069</v>
      </c>
      <c r="E956" s="1273"/>
      <c r="F956" s="1273"/>
      <c r="G956" s="3"/>
      <c r="I956" s="436" t="s">
        <v>2235</v>
      </c>
    </row>
    <row r="957" spans="1:9" ht="12.75" customHeight="1">
      <c r="A957" s="386"/>
      <c r="B957" s="386"/>
      <c r="C957" s="386"/>
      <c r="D957" s="3"/>
      <c r="E957" s="3"/>
      <c r="F957" s="3"/>
      <c r="G957" s="3"/>
    </row>
    <row r="958" spans="1:9" ht="12.75" customHeight="1">
      <c r="A958" s="386"/>
      <c r="B958" s="386"/>
      <c r="C958" s="386"/>
      <c r="D958" s="1278" t="s">
        <v>2046</v>
      </c>
      <c r="E958" s="1278"/>
      <c r="F958" s="1278"/>
      <c r="G958"/>
    </row>
    <row r="959" spans="1:9" ht="12.75" customHeight="1">
      <c r="A959" s="176"/>
      <c r="B959" s="520" t="s">
        <v>2749</v>
      </c>
      <c r="C959" s="386"/>
      <c r="D959" s="1262" t="s">
        <v>2467</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2047</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5"/>
      <c r="G979"/>
    </row>
    <row r="980" spans="1:9" ht="12.75" customHeight="1">
      <c r="A980" s="386"/>
      <c r="B980" s="520" t="s">
        <v>2749</v>
      </c>
      <c r="C980" s="386"/>
      <c r="D980" s="1326" t="s">
        <v>2297</v>
      </c>
      <c r="E980" s="1326"/>
      <c r="F980" s="1326"/>
      <c r="G980"/>
      <c r="I980" s="436" t="s">
        <v>2215</v>
      </c>
    </row>
    <row r="981" spans="1:9" ht="12.75" customHeight="1">
      <c r="A981" s="386"/>
      <c r="B981" s="386"/>
      <c r="C981" s="386"/>
      <c r="D981" s="1326"/>
      <c r="E981" s="1326"/>
      <c r="F981" s="1326"/>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2624</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2624</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2749</v>
      </c>
      <c r="C996" s="386"/>
      <c r="D996" s="1273" t="s">
        <v>2051</v>
      </c>
      <c r="E996" s="1273"/>
      <c r="F996" s="1273"/>
      <c r="G996"/>
    </row>
    <row r="997" spans="1:7" ht="12.75" customHeight="1">
      <c r="A997" s="386"/>
      <c r="B997" s="386"/>
      <c r="C997" s="386"/>
      <c r="D997" s="3"/>
      <c r="E997" s="3"/>
      <c r="F997" s="3"/>
      <c r="G997"/>
    </row>
    <row r="998" spans="1:7" ht="12.75" customHeight="1">
      <c r="A998" s="176"/>
      <c r="B998" s="520" t="s">
        <v>2624</v>
      </c>
      <c r="C998" s="386"/>
      <c r="D998" s="1273" t="s">
        <v>2052</v>
      </c>
      <c r="E998" s="1273"/>
      <c r="F998" s="1273"/>
      <c r="G998"/>
    </row>
    <row r="999" spans="1:7" ht="12.75" customHeight="1">
      <c r="A999" s="386"/>
      <c r="B999" s="386"/>
      <c r="C999" s="386"/>
      <c r="D999" s="118"/>
      <c r="E999" s="3"/>
      <c r="F999" s="3"/>
      <c r="G999"/>
    </row>
    <row r="1000" spans="1:7" ht="12.75" customHeight="1">
      <c r="A1000" s="176"/>
      <c r="B1000" s="520" t="s">
        <v>2749</v>
      </c>
      <c r="C1000" s="386"/>
      <c r="D1000" s="1273" t="s">
        <v>2053</v>
      </c>
      <c r="E1000" s="1273"/>
      <c r="F1000" s="1273"/>
      <c r="G1000"/>
    </row>
    <row r="1001" spans="1:7" ht="12.75" customHeight="1">
      <c r="A1001" s="386"/>
      <c r="B1001" s="386"/>
      <c r="C1001" s="386"/>
      <c r="D1001" s="118"/>
      <c r="E1001" s="3"/>
      <c r="F1001" s="3"/>
      <c r="G1001"/>
    </row>
    <row r="1002" spans="1:7" ht="12.75" customHeight="1">
      <c r="A1002" s="176"/>
      <c r="B1002" s="520" t="s">
        <v>2624</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2624</v>
      </c>
      <c r="C1005" s="1037"/>
      <c r="D1005" s="1302" t="s">
        <v>2055</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2624</v>
      </c>
      <c r="C1008" s="1037"/>
      <c r="D1008" s="1320" t="s">
        <v>2056</v>
      </c>
      <c r="E1008" s="1320"/>
      <c r="F1008" s="1320"/>
      <c r="G1008" s="1038"/>
    </row>
    <row r="1009" spans="1:9" ht="12.75" customHeight="1">
      <c r="A1009" s="1037"/>
      <c r="B1009" s="1037"/>
      <c r="C1009" s="1037"/>
      <c r="D1009" s="1021"/>
      <c r="E1009" s="1038"/>
      <c r="F1009" s="1038"/>
      <c r="G1009" s="1038"/>
    </row>
    <row r="1010" spans="1:9" ht="12.75" customHeight="1">
      <c r="A1010" s="176"/>
      <c r="B1010" s="520" t="s">
        <v>2749</v>
      </c>
      <c r="C1010" s="386"/>
      <c r="D1010" s="1273" t="s">
        <v>2057</v>
      </c>
      <c r="E1010" s="1273"/>
      <c r="F1010" s="1273"/>
      <c r="G1010" s="3"/>
    </row>
    <row r="1011" spans="1:9" ht="12.75" customHeight="1">
      <c r="A1011" s="176"/>
      <c r="B1011" s="176"/>
      <c r="C1011" s="386"/>
      <c r="D1011" s="118"/>
      <c r="E1011" s="3"/>
      <c r="F1011" s="3"/>
      <c r="G1011" s="3"/>
    </row>
    <row r="1012" spans="1:9" ht="12.75" customHeight="1">
      <c r="A1012" s="176"/>
      <c r="B1012" s="520" t="s">
        <v>2624</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2059</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2060</v>
      </c>
      <c r="E1017" s="1301"/>
      <c r="F1017" s="1301"/>
      <c r="G1017" s="3"/>
    </row>
    <row r="1018" spans="1:9" ht="12.75" customHeight="1">
      <c r="A1018" s="386"/>
      <c r="B1018" s="386"/>
      <c r="C1018" s="386"/>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6" t="s">
        <v>2187</v>
      </c>
    </row>
    <row r="1021" spans="1:9" ht="12.75" customHeight="1">
      <c r="A1021" s="386"/>
      <c r="B1021" s="520" t="s">
        <v>2749</v>
      </c>
      <c r="C1021" s="386"/>
      <c r="D1021" s="1320" t="s">
        <v>1429</v>
      </c>
      <c r="E1021" s="1320"/>
      <c r="F1021" s="1320"/>
      <c r="G1021" s="3"/>
    </row>
    <row r="1022" spans="1:9" ht="12.75" customHeight="1">
      <c r="A1022" s="386"/>
      <c r="B1022" s="176"/>
      <c r="C1022" s="386"/>
      <c r="D1022" s="1320" t="s">
        <v>2062</v>
      </c>
      <c r="E1022" s="1320"/>
      <c r="F1022" s="1320"/>
      <c r="G1022" s="3"/>
    </row>
    <row r="1023" spans="1:9" ht="12.75" customHeight="1">
      <c r="A1023" s="386"/>
      <c r="B1023" s="386"/>
      <c r="C1023" s="386"/>
      <c r="D1023" s="1320"/>
      <c r="E1023" s="1320"/>
      <c r="F1023" s="1320"/>
      <c r="G1023" s="3"/>
    </row>
    <row r="1024" spans="1:9" ht="12.75" customHeight="1">
      <c r="A1024" s="1307" t="s">
        <v>2071</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309</v>
      </c>
      <c r="D1027" s="1311" t="s">
        <v>1429</v>
      </c>
      <c r="E1027" s="1311"/>
      <c r="F1027" s="1311"/>
      <c r="G1027" s="3"/>
    </row>
    <row r="1028" spans="1:9" ht="12.75" hidden="1" customHeight="1">
      <c r="A1028" s="118"/>
      <c r="B1028" s="434"/>
      <c r="D1028" s="1311" t="s">
        <v>2072</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1132</v>
      </c>
      <c r="E1030" s="1321"/>
      <c r="F1030" s="1321"/>
      <c r="G1030" s="3"/>
      <c r="I1030" s="436" t="s">
        <v>2216</v>
      </c>
    </row>
    <row r="1031" spans="1:9" ht="12.75" customHeight="1">
      <c r="A1031" s="346"/>
      <c r="B1031" s="346"/>
      <c r="C1031" s="346"/>
      <c r="D1031" s="1305" t="s">
        <v>1149</v>
      </c>
      <c r="E1031" s="1305"/>
      <c r="F1031" s="1305"/>
      <c r="G1031" s="98"/>
    </row>
    <row r="1032" spans="1:9" ht="12.75" customHeight="1">
      <c r="A1032" s="176"/>
      <c r="B1032" s="520" t="s">
        <v>2624</v>
      </c>
      <c r="C1032" s="386"/>
      <c r="D1032" s="1305" t="s">
        <v>1026</v>
      </c>
      <c r="E1032" s="1305"/>
      <c r="F1032" s="1305"/>
      <c r="G1032" s="3"/>
    </row>
    <row r="1033" spans="1:9" ht="12.75" customHeight="1">
      <c r="A1033" s="386"/>
      <c r="B1033" s="386"/>
      <c r="C1033" s="386"/>
      <c r="D1033" s="1080" t="s">
        <v>2299</v>
      </c>
      <c r="E1033" s="96"/>
      <c r="F1033" s="96"/>
      <c r="G1033" s="3"/>
    </row>
    <row r="1034" spans="1:9">
      <c r="A1034" s="434"/>
      <c r="B1034" s="434"/>
      <c r="C1034" s="434"/>
    </row>
    <row r="1035" spans="1:9">
      <c r="A1035" s="1307" t="s">
        <v>2092</v>
      </c>
      <c r="B1035" s="1307"/>
      <c r="C1035" s="1307"/>
      <c r="D1035" s="1307"/>
      <c r="E1035" s="1307"/>
      <c r="F1035" s="1307"/>
      <c r="G1035" s="1307"/>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2624</v>
      </c>
      <c r="C1040" s="434"/>
      <c r="D1040" s="1323" t="s">
        <v>2076</v>
      </c>
      <c r="E1040" s="1323"/>
      <c r="F1040" s="1323"/>
      <c r="I1040" s="436" t="s">
        <v>2188</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2749</v>
      </c>
      <c r="C1048" s="434"/>
      <c r="D1048" s="434" t="s">
        <v>2074</v>
      </c>
      <c r="I1048" s="436" t="s">
        <v>2189</v>
      </c>
    </row>
    <row r="1049" spans="1:9">
      <c r="A1049" s="434"/>
      <c r="B1049" s="434"/>
      <c r="C1049" s="434"/>
    </row>
    <row r="1050" spans="1:9">
      <c r="A1050" s="434"/>
      <c r="B1050" s="520" t="s">
        <v>2749</v>
      </c>
      <c r="C1050" s="434"/>
      <c r="D1050" s="1323" t="s">
        <v>2080</v>
      </c>
      <c r="E1050" s="1323"/>
      <c r="F1050" s="1323"/>
      <c r="I1050" s="436" t="s">
        <v>2190</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2081</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1106</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2624</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2624</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2624</v>
      </c>
      <c r="C1073" s="434"/>
      <c r="D1073" s="1322" t="s">
        <v>2083</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2088</v>
      </c>
    </row>
    <row r="1079" spans="1:9">
      <c r="A1079" s="434"/>
      <c r="B1079" s="434"/>
      <c r="C1079" s="434"/>
    </row>
    <row r="1080" spans="1:9">
      <c r="A1080" s="1307" t="s">
        <v>2093</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2624</v>
      </c>
      <c r="C1083" s="434"/>
      <c r="D1083" s="1324" t="s">
        <v>2311</v>
      </c>
      <c r="E1083" s="1324"/>
      <c r="F1083" s="1324"/>
      <c r="I1083" s="436" t="s">
        <v>2195</v>
      </c>
    </row>
    <row r="1084" spans="1:9">
      <c r="A1084" s="434"/>
      <c r="B1084" s="434"/>
      <c r="C1084" s="434"/>
      <c r="D1084" s="1324"/>
      <c r="E1084" s="1324"/>
      <c r="F1084" s="1324"/>
    </row>
    <row r="1085" spans="1:9">
      <c r="A1085" s="434"/>
      <c r="B1085" s="434"/>
      <c r="C1085" s="434"/>
      <c r="D1085" s="1325" t="s">
        <v>2616</v>
      </c>
      <c r="E1085" s="1262"/>
      <c r="F1085" s="1262"/>
    </row>
    <row r="1086" spans="1:9">
      <c r="A1086" s="434"/>
      <c r="B1086" s="434"/>
      <c r="C1086" s="434"/>
      <c r="D1086" s="562"/>
    </row>
    <row r="1087" spans="1:9">
      <c r="A1087" s="434"/>
      <c r="B1087" s="520" t="s">
        <v>2624</v>
      </c>
      <c r="C1087" s="434"/>
      <c r="D1087" s="1322" t="s">
        <v>2094</v>
      </c>
      <c r="E1087" s="1322"/>
      <c r="F1087" s="1322"/>
      <c r="I1087" s="436" t="s">
        <v>2196</v>
      </c>
    </row>
    <row r="1088" spans="1:9">
      <c r="A1088" s="434"/>
      <c r="B1088" s="434"/>
      <c r="C1088" s="434"/>
      <c r="D1088" s="1322"/>
      <c r="E1088" s="1322"/>
      <c r="F1088" s="1322"/>
    </row>
    <row r="1089" spans="1:9">
      <c r="A1089" s="434"/>
      <c r="B1089" s="434"/>
      <c r="C1089" s="434"/>
      <c r="D1089" s="562"/>
    </row>
    <row r="1090" spans="1:9">
      <c r="A1090" s="434"/>
      <c r="B1090" s="520" t="s">
        <v>2624</v>
      </c>
      <c r="C1090" s="434"/>
      <c r="D1090" s="1322" t="s">
        <v>2240</v>
      </c>
      <c r="E1090" s="1322"/>
      <c r="F1090" s="1322"/>
      <c r="I1090" s="436" t="s">
        <v>2238</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c r="A1096" s="434"/>
      <c r="B1096" s="434"/>
      <c r="C1096" s="434"/>
      <c r="D1096" s="562" t="s">
        <v>2239</v>
      </c>
      <c r="I1096" s="434"/>
    </row>
    <row r="1097" spans="1:9">
      <c r="A1097" s="434"/>
      <c r="B1097" s="520" t="s">
        <v>2624</v>
      </c>
      <c r="C1097" s="434"/>
      <c r="D1097" s="1322" t="s">
        <v>2095</v>
      </c>
      <c r="E1097" s="1322"/>
      <c r="F1097" s="1322"/>
      <c r="I1097" s="436" t="s">
        <v>2197</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2749</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2749</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8.25">
      <c r="A1110" s="434"/>
      <c r="B1110" s="434"/>
      <c r="C1110" s="434"/>
      <c r="I1110" s="448" t="s">
        <v>2468</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15" zoomScaleNormal="115" zoomScaleSheetLayoutView="80" workbookViewId="0">
      <selection activeCell="A20" sqref="A20:AL20"/>
    </sheetView>
  </sheetViews>
  <sheetFormatPr defaultColWidth="0" defaultRowHeight="12.95" customHeight="1" zeroHeight="1"/>
  <cols>
    <col min="1" max="36" width="2.5703125" customWidth="1"/>
    <col min="37" max="37" width="2.85546875" customWidth="1"/>
    <col min="38" max="45" width="2.5703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2.95" customHeight="1">
      <c r="A9" s="1298" t="s">
        <v>2474</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2.95" customHeight="1">
      <c r="A10" s="1298" t="s">
        <v>2607</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2.95"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2.95" customHeight="1">
      <c r="A12" s="1772" t="s">
        <v>2623</v>
      </c>
      <c r="B12" s="1773"/>
      <c r="C12" s="1773"/>
      <c r="D12" s="1773"/>
      <c r="E12" s="1773"/>
      <c r="F12" s="1773"/>
      <c r="G12" s="1773"/>
      <c r="H12" s="1773"/>
      <c r="I12" s="1773"/>
      <c r="J12" s="1773"/>
      <c r="K12" s="1773"/>
      <c r="L12" s="1773"/>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6"/>
      <c r="AN12" s="6"/>
      <c r="AO12" s="6"/>
      <c r="AP12" s="6"/>
      <c r="AQ12" s="6"/>
      <c r="AR12" s="6"/>
      <c r="AS12" s="6"/>
      <c r="AT12" s="6"/>
      <c r="AU12" s="6"/>
      <c r="AV12" s="6"/>
      <c r="AW12" s="6"/>
      <c r="AX12" s="6"/>
      <c r="AY12" s="6"/>
    </row>
    <row r="13" spans="1:51" ht="12.95" customHeight="1">
      <c r="A13" s="1260" t="s">
        <v>2475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2.95"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2476</v>
      </c>
      <c r="C16" s="4"/>
      <c r="D16" s="4"/>
      <c r="E16" s="4"/>
      <c r="F16" s="4"/>
      <c r="G16" s="4"/>
      <c r="H16" s="1757" t="s">
        <v>2642</v>
      </c>
      <c r="I16" s="1750"/>
      <c r="J16" s="1750"/>
      <c r="K16" s="1750"/>
      <c r="L16" s="1750"/>
      <c r="M16" s="1750"/>
      <c r="N16" s="1750"/>
      <c r="O16" s="1750"/>
      <c r="P16" s="1750"/>
      <c r="Q16" s="1750"/>
      <c r="R16" s="1750"/>
      <c r="S16" s="1750"/>
      <c r="T16" s="1750"/>
      <c r="U16" s="1750"/>
      <c r="V16" s="1750"/>
      <c r="W16" s="1750"/>
      <c r="X16" s="1750"/>
      <c r="Y16" s="1750"/>
      <c r="Z16" s="1750"/>
      <c r="AA16" s="1750"/>
      <c r="AB16" s="1750"/>
      <c r="AC16" s="1750"/>
      <c r="AD16" s="1750"/>
      <c r="AE16" s="1750"/>
      <c r="AF16" s="1750"/>
      <c r="AG16" s="1750"/>
      <c r="AH16" s="1750"/>
      <c r="AI16" s="1750"/>
      <c r="AJ16" s="1750"/>
    </row>
    <row r="17" spans="1:52" ht="12.95" customHeight="1"/>
    <row r="18" spans="1:52" ht="12.95" customHeight="1">
      <c r="A18" s="57" t="s">
        <v>102</v>
      </c>
      <c r="C18" s="4"/>
      <c r="D18" s="4"/>
      <c r="E18" s="4"/>
      <c r="F18" s="4"/>
      <c r="G18" s="4"/>
      <c r="H18" s="1352" t="s">
        <v>2668</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2.95" customHeight="1"/>
    <row r="20" spans="1:52" ht="12.95" customHeight="1">
      <c r="A20" s="1768" t="s">
        <v>901</v>
      </c>
      <c r="B20" s="1768"/>
      <c r="C20" s="1768"/>
      <c r="D20" s="1768"/>
      <c r="E20" s="1768"/>
      <c r="F20" s="1768"/>
      <c r="G20" s="1768"/>
      <c r="H20" s="1768"/>
      <c r="I20" s="1768"/>
      <c r="J20" s="1768"/>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937"/>
      <c r="AN20" s="937"/>
      <c r="AO20" s="937"/>
      <c r="AP20" s="937"/>
      <c r="AQ20" s="937"/>
      <c r="AR20" s="937"/>
      <c r="AS20" s="937"/>
      <c r="AT20" s="937"/>
      <c r="AU20" s="937"/>
      <c r="AV20" s="937"/>
      <c r="AW20" s="937"/>
      <c r="AX20" s="937"/>
      <c r="AY20" s="937"/>
    </row>
    <row r="21" spans="1:52" ht="12.95" customHeight="1">
      <c r="A21" s="1758" t="s">
        <v>1066</v>
      </c>
      <c r="B21" s="1758"/>
      <c r="C21" s="1758"/>
      <c r="D21" s="1758"/>
      <c r="E21" s="1758"/>
      <c r="F21" s="1758"/>
      <c r="G21" s="1758"/>
      <c r="H21" s="1758"/>
      <c r="I21" s="1758"/>
      <c r="J21" s="1758"/>
      <c r="K21" s="1758"/>
      <c r="L21" s="1758"/>
      <c r="M21" s="1758"/>
      <c r="N21" s="1758"/>
      <c r="O21" s="1758"/>
      <c r="P21" s="1758"/>
      <c r="Q21" s="1758"/>
      <c r="R21" s="1758"/>
      <c r="S21" s="1758"/>
      <c r="T21" s="1758"/>
      <c r="U21" s="1758"/>
      <c r="V21" s="1758"/>
      <c r="W21" s="1758"/>
      <c r="X21" s="1758"/>
      <c r="Y21" s="1758"/>
      <c r="Z21" s="1758"/>
      <c r="AA21" s="1758"/>
      <c r="AB21" s="1758"/>
      <c r="AC21" s="1758"/>
      <c r="AD21" s="1758"/>
      <c r="AE21" s="1758"/>
      <c r="AF21" s="1758"/>
      <c r="AG21" s="1758"/>
      <c r="AH21" s="1758"/>
      <c r="AI21" s="1758"/>
      <c r="AJ21" s="1758"/>
      <c r="AK21" s="1758"/>
      <c r="AL21" s="1758"/>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56">
        <f>'Basis &amp; Credits'!AB56</f>
        <v>1075583</v>
      </c>
      <c r="N26" s="1756"/>
      <c r="O26" s="1756"/>
      <c r="P26" s="1756"/>
      <c r="Q26" s="1756"/>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92">
        <f>'Basis &amp; Credits'!AB77</f>
        <v>0</v>
      </c>
      <c r="N27" s="1392"/>
      <c r="O27" s="1392"/>
      <c r="P27" s="1392"/>
      <c r="Q27" s="1392"/>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1436</v>
      </c>
      <c r="C33" s="554"/>
      <c r="D33" s="554"/>
      <c r="E33" s="554"/>
      <c r="F33" s="554"/>
      <c r="G33" s="554"/>
      <c r="H33" s="554"/>
      <c r="I33" s="554"/>
      <c r="J33" s="554"/>
      <c r="K33" s="554"/>
      <c r="L33" s="554"/>
      <c r="M33" s="554"/>
      <c r="N33" s="554"/>
      <c r="O33" s="1354" t="s">
        <v>678</v>
      </c>
      <c r="P33" s="135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1441</v>
      </c>
      <c r="AZ37" s="20"/>
    </row>
    <row r="38" spans="1:52" ht="12.95" customHeight="1">
      <c r="A38" s="3" t="s">
        <v>1442</v>
      </c>
      <c r="AZ38" s="20"/>
    </row>
    <row r="39" spans="1:52" ht="12.95" customHeight="1">
      <c r="AZ39" s="20"/>
    </row>
    <row r="40" spans="1:52" ht="12.95" customHeight="1">
      <c r="A40" s="554" t="s">
        <v>2479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2480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2490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766">
        <v>24</v>
      </c>
      <c r="H122" s="1766"/>
      <c r="I122" s="3" t="s">
        <v>183</v>
      </c>
      <c r="L122" s="1766" t="s">
        <v>2692</v>
      </c>
      <c r="M122" s="1766"/>
      <c r="N122" s="1766"/>
      <c r="O122" s="1765" t="s">
        <v>2693</v>
      </c>
      <c r="P122" s="1765"/>
      <c r="Q122" s="1765"/>
      <c r="R122" s="1765"/>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820" t="s">
        <v>503</v>
      </c>
      <c r="D124" s="1820"/>
      <c r="E124" s="1820"/>
      <c r="F124" s="1820"/>
      <c r="G124" s="1820"/>
      <c r="H124" s="1820"/>
      <c r="I124" s="1820"/>
      <c r="J124" s="1820"/>
      <c r="K124" s="1820"/>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766"/>
      <c r="Z126" s="1766"/>
      <c r="AA126" s="1766"/>
      <c r="AB126" s="1766"/>
      <c r="AC126" s="1766"/>
      <c r="AD126" s="1766"/>
      <c r="AE126" s="1766"/>
      <c r="AF126" s="1766"/>
      <c r="AG126" s="1766"/>
      <c r="AH126" s="1766"/>
      <c r="AI126" s="1766"/>
      <c r="AJ126" s="1766"/>
      <c r="AK126" s="1766"/>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766" t="s">
        <v>2646</v>
      </c>
      <c r="Z129" s="1766"/>
      <c r="AA129" s="1766"/>
      <c r="AB129" s="1766"/>
      <c r="AC129" s="1766"/>
      <c r="AD129" s="1766"/>
      <c r="AE129" s="1766"/>
      <c r="AF129" s="1766"/>
      <c r="AG129" s="1766"/>
      <c r="AH129" s="1766"/>
      <c r="AI129" s="1766"/>
      <c r="AJ129" s="1766"/>
      <c r="AK129" s="1766"/>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766" t="s">
        <v>2694</v>
      </c>
      <c r="Z132" s="1766"/>
      <c r="AA132" s="1766"/>
      <c r="AB132" s="1766"/>
      <c r="AC132" s="1766"/>
      <c r="AD132" s="1766"/>
      <c r="AE132" s="1766"/>
      <c r="AF132" s="1766"/>
      <c r="AG132" s="1766"/>
      <c r="AH132" s="1766"/>
      <c r="AI132" s="1766"/>
      <c r="AJ132" s="1766"/>
      <c r="AK132" s="1766"/>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52" t="s">
        <v>2739</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2.95" customHeight="1">
      <c r="D154" s="325" t="s">
        <v>443</v>
      </c>
      <c r="O154" s="1620" t="s">
        <v>2741</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2.95" customHeight="1">
      <c r="D155" s="8" t="s">
        <v>444</v>
      </c>
      <c r="F155" s="8"/>
      <c r="G155" s="8"/>
      <c r="H155" s="8"/>
      <c r="I155" s="8"/>
      <c r="J155" s="8"/>
      <c r="K155" s="8"/>
      <c r="L155" s="8"/>
      <c r="M155" s="8"/>
      <c r="N155" s="8"/>
      <c r="O155" s="1760" t="s">
        <v>2632</v>
      </c>
      <c r="P155" s="1761"/>
      <c r="Q155" s="1761"/>
      <c r="R155" s="1761"/>
      <c r="S155" s="1761"/>
      <c r="T155" s="1761"/>
      <c r="U155" s="1761"/>
      <c r="V155" s="1761"/>
      <c r="W155" s="1761"/>
      <c r="X155" s="1761"/>
      <c r="Y155" s="1761"/>
      <c r="Z155" s="1761"/>
      <c r="AA155" s="1761"/>
      <c r="AB155" s="1761"/>
      <c r="AC155" s="1761"/>
      <c r="AD155" s="1761"/>
      <c r="AE155" s="1761"/>
      <c r="AF155" s="1761"/>
      <c r="AG155" s="1761"/>
      <c r="AH155" s="1761"/>
    </row>
    <row r="156" spans="1:72" ht="12.95" customHeight="1">
      <c r="D156" t="s">
        <v>315</v>
      </c>
      <c r="O156" s="1353" t="s">
        <v>2740</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2.95" customHeight="1">
      <c r="D157" t="s">
        <v>316</v>
      </c>
      <c r="O157" s="1352" t="s">
        <v>2633</v>
      </c>
      <c r="P157" s="1647"/>
      <c r="Q157" s="1647"/>
      <c r="R157" s="1647"/>
      <c r="S157" s="1647"/>
      <c r="T157" s="1647"/>
      <c r="U157" s="1647"/>
      <c r="V157" s="1647"/>
      <c r="W157" s="1647"/>
      <c r="X157" s="1647"/>
      <c r="Y157" s="8"/>
      <c r="Z157" s="8"/>
      <c r="AA157" s="8"/>
      <c r="AB157" s="8"/>
      <c r="AC157" s="8"/>
      <c r="AD157" s="8"/>
      <c r="AE157" s="8"/>
      <c r="AF157" s="8"/>
      <c r="BN157" s="23" t="s">
        <v>645</v>
      </c>
      <c r="BT157" t="s">
        <v>485</v>
      </c>
    </row>
    <row r="158" spans="1:72" ht="12.95" customHeight="1">
      <c r="D158" t="s">
        <v>317</v>
      </c>
      <c r="O158" s="1762">
        <v>91801</v>
      </c>
      <c r="P158" s="1762"/>
      <c r="Q158" s="1762"/>
      <c r="R158" s="1762"/>
      <c r="S158" s="9"/>
      <c r="T158" s="9"/>
      <c r="U158" s="9"/>
      <c r="V158" s="9"/>
      <c r="W158" s="9"/>
      <c r="X158" s="9"/>
      <c r="Y158" s="9"/>
      <c r="Z158" s="9"/>
      <c r="AA158" s="9"/>
      <c r="AB158" s="9"/>
      <c r="AC158" s="9"/>
      <c r="AD158" s="9"/>
      <c r="AE158" s="9"/>
      <c r="AF158" s="9"/>
      <c r="BN158" s="23" t="s">
        <v>646</v>
      </c>
      <c r="BT158" t="s">
        <v>486</v>
      </c>
    </row>
    <row r="159" spans="1:72" ht="12.95" customHeight="1">
      <c r="D159" t="s">
        <v>318</v>
      </c>
      <c r="O159" s="1764" t="s">
        <v>2742</v>
      </c>
      <c r="P159" s="1764"/>
      <c r="Q159" s="1764"/>
      <c r="R159" s="1764"/>
      <c r="S159" s="1764"/>
      <c r="T159" s="1764"/>
      <c r="V159" s="97" t="s">
        <v>273</v>
      </c>
      <c r="W159" s="1763"/>
      <c r="X159" s="1763"/>
      <c r="Y159" s="10"/>
      <c r="Z159" s="10"/>
      <c r="AA159" s="10"/>
      <c r="AB159" s="10"/>
      <c r="AC159" s="10"/>
      <c r="AD159" s="10"/>
      <c r="AE159" s="10"/>
      <c r="AF159" s="10"/>
      <c r="BN159" s="23" t="s">
        <v>341</v>
      </c>
      <c r="BT159" t="s">
        <v>487</v>
      </c>
    </row>
    <row r="160" spans="1:72" ht="12.95" customHeight="1">
      <c r="D160" t="s">
        <v>319</v>
      </c>
      <c r="O160" s="1764" t="s">
        <v>2743</v>
      </c>
      <c r="P160" s="1764"/>
      <c r="Q160" s="1764"/>
      <c r="R160" s="1764"/>
      <c r="S160" s="1764"/>
      <c r="T160" s="1764"/>
      <c r="U160" s="10"/>
      <c r="V160" s="10"/>
      <c r="W160" s="10"/>
      <c r="X160" s="10"/>
      <c r="Y160" s="10"/>
      <c r="Z160" s="10"/>
      <c r="AA160" s="10"/>
      <c r="AB160" s="10"/>
      <c r="AC160" s="10"/>
      <c r="AD160" s="10"/>
      <c r="AE160" s="10"/>
      <c r="AF160" s="10"/>
      <c r="BN160" s="23" t="s">
        <v>669</v>
      </c>
      <c r="BT160" t="s">
        <v>488</v>
      </c>
    </row>
    <row r="161" spans="1:72" ht="12.95" customHeight="1">
      <c r="D161" t="s">
        <v>320</v>
      </c>
      <c r="O161" s="1745" t="s">
        <v>2744</v>
      </c>
      <c r="P161" s="1745"/>
      <c r="Q161" s="1745"/>
      <c r="R161" s="1745"/>
      <c r="S161" s="1745"/>
      <c r="T161" s="1745"/>
      <c r="U161" s="1745"/>
      <c r="V161" s="1745"/>
      <c r="W161" s="1745"/>
      <c r="X161" s="1745"/>
      <c r="Y161" s="1745"/>
      <c r="Z161" s="1745"/>
      <c r="AA161" s="1745"/>
      <c r="AB161" s="1745"/>
      <c r="AC161" s="1745"/>
      <c r="AD161" s="1745"/>
      <c r="AE161" s="1745"/>
      <c r="AF161" s="1745"/>
      <c r="AG161" s="1745"/>
      <c r="AH161" s="174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21" t="s">
        <v>1387</v>
      </c>
      <c r="E164" s="1821"/>
      <c r="F164" s="1821"/>
      <c r="G164" s="1821"/>
      <c r="H164" s="1821"/>
      <c r="I164" s="1821"/>
      <c r="J164" s="1821"/>
      <c r="K164" s="1821"/>
      <c r="L164" s="1821"/>
      <c r="M164" s="1821"/>
      <c r="N164" s="1821"/>
      <c r="O164" s="1821"/>
      <c r="P164" s="1821"/>
      <c r="Q164" s="1821"/>
      <c r="R164" s="1821"/>
      <c r="S164" s="1821"/>
      <c r="T164" s="1821"/>
      <c r="U164" s="1821"/>
      <c r="V164" s="1821"/>
      <c r="W164" s="1821"/>
      <c r="X164" s="1821"/>
      <c r="Y164" s="1821"/>
      <c r="Z164" s="1821"/>
      <c r="AA164" s="1821"/>
      <c r="AB164" s="1821"/>
      <c r="AC164" s="1821"/>
      <c r="AD164" s="1821"/>
      <c r="AE164" s="1821"/>
      <c r="AF164" s="1821"/>
      <c r="AG164" s="1821"/>
      <c r="AH164" s="182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2.95"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759" t="s">
        <v>373</v>
      </c>
      <c r="K173" s="1759"/>
      <c r="L173" s="1759"/>
      <c r="M173" s="1759"/>
      <c r="N173" s="1759"/>
      <c r="O173" s="1759"/>
      <c r="P173" s="1759"/>
      <c r="Q173" s="1759"/>
      <c r="R173" s="1759"/>
      <c r="S173" s="1759"/>
      <c r="U173" s="25"/>
      <c r="X173" s="25"/>
      <c r="BN173" s="23" t="s">
        <v>216</v>
      </c>
      <c r="BT173" t="s">
        <v>501</v>
      </c>
    </row>
    <row r="174" spans="1:72" ht="12.95" customHeight="1">
      <c r="C174" s="24"/>
      <c r="D174" s="3" t="s">
        <v>1345</v>
      </c>
      <c r="J174" s="1353" t="s">
        <v>2523</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502</v>
      </c>
    </row>
    <row r="175" spans="1:72" ht="12.95" customHeight="1">
      <c r="C175" s="8"/>
      <c r="D175" s="3" t="s">
        <v>324</v>
      </c>
      <c r="O175" s="27"/>
      <c r="U175" s="1354" t="s">
        <v>678</v>
      </c>
      <c r="V175" s="1354"/>
      <c r="BN175" s="23" t="s">
        <v>219</v>
      </c>
      <c r="BT175" t="s">
        <v>503</v>
      </c>
    </row>
    <row r="176" spans="1:72" ht="12.95" customHeight="1">
      <c r="C176" s="8"/>
      <c r="D176" s="26"/>
      <c r="E176" t="s">
        <v>306</v>
      </c>
      <c r="O176" s="27"/>
      <c r="P176" t="s">
        <v>2496</v>
      </c>
      <c r="T176" s="27" t="s">
        <v>307</v>
      </c>
      <c r="U176" s="1382"/>
      <c r="V176" s="1382"/>
      <c r="W176" s="1" t="s">
        <v>308</v>
      </c>
      <c r="X176" s="1746"/>
      <c r="Y176" s="1746"/>
      <c r="BN176" s="23" t="s">
        <v>221</v>
      </c>
      <c r="BT176" t="s">
        <v>504</v>
      </c>
    </row>
    <row r="177" spans="1:72" ht="12.95" customHeight="1">
      <c r="C177" s="24"/>
      <c r="D177" t="s">
        <v>251</v>
      </c>
      <c r="R177" s="1354" t="s">
        <v>678</v>
      </c>
      <c r="S177" s="1354"/>
      <c r="BN177" s="23" t="s">
        <v>222</v>
      </c>
      <c r="BT177" t="s">
        <v>505</v>
      </c>
    </row>
    <row r="178" spans="1:72" ht="12.95" customHeight="1">
      <c r="C178" s="24"/>
      <c r="D178" s="3" t="s">
        <v>1346</v>
      </c>
      <c r="AA178" t="s">
        <v>2496</v>
      </c>
      <c r="AE178" s="27" t="s">
        <v>307</v>
      </c>
      <c r="AF178" s="1599"/>
      <c r="AG178" s="1599"/>
      <c r="AH178" s="1" t="s">
        <v>308</v>
      </c>
      <c r="AI178" s="1652"/>
      <c r="AJ178" s="1652"/>
      <c r="AK178" s="1652"/>
      <c r="BN178" s="23" t="s">
        <v>223</v>
      </c>
      <c r="BT178" t="s">
        <v>53</v>
      </c>
    </row>
    <row r="179" spans="1:72" ht="12.95" customHeight="1">
      <c r="C179" s="24"/>
      <c r="BN179" s="23" t="s">
        <v>224</v>
      </c>
      <c r="BT179" t="s">
        <v>54</v>
      </c>
    </row>
    <row r="180" spans="1:72" ht="12.95" customHeight="1">
      <c r="C180" s="24"/>
      <c r="D180" t="s">
        <v>2497</v>
      </c>
      <c r="X180" s="1354" t="s">
        <v>678</v>
      </c>
      <c r="Y180" s="1354"/>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351" t="str">
        <f>H18</f>
        <v>U.S. VETS-WLAVA Building 210</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232</v>
      </c>
      <c r="BT184" t="s">
        <v>62</v>
      </c>
    </row>
    <row r="185" spans="1:72" ht="12.95" customHeight="1">
      <c r="C185" s="21"/>
      <c r="D185" t="s">
        <v>588</v>
      </c>
      <c r="I185" s="1360" t="s">
        <v>2634</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597</v>
      </c>
      <c r="BN185" s="23" t="s">
        <v>233</v>
      </c>
      <c r="BT185" t="s">
        <v>63</v>
      </c>
    </row>
    <row r="186" spans="1:72" ht="12.95" customHeight="1">
      <c r="C186" s="21"/>
      <c r="E186" t="s">
        <v>169</v>
      </c>
      <c r="BN186" s="23" t="s">
        <v>234</v>
      </c>
      <c r="BT186" t="s">
        <v>64</v>
      </c>
    </row>
    <row r="187" spans="1:72" ht="12.95" customHeight="1">
      <c r="C187" s="21"/>
      <c r="E187" s="1771"/>
      <c r="F187" s="1771"/>
      <c r="G187" s="1771"/>
      <c r="H187" s="1771"/>
      <c r="I187" s="1771"/>
      <c r="J187" s="1771"/>
      <c r="K187" s="1771"/>
      <c r="L187" s="1771"/>
      <c r="M187" s="1771"/>
      <c r="N187" s="1771"/>
      <c r="O187" s="1771"/>
      <c r="P187" s="1771"/>
      <c r="Q187" s="1771"/>
      <c r="R187" s="1771"/>
      <c r="S187" s="1771"/>
      <c r="T187" s="1771"/>
      <c r="U187" s="1771"/>
      <c r="V187" s="1771"/>
      <c r="W187" s="1771"/>
      <c r="X187" s="1771"/>
      <c r="Y187" s="1771"/>
      <c r="Z187" s="1771"/>
      <c r="AA187" s="1771"/>
      <c r="AB187" s="1771"/>
      <c r="AC187" s="1771"/>
      <c r="AD187" s="1771"/>
      <c r="AE187" s="1771"/>
      <c r="BN187" s="23" t="s">
        <v>235</v>
      </c>
      <c r="BT187" t="s">
        <v>65</v>
      </c>
    </row>
    <row r="188" spans="1:72" ht="12.95"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2.95" customHeight="1">
      <c r="C189" s="21"/>
      <c r="D189" t="s">
        <v>589</v>
      </c>
      <c r="I189" s="1353" t="s">
        <v>503</v>
      </c>
      <c r="J189" s="1353"/>
      <c r="K189" s="1353"/>
      <c r="L189" s="1353"/>
      <c r="M189" s="1353"/>
      <c r="N189" s="1353"/>
      <c r="O189" s="1353"/>
      <c r="P189" s="1353"/>
      <c r="Q189" t="s">
        <v>591</v>
      </c>
      <c r="T189" s="1353" t="s">
        <v>503</v>
      </c>
      <c r="U189" s="1353"/>
      <c r="V189" s="1353"/>
      <c r="W189" s="1353"/>
      <c r="X189" s="1353"/>
      <c r="Y189" s="1353"/>
      <c r="Z189" s="1353"/>
      <c r="AA189" s="1353"/>
      <c r="AB189" s="1353"/>
      <c r="AC189" s="1353"/>
      <c r="AD189" s="1353"/>
      <c r="AE189" s="1353"/>
      <c r="BC189" t="s">
        <v>309</v>
      </c>
      <c r="BH189" s="3" t="s">
        <v>600</v>
      </c>
      <c r="BN189" s="23" t="s">
        <v>238</v>
      </c>
      <c r="BT189" t="s">
        <v>67</v>
      </c>
    </row>
    <row r="190" spans="1:72" ht="12.95" customHeight="1">
      <c r="C190" s="21"/>
      <c r="D190" t="s">
        <v>592</v>
      </c>
      <c r="I190" s="1360">
        <v>90049</v>
      </c>
      <c r="J190" s="1360"/>
      <c r="K190" s="1360"/>
      <c r="L190" s="1360"/>
      <c r="M190" s="1360"/>
      <c r="N190" s="1360"/>
      <c r="O190" t="s">
        <v>594</v>
      </c>
      <c r="T190" s="1769">
        <v>6037701100</v>
      </c>
      <c r="U190" s="1769"/>
      <c r="V190" s="1769"/>
      <c r="W190" s="1769"/>
      <c r="X190" s="1769"/>
      <c r="Y190" s="1769"/>
      <c r="Z190" s="1769"/>
      <c r="AA190" s="1769"/>
      <c r="AB190" s="1769"/>
      <c r="AC190" s="1769"/>
      <c r="AD190" s="1769"/>
      <c r="AE190" s="1769"/>
      <c r="BC190" t="s">
        <v>1102</v>
      </c>
      <c r="BH190" t="s">
        <v>1102</v>
      </c>
      <c r="BN190" s="23" t="s">
        <v>644</v>
      </c>
      <c r="BT190" t="s">
        <v>68</v>
      </c>
    </row>
    <row r="191" spans="1:72" ht="12.95" customHeight="1">
      <c r="C191" s="21"/>
      <c r="D191" t="s">
        <v>471</v>
      </c>
      <c r="N191" s="1771" t="s">
        <v>2635</v>
      </c>
      <c r="O191" s="1771"/>
      <c r="P191" s="1771"/>
      <c r="Q191" s="1771"/>
      <c r="R191" s="1771"/>
      <c r="S191" s="1771"/>
      <c r="T191" s="1771"/>
      <c r="U191" s="1771"/>
      <c r="V191" s="1771"/>
      <c r="W191" s="1771"/>
      <c r="X191" s="1771"/>
      <c r="Y191" s="1771"/>
      <c r="Z191" s="1771"/>
      <c r="AA191" s="1771"/>
      <c r="AB191" s="1771"/>
      <c r="AC191" s="1771"/>
      <c r="AD191" s="1771"/>
      <c r="AE191" s="1771"/>
      <c r="BC191" t="s">
        <v>1101</v>
      </c>
      <c r="BH191" t="s">
        <v>1101</v>
      </c>
      <c r="BN191" s="23" t="s">
        <v>698</v>
      </c>
      <c r="BT191" t="s">
        <v>739</v>
      </c>
    </row>
    <row r="192" spans="1:72" ht="12.95"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1104</v>
      </c>
      <c r="BH192" s="3" t="s">
        <v>1807</v>
      </c>
      <c r="BN192" s="23" t="s">
        <v>699</v>
      </c>
      <c r="BT192" t="s">
        <v>740</v>
      </c>
    </row>
    <row r="193" spans="1:74" ht="12.95" customHeight="1">
      <c r="C193" s="21"/>
      <c r="D193" t="s">
        <v>2498</v>
      </c>
      <c r="M193" s="40"/>
      <c r="N193" s="930"/>
      <c r="O193" s="930"/>
      <c r="P193" s="930"/>
      <c r="Q193" s="930"/>
      <c r="R193" s="930"/>
      <c r="S193" s="930"/>
      <c r="T193" s="1751" t="s">
        <v>2319</v>
      </c>
      <c r="U193" s="1751"/>
      <c r="V193" s="1751"/>
      <c r="W193" s="1751"/>
      <c r="X193" s="1751"/>
      <c r="Y193" s="1751"/>
      <c r="Z193" s="1751"/>
      <c r="AA193" s="1751"/>
      <c r="AB193" s="1751"/>
      <c r="AC193" s="1751"/>
      <c r="AD193" s="1751"/>
      <c r="AE193" s="1751"/>
      <c r="AF193" s="1751"/>
      <c r="AG193" s="1751"/>
      <c r="AH193" s="1751"/>
      <c r="AI193" s="1751"/>
      <c r="BC193" t="s">
        <v>1103</v>
      </c>
      <c r="BH193" s="3" t="s">
        <v>1808</v>
      </c>
      <c r="BN193" s="23" t="s">
        <v>700</v>
      </c>
      <c r="BT193" t="s">
        <v>741</v>
      </c>
    </row>
    <row r="194" spans="1:74" ht="12.95" customHeight="1">
      <c r="C194" s="21"/>
      <c r="D194" t="s">
        <v>333</v>
      </c>
      <c r="T194" s="1354" t="s">
        <v>554</v>
      </c>
      <c r="U194" s="1354"/>
      <c r="W194" t="s">
        <v>694</v>
      </c>
      <c r="AH194" s="1354">
        <v>32</v>
      </c>
      <c r="AI194" s="1354"/>
      <c r="BC194" t="s">
        <v>1536</v>
      </c>
      <c r="BN194" s="23" t="s">
        <v>701</v>
      </c>
      <c r="BT194" t="s">
        <v>742</v>
      </c>
    </row>
    <row r="195" spans="1:74" ht="12.95" customHeight="1">
      <c r="C195" s="21"/>
      <c r="D195" t="s">
        <v>388</v>
      </c>
      <c r="T195" s="1518" t="s">
        <v>678</v>
      </c>
      <c r="U195" s="1518"/>
      <c r="W195" t="s">
        <v>695</v>
      </c>
      <c r="AH195" s="1354">
        <v>42</v>
      </c>
      <c r="AI195" s="1354"/>
      <c r="BC195" t="s">
        <v>2119</v>
      </c>
      <c r="BN195" s="23" t="s">
        <v>244</v>
      </c>
      <c r="BT195" t="s">
        <v>743</v>
      </c>
    </row>
    <row r="196" spans="1:74" ht="12.95" customHeight="1">
      <c r="C196" s="21"/>
      <c r="D196" s="3" t="s">
        <v>170</v>
      </c>
      <c r="T196" s="1518" t="s">
        <v>678</v>
      </c>
      <c r="U196" s="1518"/>
      <c r="W196" t="s">
        <v>696</v>
      </c>
      <c r="AH196" s="1354">
        <v>24</v>
      </c>
      <c r="AI196" s="1354"/>
      <c r="BN196" s="23" t="s">
        <v>245</v>
      </c>
      <c r="BT196" t="s">
        <v>69</v>
      </c>
    </row>
    <row r="197" spans="1:74" ht="12.95" customHeight="1">
      <c r="C197" s="21"/>
      <c r="D197" s="3" t="s">
        <v>1832</v>
      </c>
      <c r="T197" s="1518"/>
      <c r="U197" s="1518"/>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2499</v>
      </c>
      <c r="Y198" s="1354" t="s">
        <v>678</v>
      </c>
      <c r="Z198" s="135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351" t="s">
        <v>387</v>
      </c>
      <c r="E203" s="1351"/>
      <c r="F203" s="1351"/>
      <c r="G203" s="1351"/>
      <c r="H203" s="1351"/>
      <c r="I203" s="1351"/>
      <c r="J203" s="1351"/>
      <c r="K203" s="1351"/>
      <c r="L203" s="1351"/>
      <c r="M203" s="1351"/>
      <c r="P203" s="1767">
        <f>M26</f>
        <v>1075583</v>
      </c>
      <c r="Q203" s="1755"/>
      <c r="R203" s="1755"/>
      <c r="S203" s="1755"/>
      <c r="T203" s="1755"/>
      <c r="U203" s="1755"/>
      <c r="Z203" s="1753"/>
      <c r="AA203" s="1753"/>
      <c r="AB203" s="1753"/>
      <c r="AC203" s="1753"/>
      <c r="AD203" s="1753"/>
      <c r="AE203" s="1753"/>
      <c r="AF203" s="1753"/>
      <c r="BC203" t="s">
        <v>1129</v>
      </c>
      <c r="BN203" s="23" t="s">
        <v>712</v>
      </c>
      <c r="BO203" s="14"/>
      <c r="BP203" s="32"/>
      <c r="BQ203" s="32"/>
      <c r="BR203" s="32"/>
      <c r="BS203" s="32"/>
      <c r="BT203" s="32" t="s">
        <v>198</v>
      </c>
    </row>
    <row r="204" spans="1:74" ht="12.95" customHeight="1">
      <c r="C204" s="21"/>
      <c r="D204" s="1752" t="s">
        <v>1403</v>
      </c>
      <c r="E204" s="1351"/>
      <c r="F204" s="1351"/>
      <c r="G204" s="1351"/>
      <c r="H204" s="1351"/>
      <c r="I204" s="1351"/>
      <c r="J204" s="1351"/>
      <c r="K204" s="1351"/>
      <c r="L204" s="1351"/>
      <c r="M204" s="1351"/>
      <c r="P204" s="1755">
        <f>M27</f>
        <v>0</v>
      </c>
      <c r="Q204" s="1755"/>
      <c r="R204" s="1755"/>
      <c r="S204" s="1755"/>
      <c r="T204" s="1755"/>
      <c r="U204" s="1755"/>
      <c r="V204" s="28"/>
      <c r="W204" s="3" t="s">
        <v>1980</v>
      </c>
      <c r="Z204" s="1753"/>
      <c r="AA204" s="1753"/>
      <c r="AB204" s="1753"/>
      <c r="AC204" s="1753"/>
      <c r="AD204" s="1753"/>
      <c r="AE204" s="1753"/>
      <c r="AF204" s="1753"/>
      <c r="AG204" t="s">
        <v>1404</v>
      </c>
      <c r="AP204" s="1354" t="s">
        <v>678</v>
      </c>
      <c r="AQ204" s="1354"/>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754"/>
      <c r="AA205" s="1754"/>
      <c r="AB205" s="1754"/>
      <c r="AC205" s="1754"/>
      <c r="AD205" s="1754"/>
      <c r="AE205" s="1754"/>
      <c r="AF205" s="1754"/>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647" t="s">
        <v>2643</v>
      </c>
      <c r="E207" s="1647"/>
      <c r="F207" s="1647"/>
      <c r="G207" s="1647"/>
      <c r="H207" s="1647"/>
      <c r="I207" s="1647"/>
      <c r="J207" s="1647"/>
      <c r="K207" s="1647"/>
      <c r="L207" s="1647"/>
      <c r="M207" s="1647"/>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647" t="s">
        <v>1104</v>
      </c>
      <c r="E210" s="1647"/>
      <c r="F210" s="1647"/>
      <c r="G210" s="1647"/>
      <c r="H210" s="1647"/>
      <c r="I210" s="1647"/>
      <c r="J210" s="1647"/>
      <c r="K210" s="1647"/>
      <c r="L210" s="1647"/>
      <c r="M210" s="1647"/>
      <c r="BN210" s="23" t="s">
        <v>48</v>
      </c>
      <c r="BT210" s="32" t="s">
        <v>204</v>
      </c>
    </row>
    <row r="211" spans="1:72" ht="12.95" customHeight="1">
      <c r="C211" s="21"/>
      <c r="D211" t="s">
        <v>1393</v>
      </c>
      <c r="Y211" s="1354">
        <v>37</v>
      </c>
      <c r="Z211" s="1354"/>
      <c r="AB211" s="1748">
        <f>IFERROR(Y211/AG439,"")</f>
        <v>1</v>
      </c>
      <c r="AC211" s="1749"/>
      <c r="BN211" s="23" t="s">
        <v>130</v>
      </c>
      <c r="BT211" s="32" t="s">
        <v>131</v>
      </c>
    </row>
    <row r="212" spans="1:72" ht="12.95" customHeight="1">
      <c r="D212" s="1198" t="s">
        <v>1806</v>
      </c>
      <c r="BC212" t="s">
        <v>309</v>
      </c>
      <c r="BN212" s="23" t="s">
        <v>49</v>
      </c>
      <c r="BT212" s="32" t="s">
        <v>205</v>
      </c>
    </row>
    <row r="213" spans="1:72" ht="12.95" customHeight="1">
      <c r="D213" s="1813" t="s">
        <v>600</v>
      </c>
      <c r="E213" s="1813"/>
      <c r="F213" s="1813"/>
      <c r="G213" s="1813"/>
      <c r="H213" s="1813"/>
      <c r="I213" s="1813"/>
      <c r="J213" s="1813"/>
      <c r="K213" s="1813"/>
      <c r="L213" s="1813"/>
      <c r="M213" s="1813"/>
      <c r="N213" s="1813"/>
      <c r="O213" s="1813"/>
      <c r="P213" s="1813"/>
      <c r="Q213" s="1813"/>
      <c r="R213" s="1813"/>
      <c r="S213" s="1813"/>
      <c r="T213" s="1813"/>
      <c r="U213" s="1813"/>
      <c r="V213" s="1813"/>
      <c r="W213" s="1813"/>
      <c r="X213" s="1813"/>
      <c r="Y213" s="1813"/>
      <c r="Z213" s="1813"/>
      <c r="BC213" t="s">
        <v>535</v>
      </c>
      <c r="BN213" s="23" t="s">
        <v>50</v>
      </c>
      <c r="BT213" s="32" t="s">
        <v>206</v>
      </c>
    </row>
    <row r="214" spans="1:72" ht="12.95" customHeight="1">
      <c r="D214" s="3" t="s">
        <v>1833</v>
      </c>
      <c r="Z214" s="40"/>
      <c r="AB214" s="1812"/>
      <c r="AC214" s="1812"/>
      <c r="AD214" s="1812"/>
      <c r="AE214" s="1812"/>
      <c r="AF214" s="1812"/>
      <c r="AG214" s="1812"/>
      <c r="AH214" s="1812"/>
      <c r="AI214" s="1812"/>
      <c r="AJ214" s="1812"/>
      <c r="AK214" s="1812"/>
      <c r="AL214" s="1812"/>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1831</v>
      </c>
      <c r="Z215" s="40"/>
      <c r="AB215" s="1812"/>
      <c r="AC215" s="1812"/>
      <c r="AD215" s="1812"/>
      <c r="AE215" s="1812"/>
      <c r="AF215" s="1812"/>
      <c r="AG215" s="1812"/>
      <c r="AH215" s="1812"/>
      <c r="AI215" s="1812"/>
      <c r="AJ215" s="1812"/>
      <c r="AK215" s="1812"/>
      <c r="AL215" s="1812"/>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647" t="s">
        <v>903</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2.95" customHeight="1">
      <c r="A220" s="2"/>
      <c r="B220" s="14"/>
      <c r="C220" s="2"/>
      <c r="BA220" s="3"/>
      <c r="BC220" t="s">
        <v>302</v>
      </c>
    </row>
    <row r="221" spans="1:72" ht="12.95"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2.95"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2500</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600</v>
      </c>
      <c r="AJ225" s="1354"/>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554</v>
      </c>
      <c r="AJ226" s="135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554</v>
      </c>
      <c r="AJ227" s="135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600</v>
      </c>
      <c r="AJ228" s="135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2.95" customHeight="1">
      <c r="A230" s="2" t="s">
        <v>585</v>
      </c>
      <c r="B230" s="4"/>
      <c r="C230" s="2" t="s">
        <v>2501</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770" t="str">
        <f>H16</f>
        <v>U.S. VETS Housing Corporation</v>
      </c>
      <c r="N231" s="1770"/>
      <c r="O231" s="1770"/>
      <c r="P231" s="1770"/>
      <c r="Q231" s="1770"/>
      <c r="R231" s="1770"/>
      <c r="S231" s="1770"/>
      <c r="T231" s="1770"/>
      <c r="U231" s="1770"/>
      <c r="V231" s="1770"/>
      <c r="W231" s="1770"/>
      <c r="X231" s="1770"/>
      <c r="Y231" s="1770"/>
      <c r="Z231" s="1770"/>
      <c r="AA231" s="1770"/>
      <c r="AB231" s="1770"/>
      <c r="AC231" s="1770"/>
      <c r="AD231" s="1770"/>
      <c r="AE231" s="1770"/>
      <c r="AF231" s="1770"/>
      <c r="AG231" s="1770"/>
      <c r="AH231" s="1770"/>
      <c r="AI231" s="1770"/>
      <c r="AJ231" s="1770"/>
      <c r="AK231" s="1770"/>
      <c r="BA231" s="3"/>
      <c r="BB231" s="218"/>
      <c r="BG231" s="218"/>
      <c r="BQ231" s="34"/>
    </row>
    <row r="232" spans="1:69" ht="12.95" customHeight="1">
      <c r="D232" s="4" t="s">
        <v>86</v>
      </c>
      <c r="E232" s="4"/>
      <c r="F232" s="4"/>
      <c r="G232" s="4"/>
      <c r="H232" s="4"/>
      <c r="I232" s="4"/>
      <c r="J232" s="4"/>
      <c r="K232" s="4"/>
      <c r="M232" s="1352" t="s">
        <v>2625</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547</v>
      </c>
      <c r="BG232" s="259">
        <f>IF(AND(AND($M$248="nonprofit",$M$256="nonprofit",$M$264="for profit")),2,0)</f>
        <v>0</v>
      </c>
      <c r="BQ232" s="34"/>
    </row>
    <row r="233" spans="1:69" ht="12.95" customHeight="1">
      <c r="D233" s="4" t="s">
        <v>589</v>
      </c>
      <c r="E233" s="4"/>
      <c r="M233" s="1352" t="s">
        <v>503</v>
      </c>
      <c r="N233" s="1647"/>
      <c r="O233" s="1647"/>
      <c r="P233" s="1647"/>
      <c r="Q233" s="1647"/>
      <c r="R233" s="1647"/>
      <c r="S233" s="1647"/>
      <c r="T233" s="1647"/>
      <c r="V233" s="33" t="s">
        <v>87</v>
      </c>
      <c r="W233" s="1620" t="s">
        <v>2626</v>
      </c>
      <c r="X233" s="1350"/>
      <c r="Y233" s="4" t="s">
        <v>592</v>
      </c>
      <c r="AC233" s="1647">
        <v>90017</v>
      </c>
      <c r="AD233" s="1647"/>
      <c r="AE233" s="1647"/>
      <c r="BB233" s="219" t="s">
        <v>547</v>
      </c>
      <c r="BG233" s="259">
        <f>IF(AND(AND($M$248="nonprofit",$M$256="for profit",$M$264="nonprofit")),2,0)</f>
        <v>0</v>
      </c>
    </row>
    <row r="234" spans="1:69" ht="12.95" customHeight="1">
      <c r="D234" s="4" t="s">
        <v>88</v>
      </c>
      <c r="E234" s="4"/>
      <c r="F234" s="4"/>
      <c r="G234" s="4"/>
      <c r="H234" s="4"/>
      <c r="I234" s="4"/>
      <c r="J234" s="4"/>
      <c r="K234" s="19"/>
      <c r="M234" s="1352" t="s">
        <v>2646</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355">
        <v>2136107649</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2.95" customHeight="1">
      <c r="D236" s="4" t="s">
        <v>91</v>
      </c>
      <c r="E236" s="4"/>
      <c r="F236" s="4"/>
      <c r="M236" s="1745" t="s">
        <v>2676</v>
      </c>
      <c r="N236" s="1745"/>
      <c r="O236" s="1745"/>
      <c r="P236" s="1745"/>
      <c r="Q236" s="1745"/>
      <c r="R236" s="1745"/>
      <c r="S236" s="1745"/>
      <c r="T236" s="1745"/>
      <c r="U236" s="1745"/>
      <c r="V236" s="1745"/>
      <c r="W236" s="1745"/>
      <c r="X236" s="1745"/>
      <c r="Y236" s="1745"/>
      <c r="Z236" s="1745"/>
      <c r="AA236" s="1745"/>
      <c r="AB236" s="1745"/>
      <c r="AC236" s="1745"/>
      <c r="AD236" s="1745"/>
      <c r="AE236" s="1745"/>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60" t="s">
        <v>379</v>
      </c>
      <c r="N237" s="1360"/>
      <c r="O237" s="1360"/>
      <c r="P237" s="1360"/>
      <c r="Q237" s="1360"/>
      <c r="R237" s="1360"/>
      <c r="S237" s="1360"/>
      <c r="T237" s="1360"/>
      <c r="U237" s="218" t="s">
        <v>939</v>
      </c>
      <c r="V237" s="218"/>
      <c r="W237" s="218"/>
      <c r="X237" s="218"/>
      <c r="Y237" s="218"/>
      <c r="Z237" s="218"/>
      <c r="AA237" s="1747"/>
      <c r="AB237" s="1747"/>
      <c r="AC237" s="1747"/>
      <c r="AD237" s="1747"/>
      <c r="AE237" s="1747"/>
      <c r="AF237" s="1747"/>
      <c r="AG237" s="1747"/>
      <c r="AH237" s="1747"/>
      <c r="AI237" s="1747"/>
      <c r="AJ237" s="1747"/>
      <c r="AK237" s="1747"/>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757" t="s">
        <v>2667</v>
      </c>
      <c r="N242" s="1750"/>
      <c r="O242" s="1750"/>
      <c r="P242" s="1750"/>
      <c r="Q242" s="1750"/>
      <c r="R242" s="1750"/>
      <c r="S242" s="1750"/>
      <c r="T242" s="1750"/>
      <c r="U242" s="1750"/>
      <c r="V242" s="1750"/>
      <c r="W242" s="1750"/>
      <c r="X242" s="1750"/>
      <c r="Y242" s="1750"/>
      <c r="Z242" s="1750"/>
      <c r="AA242" s="1750"/>
      <c r="AB242" s="1750"/>
      <c r="AC242" s="1750"/>
      <c r="AD242" s="1750"/>
      <c r="AE242" s="1750"/>
      <c r="AF242" s="1750" t="s">
        <v>2631</v>
      </c>
      <c r="AG242" s="1750"/>
      <c r="AH242" s="1750"/>
      <c r="AI242" s="1750"/>
      <c r="AJ242" s="1750"/>
      <c r="AK242" s="1750"/>
      <c r="BO242" s="34"/>
      <c r="BP242" s="4"/>
      <c r="BQ242" s="4"/>
      <c r="BR242" s="4"/>
      <c r="BS242" s="4"/>
    </row>
    <row r="243" spans="1:71" ht="12.95" customHeight="1">
      <c r="A243" s="19"/>
      <c r="B243" s="4"/>
      <c r="C243" s="4"/>
      <c r="D243" s="4" t="s">
        <v>86</v>
      </c>
      <c r="E243" s="4"/>
      <c r="F243" s="4"/>
      <c r="G243" s="4"/>
      <c r="H243" s="4"/>
      <c r="I243" s="4"/>
      <c r="J243" s="4"/>
      <c r="K243" s="4"/>
      <c r="L243" s="4"/>
      <c r="M243" s="1352" t="s">
        <v>2625</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1322</v>
      </c>
      <c r="AL243" s="4"/>
      <c r="AM243" s="4"/>
      <c r="AN243" s="4"/>
      <c r="AO243" s="4"/>
      <c r="AP243" s="4"/>
      <c r="AQ243" s="4"/>
      <c r="AR243" s="4"/>
      <c r="AS243" s="4"/>
      <c r="AT243" s="4"/>
      <c r="AU243" s="4"/>
      <c r="AV243" s="4"/>
      <c r="AW243" s="4"/>
      <c r="AX243" s="4"/>
      <c r="AY243" s="4"/>
      <c r="BG243">
        <f>SUM(BG226:BG241)</f>
        <v>0</v>
      </c>
    </row>
    <row r="244" spans="1:71" ht="12.95" customHeight="1">
      <c r="A244" s="19"/>
      <c r="B244" s="4"/>
      <c r="C244" s="4"/>
      <c r="D244" s="4" t="s">
        <v>589</v>
      </c>
      <c r="E244" s="4"/>
      <c r="M244" s="1352" t="s">
        <v>503</v>
      </c>
      <c r="N244" s="1647"/>
      <c r="O244" s="1647"/>
      <c r="P244" s="1647"/>
      <c r="Q244" s="1647"/>
      <c r="R244" s="1647"/>
      <c r="S244" s="1647"/>
      <c r="T244" s="1647"/>
      <c r="V244" s="33" t="s">
        <v>87</v>
      </c>
      <c r="W244" s="1620" t="s">
        <v>2626</v>
      </c>
      <c r="X244" s="1350"/>
      <c r="Y244" s="4" t="s">
        <v>592</v>
      </c>
      <c r="AC244" s="1647">
        <v>90017</v>
      </c>
      <c r="AD244" s="1647"/>
      <c r="AE244" s="1647"/>
      <c r="AF244" s="3" t="s">
        <v>1323</v>
      </c>
      <c r="BB244" t="s">
        <v>309</v>
      </c>
      <c r="BG244">
        <v>1</v>
      </c>
      <c r="BH244" t="s">
        <v>543</v>
      </c>
    </row>
    <row r="245" spans="1:71" ht="12.95" customHeight="1">
      <c r="A245" s="19"/>
      <c r="B245" s="4"/>
      <c r="C245" s="4"/>
      <c r="D245" s="4" t="s">
        <v>88</v>
      </c>
      <c r="E245" s="4"/>
      <c r="F245" s="4"/>
      <c r="G245" s="4"/>
      <c r="H245" s="4"/>
      <c r="I245" s="4"/>
      <c r="J245" s="4"/>
      <c r="K245" s="4"/>
      <c r="L245" s="19"/>
      <c r="M245" s="1352" t="s">
        <v>2646</v>
      </c>
      <c r="N245" s="1647"/>
      <c r="O245" s="1647"/>
      <c r="P245" s="1647"/>
      <c r="Q245" s="1647"/>
      <c r="R245" s="1647"/>
      <c r="S245" s="1647"/>
      <c r="T245" s="1647"/>
      <c r="U245" s="1647"/>
      <c r="V245" s="1647"/>
      <c r="W245" s="1647"/>
      <c r="X245" s="1647"/>
      <c r="Y245" s="1647"/>
      <c r="Z245" s="1647"/>
      <c r="AA245" s="1647"/>
      <c r="AB245" s="1647"/>
      <c r="AC245" s="1647"/>
      <c r="AD245" s="1647"/>
      <c r="AE245" s="1647"/>
      <c r="AH245" s="1742">
        <v>1E-3</v>
      </c>
      <c r="AI245" s="1742"/>
      <c r="AJ245" s="1742"/>
      <c r="AK245" s="1742"/>
      <c r="AL245" s="4"/>
      <c r="AM245" s="4"/>
      <c r="AN245" s="4"/>
      <c r="AO245" s="4"/>
      <c r="AP245" s="4"/>
      <c r="AQ245" s="4"/>
      <c r="AR245" s="4"/>
      <c r="AS245" s="4"/>
      <c r="AT245" s="4"/>
      <c r="AU245" s="4"/>
      <c r="AV245" s="4"/>
      <c r="AW245" s="4"/>
      <c r="AX245" s="4"/>
      <c r="AY245" s="4"/>
      <c r="BB245" s="4" t="s">
        <v>282</v>
      </c>
      <c r="BG245">
        <v>2</v>
      </c>
      <c r="BH245" t="s">
        <v>575</v>
      </c>
      <c r="BO245" s="257" t="e">
        <f>VLOOKUP(BG243,BG244:BH246,2,FALSE)</f>
        <v>#N/A</v>
      </c>
    </row>
    <row r="246" spans="1:71" ht="12.95" customHeight="1">
      <c r="A246" s="19"/>
      <c r="B246" s="4"/>
      <c r="C246" s="4"/>
      <c r="D246" s="4" t="s">
        <v>89</v>
      </c>
      <c r="E246" s="4"/>
      <c r="F246" s="4"/>
      <c r="M246" s="1355">
        <v>2136107649</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545</v>
      </c>
      <c r="BN246" s="34"/>
    </row>
    <row r="247" spans="1:71" ht="12.95" customHeight="1">
      <c r="A247" s="19"/>
      <c r="B247" s="4"/>
      <c r="C247" s="4"/>
      <c r="D247" s="4" t="s">
        <v>91</v>
      </c>
      <c r="E247" s="4"/>
      <c r="F247" s="4"/>
      <c r="M247" s="1745" t="s">
        <v>2676</v>
      </c>
      <c r="N247" s="1745"/>
      <c r="O247" s="1745"/>
      <c r="P247" s="1745"/>
      <c r="Q247" s="1745"/>
      <c r="R247" s="1745"/>
      <c r="S247" s="1745"/>
      <c r="T247" s="1745"/>
      <c r="U247" s="1745"/>
      <c r="V247" s="1745"/>
      <c r="W247" s="1745"/>
      <c r="X247" s="1745"/>
      <c r="Y247" s="1745"/>
      <c r="Z247" s="1745"/>
      <c r="AA247" s="1745"/>
      <c r="AB247" s="1745"/>
      <c r="AC247" s="1745"/>
      <c r="AD247" s="1745"/>
      <c r="AE247" s="1745"/>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60" t="s">
        <v>543</v>
      </c>
      <c r="N248" s="1360"/>
      <c r="O248" s="1360"/>
      <c r="P248" s="1360"/>
      <c r="Q248" s="1360"/>
      <c r="R248" s="1360"/>
      <c r="S248" s="1360"/>
      <c r="T248" s="1360"/>
      <c r="U248" s="218" t="s">
        <v>939</v>
      </c>
      <c r="V248" s="218"/>
      <c r="W248" s="218"/>
      <c r="X248" s="218"/>
      <c r="Y248" s="218"/>
      <c r="Z248" s="218"/>
      <c r="AA248" s="1774" t="s">
        <v>2627</v>
      </c>
      <c r="AB248" s="1747"/>
      <c r="AC248" s="1747"/>
      <c r="AD248" s="1747"/>
      <c r="AE248" s="1747"/>
      <c r="AF248" s="1747"/>
      <c r="AG248" s="1747"/>
      <c r="AH248" s="1747"/>
      <c r="AI248" s="1747"/>
      <c r="AJ248" s="1747"/>
      <c r="AK248" s="1747"/>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757"/>
      <c r="N250" s="1750"/>
      <c r="O250" s="1750"/>
      <c r="P250" s="1750"/>
      <c r="Q250" s="1750"/>
      <c r="R250" s="1750"/>
      <c r="S250" s="1750"/>
      <c r="T250" s="1750"/>
      <c r="U250" s="1750"/>
      <c r="V250" s="1750"/>
      <c r="W250" s="1750"/>
      <c r="X250" s="1750"/>
      <c r="Y250" s="1750"/>
      <c r="Z250" s="1750"/>
      <c r="AA250" s="1750"/>
      <c r="AB250" s="1750"/>
      <c r="AC250" s="1750"/>
      <c r="AD250" s="1750"/>
      <c r="AE250" s="1750"/>
      <c r="AF250" s="1750" t="s">
        <v>309</v>
      </c>
      <c r="AG250" s="1750"/>
      <c r="AH250" s="1750"/>
      <c r="AI250" s="1750"/>
      <c r="AJ250" s="1750"/>
      <c r="AK250" s="1750"/>
      <c r="BN250" s="34"/>
    </row>
    <row r="251" spans="1:71" ht="12.95" customHeight="1">
      <c r="A251" s="19"/>
      <c r="B251" s="4"/>
      <c r="C251" s="4"/>
      <c r="D251" s="4" t="s">
        <v>86</v>
      </c>
      <c r="E251" s="4"/>
      <c r="F251" s="4"/>
      <c r="G251" s="4"/>
      <c r="H251" s="4"/>
      <c r="I251" s="4"/>
      <c r="J251" s="4"/>
      <c r="K251" s="4"/>
      <c r="L251" s="4"/>
      <c r="M251" s="1352"/>
      <c r="N251" s="1647"/>
      <c r="O251" s="1647"/>
      <c r="P251" s="1647"/>
      <c r="Q251" s="1647"/>
      <c r="R251" s="1647"/>
      <c r="S251" s="1647"/>
      <c r="T251" s="1647"/>
      <c r="U251" s="1647"/>
      <c r="V251" s="1647"/>
      <c r="W251" s="1647"/>
      <c r="X251" s="1647"/>
      <c r="Y251" s="1647"/>
      <c r="Z251" s="1647"/>
      <c r="AA251" s="1647"/>
      <c r="AB251" s="1647"/>
      <c r="AC251" s="1647"/>
      <c r="AD251" s="1647"/>
      <c r="AE251" s="1647"/>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352"/>
      <c r="N252" s="1647"/>
      <c r="O252" s="1647"/>
      <c r="P252" s="1647"/>
      <c r="Q252" s="1647"/>
      <c r="R252" s="1647"/>
      <c r="S252" s="1647"/>
      <c r="T252" s="1647"/>
      <c r="V252" s="33" t="s">
        <v>87</v>
      </c>
      <c r="W252" s="1620"/>
      <c r="X252" s="1350"/>
      <c r="Y252" s="4" t="s">
        <v>592</v>
      </c>
      <c r="AC252" s="1647"/>
      <c r="AD252" s="1647"/>
      <c r="AE252" s="1647"/>
      <c r="AF252" s="3" t="s">
        <v>1323</v>
      </c>
      <c r="BN252" s="34"/>
    </row>
    <row r="253" spans="1:71" ht="12.95" customHeight="1">
      <c r="A253" s="19"/>
      <c r="B253" s="4"/>
      <c r="C253" s="4"/>
      <c r="D253" s="4" t="s">
        <v>88</v>
      </c>
      <c r="E253" s="4"/>
      <c r="F253" s="4"/>
      <c r="G253" s="4"/>
      <c r="H253" s="4"/>
      <c r="I253" s="4"/>
      <c r="J253" s="4"/>
      <c r="K253" s="4"/>
      <c r="L253" s="19"/>
      <c r="M253" s="1352"/>
      <c r="N253" s="1647"/>
      <c r="O253" s="1647"/>
      <c r="P253" s="1647"/>
      <c r="Q253" s="1647"/>
      <c r="R253" s="1647"/>
      <c r="S253" s="1647"/>
      <c r="T253" s="1647"/>
      <c r="U253" s="1647"/>
      <c r="V253" s="1647"/>
      <c r="W253" s="1647"/>
      <c r="X253" s="1647"/>
      <c r="Y253" s="1647"/>
      <c r="Z253" s="1647"/>
      <c r="AA253" s="1647"/>
      <c r="AB253" s="1647"/>
      <c r="AC253" s="1647"/>
      <c r="AD253" s="1647"/>
      <c r="AE253" s="1647"/>
      <c r="AH253" s="1742"/>
      <c r="AI253" s="1742"/>
      <c r="AJ253" s="1742"/>
      <c r="AK253" s="174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355"/>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2.95" customHeight="1">
      <c r="A255" s="19"/>
      <c r="B255" s="4"/>
      <c r="C255" s="4"/>
      <c r="D255" s="4" t="s">
        <v>91</v>
      </c>
      <c r="E255" s="4"/>
      <c r="F255" s="4"/>
      <c r="M255" s="1745"/>
      <c r="N255" s="1745"/>
      <c r="O255" s="1745"/>
      <c r="P255" s="1745"/>
      <c r="Q255" s="1745"/>
      <c r="R255" s="1745"/>
      <c r="S255" s="1745"/>
      <c r="T255" s="1745"/>
      <c r="U255" s="1745"/>
      <c r="V255" s="1745"/>
      <c r="W255" s="1745"/>
      <c r="X255" s="1745"/>
      <c r="Y255" s="1745"/>
      <c r="Z255" s="1745"/>
      <c r="AA255" s="1745"/>
      <c r="AB255" s="1745"/>
      <c r="AC255" s="1745"/>
      <c r="AD255" s="1745"/>
      <c r="AE255" s="1745"/>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60"/>
      <c r="N256" s="1360"/>
      <c r="O256" s="1360"/>
      <c r="P256" s="1360"/>
      <c r="Q256" s="1360"/>
      <c r="R256" s="1360"/>
      <c r="S256" s="1360"/>
      <c r="T256" s="1360"/>
      <c r="U256" s="218" t="s">
        <v>939</v>
      </c>
      <c r="V256" s="218"/>
      <c r="W256" s="218"/>
      <c r="X256" s="218"/>
      <c r="Y256" s="218"/>
      <c r="Z256" s="218"/>
      <c r="AA256" s="1747"/>
      <c r="AB256" s="1747"/>
      <c r="AC256" s="1747"/>
      <c r="AD256" s="1747"/>
      <c r="AE256" s="1747"/>
      <c r="AF256" s="1747"/>
      <c r="AG256" s="1747"/>
      <c r="AH256" s="1747"/>
      <c r="AI256" s="1747"/>
      <c r="AJ256" s="1747"/>
      <c r="AK256" s="1747"/>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757"/>
      <c r="N258" s="1750"/>
      <c r="O258" s="1750"/>
      <c r="P258" s="1750"/>
      <c r="Q258" s="1750"/>
      <c r="R258" s="1750"/>
      <c r="S258" s="1750"/>
      <c r="T258" s="1750"/>
      <c r="U258" s="1750"/>
      <c r="V258" s="1750"/>
      <c r="W258" s="1750"/>
      <c r="X258" s="1750"/>
      <c r="Y258" s="1750"/>
      <c r="Z258" s="1750"/>
      <c r="AA258" s="1750"/>
      <c r="AB258" s="1750"/>
      <c r="AC258" s="1750"/>
      <c r="AD258" s="1750"/>
      <c r="AE258" s="1750"/>
      <c r="AF258" s="1750" t="s">
        <v>309</v>
      </c>
      <c r="AG258" s="1750"/>
      <c r="AH258" s="1750"/>
      <c r="AI258" s="1750"/>
      <c r="AJ258" s="1750"/>
      <c r="AK258" s="175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647"/>
      <c r="N260" s="1647"/>
      <c r="O260" s="1647"/>
      <c r="P260" s="1647"/>
      <c r="Q260" s="1647"/>
      <c r="R260" s="1647"/>
      <c r="S260" s="1647"/>
      <c r="T260" s="1647"/>
      <c r="V260" s="33" t="s">
        <v>87</v>
      </c>
      <c r="W260" s="1350"/>
      <c r="X260" s="1350"/>
      <c r="Y260" s="4" t="s">
        <v>592</v>
      </c>
      <c r="AC260" s="1647"/>
      <c r="AD260" s="1647"/>
      <c r="AE260" s="1647"/>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2"/>
      <c r="AI261" s="1742"/>
      <c r="AJ261" s="1742"/>
      <c r="AK261" s="174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745"/>
      <c r="N263" s="1745"/>
      <c r="O263" s="1745"/>
      <c r="P263" s="1745"/>
      <c r="Q263" s="1745"/>
      <c r="R263" s="1745"/>
      <c r="S263" s="1745"/>
      <c r="T263" s="1745"/>
      <c r="U263" s="1745"/>
      <c r="V263" s="1745"/>
      <c r="W263" s="1745"/>
      <c r="X263" s="1745"/>
      <c r="Y263" s="1745"/>
      <c r="Z263" s="1745"/>
      <c r="AA263" s="1776"/>
      <c r="AB263" s="1776"/>
      <c r="AC263" s="1776"/>
      <c r="AD263" s="1776"/>
      <c r="AE263" s="1776"/>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60"/>
      <c r="N264" s="1360"/>
      <c r="O264" s="1360"/>
      <c r="P264" s="1360"/>
      <c r="Q264" s="1360"/>
      <c r="R264" s="1360"/>
      <c r="S264" s="1360"/>
      <c r="T264" s="1360"/>
      <c r="U264" s="218" t="s">
        <v>939</v>
      </c>
      <c r="V264" s="218"/>
      <c r="W264" s="218"/>
      <c r="X264" s="218"/>
      <c r="Y264" s="218"/>
      <c r="Z264" s="218"/>
      <c r="AA264" s="1743"/>
      <c r="AB264" s="1743"/>
      <c r="AC264" s="1743"/>
      <c r="AD264" s="1743"/>
      <c r="AE264" s="1743"/>
      <c r="AF264" s="1743"/>
      <c r="AG264" s="1743"/>
      <c r="AH264" s="1743"/>
      <c r="AI264" s="1743"/>
      <c r="AJ264" s="1743"/>
      <c r="AK264" s="1743"/>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775" t="e">
        <f>BO245</f>
        <v>#N/A</v>
      </c>
      <c r="U266" s="1775"/>
      <c r="V266" s="1775"/>
      <c r="W266" s="1775"/>
      <c r="X266" s="1775"/>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647" t="s">
        <v>282</v>
      </c>
      <c r="E269" s="1647"/>
      <c r="F269" s="1647"/>
      <c r="G269" s="1647"/>
      <c r="H269" s="1647"/>
      <c r="J269" t="s">
        <v>281</v>
      </c>
      <c r="X269" s="1635"/>
      <c r="Y269" s="1635"/>
      <c r="Z269" s="1635"/>
      <c r="AA269" s="1635"/>
      <c r="AB269" s="1635"/>
      <c r="AC269" s="1635"/>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757" t="s">
        <v>2636</v>
      </c>
      <c r="M273" s="1750"/>
      <c r="N273" s="1750"/>
      <c r="O273" s="1750"/>
      <c r="P273" s="1750"/>
      <c r="Q273" s="1750"/>
      <c r="R273" s="1750"/>
      <c r="S273" s="1750"/>
      <c r="T273" s="1750"/>
      <c r="U273" s="1750"/>
      <c r="V273" s="1750"/>
      <c r="W273" s="1750"/>
      <c r="X273" s="1750"/>
      <c r="Y273" s="1750"/>
      <c r="Z273" s="1750"/>
      <c r="AA273" s="1750"/>
      <c r="AB273" s="1750"/>
      <c r="AC273" s="1750"/>
      <c r="AD273" s="1750"/>
      <c r="AE273" s="1750"/>
      <c r="AF273" s="1750"/>
      <c r="AG273" s="1750"/>
      <c r="AH273" s="1750"/>
      <c r="AI273" s="1750"/>
      <c r="AJ273" s="1750"/>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352" t="s">
        <v>2628</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352" t="s">
        <v>67</v>
      </c>
      <c r="M275" s="1647"/>
      <c r="N275" s="1647"/>
      <c r="O275" s="1647"/>
      <c r="P275" s="1647"/>
      <c r="Q275" s="1647"/>
      <c r="R275" s="1647"/>
      <c r="S275" s="1647"/>
      <c r="U275" s="33" t="s">
        <v>87</v>
      </c>
      <c r="V275" s="1620" t="s">
        <v>2626</v>
      </c>
      <c r="W275" s="1350"/>
      <c r="X275" s="4" t="s">
        <v>592</v>
      </c>
      <c r="AB275" s="1647">
        <v>92507</v>
      </c>
      <c r="AC275" s="1647"/>
      <c r="AD275" s="164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352" t="s">
        <v>2629</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355">
        <v>9515386244</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2.95" customHeight="1">
      <c r="D278" s="4" t="s">
        <v>91</v>
      </c>
      <c r="E278" s="4"/>
      <c r="F278" s="4"/>
      <c r="L278" s="1745" t="s">
        <v>2630</v>
      </c>
      <c r="M278" s="1745"/>
      <c r="N278" s="1745"/>
      <c r="O278" s="1745"/>
      <c r="P278" s="1745"/>
      <c r="Q278" s="1745"/>
      <c r="R278" s="1745"/>
      <c r="S278" s="1745"/>
      <c r="T278" s="1745"/>
      <c r="U278" s="1745"/>
      <c r="V278" s="1745"/>
      <c r="W278" s="1745"/>
      <c r="X278" s="1745"/>
      <c r="Y278" s="1745"/>
      <c r="Z278" s="1745"/>
      <c r="AA278" s="1745"/>
      <c r="AB278" s="1745"/>
      <c r="AC278" s="1745"/>
      <c r="AD278" s="1745"/>
      <c r="AF278" s="4"/>
      <c r="AG278" s="4"/>
      <c r="AH278" s="4"/>
      <c r="AI278" s="4"/>
      <c r="AJ278" s="4"/>
      <c r="BN278" s="34"/>
    </row>
    <row r="279" spans="1:66" ht="12.95" customHeight="1">
      <c r="D279" s="3" t="s">
        <v>632</v>
      </c>
      <c r="E279" s="3"/>
      <c r="F279" s="3"/>
      <c r="G279" s="3"/>
      <c r="H279" s="3"/>
      <c r="I279" s="3"/>
      <c r="L279" s="1620" t="s">
        <v>2707</v>
      </c>
      <c r="M279" s="1620"/>
      <c r="N279" s="1620"/>
      <c r="O279" s="1620"/>
      <c r="P279" s="1620"/>
      <c r="Q279" s="1620"/>
      <c r="R279" s="1620"/>
      <c r="S279" s="1620"/>
      <c r="T279" s="1620"/>
      <c r="U279" s="1620"/>
      <c r="V279" s="1620"/>
      <c r="W279" s="1620"/>
      <c r="X279" s="1620"/>
      <c r="Y279" s="1620"/>
      <c r="Z279" s="1620"/>
      <c r="AA279" s="1620"/>
      <c r="AB279" s="1620"/>
      <c r="AC279" s="1620"/>
      <c r="AD279" s="1620"/>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2.95"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52" t="s">
        <v>2642</v>
      </c>
      <c r="I286" s="1353"/>
      <c r="J286" s="1353"/>
      <c r="K286" s="1353"/>
      <c r="L286" s="1353"/>
      <c r="M286" s="1353"/>
      <c r="N286" s="1353"/>
      <c r="O286" s="1353"/>
      <c r="P286" s="1353"/>
      <c r="Q286" s="1353"/>
      <c r="R286" s="1353"/>
      <c r="T286" s="3" t="s">
        <v>576</v>
      </c>
      <c r="V286" s="3"/>
      <c r="W286" s="3"/>
      <c r="X286" s="3"/>
      <c r="Y286" s="3"/>
      <c r="AA286" s="1352" t="s">
        <v>2648</v>
      </c>
      <c r="AB286" s="1353"/>
      <c r="AC286" s="1353"/>
      <c r="AD286" s="1353"/>
      <c r="AE286" s="1353"/>
      <c r="AF286" s="1353"/>
      <c r="AG286" s="1353"/>
      <c r="AH286" s="1353"/>
      <c r="AI286" s="1353"/>
      <c r="AJ286" s="1353"/>
      <c r="AK286" s="1353"/>
      <c r="BN286" s="34"/>
    </row>
    <row r="287" spans="1:66" ht="12.95" customHeight="1">
      <c r="B287" s="3" t="s">
        <v>480</v>
      </c>
      <c r="C287" s="3"/>
      <c r="D287" s="3"/>
      <c r="E287" s="3"/>
      <c r="F287" s="3"/>
      <c r="H287" s="1620" t="s">
        <v>2644</v>
      </c>
      <c r="I287" s="1360"/>
      <c r="J287" s="1360"/>
      <c r="K287" s="1360"/>
      <c r="L287" s="1360"/>
      <c r="M287" s="1360"/>
      <c r="N287" s="1360"/>
      <c r="O287" s="1360"/>
      <c r="P287" s="1360"/>
      <c r="Q287" s="1360"/>
      <c r="R287" s="1360"/>
      <c r="T287" s="3" t="s">
        <v>480</v>
      </c>
      <c r="V287" s="3"/>
      <c r="W287" s="3"/>
      <c r="X287" s="3"/>
      <c r="Y287" s="3"/>
      <c r="AA287" s="1620" t="s">
        <v>2649</v>
      </c>
      <c r="AB287" s="1360"/>
      <c r="AC287" s="1360"/>
      <c r="AD287" s="1360"/>
      <c r="AE287" s="1360"/>
      <c r="AF287" s="1360"/>
      <c r="AG287" s="1360"/>
      <c r="AH287" s="1360"/>
      <c r="AI287" s="1360"/>
      <c r="AJ287" s="1360"/>
      <c r="AK287" s="1360"/>
      <c r="BN287" s="34"/>
    </row>
    <row r="288" spans="1:66" ht="12.95" customHeight="1">
      <c r="B288" s="3" t="s">
        <v>481</v>
      </c>
      <c r="C288" s="3"/>
      <c r="D288" s="3"/>
      <c r="E288" s="3"/>
      <c r="F288" s="3"/>
      <c r="H288" s="1620" t="s">
        <v>2645</v>
      </c>
      <c r="I288" s="1360"/>
      <c r="J288" s="1360"/>
      <c r="K288" s="1360"/>
      <c r="L288" s="1360"/>
      <c r="M288" s="1360"/>
      <c r="N288" s="1360"/>
      <c r="O288" s="1360"/>
      <c r="P288" s="1360"/>
      <c r="Q288" s="1360"/>
      <c r="R288" s="1360"/>
      <c r="T288" s="3" t="s">
        <v>76</v>
      </c>
      <c r="V288" s="3"/>
      <c r="W288" s="3"/>
      <c r="X288" s="3"/>
      <c r="Y288" s="3"/>
      <c r="AA288" s="1620" t="s">
        <v>2650</v>
      </c>
      <c r="AB288" s="1360"/>
      <c r="AC288" s="1360"/>
      <c r="AD288" s="1360"/>
      <c r="AE288" s="1360"/>
      <c r="AF288" s="1360"/>
      <c r="AG288" s="1360"/>
      <c r="AH288" s="1360"/>
      <c r="AI288" s="1360"/>
      <c r="AJ288" s="1360"/>
      <c r="AK288" s="1360"/>
      <c r="BN288" s="34"/>
    </row>
    <row r="289" spans="2:66" ht="12.95" customHeight="1">
      <c r="B289" s="3" t="s">
        <v>88</v>
      </c>
      <c r="C289" s="3"/>
      <c r="D289" s="3"/>
      <c r="E289" s="3"/>
      <c r="F289" s="3"/>
      <c r="H289" s="1620" t="s">
        <v>2646</v>
      </c>
      <c r="I289" s="1360"/>
      <c r="J289" s="1360"/>
      <c r="K289" s="1360"/>
      <c r="L289" s="1360"/>
      <c r="M289" s="1360"/>
      <c r="N289" s="1360"/>
      <c r="O289" s="1360"/>
      <c r="P289" s="1360"/>
      <c r="Q289" s="1360"/>
      <c r="R289" s="1360"/>
      <c r="T289" s="3" t="s">
        <v>88</v>
      </c>
      <c r="V289" s="3"/>
      <c r="W289" s="3"/>
      <c r="X289" s="3"/>
      <c r="Y289" s="3"/>
      <c r="AA289" s="1620" t="s">
        <v>2651</v>
      </c>
      <c r="AB289" s="1360"/>
      <c r="AC289" s="1360"/>
      <c r="AD289" s="1360"/>
      <c r="AE289" s="1360"/>
      <c r="AF289" s="1360"/>
      <c r="AG289" s="1360"/>
      <c r="AH289" s="1360"/>
      <c r="AI289" s="1360"/>
      <c r="AJ289" s="1360"/>
      <c r="AK289" s="1360"/>
      <c r="BN289" s="34"/>
    </row>
    <row r="290" spans="2:66" ht="12.95" customHeight="1">
      <c r="B290" s="3" t="s">
        <v>89</v>
      </c>
      <c r="C290" s="3"/>
      <c r="D290" s="3"/>
      <c r="E290" s="3"/>
      <c r="F290" s="3"/>
      <c r="G290" s="3"/>
      <c r="H290" s="1648">
        <v>2136107649</v>
      </c>
      <c r="I290" s="1648"/>
      <c r="J290" s="1648"/>
      <c r="K290" s="1648"/>
      <c r="L290" s="1648"/>
      <c r="M290" s="1648"/>
      <c r="N290" s="4" t="s">
        <v>208</v>
      </c>
      <c r="O290" s="4"/>
      <c r="P290" s="1647"/>
      <c r="Q290" s="1647"/>
      <c r="R290" s="1647"/>
      <c r="S290" s="3"/>
      <c r="T290" s="3" t="s">
        <v>89</v>
      </c>
      <c r="V290" s="3"/>
      <c r="W290" s="3"/>
      <c r="X290" s="3"/>
      <c r="Y290" s="3"/>
      <c r="AA290" s="1648">
        <v>2133273918</v>
      </c>
      <c r="AB290" s="1648"/>
      <c r="AC290" s="1648"/>
      <c r="AD290" s="1648"/>
      <c r="AE290" s="1648"/>
      <c r="AF290" s="1648"/>
      <c r="AG290" s="4" t="s">
        <v>208</v>
      </c>
      <c r="AH290" s="4"/>
      <c r="AI290" s="1647"/>
      <c r="AJ290" s="1647"/>
      <c r="AK290" s="1647"/>
      <c r="BN290" s="34"/>
    </row>
    <row r="291" spans="2:66" ht="12.95"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2.95" customHeight="1">
      <c r="B292" s="3" t="s">
        <v>77</v>
      </c>
      <c r="C292" s="3"/>
      <c r="D292" s="3"/>
      <c r="E292" s="3"/>
      <c r="F292" s="3"/>
      <c r="G292" s="3"/>
      <c r="H292" s="1620" t="s">
        <v>2647</v>
      </c>
      <c r="I292" s="1360"/>
      <c r="J292" s="1360"/>
      <c r="K292" s="1360"/>
      <c r="L292" s="1360"/>
      <c r="M292" s="1360"/>
      <c r="N292" s="1353"/>
      <c r="O292" s="1353"/>
      <c r="P292" s="1353"/>
      <c r="Q292" s="1353"/>
      <c r="R292" s="1353"/>
      <c r="S292" s="3"/>
      <c r="T292" s="3" t="s">
        <v>77</v>
      </c>
      <c r="V292" s="3"/>
      <c r="W292" s="3"/>
      <c r="X292" s="3"/>
      <c r="Y292" s="3"/>
      <c r="AA292" s="1620" t="s">
        <v>2652</v>
      </c>
      <c r="AB292" s="1360"/>
      <c r="AC292" s="1360"/>
      <c r="AD292" s="1360"/>
      <c r="AE292" s="1360"/>
      <c r="AF292" s="1360"/>
      <c r="AG292" s="1353"/>
      <c r="AH292" s="1353"/>
      <c r="AI292" s="1353"/>
      <c r="AJ292" s="1353"/>
      <c r="AK292" s="1353"/>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52" t="s">
        <v>2653</v>
      </c>
      <c r="I294" s="1353"/>
      <c r="J294" s="1353"/>
      <c r="K294" s="1353"/>
      <c r="L294" s="1353"/>
      <c r="M294" s="1353"/>
      <c r="N294" s="1353"/>
      <c r="O294" s="1353"/>
      <c r="P294" s="1353"/>
      <c r="Q294" s="1353"/>
      <c r="R294" s="1353"/>
      <c r="T294" s="3" t="s">
        <v>366</v>
      </c>
      <c r="V294" s="3"/>
      <c r="W294" s="3"/>
      <c r="X294" s="3"/>
      <c r="Y294" s="3"/>
      <c r="AA294" s="1353"/>
      <c r="AB294" s="1353"/>
      <c r="AC294" s="1353"/>
      <c r="AD294" s="1353"/>
      <c r="AE294" s="1353"/>
      <c r="AF294" s="1353"/>
      <c r="AG294" s="1353"/>
      <c r="AH294" s="1353"/>
      <c r="AI294" s="1353"/>
      <c r="AJ294" s="1353"/>
      <c r="AK294" s="1353"/>
      <c r="BN294" s="34"/>
    </row>
    <row r="295" spans="2:66" ht="12.95" customHeight="1">
      <c r="B295" s="3" t="s">
        <v>480</v>
      </c>
      <c r="C295" s="3"/>
      <c r="D295" s="3"/>
      <c r="E295" s="3"/>
      <c r="F295" s="3"/>
      <c r="H295" s="1620" t="s">
        <v>2654</v>
      </c>
      <c r="I295" s="1360"/>
      <c r="J295" s="1360"/>
      <c r="K295" s="1360"/>
      <c r="L295" s="1360"/>
      <c r="M295" s="1360"/>
      <c r="N295" s="1360"/>
      <c r="O295" s="1360"/>
      <c r="P295" s="1360"/>
      <c r="Q295" s="1360"/>
      <c r="R295" s="1360"/>
      <c r="T295" s="3" t="s">
        <v>480</v>
      </c>
      <c r="V295" s="3"/>
      <c r="W295" s="3"/>
      <c r="X295" s="3"/>
      <c r="Y295" s="3"/>
      <c r="AA295" s="1360"/>
      <c r="AB295" s="1360"/>
      <c r="AC295" s="1360"/>
      <c r="AD295" s="1360"/>
      <c r="AE295" s="1360"/>
      <c r="AF295" s="1360"/>
      <c r="AG295" s="1360"/>
      <c r="AH295" s="1360"/>
      <c r="AI295" s="1360"/>
      <c r="AJ295" s="1360"/>
      <c r="AK295" s="1360"/>
      <c r="BN295" s="34"/>
    </row>
    <row r="296" spans="2:66" ht="12.95" customHeight="1">
      <c r="B296" s="3" t="s">
        <v>481</v>
      </c>
      <c r="C296" s="3"/>
      <c r="D296" s="3"/>
      <c r="E296" s="3"/>
      <c r="F296" s="3"/>
      <c r="H296" s="1620" t="s">
        <v>2645</v>
      </c>
      <c r="I296" s="1360"/>
      <c r="J296" s="1360"/>
      <c r="K296" s="1360"/>
      <c r="L296" s="1360"/>
      <c r="M296" s="1360"/>
      <c r="N296" s="1360"/>
      <c r="O296" s="1360"/>
      <c r="P296" s="1360"/>
      <c r="Q296" s="1360"/>
      <c r="R296" s="1360"/>
      <c r="T296" s="3" t="s">
        <v>76</v>
      </c>
      <c r="V296" s="3"/>
      <c r="W296" s="3"/>
      <c r="X296" s="3"/>
      <c r="Y296" s="3"/>
      <c r="AA296" s="1360"/>
      <c r="AB296" s="1360"/>
      <c r="AC296" s="1360"/>
      <c r="AD296" s="1360"/>
      <c r="AE296" s="1360"/>
      <c r="AF296" s="1360"/>
      <c r="AG296" s="1360"/>
      <c r="AH296" s="1360"/>
      <c r="AI296" s="1360"/>
      <c r="AJ296" s="1360"/>
      <c r="AK296" s="1360"/>
      <c r="BN296" s="34"/>
    </row>
    <row r="297" spans="2:66" ht="12.95" customHeight="1">
      <c r="B297" s="3" t="s">
        <v>88</v>
      </c>
      <c r="C297" s="3"/>
      <c r="D297" s="3"/>
      <c r="E297" s="3"/>
      <c r="F297" s="3"/>
      <c r="H297" s="1620" t="s">
        <v>2655</v>
      </c>
      <c r="I297" s="1360"/>
      <c r="J297" s="1360"/>
      <c r="K297" s="1360"/>
      <c r="L297" s="1360"/>
      <c r="M297" s="1360"/>
      <c r="N297" s="1360"/>
      <c r="O297" s="1360"/>
      <c r="P297" s="1360"/>
      <c r="Q297" s="1360"/>
      <c r="R297" s="1360"/>
      <c r="T297" s="3" t="s">
        <v>88</v>
      </c>
      <c r="V297" s="3"/>
      <c r="W297" s="3"/>
      <c r="X297" s="3"/>
      <c r="Y297" s="3"/>
      <c r="AA297" s="1360"/>
      <c r="AB297" s="1360"/>
      <c r="AC297" s="1360"/>
      <c r="AD297" s="1360"/>
      <c r="AE297" s="1360"/>
      <c r="AF297" s="1360"/>
      <c r="AG297" s="1360"/>
      <c r="AH297" s="1360"/>
      <c r="AI297" s="1360"/>
      <c r="AJ297" s="1360"/>
      <c r="AK297" s="1360"/>
      <c r="BN297" s="34"/>
    </row>
    <row r="298" spans="2:66" ht="12.95" customHeight="1">
      <c r="B298" s="3" t="s">
        <v>89</v>
      </c>
      <c r="C298" s="3"/>
      <c r="D298" s="3"/>
      <c r="E298" s="3"/>
      <c r="F298" s="3"/>
      <c r="G298" s="3"/>
      <c r="H298" s="1648">
        <v>2132193666</v>
      </c>
      <c r="I298" s="1648"/>
      <c r="J298" s="1648"/>
      <c r="K298" s="1648"/>
      <c r="L298" s="1648"/>
      <c r="M298" s="1648"/>
      <c r="N298" s="4" t="s">
        <v>208</v>
      </c>
      <c r="O298" s="4"/>
      <c r="P298" s="1647"/>
      <c r="Q298" s="1647"/>
      <c r="R298" s="1647"/>
      <c r="S298" s="3"/>
      <c r="T298" s="3" t="s">
        <v>89</v>
      </c>
      <c r="V298" s="3"/>
      <c r="W298" s="3"/>
      <c r="X298" s="3"/>
      <c r="Y298" s="3"/>
      <c r="AA298" s="1648"/>
      <c r="AB298" s="1648"/>
      <c r="AC298" s="1648"/>
      <c r="AD298" s="1648"/>
      <c r="AE298" s="1648"/>
      <c r="AF298" s="1648"/>
      <c r="AG298" s="4" t="s">
        <v>208</v>
      </c>
      <c r="AH298" s="4"/>
      <c r="AI298" s="1647"/>
      <c r="AJ298" s="1647"/>
      <c r="AK298" s="1647"/>
      <c r="BN298" s="34"/>
    </row>
    <row r="299" spans="2:66" ht="12.95"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2.95" customHeight="1">
      <c r="B300" s="3" t="s">
        <v>77</v>
      </c>
      <c r="C300" s="3"/>
      <c r="D300" s="3"/>
      <c r="E300" s="3"/>
      <c r="F300" s="3"/>
      <c r="G300" s="3"/>
      <c r="H300" s="1620" t="s">
        <v>2656</v>
      </c>
      <c r="I300" s="1360"/>
      <c r="J300" s="1360"/>
      <c r="K300" s="1360"/>
      <c r="L300" s="1360"/>
      <c r="M300" s="1360"/>
      <c r="N300" s="1353"/>
      <c r="O300" s="1353"/>
      <c r="P300" s="1353"/>
      <c r="Q300" s="1353"/>
      <c r="R300" s="1353"/>
      <c r="S300" s="3"/>
      <c r="T300" s="3" t="s">
        <v>77</v>
      </c>
      <c r="V300" s="3"/>
      <c r="W300" s="3"/>
      <c r="X300" s="3"/>
      <c r="Y300" s="3"/>
      <c r="AA300" s="1360"/>
      <c r="AB300" s="1360"/>
      <c r="AC300" s="1360"/>
      <c r="AD300" s="1360"/>
      <c r="AE300" s="1360"/>
      <c r="AF300" s="1360"/>
      <c r="AG300" s="1353"/>
      <c r="AH300" s="1353"/>
      <c r="AI300" s="1353"/>
      <c r="AJ300" s="1353"/>
      <c r="AK300" s="1353"/>
      <c r="BN300" s="34"/>
    </row>
    <row r="301" spans="2:66" ht="12.95" customHeight="1">
      <c r="BN301" s="34"/>
    </row>
    <row r="302" spans="2:66" ht="12.95" customHeight="1">
      <c r="B302" s="3" t="s">
        <v>78</v>
      </c>
      <c r="C302" s="3"/>
      <c r="D302" s="3"/>
      <c r="E302" s="3"/>
      <c r="F302" s="3"/>
      <c r="H302" s="1352" t="s">
        <v>2662</v>
      </c>
      <c r="I302" s="1353"/>
      <c r="J302" s="1353"/>
      <c r="K302" s="1353"/>
      <c r="L302" s="1353"/>
      <c r="M302" s="1353"/>
      <c r="N302" s="1353"/>
      <c r="O302" s="1353"/>
      <c r="P302" s="1353"/>
      <c r="Q302" s="1353"/>
      <c r="R302" s="1353"/>
      <c r="T302" s="4" t="s">
        <v>907</v>
      </c>
      <c r="V302" s="3"/>
      <c r="W302" s="3"/>
      <c r="X302" s="3"/>
      <c r="Y302" s="3"/>
      <c r="AA302" s="1353" t="s">
        <v>2670</v>
      </c>
      <c r="AB302" s="1353"/>
      <c r="AC302" s="1353"/>
      <c r="AD302" s="1353"/>
      <c r="AE302" s="1353"/>
      <c r="AF302" s="1353"/>
      <c r="AG302" s="1353"/>
      <c r="AH302" s="1353"/>
      <c r="AI302" s="1353"/>
      <c r="AJ302" s="1353"/>
      <c r="AK302" s="1353"/>
      <c r="BN302" s="34"/>
    </row>
    <row r="303" spans="2:66" ht="12.95" customHeight="1">
      <c r="B303" s="3" t="s">
        <v>480</v>
      </c>
      <c r="C303" s="3"/>
      <c r="D303" s="3"/>
      <c r="E303" s="3"/>
      <c r="F303" s="3"/>
      <c r="H303" s="1360" t="s">
        <v>2663</v>
      </c>
      <c r="I303" s="1360"/>
      <c r="J303" s="1360"/>
      <c r="K303" s="1360"/>
      <c r="L303" s="1360"/>
      <c r="M303" s="1360"/>
      <c r="N303" s="1360"/>
      <c r="O303" s="1360"/>
      <c r="P303" s="1360"/>
      <c r="Q303" s="1360"/>
      <c r="R303" s="1360"/>
      <c r="T303" s="3" t="s">
        <v>480</v>
      </c>
      <c r="V303" s="3"/>
      <c r="W303" s="3"/>
      <c r="X303" s="3"/>
      <c r="Y303" s="3"/>
      <c r="AA303" s="1360" t="s">
        <v>2671</v>
      </c>
      <c r="AB303" s="1360"/>
      <c r="AC303" s="1360"/>
      <c r="AD303" s="1360"/>
      <c r="AE303" s="1360"/>
      <c r="AF303" s="1360"/>
      <c r="AG303" s="1360"/>
      <c r="AH303" s="1360"/>
      <c r="AI303" s="1360"/>
      <c r="AJ303" s="1360"/>
      <c r="AK303" s="1360"/>
      <c r="BN303" s="34"/>
    </row>
    <row r="304" spans="2:66" ht="12.95" customHeight="1">
      <c r="B304" s="3" t="s">
        <v>481</v>
      </c>
      <c r="C304" s="3"/>
      <c r="D304" s="3"/>
      <c r="E304" s="3"/>
      <c r="F304" s="3"/>
      <c r="H304" s="1360" t="s">
        <v>2664</v>
      </c>
      <c r="I304" s="1360"/>
      <c r="J304" s="1360"/>
      <c r="K304" s="1360"/>
      <c r="L304" s="1360"/>
      <c r="M304" s="1360"/>
      <c r="N304" s="1360"/>
      <c r="O304" s="1360"/>
      <c r="P304" s="1360"/>
      <c r="Q304" s="1360"/>
      <c r="R304" s="1360"/>
      <c r="T304" s="3" t="s">
        <v>76</v>
      </c>
      <c r="V304" s="3"/>
      <c r="W304" s="3"/>
      <c r="X304" s="3"/>
      <c r="Y304" s="3"/>
      <c r="AA304" s="1360" t="s">
        <v>2672</v>
      </c>
      <c r="AB304" s="1360"/>
      <c r="AC304" s="1360"/>
      <c r="AD304" s="1360"/>
      <c r="AE304" s="1360"/>
      <c r="AF304" s="1360"/>
      <c r="AG304" s="1360"/>
      <c r="AH304" s="1360"/>
      <c r="AI304" s="1360"/>
      <c r="AJ304" s="1360"/>
      <c r="AK304" s="1360"/>
      <c r="BN304" s="34"/>
    </row>
    <row r="305" spans="2:66" ht="12.95" customHeight="1">
      <c r="B305" s="3" t="s">
        <v>88</v>
      </c>
      <c r="C305" s="3"/>
      <c r="D305" s="3"/>
      <c r="E305" s="3"/>
      <c r="F305" s="3"/>
      <c r="H305" s="1620" t="s">
        <v>2665</v>
      </c>
      <c r="I305" s="1360"/>
      <c r="J305" s="1360"/>
      <c r="K305" s="1360"/>
      <c r="L305" s="1360"/>
      <c r="M305" s="1360"/>
      <c r="N305" s="1360"/>
      <c r="O305" s="1360"/>
      <c r="P305" s="1360"/>
      <c r="Q305" s="1360"/>
      <c r="R305" s="1360"/>
      <c r="T305" s="3" t="s">
        <v>88</v>
      </c>
      <c r="V305" s="3"/>
      <c r="W305" s="3"/>
      <c r="X305" s="3"/>
      <c r="Y305" s="3"/>
      <c r="AA305" s="1360" t="s">
        <v>2669</v>
      </c>
      <c r="AB305" s="1360"/>
      <c r="AC305" s="1360"/>
      <c r="AD305" s="1360"/>
      <c r="AE305" s="1360"/>
      <c r="AF305" s="1360"/>
      <c r="AG305" s="1360"/>
      <c r="AH305" s="1360"/>
      <c r="AI305" s="1360"/>
      <c r="AJ305" s="1360"/>
      <c r="AK305" s="1360"/>
      <c r="BN305" s="34"/>
    </row>
    <row r="306" spans="2:66" ht="12.95" customHeight="1">
      <c r="B306" s="3" t="s">
        <v>89</v>
      </c>
      <c r="C306" s="3"/>
      <c r="D306" s="3"/>
      <c r="E306" s="3"/>
      <c r="F306" s="3"/>
      <c r="G306" s="3"/>
      <c r="H306" s="1648">
        <v>9133124624</v>
      </c>
      <c r="I306" s="1648"/>
      <c r="J306" s="1648"/>
      <c r="K306" s="1648"/>
      <c r="L306" s="1648"/>
      <c r="M306" s="1648"/>
      <c r="N306" s="4" t="s">
        <v>208</v>
      </c>
      <c r="O306" s="4"/>
      <c r="P306" s="1647"/>
      <c r="Q306" s="1647"/>
      <c r="R306" s="1647"/>
      <c r="S306" s="3"/>
      <c r="T306" s="3" t="s">
        <v>89</v>
      </c>
      <c r="V306" s="3"/>
      <c r="W306" s="3"/>
      <c r="X306" s="3"/>
      <c r="Y306" s="3"/>
      <c r="AA306" s="1648">
        <v>2134553311</v>
      </c>
      <c r="AB306" s="1648"/>
      <c r="AC306" s="1648"/>
      <c r="AD306" s="1648"/>
      <c r="AE306" s="1648"/>
      <c r="AF306" s="1648"/>
      <c r="AG306" s="4" t="s">
        <v>208</v>
      </c>
      <c r="AH306" s="4"/>
      <c r="AI306" s="1647">
        <v>7005</v>
      </c>
      <c r="AJ306" s="1647"/>
      <c r="AK306" s="1647"/>
      <c r="BN306" s="34"/>
    </row>
    <row r="307" spans="2:66" ht="12.95"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2.95" customHeight="1">
      <c r="B308" s="3" t="s">
        <v>77</v>
      </c>
      <c r="C308" s="3"/>
      <c r="D308" s="3"/>
      <c r="E308" s="3"/>
      <c r="F308" s="3"/>
      <c r="G308" s="3"/>
      <c r="H308" s="1620" t="s">
        <v>2666</v>
      </c>
      <c r="I308" s="1360"/>
      <c r="J308" s="1360"/>
      <c r="K308" s="1360"/>
      <c r="L308" s="1360"/>
      <c r="M308" s="1360"/>
      <c r="N308" s="1353"/>
      <c r="O308" s="1353"/>
      <c r="P308" s="1353"/>
      <c r="Q308" s="1353"/>
      <c r="R308" s="1353"/>
      <c r="S308" s="3"/>
      <c r="T308" s="3" t="s">
        <v>77</v>
      </c>
      <c r="V308" s="3"/>
      <c r="W308" s="3"/>
      <c r="X308" s="3"/>
      <c r="Y308" s="3"/>
      <c r="AA308" s="1360" t="s">
        <v>2673</v>
      </c>
      <c r="AB308" s="1360"/>
      <c r="AC308" s="1360"/>
      <c r="AD308" s="1360"/>
      <c r="AE308" s="1360"/>
      <c r="AF308" s="1360"/>
      <c r="AG308" s="1353"/>
      <c r="AH308" s="1353"/>
      <c r="AI308" s="1353"/>
      <c r="AJ308" s="1353"/>
      <c r="AK308" s="1353"/>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52" t="s">
        <v>2713</v>
      </c>
      <c r="I310" s="1353"/>
      <c r="J310" s="1353"/>
      <c r="K310" s="1353"/>
      <c r="L310" s="1353"/>
      <c r="M310" s="1353"/>
      <c r="N310" s="1353"/>
      <c r="O310" s="1353"/>
      <c r="P310" s="1353"/>
      <c r="Q310" s="1353"/>
      <c r="R310" s="1353"/>
      <c r="S310" s="3"/>
      <c r="T310" s="3" t="s">
        <v>367</v>
      </c>
      <c r="V310" s="3"/>
      <c r="W310" s="3"/>
      <c r="X310" s="3"/>
      <c r="Y310" s="3"/>
      <c r="AA310" s="1353" t="s">
        <v>2729</v>
      </c>
      <c r="AB310" s="1353"/>
      <c r="AC310" s="1353"/>
      <c r="AD310" s="1353"/>
      <c r="AE310" s="1353"/>
      <c r="AF310" s="1353"/>
      <c r="AG310" s="1353"/>
      <c r="AH310" s="1353"/>
      <c r="AI310" s="1353"/>
      <c r="AJ310" s="1353"/>
      <c r="AK310" s="1353"/>
      <c r="BN310" s="34"/>
    </row>
    <row r="311" spans="2:66" ht="12.95" customHeight="1">
      <c r="B311" s="3" t="s">
        <v>480</v>
      </c>
      <c r="C311" s="3"/>
      <c r="D311" s="3"/>
      <c r="E311" s="3"/>
      <c r="F311" s="3"/>
      <c r="H311" s="1360" t="s">
        <v>2663</v>
      </c>
      <c r="I311" s="1360"/>
      <c r="J311" s="1360"/>
      <c r="K311" s="1360"/>
      <c r="L311" s="1360"/>
      <c r="M311" s="1360"/>
      <c r="N311" s="1360"/>
      <c r="O311" s="1360"/>
      <c r="P311" s="1360"/>
      <c r="Q311" s="1360"/>
      <c r="R311" s="1360"/>
      <c r="S311" s="3"/>
      <c r="T311" s="3" t="s">
        <v>480</v>
      </c>
      <c r="V311" s="3"/>
      <c r="W311" s="3"/>
      <c r="X311" s="3"/>
      <c r="Y311" s="3"/>
      <c r="AA311" s="1360" t="s">
        <v>2730</v>
      </c>
      <c r="AB311" s="1360"/>
      <c r="AC311" s="1360"/>
      <c r="AD311" s="1360"/>
      <c r="AE311" s="1360"/>
      <c r="AF311" s="1360"/>
      <c r="AG311" s="1360"/>
      <c r="AH311" s="1360"/>
      <c r="AI311" s="1360"/>
      <c r="AJ311" s="1360"/>
      <c r="AK311" s="1360"/>
      <c r="BN311" s="34"/>
    </row>
    <row r="312" spans="2:66" ht="12.95" customHeight="1">
      <c r="B312" s="3" t="s">
        <v>481</v>
      </c>
      <c r="C312" s="3"/>
      <c r="D312" s="3"/>
      <c r="E312" s="3"/>
      <c r="F312" s="3"/>
      <c r="H312" s="1360" t="s">
        <v>2664</v>
      </c>
      <c r="I312" s="1360"/>
      <c r="J312" s="1360"/>
      <c r="K312" s="1360"/>
      <c r="L312" s="1360"/>
      <c r="M312" s="1360"/>
      <c r="N312" s="1360"/>
      <c r="O312" s="1360"/>
      <c r="P312" s="1360"/>
      <c r="Q312" s="1360"/>
      <c r="R312" s="1360"/>
      <c r="S312" s="3"/>
      <c r="T312" s="3" t="s">
        <v>76</v>
      </c>
      <c r="V312" s="3"/>
      <c r="W312" s="3"/>
      <c r="X312" s="3"/>
      <c r="Y312" s="3"/>
      <c r="AA312" s="1360" t="s">
        <v>2726</v>
      </c>
      <c r="AB312" s="1360"/>
      <c r="AC312" s="1360"/>
      <c r="AD312" s="1360"/>
      <c r="AE312" s="1360"/>
      <c r="AF312" s="1360"/>
      <c r="AG312" s="1360"/>
      <c r="AH312" s="1360"/>
      <c r="AI312" s="1360"/>
      <c r="AJ312" s="1360"/>
      <c r="AK312" s="1360"/>
      <c r="BN312" s="34"/>
    </row>
    <row r="313" spans="2:66" ht="12.95" customHeight="1">
      <c r="B313" s="3" t="s">
        <v>88</v>
      </c>
      <c r="C313" s="3"/>
      <c r="D313" s="3"/>
      <c r="E313" s="3"/>
      <c r="F313" s="3"/>
      <c r="H313" s="1620" t="s">
        <v>2711</v>
      </c>
      <c r="I313" s="1360"/>
      <c r="J313" s="1360"/>
      <c r="K313" s="1360"/>
      <c r="L313" s="1360"/>
      <c r="M313" s="1360"/>
      <c r="N313" s="1360"/>
      <c r="O313" s="1360"/>
      <c r="P313" s="1360"/>
      <c r="Q313" s="1360"/>
      <c r="R313" s="1360"/>
      <c r="S313" s="3"/>
      <c r="T313" s="3" t="s">
        <v>88</v>
      </c>
      <c r="V313" s="3"/>
      <c r="W313" s="3"/>
      <c r="X313" s="3"/>
      <c r="Y313" s="3"/>
      <c r="AA313" s="1360" t="s">
        <v>2727</v>
      </c>
      <c r="AB313" s="1360"/>
      <c r="AC313" s="1360"/>
      <c r="AD313" s="1360"/>
      <c r="AE313" s="1360"/>
      <c r="AF313" s="1360"/>
      <c r="AG313" s="1360"/>
      <c r="AH313" s="1360"/>
      <c r="AI313" s="1360"/>
      <c r="AJ313" s="1360"/>
      <c r="AK313" s="1360"/>
      <c r="BN313" s="34"/>
    </row>
    <row r="314" spans="2:66" ht="12.95" customHeight="1">
      <c r="B314" s="3" t="s">
        <v>89</v>
      </c>
      <c r="C314" s="3"/>
      <c r="D314" s="3"/>
      <c r="E314" s="3"/>
      <c r="F314" s="3"/>
      <c r="G314" s="3"/>
      <c r="H314" s="1648">
        <v>9169305205</v>
      </c>
      <c r="I314" s="1648"/>
      <c r="J314" s="1648"/>
      <c r="K314" s="1648"/>
      <c r="L314" s="1648"/>
      <c r="M314" s="1648"/>
      <c r="N314" s="4" t="s">
        <v>208</v>
      </c>
      <c r="O314" s="4"/>
      <c r="P314" s="1647"/>
      <c r="Q314" s="1647"/>
      <c r="R314" s="1647"/>
      <c r="S314" s="3"/>
      <c r="T314" s="3" t="s">
        <v>89</v>
      </c>
      <c r="V314" s="3"/>
      <c r="W314" s="3"/>
      <c r="X314" s="3"/>
      <c r="Y314" s="3"/>
      <c r="AA314" s="1744" t="s">
        <v>2731</v>
      </c>
      <c r="AB314" s="1648"/>
      <c r="AC314" s="1648"/>
      <c r="AD314" s="1648"/>
      <c r="AE314" s="1648"/>
      <c r="AF314" s="1648"/>
      <c r="AG314" s="4" t="s">
        <v>208</v>
      </c>
      <c r="AH314" s="4"/>
      <c r="AI314" s="1647"/>
      <c r="AJ314" s="1647"/>
      <c r="AK314" s="1647"/>
      <c r="BN314" s="34"/>
    </row>
    <row r="315" spans="2:66" ht="12.95"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2.95" customHeight="1">
      <c r="B316" s="3" t="s">
        <v>77</v>
      </c>
      <c r="C316" s="3"/>
      <c r="D316" s="3"/>
      <c r="E316" s="3"/>
      <c r="F316" s="3"/>
      <c r="G316" s="3"/>
      <c r="H316" s="1620" t="s">
        <v>2712</v>
      </c>
      <c r="I316" s="1360"/>
      <c r="J316" s="1360"/>
      <c r="K316" s="1360"/>
      <c r="L316" s="1360"/>
      <c r="M316" s="1360"/>
      <c r="N316" s="1353"/>
      <c r="O316" s="1353"/>
      <c r="P316" s="1353"/>
      <c r="Q316" s="1353"/>
      <c r="R316" s="1353"/>
      <c r="S316" s="3"/>
      <c r="T316" s="3" t="s">
        <v>77</v>
      </c>
      <c r="V316" s="3"/>
      <c r="W316" s="3"/>
      <c r="X316" s="3"/>
      <c r="Y316" s="3"/>
      <c r="AA316" s="1360" t="s">
        <v>2732</v>
      </c>
      <c r="AB316" s="1360"/>
      <c r="AC316" s="1360"/>
      <c r="AD316" s="1360"/>
      <c r="AE316" s="1360"/>
      <c r="AF316" s="1360"/>
      <c r="AG316" s="1353"/>
      <c r="AH316" s="1353"/>
      <c r="AI316" s="1353"/>
      <c r="AJ316" s="1353"/>
      <c r="AK316" s="1353"/>
      <c r="BN316" s="34"/>
    </row>
    <row r="317" spans="2:66" ht="12.95" customHeight="1">
      <c r="BN317" s="34"/>
    </row>
    <row r="318" spans="2:66" ht="12.95" customHeight="1">
      <c r="B318" s="4" t="s">
        <v>941</v>
      </c>
      <c r="C318" s="3"/>
      <c r="D318" s="3"/>
      <c r="E318" s="3"/>
      <c r="F318" s="3"/>
      <c r="H318" s="1352" t="s">
        <v>2636</v>
      </c>
      <c r="I318" s="1353"/>
      <c r="J318" s="1353"/>
      <c r="K318" s="1353"/>
      <c r="L318" s="1353"/>
      <c r="M318" s="1353"/>
      <c r="N318" s="1353"/>
      <c r="O318" s="1353"/>
      <c r="P318" s="1353"/>
      <c r="Q318" s="1353"/>
      <c r="R318" s="1353"/>
      <c r="T318" s="3" t="s">
        <v>368</v>
      </c>
      <c r="V318" s="3"/>
      <c r="W318" s="3"/>
      <c r="X318" s="3"/>
      <c r="Y318" s="3"/>
      <c r="AA318" s="1352" t="s">
        <v>2662</v>
      </c>
      <c r="AB318" s="1353"/>
      <c r="AC318" s="1353"/>
      <c r="AD318" s="1353"/>
      <c r="AE318" s="1353"/>
      <c r="AF318" s="1353"/>
      <c r="AG318" s="1353"/>
      <c r="AH318" s="1353"/>
      <c r="AI318" s="1353"/>
      <c r="AJ318" s="1353"/>
      <c r="AK318" s="1353"/>
      <c r="BN318" s="34"/>
    </row>
    <row r="319" spans="2:66" ht="12.95" customHeight="1">
      <c r="B319" s="3" t="s">
        <v>480</v>
      </c>
      <c r="C319" s="3"/>
      <c r="D319" s="3"/>
      <c r="E319" s="3"/>
      <c r="F319" s="3"/>
      <c r="H319" s="1620" t="s">
        <v>2628</v>
      </c>
      <c r="I319" s="1360"/>
      <c r="J319" s="1360"/>
      <c r="K319" s="1360"/>
      <c r="L319" s="1360"/>
      <c r="M319" s="1360"/>
      <c r="N319" s="1360"/>
      <c r="O319" s="1360"/>
      <c r="P319" s="1360"/>
      <c r="Q319" s="1360"/>
      <c r="R319" s="1360"/>
      <c r="T319" s="3" t="s">
        <v>480</v>
      </c>
      <c r="V319" s="3"/>
      <c r="W319" s="3"/>
      <c r="X319" s="3"/>
      <c r="Y319" s="3"/>
      <c r="AA319" s="1620" t="s">
        <v>2663</v>
      </c>
      <c r="AB319" s="1360"/>
      <c r="AC319" s="1360"/>
      <c r="AD319" s="1360"/>
      <c r="AE319" s="1360"/>
      <c r="AF319" s="1360"/>
      <c r="AG319" s="1360"/>
      <c r="AH319" s="1360"/>
      <c r="AI319" s="1360"/>
      <c r="AJ319" s="1360"/>
      <c r="AK319" s="1360"/>
      <c r="BN319" s="34"/>
    </row>
    <row r="320" spans="2:66" ht="12.95" customHeight="1">
      <c r="B320" s="3" t="s">
        <v>481</v>
      </c>
      <c r="C320" s="3"/>
      <c r="D320" s="3"/>
      <c r="E320" s="3"/>
      <c r="F320" s="3"/>
      <c r="H320" s="1620" t="s">
        <v>2637</v>
      </c>
      <c r="I320" s="1360"/>
      <c r="J320" s="1360"/>
      <c r="K320" s="1360"/>
      <c r="L320" s="1360"/>
      <c r="M320" s="1360"/>
      <c r="N320" s="1360"/>
      <c r="O320" s="1360"/>
      <c r="P320" s="1360"/>
      <c r="Q320" s="1360"/>
      <c r="R320" s="1360"/>
      <c r="T320" s="3" t="s">
        <v>76</v>
      </c>
      <c r="V320" s="3"/>
      <c r="W320" s="3"/>
      <c r="X320" s="3"/>
      <c r="Y320" s="3"/>
      <c r="AA320" s="1620" t="s">
        <v>2664</v>
      </c>
      <c r="AB320" s="1360"/>
      <c r="AC320" s="1360"/>
      <c r="AD320" s="1360"/>
      <c r="AE320" s="1360"/>
      <c r="AF320" s="1360"/>
      <c r="AG320" s="1360"/>
      <c r="AH320" s="1360"/>
      <c r="AI320" s="1360"/>
      <c r="AJ320" s="1360"/>
      <c r="AK320" s="1360"/>
      <c r="BN320" s="34"/>
    </row>
    <row r="321" spans="2:66" ht="12.95" customHeight="1">
      <c r="B321" s="3" t="s">
        <v>88</v>
      </c>
      <c r="C321" s="3"/>
      <c r="D321" s="3"/>
      <c r="E321" s="3"/>
      <c r="F321" s="3"/>
      <c r="H321" s="1620" t="s">
        <v>2629</v>
      </c>
      <c r="I321" s="1360"/>
      <c r="J321" s="1360"/>
      <c r="K321" s="1360"/>
      <c r="L321" s="1360"/>
      <c r="M321" s="1360"/>
      <c r="N321" s="1360"/>
      <c r="O321" s="1360"/>
      <c r="P321" s="1360"/>
      <c r="Q321" s="1360"/>
      <c r="R321" s="1360"/>
      <c r="T321" s="3" t="s">
        <v>88</v>
      </c>
      <c r="V321" s="3"/>
      <c r="W321" s="3"/>
      <c r="X321" s="3"/>
      <c r="Y321" s="3"/>
      <c r="AA321" s="1620" t="s">
        <v>2665</v>
      </c>
      <c r="AB321" s="1360"/>
      <c r="AC321" s="1360"/>
      <c r="AD321" s="1360"/>
      <c r="AE321" s="1360"/>
      <c r="AF321" s="1360"/>
      <c r="AG321" s="1360"/>
      <c r="AH321" s="1360"/>
      <c r="AI321" s="1360"/>
      <c r="AJ321" s="1360"/>
      <c r="AK321" s="1360"/>
      <c r="BN321" s="34"/>
    </row>
    <row r="322" spans="2:66" ht="12.95" customHeight="1">
      <c r="B322" s="3" t="s">
        <v>89</v>
      </c>
      <c r="C322" s="3"/>
      <c r="D322" s="3"/>
      <c r="E322" s="3"/>
      <c r="F322" s="3"/>
      <c r="G322" s="3"/>
      <c r="H322" s="1648">
        <v>9515386244</v>
      </c>
      <c r="I322" s="1648"/>
      <c r="J322" s="1648"/>
      <c r="K322" s="1648"/>
      <c r="L322" s="1648"/>
      <c r="M322" s="1648"/>
      <c r="N322" s="4" t="s">
        <v>208</v>
      </c>
      <c r="O322" s="4"/>
      <c r="P322" s="1647"/>
      <c r="Q322" s="1647"/>
      <c r="R322" s="1647"/>
      <c r="S322" s="3"/>
      <c r="T322" s="3" t="s">
        <v>89</v>
      </c>
      <c r="V322" s="3"/>
      <c r="W322" s="3"/>
      <c r="X322" s="3"/>
      <c r="Y322" s="3"/>
      <c r="AA322" s="1648">
        <v>9133124624</v>
      </c>
      <c r="AB322" s="1648"/>
      <c r="AC322" s="1648"/>
      <c r="AD322" s="1648"/>
      <c r="AE322" s="1648"/>
      <c r="AF322" s="1648"/>
      <c r="AG322" s="4" t="s">
        <v>208</v>
      </c>
      <c r="AH322" s="4"/>
      <c r="AI322" s="1647"/>
      <c r="AJ322" s="1647"/>
      <c r="AK322" s="1647"/>
      <c r="BN322" s="34"/>
    </row>
    <row r="323" spans="2:66" ht="12.95"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2.95" customHeight="1">
      <c r="B324" s="3" t="s">
        <v>77</v>
      </c>
      <c r="C324" s="3"/>
      <c r="D324" s="3"/>
      <c r="E324" s="3"/>
      <c r="F324" s="3"/>
      <c r="G324" s="3"/>
      <c r="H324" s="1620" t="s">
        <v>2630</v>
      </c>
      <c r="I324" s="1360"/>
      <c r="J324" s="1360"/>
      <c r="K324" s="1360"/>
      <c r="L324" s="1360"/>
      <c r="M324" s="1360"/>
      <c r="N324" s="1353"/>
      <c r="O324" s="1353"/>
      <c r="P324" s="1353"/>
      <c r="Q324" s="1353"/>
      <c r="R324" s="1353"/>
      <c r="S324" s="3"/>
      <c r="T324" s="3" t="s">
        <v>77</v>
      </c>
      <c r="V324" s="3"/>
      <c r="W324" s="3"/>
      <c r="X324" s="3"/>
      <c r="Y324" s="3"/>
      <c r="AA324" s="1620" t="s">
        <v>2666</v>
      </c>
      <c r="AB324" s="1360"/>
      <c r="AC324" s="1360"/>
      <c r="AD324" s="1360"/>
      <c r="AE324" s="1360"/>
      <c r="AF324" s="1360"/>
      <c r="AG324" s="1353"/>
      <c r="AH324" s="1353"/>
      <c r="AI324" s="1353"/>
      <c r="AJ324" s="1353"/>
      <c r="AK324" s="1353"/>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53" t="s">
        <v>2734</v>
      </c>
      <c r="I326" s="1353"/>
      <c r="J326" s="1353"/>
      <c r="K326" s="1353"/>
      <c r="L326" s="1353"/>
      <c r="M326" s="1353"/>
      <c r="N326" s="1353"/>
      <c r="O326" s="1353"/>
      <c r="P326" s="1353"/>
      <c r="Q326" s="1353"/>
      <c r="R326" s="1353"/>
      <c r="T326" s="3" t="s">
        <v>370</v>
      </c>
      <c r="V326" s="3"/>
      <c r="W326" s="3"/>
      <c r="X326" s="3"/>
      <c r="Y326" s="3"/>
      <c r="AA326" s="1353"/>
      <c r="AB326" s="1353"/>
      <c r="AC326" s="1353"/>
      <c r="AD326" s="1353"/>
      <c r="AE326" s="1353"/>
      <c r="AF326" s="1353"/>
      <c r="AG326" s="1353"/>
      <c r="AH326" s="1353"/>
      <c r="AI326" s="1353"/>
      <c r="AJ326" s="1353"/>
      <c r="AK326" s="1353"/>
    </row>
    <row r="327" spans="2:66" ht="12.95" customHeight="1">
      <c r="B327" s="3" t="s">
        <v>480</v>
      </c>
      <c r="C327" s="3"/>
      <c r="D327" s="3"/>
      <c r="E327" s="3"/>
      <c r="F327" s="3"/>
      <c r="H327" s="1360" t="s">
        <v>2735</v>
      </c>
      <c r="I327" s="1360"/>
      <c r="J327" s="1360"/>
      <c r="K327" s="1360"/>
      <c r="L327" s="1360"/>
      <c r="M327" s="1360"/>
      <c r="N327" s="1360"/>
      <c r="O327" s="1360"/>
      <c r="P327" s="1360"/>
      <c r="Q327" s="1360"/>
      <c r="R327" s="1360"/>
      <c r="T327" s="3" t="s">
        <v>480</v>
      </c>
      <c r="V327" s="3"/>
      <c r="W327" s="3"/>
      <c r="X327" s="3"/>
      <c r="Y327" s="3"/>
      <c r="AA327" s="1360"/>
      <c r="AB327" s="1360"/>
      <c r="AC327" s="1360"/>
      <c r="AD327" s="1360"/>
      <c r="AE327" s="1360"/>
      <c r="AF327" s="1360"/>
      <c r="AG327" s="1360"/>
      <c r="AH327" s="1360"/>
      <c r="AI327" s="1360"/>
      <c r="AJ327" s="1360"/>
      <c r="AK327" s="1360"/>
    </row>
    <row r="328" spans="2:66" ht="12.95" customHeight="1">
      <c r="B328" s="3" t="s">
        <v>481</v>
      </c>
      <c r="C328" s="3"/>
      <c r="D328" s="3"/>
      <c r="E328" s="3"/>
      <c r="F328" s="3"/>
      <c r="H328" s="1360" t="s">
        <v>2736</v>
      </c>
      <c r="I328" s="1360"/>
      <c r="J328" s="1360"/>
      <c r="K328" s="1360"/>
      <c r="L328" s="1360"/>
      <c r="M328" s="1360"/>
      <c r="N328" s="1360"/>
      <c r="O328" s="1360"/>
      <c r="P328" s="1360"/>
      <c r="Q328" s="1360"/>
      <c r="R328" s="1360"/>
      <c r="T328" s="3" t="s">
        <v>76</v>
      </c>
      <c r="V328" s="3"/>
      <c r="W328" s="3"/>
      <c r="X328" s="3"/>
      <c r="Y328" s="3"/>
      <c r="AA328" s="1360"/>
      <c r="AB328" s="1360"/>
      <c r="AC328" s="1360"/>
      <c r="AD328" s="1360"/>
      <c r="AE328" s="1360"/>
      <c r="AF328" s="1360"/>
      <c r="AG328" s="1360"/>
      <c r="AH328" s="1360"/>
      <c r="AI328" s="1360"/>
      <c r="AJ328" s="1360"/>
      <c r="AK328" s="1360"/>
    </row>
    <row r="329" spans="2:66" ht="12.95" customHeight="1">
      <c r="B329" s="3" t="s">
        <v>88</v>
      </c>
      <c r="C329" s="3"/>
      <c r="D329" s="3"/>
      <c r="E329" s="3"/>
      <c r="F329" s="3"/>
      <c r="H329" s="1360" t="s">
        <v>2737</v>
      </c>
      <c r="I329" s="1360"/>
      <c r="J329" s="1360"/>
      <c r="K329" s="1360"/>
      <c r="L329" s="1360"/>
      <c r="M329" s="1360"/>
      <c r="N329" s="1360"/>
      <c r="O329" s="1360"/>
      <c r="P329" s="1360"/>
      <c r="Q329" s="1360"/>
      <c r="R329" s="1360"/>
      <c r="T329" s="3" t="s">
        <v>88</v>
      </c>
      <c r="V329" s="3"/>
      <c r="W329" s="3"/>
      <c r="X329" s="3"/>
      <c r="Y329" s="3"/>
      <c r="AA329" s="1360"/>
      <c r="AB329" s="1360"/>
      <c r="AC329" s="1360"/>
      <c r="AD329" s="1360"/>
      <c r="AE329" s="1360"/>
      <c r="AF329" s="1360"/>
      <c r="AG329" s="1360"/>
      <c r="AH329" s="1360"/>
      <c r="AI329" s="1360"/>
      <c r="AJ329" s="1360"/>
      <c r="AK329" s="1360"/>
    </row>
    <row r="330" spans="2:66" ht="12.95" customHeight="1">
      <c r="B330" s="3" t="s">
        <v>89</v>
      </c>
      <c r="C330" s="3"/>
      <c r="D330" s="3"/>
      <c r="E330" s="3"/>
      <c r="F330" s="3"/>
      <c r="G330" s="3"/>
      <c r="H330" s="1648">
        <v>3107019895</v>
      </c>
      <c r="I330" s="1648"/>
      <c r="J330" s="1648"/>
      <c r="K330" s="1648"/>
      <c r="L330" s="1648"/>
      <c r="M330" s="1648"/>
      <c r="N330" s="4" t="s">
        <v>208</v>
      </c>
      <c r="O330" s="4"/>
      <c r="P330" s="1647"/>
      <c r="Q330" s="1647"/>
      <c r="R330" s="1647"/>
      <c r="S330" s="3"/>
      <c r="T330" s="3" t="s">
        <v>89</v>
      </c>
      <c r="V330" s="3"/>
      <c r="W330" s="3"/>
      <c r="X330" s="3"/>
      <c r="Y330" s="3"/>
      <c r="AA330" s="1648"/>
      <c r="AB330" s="1648"/>
      <c r="AC330" s="1648"/>
      <c r="AD330" s="1648"/>
      <c r="AE330" s="1648"/>
      <c r="AF330" s="1648"/>
      <c r="AG330" s="4" t="s">
        <v>208</v>
      </c>
      <c r="AH330" s="4"/>
      <c r="AI330" s="1647"/>
      <c r="AJ330" s="1647"/>
      <c r="AK330" s="1647"/>
    </row>
    <row r="331" spans="2:66" ht="12.95"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2.95" customHeight="1">
      <c r="B332" s="3" t="s">
        <v>77</v>
      </c>
      <c r="C332" s="3"/>
      <c r="D332" s="3"/>
      <c r="E332" s="3"/>
      <c r="F332" s="3"/>
      <c r="G332" s="3"/>
      <c r="H332" s="1360" t="s">
        <v>2738</v>
      </c>
      <c r="I332" s="1360"/>
      <c r="J332" s="1360"/>
      <c r="K332" s="1360"/>
      <c r="L332" s="1360"/>
      <c r="M332" s="1360"/>
      <c r="N332" s="1353"/>
      <c r="O332" s="1353"/>
      <c r="P332" s="1353"/>
      <c r="Q332" s="1353"/>
      <c r="R332" s="1353"/>
      <c r="S332" s="3"/>
      <c r="T332" s="3" t="s">
        <v>77</v>
      </c>
      <c r="V332" s="3"/>
      <c r="W332" s="3"/>
      <c r="X332" s="3"/>
      <c r="Y332" s="3"/>
      <c r="AA332" s="1360"/>
      <c r="AB332" s="1360"/>
      <c r="AC332" s="1360"/>
      <c r="AD332" s="1360"/>
      <c r="AE332" s="1360"/>
      <c r="AF332" s="1360"/>
      <c r="AG332" s="1353"/>
      <c r="AH332" s="1353"/>
      <c r="AI332" s="1353"/>
      <c r="AJ332" s="1353"/>
      <c r="AK332" s="1353"/>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52" t="s">
        <v>2657</v>
      </c>
      <c r="I334" s="1353"/>
      <c r="J334" s="1353"/>
      <c r="K334" s="1353"/>
      <c r="L334" s="1353"/>
      <c r="M334" s="1353"/>
      <c r="N334" s="1353"/>
      <c r="O334" s="1353"/>
      <c r="P334" s="1353"/>
      <c r="Q334" s="1353"/>
      <c r="R334" s="1353"/>
      <c r="T334" s="218" t="s">
        <v>916</v>
      </c>
      <c r="V334" s="3"/>
      <c r="W334" s="3"/>
      <c r="X334" s="3"/>
      <c r="Y334" s="3"/>
      <c r="AA334" s="1353" t="s">
        <v>2638</v>
      </c>
      <c r="AB334" s="1353"/>
      <c r="AC334" s="1353"/>
      <c r="AD334" s="1353"/>
      <c r="AE334" s="1353"/>
      <c r="AF334" s="1353"/>
      <c r="AG334" s="1353"/>
      <c r="AH334" s="1353"/>
      <c r="AI334" s="1353"/>
      <c r="AJ334" s="1353"/>
      <c r="AK334" s="1353"/>
    </row>
    <row r="335" spans="2:66" ht="12.95" customHeight="1">
      <c r="B335" s="3" t="s">
        <v>480</v>
      </c>
      <c r="C335" s="3"/>
      <c r="D335" s="3"/>
      <c r="E335" s="3"/>
      <c r="F335" s="3"/>
      <c r="H335" s="1620" t="s">
        <v>2658</v>
      </c>
      <c r="I335" s="1360"/>
      <c r="J335" s="1360"/>
      <c r="K335" s="1360"/>
      <c r="L335" s="1360"/>
      <c r="M335" s="1360"/>
      <c r="N335" s="1360"/>
      <c r="O335" s="1360"/>
      <c r="P335" s="1360"/>
      <c r="Q335" s="1360"/>
      <c r="R335" s="1360"/>
      <c r="T335" s="3" t="s">
        <v>480</v>
      </c>
      <c r="V335" s="3"/>
      <c r="W335" s="3"/>
      <c r="X335" s="3"/>
      <c r="Y335" s="3"/>
      <c r="AA335" s="1360" t="s">
        <v>2639</v>
      </c>
      <c r="AB335" s="1360"/>
      <c r="AC335" s="1360"/>
      <c r="AD335" s="1360"/>
      <c r="AE335" s="1360"/>
      <c r="AF335" s="1360"/>
      <c r="AG335" s="1360"/>
      <c r="AH335" s="1360"/>
      <c r="AI335" s="1360"/>
      <c r="AJ335" s="1360"/>
      <c r="AK335" s="1360"/>
    </row>
    <row r="336" spans="2:66" ht="12.95" customHeight="1">
      <c r="B336" s="3" t="s">
        <v>76</v>
      </c>
      <c r="C336" s="3"/>
      <c r="D336" s="3"/>
      <c r="E336" s="3"/>
      <c r="F336" s="3"/>
      <c r="H336" s="1620" t="s">
        <v>2659</v>
      </c>
      <c r="I336" s="1360"/>
      <c r="J336" s="1360"/>
      <c r="K336" s="1360"/>
      <c r="L336" s="1360"/>
      <c r="M336" s="1360"/>
      <c r="N336" s="1360"/>
      <c r="O336" s="1360"/>
      <c r="P336" s="1360"/>
      <c r="Q336" s="1360"/>
      <c r="R336" s="1360"/>
      <c r="T336" s="3" t="s">
        <v>76</v>
      </c>
      <c r="V336" s="3"/>
      <c r="W336" s="3"/>
      <c r="X336" s="3"/>
      <c r="Y336" s="3"/>
      <c r="AA336" s="1620" t="s">
        <v>2640</v>
      </c>
      <c r="AB336" s="1360"/>
      <c r="AC336" s="1360"/>
      <c r="AD336" s="1360"/>
      <c r="AE336" s="1360"/>
      <c r="AF336" s="1360"/>
      <c r="AG336" s="1360"/>
      <c r="AH336" s="1360"/>
      <c r="AI336" s="1360"/>
      <c r="AJ336" s="1360"/>
      <c r="AK336" s="1360"/>
    </row>
    <row r="337" spans="1:66" ht="12.95" customHeight="1">
      <c r="B337" s="3" t="s">
        <v>88</v>
      </c>
      <c r="C337" s="3"/>
      <c r="D337" s="3"/>
      <c r="E337" s="3"/>
      <c r="F337" s="3"/>
      <c r="G337" s="3"/>
      <c r="H337" s="1620" t="s">
        <v>2660</v>
      </c>
      <c r="I337" s="1360"/>
      <c r="J337" s="1360"/>
      <c r="K337" s="1360"/>
      <c r="L337" s="1360"/>
      <c r="M337" s="1360"/>
      <c r="N337" s="1360"/>
      <c r="O337" s="1360"/>
      <c r="P337" s="1360"/>
      <c r="Q337" s="1360"/>
      <c r="R337" s="1360"/>
      <c r="T337" s="3" t="s">
        <v>88</v>
      </c>
      <c r="V337" s="3"/>
      <c r="W337" s="3"/>
      <c r="X337" s="3"/>
      <c r="Y337" s="3"/>
      <c r="AA337" s="1620" t="s">
        <v>2641</v>
      </c>
      <c r="AB337" s="1360"/>
      <c r="AC337" s="1360"/>
      <c r="AD337" s="1360"/>
      <c r="AE337" s="1360"/>
      <c r="AF337" s="1360"/>
      <c r="AG337" s="1360"/>
      <c r="AH337" s="1360"/>
      <c r="AI337" s="1360"/>
      <c r="AJ337" s="1360"/>
      <c r="AK337" s="1360"/>
    </row>
    <row r="338" spans="1:66" ht="12.95" customHeight="1">
      <c r="B338" s="3" t="s">
        <v>89</v>
      </c>
      <c r="C338" s="3"/>
      <c r="D338" s="3"/>
      <c r="E338" s="3"/>
      <c r="F338" s="3"/>
      <c r="G338" s="3"/>
      <c r="H338" s="1648">
        <v>7609331333</v>
      </c>
      <c r="I338" s="1648"/>
      <c r="J338" s="1648"/>
      <c r="K338" s="1648"/>
      <c r="L338" s="1648"/>
      <c r="M338" s="1648"/>
      <c r="N338" s="4" t="s">
        <v>208</v>
      </c>
      <c r="O338" s="4"/>
      <c r="P338" s="1647"/>
      <c r="Q338" s="1647"/>
      <c r="R338" s="1647"/>
      <c r="S338" s="3"/>
      <c r="T338" s="3" t="s">
        <v>89</v>
      </c>
      <c r="V338" s="3"/>
      <c r="W338" s="3"/>
      <c r="X338" s="3"/>
      <c r="Y338" s="3"/>
      <c r="AA338" s="1648">
        <v>7605919737</v>
      </c>
      <c r="AB338" s="1648"/>
      <c r="AC338" s="1648"/>
      <c r="AD338" s="1648"/>
      <c r="AE338" s="1648"/>
      <c r="AF338" s="1648"/>
      <c r="AG338" s="4" t="s">
        <v>208</v>
      </c>
      <c r="AH338" s="4"/>
      <c r="AI338" s="1647">
        <v>25</v>
      </c>
      <c r="AJ338" s="1647"/>
      <c r="AK338" s="1647"/>
    </row>
    <row r="339" spans="1:66" ht="12.95" customHeight="1">
      <c r="B339" s="3" t="s">
        <v>90</v>
      </c>
      <c r="C339" s="3"/>
      <c r="D339" s="3"/>
      <c r="E339" s="3"/>
      <c r="F339" s="3"/>
      <c r="G339" s="3"/>
      <c r="H339" s="1355">
        <v>7606833390</v>
      </c>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2.95" customHeight="1">
      <c r="B340" s="3" t="s">
        <v>77</v>
      </c>
      <c r="C340" s="3"/>
      <c r="D340" s="3"/>
      <c r="E340" s="3"/>
      <c r="F340" s="3"/>
      <c r="G340" s="3"/>
      <c r="H340" s="1620" t="s">
        <v>2661</v>
      </c>
      <c r="I340" s="1360"/>
      <c r="J340" s="1360"/>
      <c r="K340" s="1360"/>
      <c r="L340" s="1360"/>
      <c r="M340" s="1360"/>
      <c r="N340" s="1353"/>
      <c r="O340" s="1353"/>
      <c r="P340" s="1353"/>
      <c r="Q340" s="1353"/>
      <c r="R340" s="1353"/>
      <c r="S340" s="3"/>
      <c r="T340" s="3" t="s">
        <v>77</v>
      </c>
      <c r="V340" s="3"/>
      <c r="W340" s="3"/>
      <c r="X340" s="3"/>
      <c r="Y340" s="3"/>
      <c r="AA340" s="1360" t="s">
        <v>2733</v>
      </c>
      <c r="AB340" s="1360"/>
      <c r="AC340" s="1360"/>
      <c r="AD340" s="1360"/>
      <c r="AE340" s="1360"/>
      <c r="AF340" s="1360"/>
      <c r="AG340" s="1353"/>
      <c r="AH340" s="1353"/>
      <c r="AI340" s="1353"/>
      <c r="AJ340" s="1353"/>
      <c r="AK340" s="1353"/>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53"/>
      <c r="Q342" s="1353"/>
      <c r="R342" s="1353"/>
      <c r="S342" s="1353"/>
      <c r="T342" s="1353"/>
      <c r="U342" s="1353"/>
      <c r="V342" s="1353"/>
      <c r="W342" s="1353"/>
      <c r="X342" s="1353"/>
      <c r="Y342" s="1353"/>
      <c r="Z342" s="1353"/>
      <c r="AA342" s="1353"/>
      <c r="AB342" s="1353"/>
      <c r="AC342" s="1353"/>
      <c r="AD342" s="1353"/>
      <c r="AE342" s="1353"/>
      <c r="BN342" t="s">
        <v>600</v>
      </c>
    </row>
    <row r="343" spans="1:66" ht="12.95" customHeight="1">
      <c r="B343" s="4"/>
      <c r="C343" s="4"/>
      <c r="D343" s="4"/>
      <c r="E343" s="4"/>
      <c r="F343" s="4"/>
      <c r="I343" s="4" t="s">
        <v>480</v>
      </c>
      <c r="P343" s="1360"/>
      <c r="Q343" s="1360"/>
      <c r="R343" s="1360"/>
      <c r="S343" s="1360"/>
      <c r="T343" s="1360"/>
      <c r="U343" s="1360"/>
      <c r="V343" s="1360"/>
      <c r="W343" s="1360"/>
      <c r="X343" s="1360"/>
      <c r="Y343" s="1360"/>
      <c r="Z343" s="1360"/>
      <c r="AA343" s="1360"/>
      <c r="AB343" s="1360"/>
      <c r="AC343" s="1360"/>
      <c r="AD343" s="1360"/>
      <c r="AE343" s="1360"/>
      <c r="BN343" t="s">
        <v>678</v>
      </c>
    </row>
    <row r="344" spans="1:66" ht="12.95"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554</v>
      </c>
    </row>
    <row r="345" spans="1:66" ht="12.95"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2.95"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2.95"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2.95"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2.95" customHeight="1">
      <c r="T349" s="8"/>
      <c r="U349" s="8"/>
      <c r="V349" s="8"/>
      <c r="W349" s="8"/>
      <c r="X349" s="8"/>
      <c r="Y349" s="8"/>
      <c r="Z349" s="8"/>
    </row>
    <row r="350" spans="1:66" ht="12.95"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2.95"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2519</v>
      </c>
      <c r="M354" s="1354" t="s">
        <v>600</v>
      </c>
      <c r="N354" s="1354"/>
      <c r="P354" t="s">
        <v>1830</v>
      </c>
      <c r="AJ354" s="1354" t="s">
        <v>600</v>
      </c>
      <c r="AK354" s="1354"/>
    </row>
    <row r="355" spans="1:37" ht="12.95" customHeight="1">
      <c r="D355" s="3" t="s">
        <v>1819</v>
      </c>
      <c r="M355" s="1354" t="s">
        <v>554</v>
      </c>
      <c r="N355" s="1354"/>
      <c r="P355" s="3" t="s">
        <v>1979</v>
      </c>
      <c r="AJ355" s="1431"/>
      <c r="AK355" s="1431"/>
    </row>
    <row r="356" spans="1:37" ht="12.95" customHeight="1">
      <c r="D356" s="3" t="s">
        <v>716</v>
      </c>
      <c r="M356" s="1354" t="s">
        <v>600</v>
      </c>
      <c r="N356" s="1354"/>
      <c r="P356" t="s">
        <v>1829</v>
      </c>
      <c r="AJ356" s="1354" t="s">
        <v>600</v>
      </c>
      <c r="AK356" s="1354"/>
    </row>
    <row r="357" spans="1:37" ht="12.95" customHeight="1">
      <c r="D357" s="3" t="s">
        <v>717</v>
      </c>
      <c r="M357" s="1354" t="s">
        <v>600</v>
      </c>
      <c r="N357" s="1354"/>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54" t="s">
        <v>600</v>
      </c>
      <c r="O362" s="1354"/>
      <c r="P362" s="40"/>
      <c r="Q362" s="40"/>
      <c r="R362" s="40"/>
      <c r="S362" s="40"/>
      <c r="T362" s="40"/>
      <c r="U362" s="40"/>
      <c r="V362" s="40"/>
      <c r="W362" s="40"/>
      <c r="X362" s="40"/>
      <c r="Y362" s="40"/>
      <c r="Z362" s="40"/>
      <c r="AC362" s="40"/>
      <c r="AD362" s="40"/>
      <c r="AE362" s="40"/>
    </row>
    <row r="363" spans="1:37" ht="12.95" customHeight="1">
      <c r="E363" t="s">
        <v>372</v>
      </c>
      <c r="Y363" s="1354" t="s">
        <v>600</v>
      </c>
      <c r="Z363" s="1354"/>
    </row>
    <row r="364" spans="1:37" ht="12.95" customHeight="1">
      <c r="D364" s="4" t="s">
        <v>1018</v>
      </c>
      <c r="Q364" s="1353" t="s">
        <v>600</v>
      </c>
      <c r="R364" s="1353"/>
      <c r="S364" s="1353"/>
      <c r="T364" s="1353"/>
      <c r="U364" s="1353"/>
      <c r="V364" s="1353"/>
      <c r="W364" s="1353"/>
      <c r="X364" s="1353"/>
      <c r="Y364" s="1353"/>
      <c r="Z364" s="1353"/>
      <c r="AA364" s="1353"/>
      <c r="AB364" s="1353"/>
      <c r="AC364" s="1353"/>
      <c r="AD364" s="1353"/>
      <c r="AE364" s="1353"/>
      <c r="AF364" s="1353"/>
      <c r="AG364" s="1353"/>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54" t="s">
        <v>600</v>
      </c>
      <c r="K366" s="1354"/>
      <c r="L366" s="40"/>
      <c r="M366" s="40"/>
      <c r="N366" s="40"/>
      <c r="O366" s="40"/>
      <c r="P366" s="40"/>
      <c r="Q366" s="40"/>
      <c r="R366" s="40"/>
      <c r="S366" s="40"/>
      <c r="T366" s="40"/>
      <c r="U366" s="40"/>
      <c r="V366" s="40"/>
      <c r="W366" s="40"/>
      <c r="X366" s="40"/>
      <c r="Y366" s="40"/>
      <c r="Z366" s="40"/>
      <c r="AC366" s="40"/>
      <c r="AD366" s="40"/>
      <c r="AE366" s="40"/>
    </row>
    <row r="367" spans="1:37" ht="12.95" customHeight="1">
      <c r="E367" s="1730" t="s">
        <v>718</v>
      </c>
      <c r="F367" s="1730"/>
      <c r="G367" s="1730"/>
      <c r="H367" s="1730"/>
      <c r="I367" s="1730"/>
      <c r="J367" s="1730"/>
      <c r="K367" s="1730"/>
      <c r="L367" s="1730"/>
      <c r="M367" s="1730"/>
      <c r="N367" s="1730"/>
      <c r="O367" s="1730"/>
      <c r="P367" s="1730"/>
      <c r="Q367" s="1730"/>
      <c r="R367" s="1730"/>
      <c r="S367" s="1730"/>
      <c r="T367" s="1730"/>
      <c r="U367" s="1730"/>
      <c r="V367" s="1730"/>
      <c r="W367" s="1730"/>
      <c r="X367" s="1730"/>
      <c r="Y367" s="1730"/>
      <c r="Z367" s="1730"/>
      <c r="AA367" s="1730"/>
      <c r="AB367" s="1730"/>
      <c r="AC367" s="1730"/>
      <c r="AD367" s="1730"/>
      <c r="AE367" s="1730"/>
      <c r="AF367" s="1730"/>
      <c r="AG367" s="1730"/>
      <c r="AH367" s="1730"/>
    </row>
    <row r="368" spans="1:37" ht="12.95" customHeight="1">
      <c r="E368" s="1730"/>
      <c r="F368" s="1730"/>
      <c r="G368" s="1730"/>
      <c r="H368" s="1730"/>
      <c r="I368" s="1730"/>
      <c r="J368" s="1730"/>
      <c r="K368" s="1730"/>
      <c r="L368" s="1730"/>
      <c r="M368" s="1730"/>
      <c r="N368" s="1730"/>
      <c r="O368" s="1730"/>
      <c r="P368" s="1730"/>
      <c r="Q368" s="1730"/>
      <c r="R368" s="1730"/>
      <c r="S368" s="1730"/>
      <c r="T368" s="1730"/>
      <c r="U368" s="1730"/>
      <c r="V368" s="1730"/>
      <c r="W368" s="1730"/>
      <c r="X368" s="1730"/>
      <c r="Y368" s="1730"/>
      <c r="Z368" s="1730"/>
      <c r="AA368" s="1730"/>
      <c r="AB368" s="1730"/>
      <c r="AC368" s="1730"/>
      <c r="AD368" s="1730"/>
      <c r="AE368" s="1730"/>
      <c r="AF368" s="1730"/>
      <c r="AG368" s="1730"/>
      <c r="AH368" s="1730"/>
    </row>
    <row r="369" spans="1:36" ht="12.95" customHeight="1">
      <c r="E369" s="4" t="s">
        <v>457</v>
      </c>
      <c r="F369" s="4"/>
      <c r="G369" s="4"/>
      <c r="H369" s="4"/>
      <c r="I369" s="4"/>
      <c r="J369" s="4"/>
      <c r="K369" s="4"/>
      <c r="L369" s="4"/>
      <c r="N369" s="1728"/>
      <c r="O369" s="1728"/>
      <c r="P369" s="1728"/>
      <c r="Q369" s="1728"/>
      <c r="R369" s="4"/>
      <c r="U369" s="4" t="s">
        <v>458</v>
      </c>
      <c r="V369" s="4"/>
      <c r="W369" s="4"/>
      <c r="X369" s="4"/>
      <c r="Y369" s="4"/>
      <c r="Z369" s="4"/>
      <c r="AA369" s="4"/>
      <c r="AB369" s="4"/>
      <c r="AC369" s="1728"/>
      <c r="AD369" s="1728"/>
      <c r="AE369" s="1728"/>
      <c r="AF369" s="1728"/>
    </row>
    <row r="370" spans="1:36" ht="12.95" customHeight="1">
      <c r="E370" s="4" t="s">
        <v>459</v>
      </c>
      <c r="F370" s="4"/>
      <c r="G370" s="4"/>
      <c r="H370" s="4"/>
      <c r="I370" s="4"/>
      <c r="J370" s="4"/>
      <c r="K370" s="4"/>
      <c r="L370" s="4"/>
      <c r="N370" s="1728"/>
      <c r="O370" s="1728"/>
      <c r="P370" s="1728"/>
      <c r="Q370" s="1728"/>
      <c r="R370" s="4"/>
      <c r="U370" s="4" t="s">
        <v>0</v>
      </c>
      <c r="V370" s="4"/>
      <c r="W370" s="4"/>
      <c r="X370" s="4"/>
      <c r="Y370" s="4"/>
      <c r="Z370" s="4"/>
      <c r="AA370" s="4"/>
      <c r="AB370" s="4"/>
      <c r="AC370" s="1728"/>
      <c r="AD370" s="1728"/>
      <c r="AE370" s="1728"/>
      <c r="AF370" s="1728"/>
    </row>
    <row r="371" spans="1:36" ht="12.95" customHeight="1">
      <c r="E371" s="4" t="s">
        <v>1</v>
      </c>
      <c r="F371" s="4"/>
      <c r="G371" s="4"/>
      <c r="H371" s="4"/>
      <c r="I371" s="4"/>
      <c r="J371" s="4"/>
      <c r="K371" s="4"/>
      <c r="L371" s="4"/>
      <c r="N371" s="1728"/>
      <c r="O371" s="1728"/>
      <c r="P371" s="1728"/>
      <c r="Q371" s="1728"/>
      <c r="R371" s="4"/>
      <c r="V371" s="4"/>
      <c r="W371" s="4"/>
      <c r="X371" s="4"/>
      <c r="Y371" s="4"/>
      <c r="Z371" s="4"/>
      <c r="AA371" s="4"/>
      <c r="AB371" s="4"/>
    </row>
    <row r="372" spans="1:36" ht="12.95" customHeight="1">
      <c r="E372" s="4" t="s">
        <v>2</v>
      </c>
      <c r="F372" s="4"/>
      <c r="G372" s="4"/>
      <c r="H372" s="4"/>
      <c r="I372" s="4"/>
      <c r="J372" s="4"/>
      <c r="K372" s="4"/>
      <c r="L372" s="4"/>
      <c r="N372" s="1831"/>
      <c r="O372" s="1831"/>
      <c r="P372" s="1831"/>
      <c r="Q372" s="1831"/>
      <c r="R372" s="1831"/>
      <c r="S372" s="1831"/>
      <c r="T372" s="1831"/>
      <c r="U372" s="1831"/>
      <c r="V372" s="1831"/>
      <c r="W372" s="1831"/>
      <c r="X372" s="1831"/>
      <c r="Y372" s="1831"/>
      <c r="Z372" s="1831"/>
      <c r="AA372" s="1831"/>
      <c r="AB372" s="1831"/>
      <c r="AC372" s="1831"/>
      <c r="AD372" s="1831"/>
      <c r="AE372" s="1831"/>
      <c r="AF372" s="1831"/>
    </row>
    <row r="373" spans="1:36" ht="12.95" customHeight="1">
      <c r="E373" s="4"/>
      <c r="F373" s="4"/>
      <c r="G373" s="4"/>
      <c r="H373" s="4"/>
      <c r="I373" s="4"/>
      <c r="J373" s="4"/>
      <c r="K373" s="4"/>
      <c r="L373" s="4"/>
      <c r="N373" s="1832"/>
      <c r="O373" s="1832"/>
      <c r="P373" s="1832"/>
      <c r="Q373" s="1832"/>
      <c r="R373" s="1832"/>
      <c r="S373" s="1832"/>
      <c r="T373" s="1832"/>
      <c r="U373" s="1832"/>
      <c r="V373" s="1832"/>
      <c r="W373" s="1832"/>
      <c r="X373" s="1832"/>
      <c r="Y373" s="1832"/>
      <c r="Z373" s="1832"/>
      <c r="AA373" s="1832"/>
      <c r="AB373" s="1832"/>
      <c r="AC373" s="1832"/>
      <c r="AD373" s="1832"/>
      <c r="AE373" s="1832"/>
      <c r="AF373" s="1832"/>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2502</v>
      </c>
      <c r="F376" s="4"/>
      <c r="G376" s="4"/>
      <c r="H376" s="4"/>
      <c r="I376" s="4"/>
      <c r="J376" s="4"/>
      <c r="K376" s="4"/>
      <c r="L376" s="4"/>
      <c r="N376" t="s">
        <v>2496</v>
      </c>
      <c r="R376" s="27" t="s">
        <v>307</v>
      </c>
      <c r="S376" s="1727"/>
      <c r="T376" s="1727"/>
      <c r="U376" s="1" t="s">
        <v>308</v>
      </c>
      <c r="V376" s="1727"/>
      <c r="W376" s="1727"/>
      <c r="Y376" t="s">
        <v>2496</v>
      </c>
      <c r="AC376" s="27" t="s">
        <v>307</v>
      </c>
      <c r="AD376" s="1727"/>
      <c r="AE376" s="1727"/>
      <c r="AF376" s="1" t="s">
        <v>308</v>
      </c>
      <c r="AG376" s="1727"/>
      <c r="AH376" s="1727"/>
    </row>
    <row r="377" spans="1:36" ht="12.95" customHeight="1">
      <c r="E377" s="4" t="s">
        <v>1044</v>
      </c>
      <c r="F377" s="4"/>
      <c r="G377" s="4"/>
      <c r="H377" s="4"/>
      <c r="I377" s="4"/>
      <c r="J377" s="4"/>
      <c r="K377" s="4"/>
      <c r="L377" s="4"/>
      <c r="N377" s="1727"/>
      <c r="O377" s="1727"/>
      <c r="P377" s="1727"/>
    </row>
    <row r="378" spans="1:36" ht="12.95" customHeight="1">
      <c r="E378" s="218" t="s">
        <v>2503</v>
      </c>
      <c r="F378" s="4"/>
      <c r="G378" s="4"/>
      <c r="H378" s="4"/>
      <c r="I378" s="4"/>
      <c r="J378" s="4"/>
      <c r="K378" s="4"/>
      <c r="L378" s="4"/>
      <c r="AG378" s="1652" t="s">
        <v>600</v>
      </c>
      <c r="AH378" s="1652"/>
    </row>
    <row r="379" spans="1:36" ht="12.95" customHeight="1">
      <c r="E379" s="4"/>
      <c r="F379" s="4"/>
      <c r="G379" s="4" t="s">
        <v>2504</v>
      </c>
      <c r="H379" s="4"/>
      <c r="I379" s="4"/>
      <c r="J379" s="4"/>
      <c r="K379" s="4"/>
      <c r="L379" s="4"/>
      <c r="AG379" s="1652" t="s">
        <v>600</v>
      </c>
      <c r="AH379" s="1652"/>
    </row>
    <row r="380" spans="1:36" ht="12.95" customHeight="1">
      <c r="E380" s="4"/>
      <c r="F380" s="4"/>
      <c r="G380" s="349" t="s">
        <v>1045</v>
      </c>
      <c r="H380" s="4"/>
      <c r="I380" s="4"/>
      <c r="J380" s="4"/>
      <c r="K380" s="4"/>
      <c r="L380" s="4"/>
      <c r="V380" s="1354" t="s">
        <v>600</v>
      </c>
      <c r="W380" s="1354"/>
      <c r="Y380" s="22" t="s">
        <v>1020</v>
      </c>
    </row>
    <row r="381" spans="1:36" ht="12.95" customHeight="1">
      <c r="E381" s="4" t="s">
        <v>1021</v>
      </c>
      <c r="F381" s="4"/>
      <c r="G381" s="4"/>
      <c r="H381" s="4"/>
      <c r="I381" s="4"/>
      <c r="J381" s="4"/>
      <c r="K381" s="4"/>
      <c r="L381" s="4"/>
      <c r="V381" s="1354" t="s">
        <v>600</v>
      </c>
      <c r="W381" s="1354"/>
      <c r="Y381" s="4" t="s">
        <v>1022</v>
      </c>
    </row>
    <row r="382" spans="1:36" ht="12.95" customHeight="1"/>
    <row r="383" spans="1:36" ht="12.95" customHeight="1">
      <c r="A383" s="2" t="s">
        <v>79</v>
      </c>
      <c r="B383" s="2"/>
    </row>
    <row r="384" spans="1:36" ht="12.95" customHeight="1">
      <c r="D384" t="s">
        <v>430</v>
      </c>
      <c r="J384" s="1353"/>
      <c r="K384" s="1353"/>
      <c r="L384" s="1353"/>
      <c r="M384" s="1353"/>
      <c r="N384" s="1353"/>
      <c r="O384" s="1353"/>
      <c r="P384" s="1353"/>
      <c r="Q384" s="1353"/>
      <c r="R384" s="1353"/>
      <c r="S384" s="1353"/>
      <c r="T384" s="1353"/>
      <c r="U384" s="1353"/>
      <c r="V384" s="8" t="s">
        <v>84</v>
      </c>
      <c r="W384" s="8"/>
      <c r="X384" s="8"/>
      <c r="Y384" s="8"/>
      <c r="Z384" s="8"/>
      <c r="AA384" s="8"/>
      <c r="AB384" s="8"/>
      <c r="AC384" s="1353"/>
      <c r="AD384" s="1353"/>
      <c r="AE384" s="1353"/>
      <c r="AF384" s="1353"/>
      <c r="AG384" s="1353"/>
      <c r="AH384" s="1353"/>
      <c r="AI384" s="1353"/>
      <c r="AJ384" s="1353"/>
    </row>
    <row r="385" spans="4:36" ht="12.95" customHeight="1">
      <c r="D385" s="3" t="s">
        <v>1325</v>
      </c>
      <c r="J385" s="1360"/>
      <c r="K385" s="1360"/>
      <c r="L385" s="1360"/>
      <c r="M385" s="1360"/>
      <c r="N385" s="1360"/>
      <c r="O385" s="1360"/>
      <c r="P385" s="1360"/>
      <c r="Q385" s="1360"/>
      <c r="R385" s="1360"/>
      <c r="S385" s="1360"/>
      <c r="T385" s="1360"/>
      <c r="U385" s="1360"/>
      <c r="V385" s="3" t="s">
        <v>1325</v>
      </c>
      <c r="W385" s="8"/>
      <c r="X385" s="8"/>
      <c r="Y385" s="8"/>
      <c r="Z385" s="8"/>
      <c r="AA385" s="8"/>
      <c r="AB385" s="8"/>
      <c r="AC385" s="1353"/>
      <c r="AD385" s="1353"/>
      <c r="AE385" s="1353"/>
      <c r="AF385" s="1353"/>
      <c r="AG385" s="1353"/>
      <c r="AH385" s="1353"/>
      <c r="AI385" s="1353"/>
      <c r="AJ385" s="1353"/>
    </row>
    <row r="386" spans="4:36" ht="12.95" customHeight="1">
      <c r="D386" s="3" t="s">
        <v>444</v>
      </c>
      <c r="J386" s="1360"/>
      <c r="K386" s="1360"/>
      <c r="L386" s="1360"/>
      <c r="M386" s="1360"/>
      <c r="N386" s="1360"/>
      <c r="O386" s="1360"/>
      <c r="P386" s="1360"/>
      <c r="Q386" s="1360"/>
      <c r="R386" s="1360"/>
      <c r="S386" s="1360"/>
      <c r="T386" s="1360"/>
      <c r="U386" s="1360"/>
      <c r="V386" s="3" t="s">
        <v>444</v>
      </c>
      <c r="W386" s="8"/>
      <c r="X386" s="8"/>
      <c r="Y386" s="8"/>
      <c r="Z386" s="8"/>
      <c r="AA386" s="8"/>
      <c r="AB386" s="8"/>
      <c r="AC386" s="1353"/>
      <c r="AD386" s="1353"/>
      <c r="AE386" s="1353"/>
      <c r="AF386" s="1353"/>
      <c r="AG386" s="1353"/>
      <c r="AH386" s="1353"/>
      <c r="AI386" s="1353"/>
      <c r="AJ386" s="1353"/>
    </row>
    <row r="387" spans="4:36" ht="12.95" customHeight="1">
      <c r="D387" t="s">
        <v>1321</v>
      </c>
      <c r="J387" s="1518"/>
      <c r="K387" s="1518"/>
      <c r="L387" s="1518"/>
      <c r="M387" s="1518"/>
      <c r="N387" s="1518"/>
      <c r="O387" s="1518"/>
      <c r="P387" s="1518"/>
      <c r="Q387" s="1518"/>
      <c r="R387" s="1518"/>
      <c r="S387" s="1518"/>
      <c r="T387" s="1518"/>
      <c r="U387" s="1518"/>
      <c r="V387" s="1353"/>
      <c r="W387" s="1353"/>
      <c r="X387" s="1353"/>
      <c r="Y387" s="1353"/>
      <c r="Z387" s="1353"/>
      <c r="AA387" s="1353"/>
      <c r="AB387" s="1353"/>
      <c r="AC387" s="1353"/>
      <c r="AD387" s="1353"/>
      <c r="AE387" s="1353"/>
      <c r="AF387" s="1353"/>
      <c r="AG387" s="1353"/>
      <c r="AH387" s="1353"/>
      <c r="AI387" s="1353"/>
      <c r="AJ387" s="1353"/>
    </row>
    <row r="388" spans="4:36" ht="12.95" customHeight="1">
      <c r="D388" t="s">
        <v>4</v>
      </c>
      <c r="Q388" s="1619"/>
      <c r="R388" s="1619"/>
      <c r="S388" s="1619"/>
      <c r="T388" s="1619"/>
      <c r="U388" s="1619"/>
      <c r="V388" t="s">
        <v>311</v>
      </c>
      <c r="AI388" s="1354" t="s">
        <v>678</v>
      </c>
      <c r="AJ388" s="1354"/>
    </row>
    <row r="389" spans="4:36" ht="12.95" customHeight="1">
      <c r="D389" t="s">
        <v>5</v>
      </c>
      <c r="Q389" s="1673"/>
      <c r="R389" s="1729"/>
      <c r="S389" s="1729"/>
      <c r="T389" s="1729"/>
      <c r="U389" s="1729"/>
      <c r="W389" s="21" t="s">
        <v>75</v>
      </c>
      <c r="AG389" s="1662"/>
      <c r="AH389" s="1662"/>
      <c r="AI389" s="1662"/>
      <c r="AJ389" s="1662"/>
    </row>
    <row r="390" spans="4:36" ht="12.95" customHeight="1">
      <c r="D390" t="s">
        <v>429</v>
      </c>
      <c r="Q390" s="1726"/>
      <c r="R390" s="1726"/>
      <c r="S390" s="1726"/>
      <c r="T390" s="1726"/>
      <c r="U390" s="1726"/>
      <c r="V390" s="3" t="s">
        <v>1324</v>
      </c>
      <c r="AG390" s="1823"/>
      <c r="AH390" s="1823"/>
      <c r="AI390" s="1823"/>
      <c r="AJ390" s="1823"/>
    </row>
    <row r="391" spans="4:36" ht="12.95" customHeight="1">
      <c r="D391" t="s">
        <v>89</v>
      </c>
      <c r="I391" s="1648"/>
      <c r="J391" s="1648"/>
      <c r="K391" s="1648"/>
      <c r="L391" s="1648"/>
      <c r="M391" s="1648"/>
      <c r="N391" s="1648"/>
      <c r="Q391" s="4" t="s">
        <v>208</v>
      </c>
      <c r="S391" s="1735"/>
      <c r="T391" s="1735"/>
      <c r="U391" s="1735"/>
      <c r="V391" t="s">
        <v>74</v>
      </c>
      <c r="AI391" s="1354" t="s">
        <v>678</v>
      </c>
      <c r="AJ391" s="1354"/>
    </row>
    <row r="392" spans="4:36" ht="12.95" customHeight="1">
      <c r="D392" t="s">
        <v>312</v>
      </c>
      <c r="Q392" s="1530"/>
      <c r="R392" s="1530"/>
      <c r="S392" s="1530"/>
      <c r="T392" s="1530"/>
      <c r="U392" s="1530"/>
      <c r="V392" t="s">
        <v>313</v>
      </c>
      <c r="AG392" s="1662"/>
      <c r="AH392" s="1662"/>
      <c r="AI392" s="1662"/>
      <c r="AJ392" s="1662"/>
    </row>
    <row r="393" spans="4:36" ht="12.95" customHeight="1">
      <c r="D393" t="s">
        <v>314</v>
      </c>
      <c r="Q393" s="1661"/>
      <c r="R393" s="1661"/>
      <c r="S393" s="1661"/>
      <c r="T393" s="1661"/>
      <c r="U393" s="1661"/>
      <c r="V393" t="s">
        <v>1305</v>
      </c>
      <c r="AG393" s="1662"/>
      <c r="AH393" s="1662"/>
      <c r="AI393" s="1662"/>
      <c r="AJ393" s="1662"/>
    </row>
    <row r="394" spans="4:36" ht="12.95" customHeight="1">
      <c r="D394" t="s">
        <v>1304</v>
      </c>
      <c r="AG394" s="1662"/>
      <c r="AH394" s="1662"/>
      <c r="AI394" s="1662"/>
      <c r="AJ394" s="1662"/>
    </row>
    <row r="395" spans="4:36" ht="12.95" customHeight="1">
      <c r="AG395" s="491"/>
      <c r="AH395" s="491"/>
      <c r="AI395" s="491"/>
      <c r="AJ395" s="491"/>
    </row>
    <row r="396" spans="4:36" ht="12.95" customHeight="1">
      <c r="D396" s="3" t="s">
        <v>2614</v>
      </c>
      <c r="AG396" s="491"/>
      <c r="AH396" s="491"/>
      <c r="AI396" s="1354" t="s">
        <v>678</v>
      </c>
      <c r="AJ396" s="1354"/>
    </row>
    <row r="397" spans="4:36" ht="12.95" customHeight="1">
      <c r="D397" s="3" t="s">
        <v>1848</v>
      </c>
      <c r="T397" s="1789"/>
      <c r="U397" s="1789"/>
      <c r="V397" s="1789"/>
      <c r="W397" s="1789"/>
      <c r="X397" s="1789"/>
      <c r="Y397" s="1789"/>
      <c r="Z397" s="1789"/>
      <c r="AA397" s="1789"/>
      <c r="AB397" s="1789"/>
      <c r="AC397" s="1789"/>
      <c r="AD397" s="1789"/>
      <c r="AE397" s="1789"/>
      <c r="AF397" s="1789"/>
      <c r="AG397" s="1789"/>
      <c r="AH397" s="1789"/>
      <c r="AI397" s="1789"/>
      <c r="AJ397" s="1789"/>
    </row>
    <row r="398" spans="4:36" ht="12.95" customHeight="1">
      <c r="D398" s="3" t="s">
        <v>1847</v>
      </c>
      <c r="T398" s="1789"/>
      <c r="U398" s="1789"/>
      <c r="V398" s="1789"/>
      <c r="W398" s="1789"/>
      <c r="X398" s="1789"/>
      <c r="Y398" s="1789"/>
      <c r="Z398" s="1789"/>
      <c r="AA398" s="1789"/>
      <c r="AB398" s="1789"/>
      <c r="AC398" s="1789"/>
      <c r="AD398" s="1789"/>
      <c r="AE398" s="1789"/>
      <c r="AF398" s="1789"/>
      <c r="AG398" s="1789"/>
      <c r="AH398" s="1789"/>
      <c r="AI398" s="1789"/>
      <c r="AJ398" s="1789"/>
    </row>
    <row r="399" spans="4:36" ht="12.95" customHeight="1">
      <c r="AG399" s="491"/>
      <c r="AH399" s="491"/>
      <c r="AI399" s="491"/>
      <c r="AJ399" s="491"/>
    </row>
    <row r="400" spans="4:36" ht="12.95" customHeight="1">
      <c r="D400" s="3" t="s">
        <v>1841</v>
      </c>
      <c r="S400" s="1789" t="s">
        <v>554</v>
      </c>
      <c r="T400" s="1789"/>
      <c r="U400" s="1789"/>
      <c r="V400" t="s">
        <v>1842</v>
      </c>
      <c r="AG400" s="1822">
        <v>99</v>
      </c>
      <c r="AH400" s="1822"/>
      <c r="AI400" s="1822"/>
      <c r="AJ400" s="1822"/>
    </row>
    <row r="401" spans="1:36" ht="12.95" customHeight="1">
      <c r="D401" s="3" t="s">
        <v>1839</v>
      </c>
      <c r="S401" s="1789" t="s">
        <v>554</v>
      </c>
      <c r="T401" s="1789"/>
      <c r="U401" s="1789"/>
      <c r="V401" t="s">
        <v>1844</v>
      </c>
      <c r="AE401" s="1810">
        <v>0</v>
      </c>
      <c r="AF401" s="1810"/>
      <c r="AG401" s="1810"/>
      <c r="AH401" s="1810"/>
      <c r="AI401" s="1810"/>
      <c r="AJ401" s="1810"/>
    </row>
    <row r="402" spans="1:36" ht="12.95" customHeight="1">
      <c r="D402" s="3" t="s">
        <v>1840</v>
      </c>
      <c r="K402" s="1812"/>
      <c r="L402" s="1812"/>
      <c r="M402" s="1812"/>
      <c r="N402" s="1812"/>
      <c r="O402" s="1812"/>
      <c r="P402" s="1812"/>
      <c r="Q402" s="1812"/>
      <c r="R402" s="1812"/>
      <c r="S402" s="1812"/>
      <c r="T402" s="1812"/>
      <c r="U402" s="1812"/>
      <c r="V402" s="1812"/>
      <c r="W402" s="1812"/>
      <c r="X402" s="1812"/>
      <c r="Y402" s="1812"/>
      <c r="Z402" s="1812"/>
      <c r="AA402" s="1812"/>
      <c r="AB402" s="1812"/>
      <c r="AC402" s="1812"/>
      <c r="AD402" s="1812"/>
      <c r="AE402" s="1812"/>
      <c r="AF402" s="1812"/>
      <c r="AG402" s="1812"/>
      <c r="AH402" s="1812"/>
      <c r="AI402" s="1812"/>
      <c r="AJ402" s="1812"/>
    </row>
    <row r="403" spans="1:36" ht="12.95" customHeight="1">
      <c r="D403" s="3" t="s">
        <v>1843</v>
      </c>
      <c r="K403" s="1812" t="s">
        <v>2745</v>
      </c>
      <c r="L403" s="1812"/>
      <c r="M403" s="1812"/>
      <c r="N403" s="1812"/>
      <c r="O403" s="1812"/>
      <c r="P403" s="1812"/>
      <c r="Q403" s="1812"/>
      <c r="R403" s="1812"/>
      <c r="S403" s="1812"/>
      <c r="T403" s="1812"/>
      <c r="U403" s="1812"/>
      <c r="V403" s="1812"/>
      <c r="W403" s="1812"/>
      <c r="X403" s="1812"/>
      <c r="Y403" s="1812"/>
      <c r="Z403" s="1812"/>
      <c r="AA403" s="1812"/>
      <c r="AB403" s="1812"/>
      <c r="AC403" s="1812"/>
      <c r="AD403" s="1812"/>
      <c r="AE403" s="1812"/>
      <c r="AF403" s="1812"/>
      <c r="AG403" s="1812"/>
      <c r="AH403" s="1812"/>
      <c r="AI403" s="1812"/>
      <c r="AJ403" s="1812"/>
    </row>
    <row r="404" spans="1:36" ht="12.95" customHeight="1">
      <c r="D404" s="3" t="s">
        <v>1846</v>
      </c>
      <c r="E404" s="512"/>
      <c r="F404" s="512"/>
      <c r="G404" s="512"/>
      <c r="H404" s="512"/>
      <c r="I404" s="512"/>
      <c r="J404" s="512"/>
      <c r="K404" s="512"/>
      <c r="L404" s="512"/>
      <c r="M404" s="512"/>
      <c r="N404" s="512"/>
      <c r="O404" s="512"/>
      <c r="P404" s="512"/>
      <c r="Q404" s="512"/>
      <c r="R404" s="512"/>
      <c r="S404" s="1780" t="s">
        <v>1327</v>
      </c>
      <c r="T404" s="1780"/>
      <c r="U404" s="1780"/>
      <c r="V404" s="1780"/>
      <c r="W404" s="1780"/>
      <c r="X404" s="1780"/>
      <c r="Y404" s="1780"/>
      <c r="Z404" s="1780"/>
      <c r="AA404" s="1780"/>
      <c r="AB404" s="1780"/>
      <c r="AC404" s="1780"/>
      <c r="AD404" s="1780"/>
      <c r="AE404" s="1780"/>
      <c r="AF404" s="1780"/>
      <c r="AG404" s="1780"/>
      <c r="AH404" s="1780"/>
      <c r="AI404" s="1780"/>
      <c r="AJ404" s="1780"/>
    </row>
    <row r="405" spans="1:36" ht="12.95"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2.95"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352" t="s">
        <v>2674</v>
      </c>
      <c r="J409" s="1352"/>
      <c r="K409" s="1352"/>
      <c r="L409" s="1352"/>
      <c r="M409" s="1352"/>
      <c r="N409" s="1352"/>
      <c r="O409" s="1352"/>
      <c r="P409" s="1352"/>
      <c r="Q409" s="1352"/>
      <c r="R409" s="1352"/>
      <c r="S409" s="1352"/>
      <c r="T409" s="1352"/>
      <c r="U409" s="1352"/>
      <c r="V409" s="1352"/>
      <c r="W409" s="1352"/>
      <c r="X409" s="1352"/>
      <c r="Y409" s="1352"/>
      <c r="Z409" s="1352"/>
      <c r="AA409" s="1352"/>
      <c r="AB409" s="1352"/>
      <c r="AC409" s="1352"/>
      <c r="AD409" s="1352"/>
      <c r="AE409" s="1352"/>
    </row>
    <row r="410" spans="1:36" ht="12.95" customHeight="1">
      <c r="E410" t="s">
        <v>107</v>
      </c>
      <c r="R410" s="1354" t="s">
        <v>554</v>
      </c>
      <c r="S410" s="1354"/>
      <c r="T410" t="s">
        <v>579</v>
      </c>
      <c r="AD410" s="1728">
        <v>3</v>
      </c>
      <c r="AE410" s="1728"/>
    </row>
    <row r="411" spans="1:36" ht="12.95" customHeight="1">
      <c r="E411" t="s">
        <v>108</v>
      </c>
      <c r="R411" s="1354" t="s">
        <v>600</v>
      </c>
      <c r="S411" s="1354"/>
      <c r="T411" t="s">
        <v>579</v>
      </c>
      <c r="AD411" s="1728">
        <v>0</v>
      </c>
      <c r="AE411" s="1728"/>
    </row>
    <row r="412" spans="1:36" ht="12.95" customHeight="1">
      <c r="E412" t="s">
        <v>109</v>
      </c>
      <c r="S412" s="1354" t="s">
        <v>600</v>
      </c>
      <c r="T412" s="1354"/>
    </row>
    <row r="413" spans="1:36" ht="12.95" customHeight="1">
      <c r="E413" t="s">
        <v>171</v>
      </c>
      <c r="H413" s="1659" t="s">
        <v>2675</v>
      </c>
      <c r="I413" s="1659"/>
      <c r="J413" s="1659"/>
      <c r="K413" s="1659"/>
      <c r="L413" s="1659"/>
      <c r="M413" s="1659"/>
      <c r="N413" s="1659"/>
      <c r="O413" s="1659"/>
      <c r="P413" s="1659"/>
      <c r="Q413" s="1659"/>
      <c r="R413" s="1659"/>
      <c r="S413" s="1659"/>
      <c r="T413" s="1659"/>
      <c r="U413" s="1659"/>
      <c r="V413" s="1659"/>
      <c r="W413" s="1659"/>
      <c r="X413" s="1659"/>
      <c r="Y413" s="1659"/>
      <c r="Z413" s="1659"/>
      <c r="AA413" s="1659"/>
      <c r="AB413" s="1659"/>
      <c r="AC413" s="1659"/>
      <c r="AD413" s="1659"/>
      <c r="AE413" s="1659"/>
    </row>
    <row r="414" spans="1:36" ht="12.95" customHeight="1">
      <c r="H414" s="1660"/>
      <c r="I414" s="1660"/>
      <c r="J414" s="1660"/>
      <c r="K414" s="1660"/>
      <c r="L414" s="1660"/>
      <c r="M414" s="1660"/>
      <c r="N414" s="1660"/>
      <c r="O414" s="1660"/>
      <c r="P414" s="1660"/>
      <c r="Q414" s="1660"/>
      <c r="R414" s="1660"/>
      <c r="S414" s="1660"/>
      <c r="T414" s="1660"/>
      <c r="U414" s="1660"/>
      <c r="V414" s="1660"/>
      <c r="W414" s="1660"/>
      <c r="X414" s="1660"/>
      <c r="Y414" s="1660"/>
      <c r="Z414" s="1660"/>
      <c r="AA414" s="1660"/>
      <c r="AB414" s="1660"/>
      <c r="AC414" s="1660"/>
      <c r="AD414" s="1660"/>
      <c r="AE414" s="1660"/>
    </row>
    <row r="415" spans="1:36" ht="12.95" customHeight="1"/>
    <row r="416" spans="1:36" ht="12.95" customHeight="1">
      <c r="A416" s="2" t="s">
        <v>599</v>
      </c>
      <c r="B416" s="2"/>
      <c r="C416" s="2"/>
      <c r="D416" s="2" t="s">
        <v>115</v>
      </c>
      <c r="AF416" s="2" t="s">
        <v>997</v>
      </c>
    </row>
    <row r="417" spans="1:39" ht="12.95" customHeight="1">
      <c r="E417" s="1727"/>
      <c r="F417" s="1727"/>
      <c r="G417" s="1727"/>
      <c r="H417" s="13" t="s">
        <v>116</v>
      </c>
      <c r="I417" s="1727"/>
      <c r="J417" s="1727"/>
      <c r="K417" s="1727"/>
      <c r="L417" t="s">
        <v>117</v>
      </c>
      <c r="N417" s="27" t="s">
        <v>584</v>
      </c>
      <c r="P417" s="1734">
        <v>2.1</v>
      </c>
      <c r="Q417" s="1734"/>
      <c r="R417" s="1734"/>
      <c r="S417" t="s">
        <v>118</v>
      </c>
      <c r="W417" s="1845">
        <f>IF(E417&gt;0,(E417*I417),(P417*43560))</f>
        <v>91476</v>
      </c>
      <c r="X417" s="1845"/>
      <c r="Y417" s="1845"/>
      <c r="Z417" t="s">
        <v>119</v>
      </c>
      <c r="AF417" s="1797">
        <f>IF(P417&gt;0,(AG436/P417),(AG436/(W417/43560)))</f>
        <v>18.095238095238095</v>
      </c>
      <c r="AG417" s="1797"/>
      <c r="AH417" s="1797"/>
      <c r="AM417" s="3"/>
    </row>
    <row r="418" spans="1:39" ht="12.95" customHeight="1">
      <c r="E418" t="s">
        <v>51</v>
      </c>
    </row>
    <row r="419" spans="1:39" ht="12.95" customHeight="1">
      <c r="E419" s="1795"/>
      <c r="F419" s="1795"/>
      <c r="G419" s="1795"/>
      <c r="H419" s="1795"/>
      <c r="I419" s="1795"/>
      <c r="J419" s="1795"/>
      <c r="K419" s="1795"/>
      <c r="L419" s="1795"/>
      <c r="M419" s="1795"/>
      <c r="N419" s="1795"/>
      <c r="O419" s="1795"/>
      <c r="P419" s="1795"/>
      <c r="Q419" s="1795"/>
      <c r="R419" s="1795"/>
      <c r="S419" s="1795"/>
      <c r="T419" s="1795"/>
      <c r="U419" s="1795"/>
      <c r="V419" s="1795"/>
      <c r="W419" s="1795"/>
      <c r="X419" s="1795"/>
      <c r="Y419" s="1795"/>
      <c r="Z419" s="1795"/>
      <c r="AA419" s="1795"/>
      <c r="AB419" s="1795"/>
      <c r="AC419" s="1795"/>
      <c r="AD419" s="1795"/>
      <c r="AE419" s="1795"/>
      <c r="AF419" s="1795"/>
      <c r="AG419" s="1795"/>
      <c r="AH419" s="1795"/>
      <c r="AI419" s="1795"/>
      <c r="AJ419" s="1795"/>
    </row>
    <row r="420" spans="1:39" ht="12.95" customHeight="1">
      <c r="E420" s="118" t="s">
        <v>1996</v>
      </c>
      <c r="F420" s="1050"/>
      <c r="G420" s="1050"/>
      <c r="H420" s="1050"/>
      <c r="I420" s="1657">
        <v>1.2</v>
      </c>
      <c r="J420" s="1657"/>
      <c r="K420" s="1657"/>
      <c r="L420" s="1050"/>
      <c r="M420" s="118"/>
      <c r="N420" s="1050"/>
      <c r="O420" s="1050"/>
      <c r="P420" s="1609">
        <f>(CS623+CS631+CS647)/I420</f>
        <v>31.666666666666668</v>
      </c>
      <c r="Q420" s="1609"/>
      <c r="R420" s="1609"/>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54">
        <v>1</v>
      </c>
      <c r="Q423" s="1354"/>
      <c r="S423" t="s">
        <v>191</v>
      </c>
      <c r="AE423" s="1354">
        <v>1</v>
      </c>
      <c r="AF423" s="1354"/>
    </row>
    <row r="424" spans="1:39" ht="12.95" customHeight="1">
      <c r="E424" t="s">
        <v>192</v>
      </c>
      <c r="P424" s="1354">
        <v>1</v>
      </c>
      <c r="Q424" s="1354"/>
      <c r="S424" t="s">
        <v>132</v>
      </c>
      <c r="AE424" s="1354" t="s">
        <v>600</v>
      </c>
      <c r="AF424" s="1354"/>
    </row>
    <row r="425" spans="1:39" ht="12.95" customHeight="1">
      <c r="F425" s="28" t="s">
        <v>133</v>
      </c>
    </row>
    <row r="426" spans="1:39" ht="12.95" customHeight="1">
      <c r="F426" s="1771"/>
      <c r="G426" s="1771"/>
      <c r="H426" s="1771"/>
      <c r="I426" s="1771"/>
      <c r="J426" s="1771"/>
      <c r="K426" s="1771"/>
      <c r="L426" s="1771"/>
      <c r="M426" s="1771"/>
      <c r="N426" s="1771"/>
      <c r="O426" s="1771"/>
      <c r="P426" s="1771"/>
      <c r="Q426" s="1771"/>
      <c r="R426" s="1771"/>
      <c r="S426" s="1771"/>
      <c r="T426" s="1771"/>
      <c r="U426" s="1771"/>
      <c r="V426" s="1771"/>
      <c r="W426" s="1771"/>
      <c r="X426" s="1771"/>
      <c r="Y426" s="1771"/>
      <c r="Z426" s="1771"/>
      <c r="AA426" s="1771"/>
      <c r="AB426" s="1771"/>
      <c r="AC426" s="1771"/>
      <c r="AD426" s="1771"/>
      <c r="AE426" s="1771"/>
      <c r="AF426" s="1771"/>
      <c r="AG426" s="1771"/>
      <c r="AH426" s="1771"/>
    </row>
    <row r="427" spans="1:39" ht="12.95"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2.95" customHeight="1">
      <c r="E428" t="s">
        <v>617</v>
      </c>
      <c r="P428" s="1"/>
      <c r="Q428" s="1354" t="s">
        <v>554</v>
      </c>
      <c r="R428" s="1354"/>
    </row>
    <row r="429" spans="1:39" ht="12.95" customHeight="1">
      <c r="F429" t="s">
        <v>618</v>
      </c>
      <c r="P429" s="1"/>
      <c r="Q429" s="1"/>
      <c r="AF429" s="1354" t="s">
        <v>600</v>
      </c>
      <c r="AG429" s="1740"/>
    </row>
    <row r="430" spans="1:39" ht="12.95" customHeight="1"/>
    <row r="431" spans="1:39" ht="12.95" customHeight="1">
      <c r="A431" s="2"/>
      <c r="B431" s="2"/>
      <c r="C431" s="2"/>
      <c r="E431" s="4" t="s">
        <v>310</v>
      </c>
      <c r="Z431" s="1354" t="s">
        <v>678</v>
      </c>
      <c r="AA431" s="1354"/>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54" t="s">
        <v>600</v>
      </c>
      <c r="AA433" s="1354"/>
    </row>
    <row r="434" spans="1:110" ht="12.95" customHeight="1"/>
    <row r="435" spans="1:110" ht="12.95" customHeight="1">
      <c r="A435" s="2" t="s">
        <v>476</v>
      </c>
      <c r="B435" s="2"/>
      <c r="C435" s="2"/>
      <c r="D435" s="2" t="s">
        <v>788</v>
      </c>
      <c r="AF435" s="48"/>
    </row>
    <row r="436" spans="1:110" ht="12.95"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4"/>
      <c r="AG436" s="1817">
        <v>38</v>
      </c>
      <c r="AH436" s="1817"/>
      <c r="AI436" s="1817"/>
      <c r="AJ436" s="1817"/>
    </row>
    <row r="437" spans="1:110" ht="12.95" customHeight="1">
      <c r="D437" s="1653" t="s">
        <v>1369</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46">
        <v>0</v>
      </c>
      <c r="AH437" s="1624"/>
      <c r="AI437" s="1624"/>
      <c r="AJ437" s="1624"/>
    </row>
    <row r="438" spans="1:110" ht="12.95" customHeight="1">
      <c r="D438" s="1653" t="s">
        <v>1092</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7">
        <v>37</v>
      </c>
      <c r="AH438" s="1817"/>
      <c r="AI438" s="1817"/>
      <c r="AJ438" s="1817"/>
    </row>
    <row r="439" spans="1:110" ht="12.95" customHeight="1">
      <c r="D439" s="1653" t="s">
        <v>1093</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7">
        <v>37</v>
      </c>
      <c r="AH439" s="1817"/>
      <c r="AI439" s="1817"/>
      <c r="AJ439" s="1817"/>
    </row>
    <row r="440" spans="1:110" ht="12.95" customHeight="1">
      <c r="D440" s="1653" t="s">
        <v>1095</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30">
        <f>IF(ISERROR(AG439/AG438),"",AG439/AG438)</f>
        <v>1</v>
      </c>
      <c r="AH440" s="1830"/>
      <c r="AI440" s="1830"/>
      <c r="AJ440" s="1830"/>
    </row>
    <row r="441" spans="1:110" ht="12.95" customHeight="1">
      <c r="D441" s="1653" t="s">
        <v>1094</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19">
        <v>18637</v>
      </c>
      <c r="AH441" s="1819"/>
      <c r="AI441" s="1819"/>
      <c r="AJ441" s="1819"/>
    </row>
    <row r="442" spans="1:110" ht="12.95" customHeight="1">
      <c r="D442" s="1653" t="s">
        <v>1096</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19">
        <v>18637</v>
      </c>
      <c r="AH442" s="1819"/>
      <c r="AI442" s="1819"/>
      <c r="AJ442" s="1819"/>
    </row>
    <row r="443" spans="1:110" ht="12.95" customHeight="1">
      <c r="D443" s="1653" t="s">
        <v>1097</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30">
        <f>IF(ISERROR(AG442/AG441),"",AG442/AG441)</f>
        <v>1</v>
      </c>
      <c r="AH443" s="1830"/>
      <c r="AI443" s="1830"/>
      <c r="AJ443" s="1830"/>
    </row>
    <row r="444" spans="1:110" ht="12.95" customHeight="1">
      <c r="D444" s="1653" t="s">
        <v>1098</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30">
        <f>MIN(IF(AG440&gt;AG443,AG443,AG440),1)</f>
        <v>1</v>
      </c>
      <c r="AH444" s="1830"/>
      <c r="AI444" s="1830"/>
      <c r="AJ444" s="1830"/>
    </row>
    <row r="445" spans="1:110" ht="12.95" customHeight="1">
      <c r="D445" s="1653" t="s">
        <v>2505</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4"/>
      <c r="AG445" s="1819">
        <f>1615+1598</f>
        <v>3213</v>
      </c>
      <c r="AH445" s="1819"/>
      <c r="AI445" s="1819"/>
      <c r="AJ445" s="1819"/>
    </row>
    <row r="446" spans="1:110" ht="12.95" customHeight="1">
      <c r="D446" s="1638" t="s">
        <v>578</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4"/>
      <c r="AG446" s="1819">
        <v>0</v>
      </c>
      <c r="AH446" s="1819"/>
      <c r="AI446" s="1819"/>
      <c r="AJ446" s="181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3" t="s">
        <v>1348</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4"/>
      <c r="AG447" s="1819">
        <v>3835</v>
      </c>
      <c r="AH447" s="1819"/>
      <c r="AI447" s="1819"/>
      <c r="AJ447" s="181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53" t="s">
        <v>1099</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4"/>
      <c r="AG448" s="1819">
        <v>0</v>
      </c>
      <c r="AH448" s="1819"/>
      <c r="AI448" s="1819"/>
      <c r="AJ448" s="181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790" t="s">
        <v>1100</v>
      </c>
      <c r="E449" s="1791"/>
      <c r="F449" s="1791"/>
      <c r="G449" s="1791"/>
      <c r="H449" s="1791"/>
      <c r="I449" s="1791"/>
      <c r="J449" s="1791"/>
      <c r="K449" s="1791"/>
      <c r="L449" s="1791"/>
      <c r="M449" s="1791"/>
      <c r="N449" s="1791"/>
      <c r="O449" s="1791"/>
      <c r="P449" s="1791"/>
      <c r="Q449" s="1791"/>
      <c r="R449" s="1791"/>
      <c r="S449" s="1791"/>
      <c r="T449" s="1791"/>
      <c r="U449" s="1791"/>
      <c r="V449" s="1791"/>
      <c r="W449" s="1791"/>
      <c r="X449" s="1791"/>
      <c r="Y449" s="1791"/>
      <c r="Z449" s="1791"/>
      <c r="AA449" s="1791"/>
      <c r="AB449" s="1791"/>
      <c r="AC449" s="1791"/>
      <c r="AD449" s="1791"/>
      <c r="AE449" s="1791"/>
      <c r="AF449" s="1792"/>
      <c r="AG449" s="1818">
        <f>AG441+AG445+AG447+AG448</f>
        <v>25685</v>
      </c>
      <c r="AH449" s="1818"/>
      <c r="AI449" s="1818"/>
      <c r="AJ449" s="18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793" t="s">
        <v>1349</v>
      </c>
      <c r="E450" s="1793"/>
      <c r="F450" s="1793"/>
      <c r="G450" s="1793"/>
      <c r="H450" s="1793"/>
      <c r="I450" s="1793"/>
      <c r="J450" s="1793"/>
      <c r="K450" s="1793"/>
      <c r="L450" s="1793"/>
      <c r="M450" s="1793"/>
      <c r="N450" s="1793"/>
      <c r="O450" s="1793"/>
      <c r="P450" s="1793"/>
      <c r="Q450" s="1793"/>
      <c r="R450" s="1793"/>
      <c r="S450" s="1793"/>
      <c r="T450" s="1793"/>
      <c r="U450" s="1793"/>
      <c r="V450" s="1793"/>
      <c r="W450" s="1793"/>
      <c r="X450" s="1793"/>
      <c r="Y450" s="1793"/>
      <c r="Z450" s="1793"/>
      <c r="AA450" s="1793"/>
      <c r="AB450" s="1793"/>
      <c r="AC450" s="1793"/>
      <c r="AD450" s="1793"/>
      <c r="AE450" s="1793"/>
      <c r="AF450" s="1793"/>
      <c r="AG450" s="1793"/>
      <c r="AH450" s="1793"/>
      <c r="AI450" s="1793"/>
      <c r="AJ450" s="179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794"/>
      <c r="E451" s="1794"/>
      <c r="F451" s="1794"/>
      <c r="G451" s="1794"/>
      <c r="H451" s="1794"/>
      <c r="I451" s="1794"/>
      <c r="J451" s="1794"/>
      <c r="K451" s="1794"/>
      <c r="L451" s="1794"/>
      <c r="M451" s="1794"/>
      <c r="N451" s="1794"/>
      <c r="O451" s="1794"/>
      <c r="P451" s="1794"/>
      <c r="Q451" s="1794"/>
      <c r="R451" s="1794"/>
      <c r="S451" s="1794"/>
      <c r="T451" s="1794"/>
      <c r="U451" s="1794"/>
      <c r="V451" s="1794"/>
      <c r="W451" s="1794"/>
      <c r="X451" s="1794"/>
      <c r="Y451" s="1794"/>
      <c r="Z451" s="1794"/>
      <c r="AA451" s="1794"/>
      <c r="AB451" s="1794"/>
      <c r="AC451" s="1794"/>
      <c r="AD451" s="1794"/>
      <c r="AE451" s="1794"/>
      <c r="AF451" s="1794"/>
      <c r="AG451" s="1794"/>
      <c r="AH451" s="1794"/>
      <c r="AI451" s="1794"/>
      <c r="AJ451" s="179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798">
        <f>'Sources and Uses Budget'!B105/Application!AG436</f>
        <v>871815</v>
      </c>
      <c r="AD453" s="1798"/>
      <c r="AE453" s="1798"/>
      <c r="AF453" s="1798"/>
      <c r="AG453" s="186"/>
      <c r="AH453" s="186"/>
      <c r="AI453" s="186"/>
      <c r="AJ453" s="192"/>
      <c r="AZ453" s="3"/>
      <c r="BA453" s="3" t="str">
        <f>N571</f>
        <v>No</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8">
        <f>'Sources and Uses Budget'!C105/Application!AG436</f>
        <v>871815</v>
      </c>
      <c r="AD454" s="1798"/>
      <c r="AE454" s="1798"/>
      <c r="AF454" s="1798"/>
      <c r="AG454" s="186"/>
      <c r="AH454" s="186"/>
      <c r="AI454" s="186"/>
      <c r="AJ454" s="192"/>
      <c r="AZ454" s="3"/>
      <c r="BA454" s="3" t="str">
        <f>AG571</f>
        <v>No</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8">
        <f>('Sources and Uses Budget'!$S$107+'Sources and Uses Budget'!$T$107)/Application!AG436</f>
        <v>676550.47368421056</v>
      </c>
      <c r="AD455" s="1798"/>
      <c r="AE455" s="1798"/>
      <c r="AF455" s="17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796"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6"/>
      <c r="H456" s="1796"/>
      <c r="I456" s="1796"/>
      <c r="J456" s="1796"/>
      <c r="K456" s="1796"/>
      <c r="L456" s="1796"/>
      <c r="M456" s="1796"/>
      <c r="N456" s="1796"/>
      <c r="O456" s="1796"/>
      <c r="P456" s="1796"/>
      <c r="Q456" s="1796"/>
      <c r="R456" s="1796"/>
      <c r="S456" s="1796"/>
      <c r="T456" s="1796"/>
      <c r="U456" s="1796"/>
      <c r="V456" s="1796"/>
      <c r="W456" s="1796"/>
      <c r="X456" s="1796"/>
      <c r="Y456" s="1796"/>
      <c r="Z456" s="1796"/>
      <c r="AA456" s="1796"/>
      <c r="AB456" s="179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796"/>
      <c r="G457" s="1796"/>
      <c r="H457" s="1796"/>
      <c r="I457" s="1796"/>
      <c r="J457" s="1796"/>
      <c r="K457" s="1796"/>
      <c r="L457" s="1796"/>
      <c r="M457" s="1796"/>
      <c r="N457" s="1796"/>
      <c r="O457" s="1796"/>
      <c r="P457" s="1796"/>
      <c r="Q457" s="1796"/>
      <c r="R457" s="1796"/>
      <c r="S457" s="1796"/>
      <c r="T457" s="1796"/>
      <c r="U457" s="1796"/>
      <c r="V457" s="1796"/>
      <c r="W457" s="1796"/>
      <c r="X457" s="1796"/>
      <c r="Y457" s="1796"/>
      <c r="Z457" s="1796"/>
      <c r="AA457" s="1796"/>
      <c r="AB457" s="179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811" t="s">
        <v>2520</v>
      </c>
      <c r="E464" s="1778"/>
      <c r="F464" s="1778"/>
      <c r="G464" s="1778"/>
      <c r="H464" s="1778"/>
      <c r="I464" s="1778"/>
      <c r="J464" s="1778"/>
      <c r="K464" s="1778"/>
      <c r="L464" s="1778"/>
      <c r="M464" s="1778"/>
      <c r="N464" s="1778"/>
      <c r="O464" s="1778"/>
      <c r="P464" s="1778"/>
      <c r="Q464" s="1778"/>
      <c r="R464" s="1778"/>
      <c r="S464" s="1778"/>
      <c r="T464" s="1778"/>
      <c r="U464" s="1778"/>
      <c r="V464" s="1779"/>
      <c r="W464" s="1649">
        <v>37</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777" t="s">
        <v>703</v>
      </c>
      <c r="E465" s="1778"/>
      <c r="F465" s="1778"/>
      <c r="G465" s="1778"/>
      <c r="H465" s="1778"/>
      <c r="I465" s="1778"/>
      <c r="J465" s="1778"/>
      <c r="K465" s="1778"/>
      <c r="L465" s="1778"/>
      <c r="M465" s="1778"/>
      <c r="N465" s="1778"/>
      <c r="O465" s="1778"/>
      <c r="P465" s="1778"/>
      <c r="Q465" s="1778"/>
      <c r="R465" s="1778"/>
      <c r="S465" s="1778"/>
      <c r="T465" s="1778"/>
      <c r="U465" s="1778"/>
      <c r="V465" s="1779"/>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7" t="s">
        <v>704</v>
      </c>
      <c r="E466" s="1778"/>
      <c r="F466" s="1778"/>
      <c r="G466" s="1778"/>
      <c r="H466" s="1778"/>
      <c r="I466" s="1778"/>
      <c r="J466" s="1778"/>
      <c r="K466" s="1778"/>
      <c r="L466" s="1778"/>
      <c r="M466" s="1778"/>
      <c r="N466" s="1778"/>
      <c r="O466" s="1778"/>
      <c r="P466" s="1778"/>
      <c r="Q466" s="1778"/>
      <c r="R466" s="1778"/>
      <c r="S466" s="1778"/>
      <c r="T466" s="1778"/>
      <c r="U466" s="1778"/>
      <c r="V466" s="1779"/>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7" t="s">
        <v>705</v>
      </c>
      <c r="E467" s="1778"/>
      <c r="F467" s="1778"/>
      <c r="G467" s="1778"/>
      <c r="H467" s="1778"/>
      <c r="I467" s="1778"/>
      <c r="J467" s="1778"/>
      <c r="K467" s="1778"/>
      <c r="L467" s="1778"/>
      <c r="M467" s="1778"/>
      <c r="N467" s="1778"/>
      <c r="O467" s="1778"/>
      <c r="P467" s="1778"/>
      <c r="Q467" s="1778"/>
      <c r="R467" s="1778"/>
      <c r="S467" s="1778"/>
      <c r="T467" s="1778"/>
      <c r="U467" s="1778"/>
      <c r="V467" s="1779"/>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7" t="s">
        <v>910</v>
      </c>
      <c r="E468" s="1778"/>
      <c r="F468" s="1778"/>
      <c r="G468" s="1778"/>
      <c r="H468" s="1778"/>
      <c r="I468" s="1778"/>
      <c r="J468" s="1778"/>
      <c r="K468" s="1778"/>
      <c r="L468" s="1778"/>
      <c r="M468" s="1778"/>
      <c r="N468" s="1778"/>
      <c r="O468" s="1778"/>
      <c r="P468" s="1778"/>
      <c r="Q468" s="1778"/>
      <c r="R468" s="1778"/>
      <c r="S468" s="1778"/>
      <c r="T468" s="1778"/>
      <c r="U468" s="1778"/>
      <c r="V468" s="1779"/>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7" t="s">
        <v>706</v>
      </c>
      <c r="E469" s="1778"/>
      <c r="F469" s="1778"/>
      <c r="G469" s="1778"/>
      <c r="H469" s="1778"/>
      <c r="I469" s="1778"/>
      <c r="J469" s="1778"/>
      <c r="K469" s="1778"/>
      <c r="L469" s="1778"/>
      <c r="M469" s="1778"/>
      <c r="N469" s="1778"/>
      <c r="O469" s="1778"/>
      <c r="P469" s="1778"/>
      <c r="Q469" s="1778"/>
      <c r="R469" s="1778"/>
      <c r="S469" s="1778"/>
      <c r="T469" s="1778"/>
      <c r="U469" s="1778"/>
      <c r="V469" s="1779"/>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7" t="s">
        <v>1069</v>
      </c>
      <c r="E470" s="1778"/>
      <c r="F470" s="1778"/>
      <c r="G470" s="1778"/>
      <c r="H470" s="1778"/>
      <c r="I470" s="1778"/>
      <c r="J470" s="1778"/>
      <c r="K470" s="1778"/>
      <c r="L470" s="1778"/>
      <c r="M470" s="1778"/>
      <c r="N470" s="1778"/>
      <c r="O470" s="1778"/>
      <c r="P470" s="1778"/>
      <c r="Q470" s="1778"/>
      <c r="R470" s="1778"/>
      <c r="S470" s="1778"/>
      <c r="T470" s="1778"/>
      <c r="U470" s="1778"/>
      <c r="V470" s="1779"/>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811" t="s">
        <v>1834</v>
      </c>
      <c r="E471" s="1778"/>
      <c r="F471" s="1778"/>
      <c r="G471" s="1778"/>
      <c r="H471" s="1778"/>
      <c r="I471" s="1778"/>
      <c r="J471" s="1778"/>
      <c r="K471" s="1778"/>
      <c r="L471" s="1778"/>
      <c r="M471" s="1778"/>
      <c r="N471" s="1778"/>
      <c r="O471" s="1778"/>
      <c r="P471" s="1778"/>
      <c r="Q471" s="1778"/>
      <c r="R471" s="1778"/>
      <c r="S471" s="1778"/>
      <c r="T471" s="1778"/>
      <c r="U471" s="1778"/>
      <c r="V471" s="1779"/>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814"/>
      <c r="H472" s="1815"/>
      <c r="I472" s="1815"/>
      <c r="J472" s="1815"/>
      <c r="K472" s="1815"/>
      <c r="L472" s="1815"/>
      <c r="M472" s="1815"/>
      <c r="N472" s="1815"/>
      <c r="O472" s="1815"/>
      <c r="P472" s="1815"/>
      <c r="Q472" s="1815"/>
      <c r="R472" s="1815"/>
      <c r="S472" s="1815"/>
      <c r="T472" s="1815"/>
      <c r="U472" s="1815"/>
      <c r="V472" s="1816"/>
      <c r="W472" s="1649">
        <v>0</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785" t="s">
        <v>395</v>
      </c>
      <c r="R483" s="1786"/>
      <c r="S483" s="1786"/>
      <c r="T483" s="1786"/>
      <c r="U483" s="1786"/>
      <c r="V483" s="1786"/>
      <c r="W483" s="1786"/>
      <c r="X483" s="1786"/>
      <c r="Y483" s="1786"/>
      <c r="Z483" s="1786"/>
      <c r="AA483" s="1786"/>
      <c r="AB483" s="1786"/>
      <c r="AC483" s="1786"/>
      <c r="AD483" s="1786"/>
      <c r="AE483" s="1786"/>
      <c r="AF483" s="1786"/>
      <c r="AG483" s="1786"/>
      <c r="AH483" s="1786"/>
      <c r="AI483" s="1786"/>
      <c r="AJ483" s="1786"/>
      <c r="AK483" s="1787"/>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627" t="s">
        <v>2677</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627" t="s">
        <v>2677</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675" t="s">
        <v>2677</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835" t="s">
        <v>399</v>
      </c>
      <c r="C487" s="1836"/>
      <c r="D487" s="1836"/>
      <c r="E487" s="1836"/>
      <c r="F487" s="1836"/>
      <c r="G487" s="1836"/>
      <c r="H487" s="1836"/>
      <c r="I487" s="1836"/>
      <c r="J487" s="1836"/>
      <c r="K487" s="1836"/>
      <c r="L487" s="1836"/>
      <c r="M487" s="1836"/>
      <c r="N487" s="1836"/>
      <c r="O487" s="1836"/>
      <c r="P487" s="1837"/>
      <c r="Q487" s="1841" t="s">
        <v>678</v>
      </c>
      <c r="R487" s="1842"/>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838"/>
      <c r="C488" s="1839"/>
      <c r="D488" s="1839"/>
      <c r="E488" s="1839"/>
      <c r="F488" s="1839"/>
      <c r="G488" s="1839"/>
      <c r="H488" s="1839"/>
      <c r="I488" s="1839"/>
      <c r="J488" s="1839"/>
      <c r="K488" s="1839"/>
      <c r="L488" s="1839"/>
      <c r="M488" s="1839"/>
      <c r="N488" s="1839"/>
      <c r="O488" s="1839"/>
      <c r="P488" s="1840"/>
      <c r="Q488" s="1843"/>
      <c r="R488" s="1844"/>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1852</v>
      </c>
      <c r="C489" s="909"/>
      <c r="D489" s="909"/>
      <c r="E489" s="909"/>
      <c r="F489" s="909"/>
      <c r="G489" s="909"/>
      <c r="H489" s="909"/>
      <c r="I489" s="909"/>
      <c r="J489" s="909"/>
      <c r="K489" s="909"/>
      <c r="L489" s="909"/>
      <c r="M489" s="909"/>
      <c r="N489" s="909"/>
      <c r="O489" s="909"/>
      <c r="P489" s="909"/>
      <c r="Q489" s="1827" t="s">
        <v>678</v>
      </c>
      <c r="R489" s="1828"/>
      <c r="S489" s="1828"/>
      <c r="T489" s="1828"/>
      <c r="U489" s="1828"/>
      <c r="V489" s="1828"/>
      <c r="W489" s="1828"/>
      <c r="X489" s="1828"/>
      <c r="Y489" s="1828"/>
      <c r="Z489" s="1828"/>
      <c r="AA489" s="1828"/>
      <c r="AB489" s="1828"/>
      <c r="AC489" s="1828"/>
      <c r="AD489" s="1828"/>
      <c r="AE489" s="1828"/>
      <c r="AF489" s="1828"/>
      <c r="AG489" s="1828"/>
      <c r="AH489" s="1828"/>
      <c r="AI489" s="1828"/>
      <c r="AJ489" s="1828"/>
      <c r="AK489" s="18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675" t="s">
        <v>2678</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675">
        <v>0</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1849</v>
      </c>
      <c r="C492" s="5"/>
      <c r="D492" s="5"/>
      <c r="E492" s="5"/>
      <c r="F492" s="5"/>
      <c r="G492" s="5"/>
      <c r="H492" s="5"/>
      <c r="I492" s="5"/>
      <c r="J492" s="5"/>
      <c r="K492" s="5"/>
      <c r="L492" s="5"/>
      <c r="M492" s="5"/>
      <c r="N492" s="5"/>
      <c r="O492" s="5"/>
      <c r="P492" s="5"/>
      <c r="Q492" s="1675">
        <v>15</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1850</v>
      </c>
      <c r="C493" s="5"/>
      <c r="D493" s="5"/>
      <c r="E493" s="5"/>
      <c r="F493" s="5"/>
      <c r="G493" s="5"/>
      <c r="H493" s="5"/>
      <c r="I493" s="5"/>
      <c r="J493" s="5"/>
      <c r="K493" s="5"/>
      <c r="L493" s="5"/>
      <c r="M493" s="1430">
        <v>0</v>
      </c>
      <c r="N493" s="1431"/>
      <c r="O493" s="1431"/>
      <c r="P493" s="1432"/>
      <c r="Q493" s="121" t="s">
        <v>1851</v>
      </c>
      <c r="R493" s="5"/>
      <c r="S493" s="5"/>
      <c r="T493" s="5"/>
      <c r="U493" s="5"/>
      <c r="V493" s="5"/>
      <c r="W493" s="5"/>
      <c r="X493" s="5"/>
      <c r="Y493" s="5"/>
      <c r="Z493" s="5"/>
      <c r="AA493" s="5"/>
      <c r="AB493" s="5"/>
      <c r="AC493" s="5"/>
      <c r="AD493" s="5"/>
      <c r="AE493" s="5"/>
      <c r="AF493" s="5"/>
      <c r="AG493" s="5"/>
      <c r="AH493" s="1430">
        <v>15</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5" t="s">
        <v>403</v>
      </c>
      <c r="AD497" s="1786"/>
      <c r="AE497" s="1786"/>
      <c r="AF497" s="1786"/>
      <c r="AG497" s="1786"/>
      <c r="AH497" s="1786"/>
      <c r="AI497" s="1786"/>
      <c r="AJ497" s="1786"/>
      <c r="AK497" s="1787"/>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5" t="s">
        <v>404</v>
      </c>
      <c r="AD498" s="1786"/>
      <c r="AE498" s="1786"/>
      <c r="AF498" s="1786"/>
      <c r="AG498" s="50" t="s">
        <v>405</v>
      </c>
      <c r="AH498" s="1786" t="s">
        <v>406</v>
      </c>
      <c r="AI498" s="1786"/>
      <c r="AJ498" s="1786"/>
      <c r="AK498" s="1787"/>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731"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1" t="s">
        <v>600</v>
      </c>
      <c r="AD499" s="1728"/>
      <c r="AE499" s="1728"/>
      <c r="AF499" s="1728"/>
      <c r="AG499" s="13" t="s">
        <v>405</v>
      </c>
      <c r="AH499" s="1518">
        <v>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732"/>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1" t="s">
        <v>600</v>
      </c>
      <c r="AD500" s="1728"/>
      <c r="AE500" s="1728"/>
      <c r="AF500" s="1728"/>
      <c r="AG500" s="38" t="s">
        <v>405</v>
      </c>
      <c r="AH500" s="1518"/>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731"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1" t="s">
        <v>600</v>
      </c>
      <c r="AD501" s="1728"/>
      <c r="AE501" s="1728"/>
      <c r="AF501" s="1728"/>
      <c r="AG501" s="13" t="s">
        <v>405</v>
      </c>
      <c r="AH501" s="1518"/>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732"/>
      <c r="C502" s="1374"/>
      <c r="D502" s="1374"/>
      <c r="E502" s="1374"/>
      <c r="F502" s="1374"/>
      <c r="G502" s="1374"/>
      <c r="H502" s="1375"/>
      <c r="I502" t="s">
        <v>412</v>
      </c>
      <c r="AC502" s="1781" t="s">
        <v>600</v>
      </c>
      <c r="AD502" s="1728"/>
      <c r="AE502" s="1728"/>
      <c r="AF502" s="1728"/>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732"/>
      <c r="C503" s="1374"/>
      <c r="D503" s="1374"/>
      <c r="E503" s="1374"/>
      <c r="F503" s="1374"/>
      <c r="G503" s="1374"/>
      <c r="H503" s="1375"/>
      <c r="I503" t="s">
        <v>413</v>
      </c>
      <c r="AC503" s="1781" t="s">
        <v>600</v>
      </c>
      <c r="AD503" s="1728"/>
      <c r="AE503" s="1728"/>
      <c r="AF503" s="1728"/>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732"/>
      <c r="C504" s="1374"/>
      <c r="D504" s="1374"/>
      <c r="E504" s="1374"/>
      <c r="F504" s="1374"/>
      <c r="G504" s="1374"/>
      <c r="H504" s="1375"/>
      <c r="I504" t="s">
        <v>414</v>
      </c>
      <c r="AC504" s="1781" t="s">
        <v>600</v>
      </c>
      <c r="AD504" s="1728"/>
      <c r="AE504" s="1728"/>
      <c r="AF504" s="1728"/>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732"/>
      <c r="C505" s="1374"/>
      <c r="D505" s="1374"/>
      <c r="E505" s="1374"/>
      <c r="F505" s="1374"/>
      <c r="G505" s="1374"/>
      <c r="H505" s="1375"/>
      <c r="I505" s="3" t="s">
        <v>415</v>
      </c>
      <c r="AC505" s="1384" t="s">
        <v>600</v>
      </c>
      <c r="AD505" s="1385"/>
      <c r="AE505" s="1385"/>
      <c r="AF505" s="1385"/>
      <c r="AG505" s="13" t="s">
        <v>405</v>
      </c>
      <c r="AH505" s="1518"/>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732"/>
      <c r="C506" s="1374"/>
      <c r="D506" s="1374"/>
      <c r="E506" s="1374"/>
      <c r="F506" s="1374"/>
      <c r="G506" s="1374"/>
      <c r="H506" s="1375"/>
      <c r="I506" s="933" t="s">
        <v>171</v>
      </c>
      <c r="J506" s="48"/>
      <c r="K506" s="48"/>
      <c r="L506" s="1788" t="s">
        <v>336</v>
      </c>
      <c r="M506" s="1789"/>
      <c r="N506" s="1789"/>
      <c r="O506" s="1789"/>
      <c r="P506" s="1789"/>
      <c r="Q506" s="1789"/>
      <c r="R506" s="1789"/>
      <c r="S506" s="1789"/>
      <c r="T506" s="1789"/>
      <c r="U506" s="1789"/>
      <c r="V506" s="1789"/>
      <c r="W506" s="1789"/>
      <c r="X506" s="1789"/>
      <c r="Y506" s="1789"/>
      <c r="Z506" s="1789"/>
      <c r="AA506" s="1789"/>
      <c r="AB506" s="1833"/>
      <c r="AC506" s="1781" t="s">
        <v>600</v>
      </c>
      <c r="AD506" s="1728"/>
      <c r="AE506" s="1728"/>
      <c r="AF506" s="1728"/>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1856</v>
      </c>
      <c r="AC507" s="1817" t="s">
        <v>1327</v>
      </c>
      <c r="AD507" s="1817"/>
      <c r="AE507" s="1817"/>
      <c r="AF507" s="1817"/>
      <c r="AG507" s="13"/>
      <c r="AH507" s="1297"/>
      <c r="AI507" s="1297"/>
      <c r="AJ507" s="1297"/>
      <c r="AK507" s="1834"/>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1853</v>
      </c>
      <c r="AC508" s="1384"/>
      <c r="AD508" s="1385"/>
      <c r="AE508" s="1385"/>
      <c r="AF508" s="1386"/>
      <c r="AG508" s="13"/>
      <c r="AH508" s="1297"/>
      <c r="AI508" s="1297"/>
      <c r="AJ508" s="1297"/>
      <c r="AK508" s="1834"/>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47"/>
      <c r="AD510" s="1848"/>
      <c r="AE510" s="1848"/>
      <c r="AF510" s="1849"/>
      <c r="AG510" s="38"/>
      <c r="AH510" s="1850"/>
      <c r="AI510" s="1850"/>
      <c r="AJ510" s="1850"/>
      <c r="AK510" s="1851"/>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5" t="s">
        <v>404</v>
      </c>
      <c r="AD511" s="1547"/>
      <c r="AE511" s="1547"/>
      <c r="AF511" s="1547"/>
      <c r="AG511" s="38" t="s">
        <v>405</v>
      </c>
      <c r="AH511" s="1547" t="s">
        <v>406</v>
      </c>
      <c r="AI511" s="1547"/>
      <c r="AJ511" s="1547"/>
      <c r="AK511" s="1826"/>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731"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1">
        <v>8</v>
      </c>
      <c r="AD512" s="1728"/>
      <c r="AE512" s="1728"/>
      <c r="AF512" s="1728"/>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2526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732"/>
      <c r="C513" s="1374"/>
      <c r="D513" s="1374"/>
      <c r="E513" s="1374"/>
      <c r="F513" s="1374"/>
      <c r="G513" s="1374"/>
      <c r="H513" s="1375"/>
      <c r="I513" t="s">
        <v>418</v>
      </c>
      <c r="AC513" s="1781">
        <v>8</v>
      </c>
      <c r="AD513" s="1728"/>
      <c r="AE513" s="1728"/>
      <c r="AF513" s="1728"/>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2527</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732"/>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1">
        <v>6</v>
      </c>
      <c r="AD514" s="1728"/>
      <c r="AE514" s="1728"/>
      <c r="AF514" s="1728"/>
      <c r="AG514" s="38" t="s">
        <v>405</v>
      </c>
      <c r="AH514" s="1518">
        <v>2024</v>
      </c>
      <c r="AI514" s="1518"/>
      <c r="AJ514" s="1518"/>
      <c r="AK514" s="1519"/>
      <c r="AZ514" s="3"/>
      <c r="BA514" s="3"/>
      <c r="BB514" s="3"/>
      <c r="BC514" s="3"/>
      <c r="BD514" s="3"/>
      <c r="BE514" s="3"/>
      <c r="BF514" s="3"/>
      <c r="BG514" s="3"/>
      <c r="BH514" s="3"/>
      <c r="BI514" s="3"/>
      <c r="BJ514" s="3"/>
      <c r="BK514" s="3"/>
      <c r="BL514" s="3"/>
      <c r="BM514" s="3"/>
      <c r="BN514" s="3" t="s">
        <v>2528</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731"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8</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2529</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732"/>
      <c r="C516" s="1374"/>
      <c r="D516" s="1374"/>
      <c r="E516" s="1374"/>
      <c r="F516" s="1374"/>
      <c r="G516" s="1374"/>
      <c r="H516" s="1375"/>
      <c r="I516" t="s">
        <v>418</v>
      </c>
      <c r="AC516" s="1781">
        <v>8</v>
      </c>
      <c r="AD516" s="1728"/>
      <c r="AE516" s="1728"/>
      <c r="AF516" s="1728"/>
      <c r="AG516" s="13" t="s">
        <v>405</v>
      </c>
      <c r="AH516" s="1518">
        <v>2023</v>
      </c>
      <c r="AI516" s="1518"/>
      <c r="AJ516" s="1518"/>
      <c r="AK516" s="1519"/>
      <c r="AZ516" s="3"/>
      <c r="BB516" s="3"/>
      <c r="BC516" s="3"/>
      <c r="BD516" s="3"/>
      <c r="BE516" s="3"/>
      <c r="BF516" s="3"/>
      <c r="BG516" s="3"/>
      <c r="BH516" s="3"/>
      <c r="BI516" s="3"/>
      <c r="BJ516" s="3"/>
      <c r="BK516" s="3"/>
      <c r="BL516" s="3"/>
      <c r="BM516" s="3"/>
      <c r="BN516" s="3" t="s">
        <v>2530</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733"/>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1">
        <v>9</v>
      </c>
      <c r="AD517" s="1728"/>
      <c r="AE517" s="1728"/>
      <c r="AF517" s="1728"/>
      <c r="AG517" s="38" t="s">
        <v>405</v>
      </c>
      <c r="AH517" s="1518">
        <v>2025</v>
      </c>
      <c r="AI517" s="1518"/>
      <c r="AJ517" s="1518"/>
      <c r="AK517" s="1519"/>
      <c r="BB517" s="3"/>
      <c r="BC517" s="3"/>
      <c r="BD517" s="3"/>
      <c r="BE517" s="3"/>
      <c r="BF517" s="3"/>
      <c r="BG517" s="3"/>
      <c r="BH517" s="3"/>
      <c r="BI517" s="3"/>
      <c r="BJ517" s="3"/>
      <c r="BK517" s="3"/>
      <c r="BL517" s="3"/>
      <c r="BM517" s="3"/>
      <c r="BN517" s="3" t="s">
        <v>2531</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731" t="s">
        <v>421</v>
      </c>
      <c r="C518" s="1372"/>
      <c r="D518" s="1372"/>
      <c r="E518" s="1372"/>
      <c r="F518" s="1372"/>
      <c r="G518" s="1372"/>
      <c r="H518" s="1373"/>
      <c r="I518" s="41" t="s">
        <v>422</v>
      </c>
      <c r="J518" s="42"/>
      <c r="K518" s="42"/>
      <c r="L518" s="42"/>
      <c r="M518" s="42"/>
      <c r="N518" s="42"/>
      <c r="O518" s="1788" t="str">
        <f>C551</f>
        <v>Home Depot Foundation</v>
      </c>
      <c r="P518" s="1789"/>
      <c r="Q518" s="1789"/>
      <c r="R518" s="1789"/>
      <c r="S518" s="1789"/>
      <c r="T518" s="1789"/>
      <c r="U518" s="1789"/>
      <c r="V518" s="1789"/>
      <c r="W518" s="1789"/>
      <c r="X518" s="1789"/>
      <c r="Y518" s="1789"/>
      <c r="Z518" s="1789"/>
      <c r="AA518" s="1789"/>
      <c r="AB518" s="58"/>
      <c r="AC518" s="1384" t="s">
        <v>600</v>
      </c>
      <c r="AD518" s="1385"/>
      <c r="AE518" s="1385"/>
      <c r="AF518" s="1385"/>
      <c r="AG518" s="129" t="s">
        <v>405</v>
      </c>
      <c r="AH518" s="1518"/>
      <c r="AI518" s="1518"/>
      <c r="AJ518" s="1518"/>
      <c r="AK518" s="1519"/>
      <c r="BB518" s="3"/>
      <c r="BC518" s="3"/>
      <c r="BD518" s="3"/>
      <c r="BE518" s="3"/>
      <c r="BF518" s="3"/>
      <c r="BG518" s="3"/>
      <c r="BH518" s="3"/>
      <c r="BI518" s="3"/>
      <c r="BJ518" s="3"/>
      <c r="BK518" s="3"/>
      <c r="BL518" s="3"/>
      <c r="BM518" s="3"/>
      <c r="BN518" s="3" t="s">
        <v>2532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732"/>
      <c r="C519" s="1374"/>
      <c r="D519" s="1374"/>
      <c r="E519" s="1374"/>
      <c r="F519" s="1374"/>
      <c r="G519" s="1374"/>
      <c r="H519" s="1375"/>
      <c r="I519" s="114" t="s">
        <v>423</v>
      </c>
      <c r="AB519" s="65"/>
      <c r="AC519" s="1781">
        <v>8</v>
      </c>
      <c r="AD519" s="1728"/>
      <c r="AE519" s="1728"/>
      <c r="AF519" s="1728"/>
      <c r="AG519" s="13" t="s">
        <v>405</v>
      </c>
      <c r="AH519" s="1518">
        <v>2019</v>
      </c>
      <c r="AI519" s="1518"/>
      <c r="AJ519" s="1518"/>
      <c r="AK519" s="1519"/>
      <c r="AZ519" s="3"/>
      <c r="BB519" s="3"/>
      <c r="BC519" s="3"/>
      <c r="BD519" s="3"/>
      <c r="BE519" s="3"/>
      <c r="BF519" s="3"/>
      <c r="BG519" s="3"/>
      <c r="BH519" s="3"/>
      <c r="BI519" s="3"/>
      <c r="BJ519" s="3"/>
      <c r="BK519" s="3"/>
      <c r="BL519" s="3"/>
      <c r="BM519" s="3"/>
      <c r="BN519" s="3" t="s">
        <v>2533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732"/>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1">
        <v>6</v>
      </c>
      <c r="AD520" s="1728"/>
      <c r="AE520" s="1728"/>
      <c r="AF520" s="1728"/>
      <c r="AG520" s="38" t="s">
        <v>405</v>
      </c>
      <c r="AH520" s="1518">
        <v>2024</v>
      </c>
      <c r="AI520" s="1518"/>
      <c r="AJ520" s="1518"/>
      <c r="AK520" s="1519"/>
      <c r="AZ520" s="3"/>
      <c r="BB520" s="3"/>
      <c r="BC520" s="3"/>
      <c r="BD520" s="3"/>
      <c r="BE520" s="3"/>
      <c r="BF520" s="3"/>
      <c r="BG520" s="3"/>
      <c r="BH520" s="3"/>
      <c r="BI520" s="3"/>
      <c r="BJ520" s="3"/>
      <c r="BK520" s="3"/>
      <c r="BL520" s="3"/>
      <c r="BM520" s="3"/>
      <c r="BN520" s="3" t="s">
        <v>2534</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732"/>
      <c r="C521" s="1374"/>
      <c r="D521" s="1374"/>
      <c r="E521" s="1374"/>
      <c r="F521" s="1374"/>
      <c r="G521" s="1374"/>
      <c r="H521" s="1375"/>
      <c r="I521" s="42" t="s">
        <v>425</v>
      </c>
      <c r="J521" s="42"/>
      <c r="K521" s="42"/>
      <c r="L521" s="42"/>
      <c r="M521" s="42"/>
      <c r="N521" s="42"/>
      <c r="O521" s="1788" t="str">
        <f>C552</f>
        <v>Tunnel to Towers Foundation</v>
      </c>
      <c r="P521" s="1789"/>
      <c r="Q521" s="1789"/>
      <c r="R521" s="1789"/>
      <c r="S521" s="1789"/>
      <c r="T521" s="1789"/>
      <c r="U521" s="1789"/>
      <c r="V521" s="1789"/>
      <c r="W521" s="1789"/>
      <c r="X521" s="1789"/>
      <c r="Y521" s="1789"/>
      <c r="Z521" s="1789"/>
      <c r="AA521" s="1789"/>
      <c r="AC521" s="1781" t="s">
        <v>600</v>
      </c>
      <c r="AD521" s="1728"/>
      <c r="AE521" s="1728"/>
      <c r="AF521" s="1728"/>
      <c r="AG521" s="13" t="s">
        <v>405</v>
      </c>
      <c r="AH521" s="1518"/>
      <c r="AI521" s="1518"/>
      <c r="AJ521" s="1518"/>
      <c r="AK521" s="1519"/>
      <c r="AZ521" s="3"/>
      <c r="BA521" s="3"/>
      <c r="BB521" s="3"/>
      <c r="BC521" s="3"/>
      <c r="BD521" s="3"/>
      <c r="BE521" s="3"/>
      <c r="BF521" s="3"/>
      <c r="BG521" s="3"/>
      <c r="BH521" s="3"/>
      <c r="BI521" s="3"/>
      <c r="BJ521" s="3"/>
      <c r="BK521" s="3"/>
      <c r="BL521" s="3"/>
      <c r="BM521" s="3"/>
      <c r="BN521" s="3" t="s">
        <v>2535</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732"/>
      <c r="C522" s="1374"/>
      <c r="D522" s="1374"/>
      <c r="E522" s="1374"/>
      <c r="F522" s="1374"/>
      <c r="G522" s="1374"/>
      <c r="H522" s="1375"/>
      <c r="I522" t="s">
        <v>423</v>
      </c>
      <c r="AC522" s="1781">
        <v>7</v>
      </c>
      <c r="AD522" s="1728"/>
      <c r="AE522" s="1728"/>
      <c r="AF522" s="1728"/>
      <c r="AG522" s="13" t="s">
        <v>405</v>
      </c>
      <c r="AH522" s="1518">
        <v>2022</v>
      </c>
      <c r="AI522" s="1518"/>
      <c r="AJ522" s="1518"/>
      <c r="AK522" s="1519"/>
      <c r="AZ522" s="3"/>
      <c r="BA522" s="3"/>
      <c r="BB522" s="3"/>
      <c r="BC522" s="3"/>
      <c r="BD522" s="3"/>
      <c r="BE522" s="3"/>
      <c r="BF522" s="3"/>
      <c r="BG522" s="3"/>
      <c r="BH522" s="3"/>
      <c r="BI522" s="3"/>
      <c r="BJ522" s="3"/>
      <c r="BK522" s="3"/>
      <c r="BL522" s="3"/>
      <c r="BM522" s="3"/>
      <c r="BN522" s="3" t="s">
        <v>2536</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732"/>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1">
        <v>6</v>
      </c>
      <c r="AD523" s="1728"/>
      <c r="AE523" s="1728"/>
      <c r="AF523" s="1728"/>
      <c r="AG523" s="38" t="s">
        <v>405</v>
      </c>
      <c r="AH523" s="1518">
        <v>2024</v>
      </c>
      <c r="AI523" s="1518"/>
      <c r="AJ523" s="1518"/>
      <c r="AK523" s="1519"/>
      <c r="AZ523" s="3"/>
      <c r="BA523" s="3"/>
      <c r="BB523" s="3"/>
      <c r="BC523" s="3"/>
      <c r="BD523" s="3"/>
      <c r="BE523" s="3"/>
      <c r="BF523" s="3"/>
      <c r="BG523" s="3"/>
      <c r="BH523" s="3"/>
      <c r="BI523" s="3"/>
      <c r="BJ523" s="3"/>
      <c r="BK523" s="3"/>
      <c r="BL523" s="3"/>
      <c r="BM523" s="3"/>
      <c r="BN523" s="3" t="s">
        <v>2537</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732"/>
      <c r="C524" s="1374"/>
      <c r="D524" s="1374"/>
      <c r="E524" s="1374"/>
      <c r="F524" s="1374"/>
      <c r="G524" s="1374"/>
      <c r="H524" s="1375"/>
      <c r="I524" s="42" t="s">
        <v>425</v>
      </c>
      <c r="J524" s="42"/>
      <c r="K524" s="42"/>
      <c r="L524" s="42"/>
      <c r="M524" s="42"/>
      <c r="N524" s="42"/>
      <c r="O524" s="1788" t="s">
        <v>336</v>
      </c>
      <c r="P524" s="1789"/>
      <c r="Q524" s="1789"/>
      <c r="R524" s="1789"/>
      <c r="S524" s="1789"/>
      <c r="T524" s="1789"/>
      <c r="U524" s="1789"/>
      <c r="V524" s="1789"/>
      <c r="W524" s="1789"/>
      <c r="X524" s="1789"/>
      <c r="Y524" s="1789"/>
      <c r="Z524" s="1789"/>
      <c r="AA524" s="1789"/>
      <c r="AC524" s="1781" t="s">
        <v>600</v>
      </c>
      <c r="AD524" s="1728"/>
      <c r="AE524" s="1728"/>
      <c r="AF524" s="1728"/>
      <c r="AG524" s="13" t="s">
        <v>405</v>
      </c>
      <c r="AH524" s="1518"/>
      <c r="AI524" s="1518"/>
      <c r="AJ524" s="1518"/>
      <c r="AK524" s="1519"/>
      <c r="AZ524" s="3"/>
      <c r="BA524" s="3"/>
      <c r="BB524" s="3"/>
      <c r="BC524" s="3"/>
      <c r="BD524" s="3"/>
      <c r="BE524" s="3"/>
      <c r="BF524" s="3"/>
      <c r="BG524" s="3"/>
      <c r="BH524" s="3"/>
      <c r="BI524" s="3"/>
      <c r="BJ524" s="3"/>
      <c r="BK524" s="3"/>
      <c r="BL524" s="3"/>
      <c r="BM524" s="3"/>
      <c r="BN524" s="3" t="s">
        <v>2538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732"/>
      <c r="C525" s="1374"/>
      <c r="D525" s="1374"/>
      <c r="E525" s="1374"/>
      <c r="F525" s="1374"/>
      <c r="G525" s="1374"/>
      <c r="H525" s="1375"/>
      <c r="I525" t="s">
        <v>423</v>
      </c>
      <c r="AC525" s="1781" t="s">
        <v>600</v>
      </c>
      <c r="AD525" s="1728"/>
      <c r="AE525" s="1728"/>
      <c r="AF525" s="1728"/>
      <c r="AG525" s="13" t="s">
        <v>405</v>
      </c>
      <c r="AH525" s="1518"/>
      <c r="AI525" s="1518"/>
      <c r="AJ525" s="1518"/>
      <c r="AK525" s="1519"/>
      <c r="AZ525" s="3"/>
      <c r="BA525" s="3"/>
      <c r="BB525" s="3"/>
      <c r="BC525" s="3"/>
      <c r="BD525" s="3"/>
      <c r="BE525" s="3"/>
      <c r="BF525" s="3"/>
      <c r="BG525" s="3"/>
      <c r="BH525" s="3"/>
      <c r="BI525" s="3"/>
      <c r="BJ525" s="3"/>
      <c r="BK525" s="3"/>
      <c r="BL525" s="3"/>
      <c r="BM525" s="3"/>
      <c r="BN525" s="3" t="s">
        <v>2539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32"/>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1" t="s">
        <v>600</v>
      </c>
      <c r="AD526" s="1728"/>
      <c r="AE526" s="1728"/>
      <c r="AF526" s="1728"/>
      <c r="AG526" s="38" t="s">
        <v>405</v>
      </c>
      <c r="AH526" s="1518"/>
      <c r="AI526" s="1518"/>
      <c r="AJ526" s="1518"/>
      <c r="AK526" s="1519"/>
      <c r="AZ526" s="3"/>
      <c r="BA526" s="3"/>
      <c r="BB526" s="3"/>
      <c r="BC526" s="3"/>
      <c r="BD526" s="3"/>
      <c r="BE526" s="3"/>
      <c r="BF526" s="3"/>
      <c r="BG526" s="3"/>
      <c r="BH526" s="3"/>
      <c r="BI526" s="3"/>
      <c r="BJ526" s="3"/>
      <c r="BK526" s="3"/>
      <c r="BL526" s="3"/>
      <c r="BM526" s="3"/>
      <c r="BN526" s="3" t="s">
        <v>2540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32"/>
      <c r="C527" s="1374"/>
      <c r="D527" s="1374"/>
      <c r="E527" s="1374"/>
      <c r="F527" s="1374"/>
      <c r="G527" s="1374"/>
      <c r="H527" s="1375"/>
      <c r="I527" s="42" t="s">
        <v>425</v>
      </c>
      <c r="J527" s="42"/>
      <c r="K527" s="42"/>
      <c r="L527" s="42"/>
      <c r="M527" s="42"/>
      <c r="N527" s="42"/>
      <c r="O527" s="1788" t="s">
        <v>336</v>
      </c>
      <c r="P527" s="1789"/>
      <c r="Q527" s="1789"/>
      <c r="R527" s="1789"/>
      <c r="S527" s="1789"/>
      <c r="T527" s="1789"/>
      <c r="U527" s="1789"/>
      <c r="V527" s="1789"/>
      <c r="W527" s="1789"/>
      <c r="X527" s="1789"/>
      <c r="Y527" s="1789"/>
      <c r="Z527" s="1789"/>
      <c r="AA527" s="1789"/>
      <c r="AC527" s="1781" t="s">
        <v>600</v>
      </c>
      <c r="AD527" s="1728"/>
      <c r="AE527" s="1728"/>
      <c r="AF527" s="1728"/>
      <c r="AG527" s="13" t="s">
        <v>405</v>
      </c>
      <c r="AH527" s="1518"/>
      <c r="AI527" s="1518"/>
      <c r="AJ527" s="1518"/>
      <c r="AK527" s="1519"/>
      <c r="AZ527" s="3"/>
      <c r="BA527" s="3"/>
      <c r="BB527" s="3"/>
      <c r="BC527" s="3"/>
      <c r="BD527" s="3"/>
      <c r="BE527" s="3"/>
      <c r="BF527" s="3"/>
      <c r="BG527" s="3"/>
      <c r="BH527" s="3"/>
      <c r="BI527" s="3"/>
      <c r="BJ527" s="3"/>
      <c r="BK527" s="3"/>
      <c r="BL527" s="3"/>
      <c r="BM527" s="3"/>
      <c r="BN527" s="3" t="s">
        <v>2541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32"/>
      <c r="C528" s="1374"/>
      <c r="D528" s="1374"/>
      <c r="E528" s="1374"/>
      <c r="F528" s="1374"/>
      <c r="G528" s="1374"/>
      <c r="H528" s="1375"/>
      <c r="I528" t="s">
        <v>423</v>
      </c>
      <c r="AC528" s="1781" t="s">
        <v>600</v>
      </c>
      <c r="AD528" s="1728"/>
      <c r="AE528" s="1728"/>
      <c r="AF528" s="1728"/>
      <c r="AG528" s="13" t="s">
        <v>405</v>
      </c>
      <c r="AH528" s="1518"/>
      <c r="AI528" s="1518"/>
      <c r="AJ528" s="1518"/>
      <c r="AK528" s="1519"/>
      <c r="AZ528" s="3"/>
      <c r="BA528" s="3"/>
      <c r="BB528" s="3"/>
      <c r="BC528" s="3"/>
      <c r="BD528" s="3"/>
      <c r="BE528" s="3"/>
      <c r="BF528" s="3"/>
      <c r="BG528" s="3"/>
      <c r="BH528" s="3"/>
      <c r="BI528" s="3"/>
      <c r="BJ528" s="3"/>
      <c r="BK528" s="3"/>
      <c r="BL528" s="3"/>
      <c r="BM528" s="3"/>
      <c r="BN528" s="3" t="s">
        <v>2542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32"/>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1" t="s">
        <v>600</v>
      </c>
      <c r="AD529" s="1728"/>
      <c r="AE529" s="1728"/>
      <c r="AF529" s="1728"/>
      <c r="AG529" s="38" t="s">
        <v>405</v>
      </c>
      <c r="AH529" s="1518"/>
      <c r="AI529" s="1518"/>
      <c r="AJ529" s="1518"/>
      <c r="AK529" s="1519"/>
      <c r="AZ529" s="3"/>
      <c r="BA529" s="3"/>
      <c r="BB529" s="3"/>
      <c r="BC529" s="3"/>
      <c r="BD529" s="3"/>
      <c r="BE529" s="3"/>
      <c r="BF529" s="3"/>
      <c r="BG529" s="3"/>
      <c r="BH529" s="3"/>
      <c r="BI529" s="3"/>
      <c r="BJ529" s="3"/>
      <c r="BK529" s="3"/>
      <c r="BL529" s="3"/>
      <c r="BM529" s="3"/>
      <c r="BN529" s="3" t="s">
        <v>2543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32"/>
      <c r="C530" s="1374"/>
      <c r="D530" s="1374"/>
      <c r="E530" s="1374"/>
      <c r="F530" s="1374"/>
      <c r="G530" s="1374"/>
      <c r="H530" s="1375"/>
      <c r="I530" s="42" t="s">
        <v>425</v>
      </c>
      <c r="J530" s="42"/>
      <c r="K530" s="42"/>
      <c r="L530" s="42"/>
      <c r="M530" s="42"/>
      <c r="N530" s="42"/>
      <c r="O530" s="1788" t="s">
        <v>336</v>
      </c>
      <c r="P530" s="1789"/>
      <c r="Q530" s="1789"/>
      <c r="R530" s="1789"/>
      <c r="S530" s="1789"/>
      <c r="T530" s="1789"/>
      <c r="U530" s="1789"/>
      <c r="V530" s="1789"/>
      <c r="W530" s="1789"/>
      <c r="X530" s="1789"/>
      <c r="Y530" s="1789"/>
      <c r="Z530" s="1789"/>
      <c r="AA530" s="1789"/>
      <c r="AC530" s="1781" t="s">
        <v>600</v>
      </c>
      <c r="AD530" s="1728"/>
      <c r="AE530" s="1728"/>
      <c r="AF530" s="1728"/>
      <c r="AG530" s="13" t="s">
        <v>405</v>
      </c>
      <c r="AH530" s="1518"/>
      <c r="AI530" s="1518"/>
      <c r="AJ530" s="1518"/>
      <c r="AK530" s="1519"/>
      <c r="AZ530" s="3"/>
      <c r="BA530" s="3"/>
      <c r="BB530" s="3"/>
      <c r="BC530" s="3"/>
      <c r="BD530" s="3"/>
      <c r="BE530" s="3"/>
      <c r="BF530" s="3"/>
      <c r="BG530" s="3"/>
      <c r="BH530" s="3"/>
      <c r="BI530" s="3"/>
      <c r="BJ530" s="3"/>
      <c r="BK530" s="3"/>
      <c r="BL530" s="3"/>
      <c r="BM530" s="3"/>
      <c r="BN530" s="3" t="s">
        <v>2544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32"/>
      <c r="C531" s="1374"/>
      <c r="D531" s="1374"/>
      <c r="E531" s="1374"/>
      <c r="F531" s="1374"/>
      <c r="G531" s="1374"/>
      <c r="H531" s="1375"/>
      <c r="I531" t="s">
        <v>423</v>
      </c>
      <c r="AC531" s="1781" t="s">
        <v>600</v>
      </c>
      <c r="AD531" s="1728"/>
      <c r="AE531" s="1728"/>
      <c r="AF531" s="1728"/>
      <c r="AG531" s="38" t="s">
        <v>405</v>
      </c>
      <c r="AH531" s="1518"/>
      <c r="AI531" s="1518"/>
      <c r="AJ531" s="1518"/>
      <c r="AK531" s="1519"/>
      <c r="AZ531" s="3"/>
      <c r="BA531" s="3"/>
      <c r="BB531" s="3"/>
      <c r="BC531" s="3"/>
      <c r="BD531" s="3"/>
      <c r="BE531" s="3"/>
      <c r="BF531" s="3"/>
      <c r="BG531" s="3"/>
      <c r="BH531" s="3"/>
      <c r="BI531" s="3"/>
      <c r="BJ531" s="3"/>
      <c r="BK531" s="3"/>
      <c r="BL531" s="3"/>
      <c r="BM531" s="3"/>
      <c r="BN531" s="3" t="s">
        <v>2545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32"/>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1" t="s">
        <v>600</v>
      </c>
      <c r="AD532" s="1728"/>
      <c r="AE532" s="1728"/>
      <c r="AF532" s="1728"/>
      <c r="AG532" s="13" t="s">
        <v>405</v>
      </c>
      <c r="AH532" s="1518"/>
      <c r="AI532" s="1518"/>
      <c r="AJ532" s="1518"/>
      <c r="AK532" s="1519"/>
      <c r="AZ532" s="3"/>
      <c r="BA532" s="3"/>
      <c r="BB532" s="3"/>
      <c r="BC532" s="3"/>
      <c r="BD532" s="3"/>
      <c r="BE532" s="3"/>
      <c r="BF532" s="3"/>
      <c r="BG532" s="3"/>
      <c r="BH532" s="3"/>
      <c r="BI532" s="3"/>
      <c r="BJ532" s="3"/>
      <c r="BK532" s="3"/>
      <c r="BL532" s="3"/>
      <c r="BM532" s="3"/>
      <c r="BN532" s="3" t="s">
        <v>2546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32"/>
      <c r="C533" s="1374"/>
      <c r="D533" s="1374"/>
      <c r="E533" s="1374"/>
      <c r="F533" s="1374"/>
      <c r="G533" s="1374"/>
      <c r="H533" s="1375"/>
      <c r="I533" s="42" t="s">
        <v>425</v>
      </c>
      <c r="J533" s="42"/>
      <c r="K533" s="42"/>
      <c r="L533" s="42"/>
      <c r="M533" s="42"/>
      <c r="N533" s="42"/>
      <c r="O533" s="1788" t="s">
        <v>336</v>
      </c>
      <c r="P533" s="1789"/>
      <c r="Q533" s="1789"/>
      <c r="R533" s="1789"/>
      <c r="S533" s="1789"/>
      <c r="T533" s="1789"/>
      <c r="U533" s="1789"/>
      <c r="V533" s="1789"/>
      <c r="W533" s="1789"/>
      <c r="X533" s="1789"/>
      <c r="Y533" s="1789"/>
      <c r="Z533" s="1789"/>
      <c r="AA533" s="1789"/>
      <c r="AC533" s="1781" t="s">
        <v>600</v>
      </c>
      <c r="AD533" s="1728"/>
      <c r="AE533" s="1728"/>
      <c r="AF533" s="1728"/>
      <c r="AG533" s="38" t="s">
        <v>405</v>
      </c>
      <c r="AH533" s="1518"/>
      <c r="AI533" s="1518"/>
      <c r="AJ533" s="1518"/>
      <c r="AK533" s="1519"/>
      <c r="AZ533" s="3"/>
      <c r="BA533" s="3"/>
      <c r="BB533" s="3"/>
      <c r="BC533" s="3"/>
      <c r="BD533" s="3"/>
      <c r="BE533" s="3"/>
      <c r="BF533" s="3"/>
      <c r="BG533" s="3"/>
      <c r="BH533" s="3"/>
      <c r="BI533" s="3"/>
      <c r="BJ533" s="3"/>
      <c r="BK533" s="3"/>
      <c r="BL533" s="3"/>
      <c r="BM533" s="3"/>
      <c r="BN533" s="3" t="s">
        <v>2547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32"/>
      <c r="C534" s="1374"/>
      <c r="D534" s="1374"/>
      <c r="E534" s="1374"/>
      <c r="F534" s="1374"/>
      <c r="G534" s="1374"/>
      <c r="H534" s="1375"/>
      <c r="I534" t="s">
        <v>423</v>
      </c>
      <c r="AC534" s="1781"/>
      <c r="AD534" s="1728"/>
      <c r="AE534" s="1728"/>
      <c r="AF534" s="1728"/>
      <c r="AG534" s="13" t="s">
        <v>405</v>
      </c>
      <c r="AH534" s="1518"/>
      <c r="AI534" s="1518"/>
      <c r="AJ534" s="1518"/>
      <c r="AK534" s="1519"/>
      <c r="AZ534" s="3"/>
      <c r="BA534" s="3"/>
      <c r="BB534" s="3"/>
      <c r="BC534" s="3"/>
      <c r="BD534" s="3"/>
      <c r="BE534" s="3"/>
      <c r="BF534" s="3"/>
      <c r="BG534" s="3"/>
      <c r="BH534" s="3"/>
      <c r="BI534" s="3"/>
      <c r="BJ534" s="3"/>
      <c r="BK534" s="3"/>
      <c r="BL534" s="3"/>
      <c r="BM534" s="3"/>
      <c r="BN534" s="3" t="s">
        <v>2548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32"/>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1" t="s">
        <v>600</v>
      </c>
      <c r="AD535" s="1728"/>
      <c r="AE535" s="1728"/>
      <c r="AF535" s="1728"/>
      <c r="AG535" s="38" t="s">
        <v>405</v>
      </c>
      <c r="AH535" s="1518"/>
      <c r="AI535" s="1518"/>
      <c r="AJ535" s="1518"/>
      <c r="AK535" s="1519"/>
      <c r="AZ535" s="3"/>
      <c r="BA535" s="3"/>
      <c r="BB535" s="3"/>
      <c r="BC535" s="3"/>
      <c r="BD535" s="3"/>
      <c r="BE535" s="3"/>
      <c r="BF535" s="3"/>
      <c r="BG535" s="3"/>
      <c r="BH535" s="3"/>
      <c r="BI535" s="3"/>
      <c r="BJ535" s="3"/>
      <c r="BK535" s="3"/>
      <c r="BL535" s="3"/>
      <c r="BM535" s="3"/>
      <c r="BN535" s="3" t="s">
        <v>2549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32"/>
      <c r="C536" s="1374"/>
      <c r="D536" s="1374"/>
      <c r="E536" s="1374"/>
      <c r="F536" s="1374"/>
      <c r="G536" s="1374"/>
      <c r="H536" s="1375"/>
      <c r="I536" s="42" t="s">
        <v>571</v>
      </c>
      <c r="J536" s="42"/>
      <c r="K536" s="42"/>
      <c r="L536" s="42"/>
      <c r="M536" s="42"/>
      <c r="N536" s="42"/>
      <c r="O536" s="42"/>
      <c r="P536" s="42"/>
      <c r="Q536" s="42"/>
      <c r="R536" s="42"/>
      <c r="S536" s="42"/>
      <c r="T536" s="42"/>
      <c r="U536" s="42"/>
      <c r="V536" s="42"/>
      <c r="W536" s="42"/>
      <c r="AC536" s="1781">
        <v>5</v>
      </c>
      <c r="AD536" s="1728"/>
      <c r="AE536" s="1728"/>
      <c r="AF536" s="1728"/>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2550</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32"/>
      <c r="C537" s="1374"/>
      <c r="D537" s="1374"/>
      <c r="E537" s="1374"/>
      <c r="F537" s="1374"/>
      <c r="G537" s="1374"/>
      <c r="H537" s="1375"/>
      <c r="I537" t="s">
        <v>572</v>
      </c>
      <c r="AC537" s="1781">
        <v>6</v>
      </c>
      <c r="AD537" s="1728"/>
      <c r="AE537" s="1728"/>
      <c r="AF537" s="1728"/>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32"/>
      <c r="C538" s="1374"/>
      <c r="D538" s="1374"/>
      <c r="E538" s="1374"/>
      <c r="F538" s="1374"/>
      <c r="G538" s="1374"/>
      <c r="H538" s="1375"/>
      <c r="I538" t="s">
        <v>573</v>
      </c>
      <c r="AC538" s="1781">
        <v>6</v>
      </c>
      <c r="AD538" s="1728"/>
      <c r="AE538" s="1728"/>
      <c r="AF538" s="1728"/>
      <c r="AG538" s="38" t="s">
        <v>405</v>
      </c>
      <c r="AH538" s="1518">
        <v>2025</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32"/>
      <c r="C539" s="1374"/>
      <c r="D539" s="1374"/>
      <c r="E539" s="1374"/>
      <c r="F539" s="1374"/>
      <c r="G539" s="1374"/>
      <c r="H539" s="1375"/>
      <c r="I539" t="s">
        <v>574</v>
      </c>
      <c r="AC539" s="1781">
        <v>6</v>
      </c>
      <c r="AD539" s="1728"/>
      <c r="AE539" s="1728"/>
      <c r="AF539" s="1728"/>
      <c r="AG539" s="38" t="s">
        <v>405</v>
      </c>
      <c r="AH539" s="1518">
        <v>2025</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33"/>
      <c r="C540" s="1376"/>
      <c r="D540" s="1376"/>
      <c r="E540" s="1376"/>
      <c r="F540" s="1376"/>
      <c r="G540" s="1376"/>
      <c r="H540" s="1377"/>
      <c r="I540" s="48" t="s">
        <v>460</v>
      </c>
      <c r="J540" s="48"/>
      <c r="K540" s="48"/>
      <c r="L540" s="48"/>
      <c r="M540" s="48"/>
      <c r="N540" s="48"/>
      <c r="O540" s="48"/>
      <c r="P540" s="48"/>
      <c r="Q540" s="48"/>
      <c r="R540" s="48"/>
      <c r="S540" s="48"/>
      <c r="T540" s="48"/>
      <c r="U540" s="48"/>
      <c r="V540" s="48"/>
      <c r="W540" s="48"/>
      <c r="X540" s="48"/>
      <c r="Y540" s="48"/>
      <c r="Z540" s="48"/>
      <c r="AA540" s="48"/>
      <c r="AB540" s="48"/>
      <c r="AC540" s="1781">
        <v>9</v>
      </c>
      <c r="AD540" s="1728"/>
      <c r="AE540" s="1728"/>
      <c r="AF540" s="1728"/>
      <c r="AG540" s="38" t="s">
        <v>405</v>
      </c>
      <c r="AH540" s="1518">
        <v>2025</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2522</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2" t="s">
        <v>2524</v>
      </c>
      <c r="C549" s="1783"/>
      <c r="D549" s="1783"/>
      <c r="E549" s="1783"/>
      <c r="F549" s="1783"/>
      <c r="G549" s="1783"/>
      <c r="H549" s="1783"/>
      <c r="I549" s="1783"/>
      <c r="J549" s="1783"/>
      <c r="K549" s="1783"/>
      <c r="L549" s="1784"/>
      <c r="M549" s="1369" t="s">
        <v>2525</v>
      </c>
      <c r="N549" s="1369"/>
      <c r="O549" s="1369"/>
      <c r="P549" s="1369"/>
      <c r="Q549" s="1782" t="s">
        <v>2551</v>
      </c>
      <c r="R549" s="1783"/>
      <c r="S549" s="1784"/>
      <c r="T549" s="1782" t="s">
        <v>2552</v>
      </c>
      <c r="U549" s="1783"/>
      <c r="V549" s="1784"/>
      <c r="W549" s="1782" t="s">
        <v>462</v>
      </c>
      <c r="X549" s="1783"/>
      <c r="Y549" s="1784"/>
      <c r="Z549" s="1782" t="s">
        <v>2114</v>
      </c>
      <c r="AA549" s="1783"/>
      <c r="AB549" s="1783"/>
      <c r="AC549" s="1783"/>
      <c r="AD549" s="1783"/>
      <c r="AE549" s="1782" t="s">
        <v>1935</v>
      </c>
      <c r="AF549" s="1783"/>
      <c r="AG549" s="1783"/>
      <c r="AH549" s="1784"/>
      <c r="AI549" s="1782" t="s">
        <v>1936</v>
      </c>
      <c r="AJ549" s="1783"/>
      <c r="AK549" s="1783"/>
      <c r="AL549" s="1784"/>
      <c r="AM549" s="1782" t="s">
        <v>463</v>
      </c>
      <c r="AN549" s="1783"/>
      <c r="AO549" s="1783"/>
      <c r="AP549" s="1783"/>
      <c r="AQ549" s="1783"/>
      <c r="AR549" s="1783"/>
      <c r="AS549" s="1784"/>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2698</v>
      </c>
      <c r="D550" s="1359"/>
      <c r="E550" s="1359"/>
      <c r="F550" s="1359"/>
      <c r="G550" s="1359"/>
      <c r="H550" s="1359"/>
      <c r="I550" s="1359"/>
      <c r="J550" s="1359"/>
      <c r="K550" s="1359"/>
      <c r="L550" s="1359"/>
      <c r="M550" s="1359" t="s">
        <v>2541</v>
      </c>
      <c r="N550" s="1359"/>
      <c r="O550" s="1359"/>
      <c r="P550" s="1359"/>
      <c r="Q550" s="1362">
        <v>16</v>
      </c>
      <c r="R550" s="1362"/>
      <c r="S550" s="1363"/>
      <c r="T550" s="1361"/>
      <c r="U550" s="1362"/>
      <c r="V550" s="1363"/>
      <c r="W550" s="1621">
        <v>9.6000000000000002E-2</v>
      </c>
      <c r="X550" s="1622"/>
      <c r="Y550" s="1623"/>
      <c r="Z550" s="1364" t="s">
        <v>2686</v>
      </c>
      <c r="AA550" s="1364"/>
      <c r="AB550" s="1364"/>
      <c r="AC550" s="1364"/>
      <c r="AD550" s="1364"/>
      <c r="AE550" s="1799">
        <v>1</v>
      </c>
      <c r="AF550" s="1800"/>
      <c r="AG550" s="1800"/>
      <c r="AH550" s="1801"/>
      <c r="AI550" s="1805"/>
      <c r="AJ550" s="1806"/>
      <c r="AK550" s="1806"/>
      <c r="AL550" s="1807"/>
      <c r="AM550" s="1802">
        <v>14219583</v>
      </c>
      <c r="AN550" s="1803"/>
      <c r="AO550" s="1803"/>
      <c r="AP550" s="1803"/>
      <c r="AQ550" s="1803"/>
      <c r="AR550" s="1803"/>
      <c r="AS550" s="1804"/>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656" t="s">
        <v>2681</v>
      </c>
      <c r="D551" s="1656"/>
      <c r="E551" s="1656"/>
      <c r="F551" s="1656"/>
      <c r="G551" s="1656"/>
      <c r="H551" s="1656"/>
      <c r="I551" s="1656"/>
      <c r="J551" s="1656"/>
      <c r="K551" s="1656"/>
      <c r="L551" s="1656"/>
      <c r="M551" s="1359" t="s">
        <v>2534</v>
      </c>
      <c r="N551" s="1359"/>
      <c r="O551" s="1359"/>
      <c r="P551" s="1359"/>
      <c r="Q551" s="1361"/>
      <c r="R551" s="1362"/>
      <c r="S551" s="1363"/>
      <c r="T551" s="1361"/>
      <c r="U551" s="1362"/>
      <c r="V551" s="1363"/>
      <c r="W551" s="1621"/>
      <c r="X551" s="1622"/>
      <c r="Y551" s="1623"/>
      <c r="Z551" s="1364" t="s">
        <v>600</v>
      </c>
      <c r="AA551" s="1364"/>
      <c r="AB551" s="1364"/>
      <c r="AC551" s="1364"/>
      <c r="AD551" s="1364"/>
      <c r="AE551" s="1799"/>
      <c r="AF551" s="1800"/>
      <c r="AG551" s="1800"/>
      <c r="AH551" s="1801"/>
      <c r="AI551" s="1805"/>
      <c r="AJ551" s="1806"/>
      <c r="AK551" s="1806"/>
      <c r="AL551" s="1807"/>
      <c r="AM551" s="1802">
        <v>900916</v>
      </c>
      <c r="AN551" s="1803"/>
      <c r="AO551" s="1803"/>
      <c r="AP551" s="1803"/>
      <c r="AQ551" s="1803"/>
      <c r="AR551" s="1803"/>
      <c r="AS551" s="1804"/>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656" t="s">
        <v>2697</v>
      </c>
      <c r="D552" s="1656"/>
      <c r="E552" s="1656"/>
      <c r="F552" s="1656"/>
      <c r="G552" s="1656"/>
      <c r="H552" s="1656"/>
      <c r="I552" s="1656"/>
      <c r="J552" s="1656"/>
      <c r="K552" s="1656"/>
      <c r="L552" s="1656"/>
      <c r="M552" s="1359" t="s">
        <v>2534</v>
      </c>
      <c r="N552" s="1359"/>
      <c r="O552" s="1359"/>
      <c r="P552" s="1359"/>
      <c r="Q552" s="1361"/>
      <c r="R552" s="1362"/>
      <c r="S552" s="1363"/>
      <c r="T552" s="1361"/>
      <c r="U552" s="1362"/>
      <c r="V552" s="1363"/>
      <c r="W552" s="1621"/>
      <c r="X552" s="1622"/>
      <c r="Y552" s="1623"/>
      <c r="Z552" s="1364" t="s">
        <v>600</v>
      </c>
      <c r="AA552" s="1364"/>
      <c r="AB552" s="1364"/>
      <c r="AC552" s="1364"/>
      <c r="AD552" s="1364"/>
      <c r="AE552" s="1799"/>
      <c r="AF552" s="1800"/>
      <c r="AG552" s="1800"/>
      <c r="AH552" s="1801"/>
      <c r="AI552" s="1805"/>
      <c r="AJ552" s="1806"/>
      <c r="AK552" s="1806"/>
      <c r="AL552" s="1807"/>
      <c r="AM552" s="1802">
        <v>5750000</v>
      </c>
      <c r="AN552" s="1803"/>
      <c r="AO552" s="1803"/>
      <c r="AP552" s="1803"/>
      <c r="AQ552" s="1803"/>
      <c r="AR552" s="1803"/>
      <c r="AS552" s="1804"/>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656" t="s">
        <v>2705</v>
      </c>
      <c r="D553" s="1656"/>
      <c r="E553" s="1656"/>
      <c r="F553" s="1656"/>
      <c r="G553" s="1656"/>
      <c r="H553" s="1656"/>
      <c r="I553" s="1656"/>
      <c r="J553" s="1656"/>
      <c r="K553" s="1656"/>
      <c r="L553" s="1656"/>
      <c r="M553" s="1359" t="s">
        <v>2548</v>
      </c>
      <c r="N553" s="1359"/>
      <c r="O553" s="1359"/>
      <c r="P553" s="1359"/>
      <c r="Q553" s="1361"/>
      <c r="R553" s="1362"/>
      <c r="S553" s="1363"/>
      <c r="T553" s="1361"/>
      <c r="U553" s="1362"/>
      <c r="V553" s="1363"/>
      <c r="W553" s="1621"/>
      <c r="X553" s="1622"/>
      <c r="Y553" s="1623"/>
      <c r="Z553" s="1364" t="s">
        <v>600</v>
      </c>
      <c r="AA553" s="1364"/>
      <c r="AB553" s="1364"/>
      <c r="AC553" s="1364"/>
      <c r="AD553" s="1364"/>
      <c r="AE553" s="1799"/>
      <c r="AF553" s="1800"/>
      <c r="AG553" s="1800"/>
      <c r="AH553" s="1801"/>
      <c r="AI553" s="1805"/>
      <c r="AJ553" s="1806"/>
      <c r="AK553" s="1806"/>
      <c r="AL553" s="1807"/>
      <c r="AM553" s="1802">
        <v>5750000</v>
      </c>
      <c r="AN553" s="1803"/>
      <c r="AO553" s="1803"/>
      <c r="AP553" s="1803"/>
      <c r="AQ553" s="1803"/>
      <c r="AR553" s="1803"/>
      <c r="AS553" s="1804"/>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656" t="s">
        <v>2680</v>
      </c>
      <c r="D554" s="1656"/>
      <c r="E554" s="1656"/>
      <c r="F554" s="1656"/>
      <c r="G554" s="1656"/>
      <c r="H554" s="1656"/>
      <c r="I554" s="1656"/>
      <c r="J554" s="1656"/>
      <c r="K554" s="1656"/>
      <c r="L554" s="1656"/>
      <c r="M554" s="1359" t="s">
        <v>2532</v>
      </c>
      <c r="N554" s="1359"/>
      <c r="O554" s="1359"/>
      <c r="P554" s="1359"/>
      <c r="Q554" s="1361"/>
      <c r="R554" s="1362"/>
      <c r="S554" s="1363"/>
      <c r="T554" s="1361"/>
      <c r="U554" s="1362"/>
      <c r="V554" s="1363"/>
      <c r="W554" s="1621"/>
      <c r="X554" s="1622"/>
      <c r="Y554" s="1623"/>
      <c r="Z554" s="1364" t="s">
        <v>600</v>
      </c>
      <c r="AA554" s="1364"/>
      <c r="AB554" s="1364"/>
      <c r="AC554" s="1364"/>
      <c r="AD554" s="1364"/>
      <c r="AE554" s="1799"/>
      <c r="AF554" s="1800"/>
      <c r="AG554" s="1800"/>
      <c r="AH554" s="1801"/>
      <c r="AI554" s="1805"/>
      <c r="AJ554" s="1806"/>
      <c r="AK554" s="1806"/>
      <c r="AL554" s="1807"/>
      <c r="AM554" s="1802">
        <v>892644</v>
      </c>
      <c r="AN554" s="1803"/>
      <c r="AO554" s="1803"/>
      <c r="AP554" s="1803"/>
      <c r="AQ554" s="1803"/>
      <c r="AR554" s="1803"/>
      <c r="AS554" s="1804"/>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656" t="s">
        <v>2682</v>
      </c>
      <c r="D555" s="1656"/>
      <c r="E555" s="1656"/>
      <c r="F555" s="1656"/>
      <c r="G555" s="1656"/>
      <c r="H555" s="1656"/>
      <c r="I555" s="1656"/>
      <c r="J555" s="1656"/>
      <c r="K555" s="1656"/>
      <c r="L555" s="1656"/>
      <c r="M555" s="1359" t="s">
        <v>2533</v>
      </c>
      <c r="N555" s="1359"/>
      <c r="O555" s="1359"/>
      <c r="P555" s="1359"/>
      <c r="Q555" s="1361"/>
      <c r="R555" s="1362"/>
      <c r="S555" s="1363"/>
      <c r="T555" s="1361"/>
      <c r="U555" s="1362"/>
      <c r="V555" s="1363"/>
      <c r="W555" s="1621"/>
      <c r="X555" s="1622"/>
      <c r="Y555" s="1623"/>
      <c r="Z555" s="1364" t="s">
        <v>600</v>
      </c>
      <c r="AA555" s="1364"/>
      <c r="AB555" s="1364"/>
      <c r="AC555" s="1364"/>
      <c r="AD555" s="1364"/>
      <c r="AE555" s="1799"/>
      <c r="AF555" s="1800"/>
      <c r="AG555" s="1800"/>
      <c r="AH555" s="1801"/>
      <c r="AI555" s="1805"/>
      <c r="AJ555" s="1806"/>
      <c r="AK555" s="1806"/>
      <c r="AL555" s="1807"/>
      <c r="AM555" s="1802">
        <v>834006</v>
      </c>
      <c r="AN555" s="1803"/>
      <c r="AO555" s="1803"/>
      <c r="AP555" s="1803"/>
      <c r="AQ555" s="1803"/>
      <c r="AR555" s="1803"/>
      <c r="AS555" s="1804"/>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656" t="s">
        <v>2683</v>
      </c>
      <c r="D556" s="1656"/>
      <c r="E556" s="1656"/>
      <c r="F556" s="1656"/>
      <c r="G556" s="1656"/>
      <c r="H556" s="1656"/>
      <c r="I556" s="1656"/>
      <c r="J556" s="1656"/>
      <c r="K556" s="1656"/>
      <c r="L556" s="1656"/>
      <c r="M556" s="1359" t="s">
        <v>2527</v>
      </c>
      <c r="N556" s="1359"/>
      <c r="O556" s="1359"/>
      <c r="P556" s="1359"/>
      <c r="Q556" s="1361"/>
      <c r="R556" s="1362"/>
      <c r="S556" s="1363"/>
      <c r="T556" s="1361"/>
      <c r="U556" s="1362"/>
      <c r="V556" s="1363"/>
      <c r="W556" s="1621"/>
      <c r="X556" s="1622"/>
      <c r="Y556" s="1623"/>
      <c r="Z556" s="1364" t="s">
        <v>600</v>
      </c>
      <c r="AA556" s="1364"/>
      <c r="AB556" s="1364"/>
      <c r="AC556" s="1364"/>
      <c r="AD556" s="1364"/>
      <c r="AE556" s="1799"/>
      <c r="AF556" s="1800"/>
      <c r="AG556" s="1800"/>
      <c r="AH556" s="1801"/>
      <c r="AI556" s="1805"/>
      <c r="AJ556" s="1806"/>
      <c r="AK556" s="1806"/>
      <c r="AL556" s="1807"/>
      <c r="AM556" s="1802">
        <f>5223980-1</f>
        <v>5223979</v>
      </c>
      <c r="AN556" s="1803"/>
      <c r="AO556" s="1803"/>
      <c r="AP556" s="1803"/>
      <c r="AQ556" s="1803"/>
      <c r="AR556" s="1803"/>
      <c r="AS556" s="1804"/>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656"/>
      <c r="D557" s="1656"/>
      <c r="E557" s="1656"/>
      <c r="F557" s="1656"/>
      <c r="G557" s="1656"/>
      <c r="H557" s="1656"/>
      <c r="I557" s="1656"/>
      <c r="J557" s="1656"/>
      <c r="K557" s="1656"/>
      <c r="L557" s="1656"/>
      <c r="M557" s="1359" t="s">
        <v>1327</v>
      </c>
      <c r="N557" s="1359"/>
      <c r="O557" s="1359"/>
      <c r="P557" s="1359"/>
      <c r="Q557" s="1361"/>
      <c r="R557" s="1362"/>
      <c r="S557" s="1363"/>
      <c r="T557" s="1361"/>
      <c r="U557" s="1362"/>
      <c r="V557" s="1363"/>
      <c r="W557" s="1621"/>
      <c r="X557" s="1622"/>
      <c r="Y557" s="1623"/>
      <c r="Z557" s="1364" t="s">
        <v>1327</v>
      </c>
      <c r="AA557" s="1364"/>
      <c r="AB557" s="1364"/>
      <c r="AC557" s="1364"/>
      <c r="AD557" s="1364"/>
      <c r="AE557" s="1799"/>
      <c r="AF557" s="1800"/>
      <c r="AG557" s="1800"/>
      <c r="AH557" s="1801"/>
      <c r="AI557" s="1805"/>
      <c r="AJ557" s="1806"/>
      <c r="AK557" s="1806"/>
      <c r="AL557" s="1807"/>
      <c r="AM557" s="1802"/>
      <c r="AN557" s="1803"/>
      <c r="AO557" s="1803"/>
      <c r="AP557" s="1803"/>
      <c r="AQ557" s="1803"/>
      <c r="AR557" s="1803"/>
      <c r="AS557" s="1804"/>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656"/>
      <c r="D558" s="1656"/>
      <c r="E558" s="1656"/>
      <c r="F558" s="1656"/>
      <c r="G558" s="1656"/>
      <c r="H558" s="1656"/>
      <c r="I558" s="1656"/>
      <c r="J558" s="1656"/>
      <c r="K558" s="1656"/>
      <c r="L558" s="1656"/>
      <c r="M558" s="1359" t="s">
        <v>1327</v>
      </c>
      <c r="N558" s="1359"/>
      <c r="O558" s="1359"/>
      <c r="P558" s="1359"/>
      <c r="Q558" s="1361"/>
      <c r="R558" s="1362"/>
      <c r="S558" s="1363"/>
      <c r="T558" s="1361"/>
      <c r="U558" s="1362"/>
      <c r="V558" s="1363"/>
      <c r="W558" s="1621"/>
      <c r="X558" s="1622"/>
      <c r="Y558" s="1623"/>
      <c r="Z558" s="1364" t="s">
        <v>1327</v>
      </c>
      <c r="AA558" s="1364"/>
      <c r="AB558" s="1364"/>
      <c r="AC558" s="1364"/>
      <c r="AD558" s="1364"/>
      <c r="AE558" s="1799"/>
      <c r="AF558" s="1800"/>
      <c r="AG558" s="1800"/>
      <c r="AH558" s="1801"/>
      <c r="AI558" s="1805"/>
      <c r="AJ558" s="1806"/>
      <c r="AK558" s="1806"/>
      <c r="AL558" s="1807"/>
      <c r="AM558" s="1802"/>
      <c r="AN558" s="1803"/>
      <c r="AO558" s="1803"/>
      <c r="AP558" s="1803"/>
      <c r="AQ558" s="1803"/>
      <c r="AR558" s="1803"/>
      <c r="AS558" s="1804"/>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656"/>
      <c r="D559" s="1656"/>
      <c r="E559" s="1656"/>
      <c r="F559" s="1656"/>
      <c r="G559" s="1656"/>
      <c r="H559" s="1656"/>
      <c r="I559" s="1656"/>
      <c r="J559" s="1656"/>
      <c r="K559" s="1656"/>
      <c r="L559" s="1656"/>
      <c r="M559" s="1359" t="s">
        <v>1327</v>
      </c>
      <c r="N559" s="1359"/>
      <c r="O559" s="1359"/>
      <c r="P559" s="1359"/>
      <c r="Q559" s="1361"/>
      <c r="R559" s="1362"/>
      <c r="S559" s="1363"/>
      <c r="T559" s="1361"/>
      <c r="U559" s="1362"/>
      <c r="V559" s="1363"/>
      <c r="W559" s="1621"/>
      <c r="X559" s="1622"/>
      <c r="Y559" s="1623"/>
      <c r="Z559" s="1364" t="s">
        <v>1327</v>
      </c>
      <c r="AA559" s="1364"/>
      <c r="AB559" s="1364"/>
      <c r="AC559" s="1364"/>
      <c r="AD559" s="1364"/>
      <c r="AE559" s="1799"/>
      <c r="AF559" s="1800"/>
      <c r="AG559" s="1800"/>
      <c r="AH559" s="1801"/>
      <c r="AI559" s="1805"/>
      <c r="AJ559" s="1806"/>
      <c r="AK559" s="1806"/>
      <c r="AL559" s="1807"/>
      <c r="AM559" s="1802"/>
      <c r="AN559" s="1803"/>
      <c r="AO559" s="1803"/>
      <c r="AP559" s="1803"/>
      <c r="AQ559" s="1803"/>
      <c r="AR559" s="1803"/>
      <c r="AS559" s="1804"/>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656"/>
      <c r="D560" s="1656"/>
      <c r="E560" s="1656"/>
      <c r="F560" s="1656"/>
      <c r="G560" s="1656"/>
      <c r="H560" s="1656"/>
      <c r="I560" s="1656"/>
      <c r="J560" s="1656"/>
      <c r="K560" s="1656"/>
      <c r="L560" s="1656"/>
      <c r="M560" s="1359" t="s">
        <v>1327</v>
      </c>
      <c r="N560" s="1359"/>
      <c r="O560" s="1359"/>
      <c r="P560" s="1359"/>
      <c r="Q560" s="1361"/>
      <c r="R560" s="1362"/>
      <c r="S560" s="1363"/>
      <c r="T560" s="1361"/>
      <c r="U560" s="1362"/>
      <c r="V560" s="1363"/>
      <c r="W560" s="1621"/>
      <c r="X560" s="1622"/>
      <c r="Y560" s="1623"/>
      <c r="Z560" s="1364" t="s">
        <v>1327</v>
      </c>
      <c r="AA560" s="1364"/>
      <c r="AB560" s="1364"/>
      <c r="AC560" s="1364"/>
      <c r="AD560" s="1364"/>
      <c r="AE560" s="1799"/>
      <c r="AF560" s="1800"/>
      <c r="AG560" s="1800"/>
      <c r="AH560" s="1801"/>
      <c r="AI560" s="1805"/>
      <c r="AJ560" s="1806"/>
      <c r="AK560" s="1806"/>
      <c r="AL560" s="1807"/>
      <c r="AM560" s="1802"/>
      <c r="AN560" s="1803"/>
      <c r="AO560" s="1803"/>
      <c r="AP560" s="1803"/>
      <c r="AQ560" s="1803"/>
      <c r="AR560" s="1803"/>
      <c r="AS560" s="1804"/>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656"/>
      <c r="D561" s="1656"/>
      <c r="E561" s="1656"/>
      <c r="F561" s="1656"/>
      <c r="G561" s="1656"/>
      <c r="H561" s="1656"/>
      <c r="I561" s="1656"/>
      <c r="J561" s="1656"/>
      <c r="K561" s="1656"/>
      <c r="L561" s="1656"/>
      <c r="M561" s="1359" t="s">
        <v>1327</v>
      </c>
      <c r="N561" s="1359"/>
      <c r="O561" s="1359"/>
      <c r="P561" s="1359"/>
      <c r="Q561" s="1361"/>
      <c r="R561" s="1362"/>
      <c r="S561" s="1363"/>
      <c r="T561" s="1361"/>
      <c r="U561" s="1362"/>
      <c r="V561" s="1363"/>
      <c r="W561" s="1621"/>
      <c r="X561" s="1622"/>
      <c r="Y561" s="1623"/>
      <c r="Z561" s="1364" t="s">
        <v>1327</v>
      </c>
      <c r="AA561" s="1364"/>
      <c r="AB561" s="1364"/>
      <c r="AC561" s="1364"/>
      <c r="AD561" s="1364"/>
      <c r="AE561" s="1799"/>
      <c r="AF561" s="1800"/>
      <c r="AG561" s="1800"/>
      <c r="AH561" s="1801"/>
      <c r="AI561" s="1805"/>
      <c r="AJ561" s="1806"/>
      <c r="AK561" s="1806"/>
      <c r="AL561" s="1807"/>
      <c r="AM561" s="1802"/>
      <c r="AN561" s="1803"/>
      <c r="AO561" s="1803"/>
      <c r="AP561" s="1803"/>
      <c r="AQ561" s="1803"/>
      <c r="AR561" s="1803"/>
      <c r="AS561" s="1804"/>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7"/>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33571128</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351" t="str">
        <f>C550</f>
        <v>Construction Loan - Citibank</v>
      </c>
      <c r="H564" s="1351"/>
      <c r="I564" s="1351"/>
      <c r="J564" s="1351"/>
      <c r="K564" s="1351"/>
      <c r="L564" s="1351"/>
      <c r="M564" s="1351"/>
      <c r="N564" s="1351"/>
      <c r="O564" s="1351"/>
      <c r="P564" s="1351"/>
      <c r="Q564" s="1351"/>
      <c r="R564" s="1351"/>
      <c r="S564" s="8"/>
      <c r="T564" s="55" t="s">
        <v>114</v>
      </c>
      <c r="U564" t="s">
        <v>472</v>
      </c>
      <c r="Z564" s="1351" t="str">
        <f>C551</f>
        <v>Home Depot Foundation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53" t="s">
        <v>2699</v>
      </c>
      <c r="H565" s="1353"/>
      <c r="I565" s="1353"/>
      <c r="J565" s="1353"/>
      <c r="K565" s="1353"/>
      <c r="L565" s="1353"/>
      <c r="M565" s="1353"/>
      <c r="N565" s="1353"/>
      <c r="O565" s="1353"/>
      <c r="P565" s="1353"/>
      <c r="Q565" s="1353"/>
      <c r="R565" s="1353"/>
      <c r="S565" s="8"/>
      <c r="T565" s="22"/>
      <c r="U565" t="s">
        <v>86</v>
      </c>
      <c r="Z565" s="1352" t="s">
        <v>2714</v>
      </c>
      <c r="AA565" s="1353"/>
      <c r="AB565" s="1353"/>
      <c r="AC565" s="1353"/>
      <c r="AD565" s="1353"/>
      <c r="AE565" s="1353"/>
      <c r="AF565" s="1353"/>
      <c r="AG565" s="1353"/>
      <c r="AH565" s="1353"/>
      <c r="AI565" s="1353"/>
      <c r="AJ565" s="1353"/>
      <c r="AK565" s="1353"/>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53" t="s">
        <v>503</v>
      </c>
      <c r="H566" s="1353"/>
      <c r="I566" s="1353"/>
      <c r="J566" s="1353"/>
      <c r="K566" s="1353"/>
      <c r="L566" s="1353"/>
      <c r="M566" s="1353"/>
      <c r="N566" s="1353"/>
      <c r="O566" s="1353"/>
      <c r="P566" s="1353"/>
      <c r="Q566" s="1353"/>
      <c r="R566" s="1353"/>
      <c r="T566" s="22"/>
      <c r="U566" t="s">
        <v>589</v>
      </c>
      <c r="Z566" s="1620" t="s">
        <v>2715</v>
      </c>
      <c r="AA566" s="1360"/>
      <c r="AB566" s="1360"/>
      <c r="AC566" s="1360"/>
      <c r="AD566" s="1360"/>
      <c r="AE566" s="1360"/>
      <c r="AF566" s="1360"/>
      <c r="AG566" s="1360"/>
      <c r="AH566" s="1360"/>
      <c r="AI566" s="1360"/>
      <c r="AJ566" s="1360"/>
      <c r="AK566" s="1360"/>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53" t="s">
        <v>2700</v>
      </c>
      <c r="H567" s="1353"/>
      <c r="I567" s="1353"/>
      <c r="J567" s="1353"/>
      <c r="K567" s="1353"/>
      <c r="L567" s="1353"/>
      <c r="M567" s="1353"/>
      <c r="N567" s="1353"/>
      <c r="O567" s="1353"/>
      <c r="P567" s="1353"/>
      <c r="Q567" s="1353"/>
      <c r="R567" s="1353"/>
      <c r="S567" s="8"/>
      <c r="T567" s="22"/>
      <c r="U567" t="s">
        <v>17</v>
      </c>
      <c r="Z567" s="1620" t="s">
        <v>2716</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355">
        <v>2134868917</v>
      </c>
      <c r="H568" s="1355"/>
      <c r="I568" s="1355"/>
      <c r="J568" s="1355"/>
      <c r="K568" s="1355"/>
      <c r="L568" s="1355"/>
      <c r="O568" s="33" t="s">
        <v>208</v>
      </c>
      <c r="P568" s="1350"/>
      <c r="Q568" s="1350"/>
      <c r="R568" s="1350"/>
      <c r="S568" s="10"/>
      <c r="T568" s="22"/>
      <c r="U568" t="s">
        <v>318</v>
      </c>
      <c r="Z568" s="1355">
        <v>7704338211</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53" t="s">
        <v>2701</v>
      </c>
      <c r="I569" s="1353"/>
      <c r="J569" s="1353"/>
      <c r="K569" s="1353"/>
      <c r="L569" s="1353"/>
      <c r="M569" s="1353"/>
      <c r="N569" s="1353"/>
      <c r="O569" s="1353"/>
      <c r="P569" s="1353"/>
      <c r="Q569" s="1353"/>
      <c r="R569" s="1353"/>
      <c r="S569" s="8"/>
      <c r="T569" s="22"/>
      <c r="U569" t="s">
        <v>18</v>
      </c>
      <c r="AA569" s="1352" t="s">
        <v>2534</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658"/>
      <c r="N570" s="1658"/>
      <c r="O570" s="1658"/>
      <c r="P570" s="1658"/>
      <c r="Q570" s="1658"/>
      <c r="R570" s="1658"/>
      <c r="S570" s="8"/>
      <c r="T570" s="22"/>
      <c r="U570" s="349" t="s">
        <v>1328</v>
      </c>
      <c r="AA570" s="8"/>
      <c r="AB570" s="8"/>
      <c r="AC570" s="8"/>
      <c r="AD570" s="8"/>
      <c r="AE570" s="8"/>
      <c r="AF570" s="1658"/>
      <c r="AG570" s="1658"/>
      <c r="AH570" s="1658"/>
      <c r="AI570" s="1658"/>
      <c r="AJ570" s="1658"/>
      <c r="AK570" s="165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54" t="s">
        <v>678</v>
      </c>
      <c r="O571" s="1354"/>
      <c r="T571" s="22"/>
      <c r="U571" t="s">
        <v>20</v>
      </c>
      <c r="AG571" s="1354" t="s">
        <v>678</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351" t="str">
        <f>C552</f>
        <v>Tunnel to Towers Foundation</v>
      </c>
      <c r="H573" s="1351"/>
      <c r="I573" s="1351"/>
      <c r="J573" s="1351"/>
      <c r="K573" s="1351"/>
      <c r="L573" s="1351"/>
      <c r="M573" s="1351"/>
      <c r="N573" s="1351"/>
      <c r="O573" s="1351"/>
      <c r="P573" s="1351"/>
      <c r="Q573" s="1351"/>
      <c r="R573" s="1351"/>
      <c r="T573" s="55" t="s">
        <v>590</v>
      </c>
      <c r="U573" t="s">
        <v>472</v>
      </c>
      <c r="Z573" s="1351" t="str">
        <f>C553</f>
        <v>Land Donation - US Departments of Veteran Affairs</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52" t="s">
        <v>2717</v>
      </c>
      <c r="H574" s="1353"/>
      <c r="I574" s="1353"/>
      <c r="J574" s="1353"/>
      <c r="K574" s="1353"/>
      <c r="L574" s="1353"/>
      <c r="M574" s="1353"/>
      <c r="N574" s="1353"/>
      <c r="O574" s="1353"/>
      <c r="P574" s="1353"/>
      <c r="Q574" s="1353"/>
      <c r="R574" s="1353"/>
      <c r="T574" s="22"/>
      <c r="U574" t="s">
        <v>86</v>
      </c>
      <c r="Z574" s="1353" t="s">
        <v>2722</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620" t="s">
        <v>2718</v>
      </c>
      <c r="H575" s="1360"/>
      <c r="I575" s="1360"/>
      <c r="J575" s="1360"/>
      <c r="K575" s="1360"/>
      <c r="L575" s="1360"/>
      <c r="M575" s="1360"/>
      <c r="N575" s="1360"/>
      <c r="O575" s="1360"/>
      <c r="P575" s="1360"/>
      <c r="Q575" s="1360"/>
      <c r="R575" s="1360"/>
      <c r="T575" s="22"/>
      <c r="U575" t="s">
        <v>589</v>
      </c>
      <c r="Z575" s="1360" t="s">
        <v>2723</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620" t="s">
        <v>2704</v>
      </c>
      <c r="H576" s="1360"/>
      <c r="I576" s="1360"/>
      <c r="J576" s="1360"/>
      <c r="K576" s="1360"/>
      <c r="L576" s="1360"/>
      <c r="M576" s="1360"/>
      <c r="N576" s="1360"/>
      <c r="O576" s="1360"/>
      <c r="P576" s="1360"/>
      <c r="Q576" s="1360"/>
      <c r="R576" s="1360"/>
      <c r="T576" s="22"/>
      <c r="U576" t="s">
        <v>17</v>
      </c>
      <c r="Z576" s="1360" t="s">
        <v>2747</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355">
        <v>7189871931</v>
      </c>
      <c r="H577" s="1355"/>
      <c r="I577" s="1355"/>
      <c r="J577" s="1355"/>
      <c r="K577" s="1355"/>
      <c r="L577" s="1355"/>
      <c r="O577" s="33" t="s">
        <v>208</v>
      </c>
      <c r="P577" s="1350"/>
      <c r="Q577" s="1350"/>
      <c r="R577" s="1350"/>
      <c r="T577" s="22"/>
      <c r="U577" t="s">
        <v>318</v>
      </c>
      <c r="Z577" s="1808" t="s">
        <v>2746</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52" t="s">
        <v>2534</v>
      </c>
      <c r="I578" s="1353"/>
      <c r="J578" s="1353"/>
      <c r="K578" s="1353"/>
      <c r="L578" s="1353"/>
      <c r="M578" s="1353"/>
      <c r="N578" s="1353"/>
      <c r="O578" s="1353"/>
      <c r="P578" s="1353"/>
      <c r="Q578" s="1353"/>
      <c r="R578" s="1353"/>
      <c r="T578" s="22"/>
      <c r="U578" t="s">
        <v>18</v>
      </c>
      <c r="AA578" s="1352" t="s">
        <v>2548</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54" t="s">
        <v>554</v>
      </c>
      <c r="O579" s="1354"/>
      <c r="T579" s="22"/>
      <c r="U579" t="s">
        <v>20</v>
      </c>
      <c r="AG579" s="1354" t="s">
        <v>554</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351" t="str">
        <f>C554</f>
        <v>Tax Credit Proceeds</v>
      </c>
      <c r="H581" s="1351"/>
      <c r="I581" s="1351"/>
      <c r="J581" s="1351"/>
      <c r="K581" s="1351"/>
      <c r="L581" s="1351"/>
      <c r="M581" s="1351"/>
      <c r="N581" s="1351"/>
      <c r="O581" s="1351"/>
      <c r="P581" s="1351"/>
      <c r="Q581" s="1351"/>
      <c r="R581" s="1351"/>
      <c r="T581" s="55" t="s">
        <v>593</v>
      </c>
      <c r="U581" t="s">
        <v>472</v>
      </c>
      <c r="Z581" s="1351" t="str">
        <f>C555</f>
        <v>Historical Tax Credits</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53" t="s">
        <v>2708</v>
      </c>
      <c r="H582" s="1353"/>
      <c r="I582" s="1353"/>
      <c r="J582" s="1353"/>
      <c r="K582" s="1353"/>
      <c r="L582" s="1353"/>
      <c r="M582" s="1353"/>
      <c r="N582" s="1353"/>
      <c r="O582" s="1353"/>
      <c r="P582" s="1353"/>
      <c r="Q582" s="1353"/>
      <c r="R582" s="1353"/>
      <c r="T582" s="22"/>
      <c r="U582" t="s">
        <v>86</v>
      </c>
      <c r="Z582" s="1352" t="s">
        <v>2708</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53" t="s">
        <v>741</v>
      </c>
      <c r="H583" s="1353"/>
      <c r="I583" s="1353"/>
      <c r="J583" s="1353"/>
      <c r="K583" s="1353"/>
      <c r="L583" s="1353"/>
      <c r="M583" s="1353"/>
      <c r="N583" s="1353"/>
      <c r="O583" s="1353"/>
      <c r="P583" s="1353"/>
      <c r="Q583" s="1353"/>
      <c r="R583" s="1353"/>
      <c r="T583" s="22"/>
      <c r="U583" t="s">
        <v>589</v>
      </c>
      <c r="Z583" s="1360" t="s">
        <v>741</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53" t="s">
        <v>2702</v>
      </c>
      <c r="H584" s="1353"/>
      <c r="I584" s="1353"/>
      <c r="J584" s="1353"/>
      <c r="K584" s="1353"/>
      <c r="L584" s="1353"/>
      <c r="M584" s="1353"/>
      <c r="N584" s="1353"/>
      <c r="O584" s="1353"/>
      <c r="P584" s="1353"/>
      <c r="Q584" s="1353"/>
      <c r="R584" s="1353"/>
      <c r="T584" s="22"/>
      <c r="U584" t="s">
        <v>17</v>
      </c>
      <c r="Z584" s="1360" t="s">
        <v>2702</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355">
        <v>8583865198</v>
      </c>
      <c r="H585" s="1355"/>
      <c r="I585" s="1355"/>
      <c r="J585" s="1355"/>
      <c r="K585" s="1355"/>
      <c r="L585" s="1355"/>
      <c r="O585" s="33" t="s">
        <v>208</v>
      </c>
      <c r="P585" s="1350"/>
      <c r="Q585" s="1350"/>
      <c r="R585" s="1350"/>
      <c r="T585" s="22"/>
      <c r="U585" t="s">
        <v>318</v>
      </c>
      <c r="Z585" s="1355">
        <v>8583865198</v>
      </c>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53" t="s">
        <v>2532</v>
      </c>
      <c r="I586" s="1353"/>
      <c r="J586" s="1353"/>
      <c r="K586" s="1353"/>
      <c r="L586" s="1353"/>
      <c r="M586" s="1353"/>
      <c r="N586" s="1353"/>
      <c r="O586" s="1353"/>
      <c r="P586" s="1353"/>
      <c r="Q586" s="1353"/>
      <c r="R586" s="1353"/>
      <c r="T586" s="22"/>
      <c r="U586" t="s">
        <v>18</v>
      </c>
      <c r="AA586" s="1353" t="s">
        <v>302</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54" t="s">
        <v>554</v>
      </c>
      <c r="O587" s="1354"/>
      <c r="T587" s="22"/>
      <c r="U587" t="s">
        <v>20</v>
      </c>
      <c r="AG587" s="1354" t="s">
        <v>554</v>
      </c>
      <c r="AH587" s="1354"/>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351" t="str">
        <f>C556</f>
        <v>Deferred Costs</v>
      </c>
      <c r="H589" s="1351"/>
      <c r="I589" s="1351"/>
      <c r="J589" s="1351"/>
      <c r="K589" s="1351"/>
      <c r="L589" s="1351"/>
      <c r="M589" s="1351"/>
      <c r="N589" s="1351"/>
      <c r="O589" s="1351"/>
      <c r="P589" s="1351"/>
      <c r="Q589" s="1351"/>
      <c r="R589" s="1351"/>
      <c r="T589" s="55" t="s">
        <v>465</v>
      </c>
      <c r="U589" t="s">
        <v>472</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52" t="s">
        <v>2703</v>
      </c>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52" t="s">
        <v>503</v>
      </c>
      <c r="H591" s="1353"/>
      <c r="I591" s="1353"/>
      <c r="J591" s="1353"/>
      <c r="K591" s="1353"/>
      <c r="L591" s="1353"/>
      <c r="M591" s="1353"/>
      <c r="N591" s="1353"/>
      <c r="O591" s="1353"/>
      <c r="P591" s="1353"/>
      <c r="Q591" s="1353"/>
      <c r="R591" s="1353"/>
      <c r="T591" s="22"/>
      <c r="U591" t="s">
        <v>589</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53" t="s">
        <v>2646</v>
      </c>
      <c r="H592" s="1353"/>
      <c r="I592" s="1353"/>
      <c r="J592" s="1353"/>
      <c r="K592" s="1353"/>
      <c r="L592" s="1353"/>
      <c r="M592" s="1353"/>
      <c r="N592" s="1353"/>
      <c r="O592" s="1353"/>
      <c r="P592" s="1353"/>
      <c r="Q592" s="1353"/>
      <c r="R592" s="1353"/>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355">
        <v>2136107649</v>
      </c>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53" t="s">
        <v>2683</v>
      </c>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54" t="s">
        <v>554</v>
      </c>
      <c r="O595" s="1354"/>
      <c r="P595"/>
      <c r="Q595"/>
      <c r="R595"/>
      <c r="S595"/>
      <c r="T595" s="22"/>
      <c r="U595" t="s">
        <v>20</v>
      </c>
      <c r="V595"/>
      <c r="W595"/>
      <c r="X595"/>
      <c r="Y595"/>
      <c r="Z595"/>
      <c r="AA595"/>
      <c r="AB595"/>
      <c r="AC595"/>
      <c r="AD595"/>
      <c r="AE595"/>
      <c r="AF595"/>
      <c r="AG595" s="1354" t="s">
        <v>678</v>
      </c>
      <c r="AH595" s="1354"/>
      <c r="AI595"/>
      <c r="AJ595"/>
      <c r="AK595"/>
      <c r="AL595"/>
      <c r="AM595"/>
      <c r="AN595"/>
      <c r="AO595"/>
      <c r="AP595"/>
      <c r="AQ595"/>
      <c r="AR595"/>
      <c r="AS595"/>
      <c r="AT595"/>
      <c r="AU595"/>
      <c r="AV595"/>
      <c r="AW595"/>
      <c r="AX595"/>
      <c r="AY595"/>
      <c r="BA595" s="4" t="s">
        <v>326</v>
      </c>
      <c r="BB595" s="3"/>
      <c r="BC595" s="3"/>
      <c r="BD595" s="3"/>
      <c r="BE595" s="121" t="s">
        <v>483</v>
      </c>
      <c r="BF595" s="122"/>
      <c r="BG595" s="1428"/>
      <c r="BH595" s="1429"/>
      <c r="BI595" s="121" t="s">
        <v>484</v>
      </c>
      <c r="BJ595" s="122"/>
      <c r="BK595" s="1428"/>
      <c r="BL595" s="1429"/>
      <c r="BM595" s="3"/>
      <c r="BN595" s="1475" t="s">
        <v>642</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469</v>
      </c>
      <c r="CI595" s="1440"/>
      <c r="CJ595" s="1440"/>
      <c r="CK595" s="1440"/>
      <c r="CL595" s="1440"/>
      <c r="CM595" s="1440" t="s">
        <v>30</v>
      </c>
      <c r="CN595" s="1440"/>
      <c r="CO595" s="1440"/>
      <c r="CP595" s="1440"/>
      <c r="CQ595" s="1440"/>
      <c r="CR595" s="89"/>
      <c r="CS595" s="1440" t="s">
        <v>642</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469</v>
      </c>
      <c r="DN595" s="1440"/>
      <c r="DO595" s="1440"/>
      <c r="DP595" s="1440"/>
      <c r="DQ595" s="1440"/>
      <c r="DR595" s="1440" t="s">
        <v>30</v>
      </c>
      <c r="DS595" s="1440"/>
      <c r="DT595" s="1440"/>
      <c r="DU595" s="1440"/>
      <c r="DV595" s="1440"/>
      <c r="DX595" s="1440" t="s">
        <v>642</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469</v>
      </c>
      <c r="ES595" s="1440"/>
      <c r="ET595" s="1440"/>
      <c r="EU595" s="1440"/>
      <c r="EV595" s="1440"/>
      <c r="EW595" s="1440" t="s">
        <v>30</v>
      </c>
      <c r="EX595" s="1440"/>
      <c r="EY595" s="1440"/>
      <c r="EZ595" s="1440"/>
      <c r="FA595" s="1440"/>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1</v>
      </c>
      <c r="BF596" s="1417"/>
      <c r="BG596" s="1428">
        <f t="shared" ref="BG596:BG620" si="2">IF(BE596=1,G714,0)</f>
        <v>2</v>
      </c>
      <c r="BH596" s="1429"/>
      <c r="BI596" s="1415">
        <f t="shared" ref="BI596:BI620" si="3">IF(AND(AC714&lt;=0.35,AC714&gt;0),1,0)</f>
        <v>0</v>
      </c>
      <c r="BJ596" s="1417"/>
      <c r="BK596" s="1428">
        <f t="shared" ref="BK596:BK620" si="4">IF(BI596=1,G714,0)</f>
        <v>0</v>
      </c>
      <c r="BL596" s="1429"/>
      <c r="BM596" s="3"/>
      <c r="BN596" s="1409">
        <f t="shared" ref="BN596:BN620" si="5">IF(B714="SRO/Studio",G714,0)</f>
        <v>0</v>
      </c>
      <c r="BO596" s="1410"/>
      <c r="BP596" s="1410"/>
      <c r="BQ596" s="1410"/>
      <c r="BR596" s="1411"/>
      <c r="BS596" s="1418">
        <f t="shared" ref="BS596:BS620" si="6">IF(B714="1 Bedroom",G714,0)</f>
        <v>2</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1182</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2.95" customHeight="1">
      <c r="A597" s="55" t="s">
        <v>470</v>
      </c>
      <c r="B597" t="s">
        <v>472</v>
      </c>
      <c r="C597"/>
      <c r="D597"/>
      <c r="E597"/>
      <c r="F597"/>
      <c r="G597" s="1351">
        <f>C558</f>
        <v>0</v>
      </c>
      <c r="H597" s="1351"/>
      <c r="I597" s="1351"/>
      <c r="J597" s="1351"/>
      <c r="K597" s="1351"/>
      <c r="L597" s="1351"/>
      <c r="M597" s="1351"/>
      <c r="N597" s="1351"/>
      <c r="O597" s="1351"/>
      <c r="P597" s="1351"/>
      <c r="Q597" s="1351"/>
      <c r="R597" s="1351"/>
      <c r="S597"/>
      <c r="T597" s="55" t="s">
        <v>655</v>
      </c>
      <c r="U597" t="s">
        <v>472</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1</v>
      </c>
      <c r="BF597" s="1417"/>
      <c r="BG597" s="1428">
        <f t="shared" si="2"/>
        <v>11</v>
      </c>
      <c r="BH597" s="1429"/>
      <c r="BI597" s="1415">
        <f t="shared" si="3"/>
        <v>0</v>
      </c>
      <c r="BJ597" s="1417"/>
      <c r="BK597" s="1428">
        <f t="shared" si="4"/>
        <v>0</v>
      </c>
      <c r="BL597" s="1429"/>
      <c r="BM597" s="3"/>
      <c r="BN597" s="1409">
        <f t="shared" si="5"/>
        <v>0</v>
      </c>
      <c r="BO597" s="1410"/>
      <c r="BP597" s="1410"/>
      <c r="BQ597" s="1410"/>
      <c r="BR597" s="1411"/>
      <c r="BS597" s="1418">
        <f t="shared" si="6"/>
        <v>11</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1182</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2.95"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0</v>
      </c>
      <c r="BF598" s="1417"/>
      <c r="BG598" s="1428">
        <f t="shared" si="2"/>
        <v>0</v>
      </c>
      <c r="BH598" s="1429"/>
      <c r="BI598" s="1415">
        <f t="shared" si="3"/>
        <v>1</v>
      </c>
      <c r="BJ598" s="1417"/>
      <c r="BK598" s="1428">
        <f t="shared" si="4"/>
        <v>11</v>
      </c>
      <c r="BL598" s="1429"/>
      <c r="BM598" s="3"/>
      <c r="BN598" s="1409">
        <f t="shared" si="5"/>
        <v>0</v>
      </c>
      <c r="BO598" s="1410"/>
      <c r="BP598" s="1410"/>
      <c r="BQ598" s="1410"/>
      <c r="BR598" s="1411"/>
      <c r="BS598" s="1418">
        <f t="shared" si="6"/>
        <v>11</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11</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709.2</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2.95" customHeight="1">
      <c r="A599" s="22"/>
      <c r="B599" t="s">
        <v>589</v>
      </c>
      <c r="G599" s="1353"/>
      <c r="H599" s="1353"/>
      <c r="I599" s="1353"/>
      <c r="J599" s="1353"/>
      <c r="K599" s="1353"/>
      <c r="L599" s="1353"/>
      <c r="M599" s="1353"/>
      <c r="N599" s="1353"/>
      <c r="O599" s="1353"/>
      <c r="P599" s="1353"/>
      <c r="Q599" s="1353"/>
      <c r="R599" s="1353"/>
      <c r="T599" s="22"/>
      <c r="U599" t="s">
        <v>589</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1</v>
      </c>
      <c r="BJ599" s="1417"/>
      <c r="BK599" s="1428">
        <f t="shared" si="4"/>
        <v>2</v>
      </c>
      <c r="BL599" s="1429"/>
      <c r="BM599" s="3"/>
      <c r="BN599" s="1409">
        <f t="shared" si="5"/>
        <v>0</v>
      </c>
      <c r="BO599" s="1410"/>
      <c r="BP599" s="1410"/>
      <c r="BQ599" s="1410"/>
      <c r="BR599" s="1411"/>
      <c r="BS599" s="1418">
        <f t="shared" si="6"/>
        <v>2</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2</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f t="shared" si="18"/>
        <v>709.2</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2.95" customHeight="1">
      <c r="A600" s="22"/>
      <c r="B600" t="s">
        <v>17</v>
      </c>
      <c r="G600" s="1353"/>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1</v>
      </c>
      <c r="BJ600" s="1417"/>
      <c r="BK600" s="1428">
        <f t="shared" si="4"/>
        <v>1</v>
      </c>
      <c r="BL600" s="1429"/>
      <c r="BM600" s="3"/>
      <c r="BN600" s="1409">
        <f t="shared" si="5"/>
        <v>1</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1</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f t="shared" si="17"/>
        <v>661.8</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2.95"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5">
        <f t="shared" si="1"/>
        <v>0</v>
      </c>
      <c r="BF601" s="1417"/>
      <c r="BG601" s="1428">
        <f t="shared" si="2"/>
        <v>0</v>
      </c>
      <c r="BH601" s="1429"/>
      <c r="BI601" s="1415">
        <f t="shared" si="3"/>
        <v>1</v>
      </c>
      <c r="BJ601" s="1417"/>
      <c r="BK601" s="1428">
        <f t="shared" si="4"/>
        <v>10</v>
      </c>
      <c r="BL601" s="1429"/>
      <c r="BM601" s="3"/>
      <c r="BN601" s="1409">
        <f t="shared" si="5"/>
        <v>10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10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f t="shared" si="17"/>
        <v>200</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2.95"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2.95" customHeight="1">
      <c r="A603" s="22"/>
      <c r="B603" t="s">
        <v>20</v>
      </c>
      <c r="N603" s="1354" t="s">
        <v>678</v>
      </c>
      <c r="O603" s="1354"/>
      <c r="T603" s="22"/>
      <c r="U603" t="s">
        <v>20</v>
      </c>
      <c r="AG603" s="1354" t="s">
        <v>678</v>
      </c>
      <c r="AH603" s="1354"/>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2.95" customHeight="1">
      <c r="A605" s="55" t="s">
        <v>364</v>
      </c>
      <c r="B605" t="s">
        <v>472</v>
      </c>
      <c r="C605"/>
      <c r="D605"/>
      <c r="E605"/>
      <c r="F605"/>
      <c r="G605" s="1351">
        <f>C560</f>
        <v>0</v>
      </c>
      <c r="H605" s="1351"/>
      <c r="I605" s="1351"/>
      <c r="J605" s="1351"/>
      <c r="K605" s="1351"/>
      <c r="L605" s="1351"/>
      <c r="M605" s="1351"/>
      <c r="N605" s="1351"/>
      <c r="O605" s="1351"/>
      <c r="P605" s="1351"/>
      <c r="Q605" s="1351"/>
      <c r="R605" s="1351"/>
      <c r="S605"/>
      <c r="T605" s="55" t="s">
        <v>365</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2.95"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2.95" customHeight="1">
      <c r="B607" t="s">
        <v>589</v>
      </c>
      <c r="G607" s="1353"/>
      <c r="H607" s="1353"/>
      <c r="I607" s="1353"/>
      <c r="J607" s="1353"/>
      <c r="K607" s="1353"/>
      <c r="L607" s="1353"/>
      <c r="M607" s="1353"/>
      <c r="N607" s="1353"/>
      <c r="O607" s="1353"/>
      <c r="P607" s="1353"/>
      <c r="Q607" s="1353"/>
      <c r="R607" s="1353"/>
      <c r="U607" t="s">
        <v>589</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2.95"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2.95"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2.95"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2.95" customHeight="1">
      <c r="B611" t="s">
        <v>20</v>
      </c>
      <c r="N611" s="1354" t="s">
        <v>678</v>
      </c>
      <c r="O611" s="1354"/>
      <c r="U611" t="s">
        <v>20</v>
      </c>
      <c r="AG611" s="1354" t="s">
        <v>678</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2.95"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2.95"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2.95"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2.95"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2.95"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2.95"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2.95" customHeight="1">
      <c r="C618" s="2" t="s">
        <v>2522</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2.95"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2.95" customHeight="1">
      <c r="B620" s="1370" t="s">
        <v>2524</v>
      </c>
      <c r="C620" s="1370"/>
      <c r="D620" s="1370"/>
      <c r="E620" s="1370"/>
      <c r="F620" s="1370"/>
      <c r="G620" s="1370"/>
      <c r="H620" s="1370"/>
      <c r="I620" s="1370"/>
      <c r="J620" s="1370"/>
      <c r="K620" s="1370"/>
      <c r="L620" s="1370"/>
      <c r="M620" s="1369" t="s">
        <v>2525</v>
      </c>
      <c r="N620" s="1369"/>
      <c r="O620" s="1369"/>
      <c r="P620" s="1369"/>
      <c r="Q620" s="1369" t="s">
        <v>2115</v>
      </c>
      <c r="R620" s="1369"/>
      <c r="S620" s="1369"/>
      <c r="T620" s="1369" t="s">
        <v>2113</v>
      </c>
      <c r="U620" s="1369"/>
      <c r="V620" s="1369"/>
      <c r="W620" s="1368" t="s">
        <v>462</v>
      </c>
      <c r="X620" s="1368"/>
      <c r="Y620" s="1368"/>
      <c r="Z620" s="1372" t="s">
        <v>2554</v>
      </c>
      <c r="AA620" s="1372"/>
      <c r="AB620" s="1373"/>
      <c r="AC620" s="1610" t="s">
        <v>1935</v>
      </c>
      <c r="AD620" s="1611"/>
      <c r="AE620" s="1612"/>
      <c r="AF620" s="1731" t="s">
        <v>2312</v>
      </c>
      <c r="AG620" s="1372"/>
      <c r="AH620" s="1372"/>
      <c r="AI620" s="1372"/>
      <c r="AJ620" s="1373"/>
      <c r="AK620" s="1600" t="s">
        <v>2313</v>
      </c>
      <c r="AL620" s="1601"/>
      <c r="AM620" s="1601"/>
      <c r="AN620" s="1602"/>
      <c r="AO620" s="1369" t="s">
        <v>463</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2.95"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3"/>
      <c r="AD621" s="1614"/>
      <c r="AE621" s="1615"/>
      <c r="AF621" s="1732"/>
      <c r="AG621" s="1374"/>
      <c r="AH621" s="1374"/>
      <c r="AI621" s="1374"/>
      <c r="AJ621" s="1375"/>
      <c r="AK621" s="1603"/>
      <c r="AL621" s="1604"/>
      <c r="AM621" s="1604"/>
      <c r="AN621" s="1605"/>
      <c r="AO621" s="1369"/>
      <c r="AP621" s="1369"/>
      <c r="AQ621" s="1369"/>
      <c r="AR621" s="1369"/>
      <c r="AS621" s="1369"/>
      <c r="AZ621" s="3"/>
      <c r="BA621" s="3"/>
      <c r="BB621" s="3"/>
      <c r="BC621" s="3"/>
      <c r="BD621" s="3"/>
      <c r="BE621" s="3"/>
      <c r="BF621" s="3"/>
      <c r="BG621" s="1415">
        <f>SUM(BG596:BH620)</f>
        <v>13</v>
      </c>
      <c r="BH621" s="1417"/>
      <c r="BI621" s="3"/>
      <c r="BJ621" s="3"/>
      <c r="BK621" s="1415">
        <f>SUM(BK596:BL620)</f>
        <v>24</v>
      </c>
      <c r="BL621" s="1417"/>
      <c r="BM621" s="3"/>
      <c r="BN621" s="1415">
        <f>SUM(BN596:BR620)</f>
        <v>11</v>
      </c>
      <c r="BO621" s="1416"/>
      <c r="BP621" s="1416"/>
      <c r="BQ621" s="1416"/>
      <c r="BR621" s="1417"/>
      <c r="BS621" s="1420">
        <f>SUM(BS596:BW620)</f>
        <v>26</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11</v>
      </c>
      <c r="CT621" s="1420"/>
      <c r="CU621" s="1420"/>
      <c r="CV621" s="1420"/>
      <c r="CW621" s="1420"/>
      <c r="CX621" s="1420">
        <f>SUM(CX596:DB620)</f>
        <v>13</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861.8</v>
      </c>
      <c r="DY621" s="1420"/>
      <c r="DZ621" s="1420"/>
      <c r="EA621" s="1420"/>
      <c r="EB621" s="1420"/>
      <c r="EC621" s="1420">
        <f>SUM(EC596:EG620)</f>
        <v>3782.3999999999996</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2.95"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6"/>
      <c r="AD622" s="1617"/>
      <c r="AE622" s="1618"/>
      <c r="AF622" s="1733"/>
      <c r="AG622" s="1376"/>
      <c r="AH622" s="1376"/>
      <c r="AI622" s="1376"/>
      <c r="AJ622" s="1377"/>
      <c r="AK622" s="1606"/>
      <c r="AL622" s="1607"/>
      <c r="AM622" s="1607"/>
      <c r="AN622" s="1608"/>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5">
        <f>BN621+BS621+BX621+CC621+CH621+CM621</f>
        <v>37</v>
      </c>
      <c r="CN622" s="1416"/>
      <c r="CO622" s="1416"/>
      <c r="CP622" s="1416"/>
      <c r="CQ622" s="1417"/>
      <c r="CR622" s="386"/>
      <c r="CS622" s="3"/>
      <c r="CT622" s="3"/>
      <c r="CU622" s="3"/>
      <c r="CV622" s="3"/>
      <c r="CW622" s="3"/>
      <c r="CX622" s="3"/>
      <c r="CY622" s="3"/>
      <c r="CZ622" s="3"/>
      <c r="DA622" s="3"/>
      <c r="DB622" s="3"/>
      <c r="DC622" s="3"/>
      <c r="DD622" s="3"/>
      <c r="DE622" s="3"/>
      <c r="DF622" s="3"/>
    </row>
    <row r="623" spans="1:157" ht="12.95" customHeight="1">
      <c r="B623" s="51" t="s">
        <v>113</v>
      </c>
      <c r="C623" s="1371" t="s">
        <v>2697</v>
      </c>
      <c r="D623" s="1371"/>
      <c r="E623" s="1371"/>
      <c r="F623" s="1371"/>
      <c r="G623" s="1371"/>
      <c r="H623" s="1371"/>
      <c r="I623" s="1371"/>
      <c r="J623" s="1371"/>
      <c r="K623" s="1371"/>
      <c r="L623" s="1371"/>
      <c r="M623" s="1390" t="s">
        <v>2534</v>
      </c>
      <c r="N623" s="1390"/>
      <c r="O623" s="1390"/>
      <c r="P623" s="1390"/>
      <c r="Q623" s="1382">
        <f>12*55</f>
        <v>660</v>
      </c>
      <c r="R623" s="1382"/>
      <c r="S623" s="1383"/>
      <c r="T623" s="1381"/>
      <c r="U623" s="1382"/>
      <c r="V623" s="1383"/>
      <c r="W623" s="1356">
        <v>0.03</v>
      </c>
      <c r="X623" s="1357"/>
      <c r="Y623" s="1358"/>
      <c r="Z623" s="1378" t="s">
        <v>466</v>
      </c>
      <c r="AA623" s="1379"/>
      <c r="AB623" s="1380"/>
      <c r="AC623" s="1430"/>
      <c r="AD623" s="1431"/>
      <c r="AE623" s="1432"/>
      <c r="AF623" s="1365"/>
      <c r="AG623" s="1366"/>
      <c r="AH623" s="1366"/>
      <c r="AI623" s="1366"/>
      <c r="AJ623" s="1367"/>
      <c r="AK623" s="1425"/>
      <c r="AL623" s="1426"/>
      <c r="AM623" s="1426"/>
      <c r="AN623" s="1427"/>
      <c r="AO623" s="1424">
        <v>5750000</v>
      </c>
      <c r="AP623" s="1424"/>
      <c r="AQ623" s="1424"/>
      <c r="AR623" s="1424"/>
      <c r="AS623" s="1424"/>
      <c r="AT623" s="3"/>
      <c r="AU623" s="3"/>
      <c r="AV623" s="3"/>
      <c r="AW623" s="3"/>
      <c r="AX623" s="3"/>
      <c r="AY623" s="3"/>
      <c r="AZ623" s="3"/>
      <c r="BA623" s="3" t="s">
        <v>1327</v>
      </c>
      <c r="BB623" s="3"/>
      <c r="BC623" s="3"/>
      <c r="BD623" s="3"/>
      <c r="BE623" s="3"/>
      <c r="BF623" s="3"/>
      <c r="BG623" s="3"/>
      <c r="BH623" s="3"/>
      <c r="BI623" s="3"/>
      <c r="BJ623" s="3"/>
      <c r="BK623" s="3"/>
      <c r="BL623" s="3"/>
      <c r="BM623" s="3"/>
      <c r="BR623" s="897">
        <f>BN621*1</f>
        <v>11</v>
      </c>
      <c r="BS623" s="3"/>
      <c r="BT623" s="3"/>
      <c r="BU623" s="3"/>
      <c r="BV623" s="3"/>
      <c r="BW623" s="897">
        <f>BS621*1</f>
        <v>26</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37</v>
      </c>
      <c r="CT623" s="57" t="s">
        <v>2125</v>
      </c>
      <c r="CU623" s="3"/>
      <c r="CV623" s="3"/>
      <c r="CW623" s="3"/>
      <c r="CX623" s="3"/>
      <c r="CY623" s="3"/>
      <c r="CZ623" s="3"/>
      <c r="DA623" s="3"/>
      <c r="DB623" s="3"/>
      <c r="DC623" s="3"/>
      <c r="DD623" s="3"/>
      <c r="DE623" s="3"/>
      <c r="DF623" s="3"/>
    </row>
    <row r="624" spans="1:157" ht="12.95" customHeight="1">
      <c r="B624" s="52" t="s">
        <v>114</v>
      </c>
      <c r="C624" s="1371" t="s">
        <v>2681</v>
      </c>
      <c r="D624" s="1371"/>
      <c r="E624" s="1371"/>
      <c r="F624" s="1371"/>
      <c r="G624" s="1371"/>
      <c r="H624" s="1371"/>
      <c r="I624" s="1371"/>
      <c r="J624" s="1371"/>
      <c r="K624" s="1371"/>
      <c r="L624" s="1371"/>
      <c r="M624" s="1390" t="s">
        <v>2534</v>
      </c>
      <c r="N624" s="1390"/>
      <c r="O624" s="1390"/>
      <c r="P624" s="1390"/>
      <c r="Q624" s="1381">
        <f>12*55</f>
        <v>660</v>
      </c>
      <c r="R624" s="1382"/>
      <c r="S624" s="1383"/>
      <c r="T624" s="1381"/>
      <c r="U624" s="1382"/>
      <c r="V624" s="1383"/>
      <c r="W624" s="1356">
        <v>0.03</v>
      </c>
      <c r="X624" s="1357"/>
      <c r="Y624" s="1358"/>
      <c r="Z624" s="1378" t="s">
        <v>466</v>
      </c>
      <c r="AA624" s="1379"/>
      <c r="AB624" s="1380"/>
      <c r="AC624" s="1430"/>
      <c r="AD624" s="1431"/>
      <c r="AE624" s="1432"/>
      <c r="AF624" s="1365"/>
      <c r="AG624" s="1366"/>
      <c r="AH624" s="1366"/>
      <c r="AI624" s="1366"/>
      <c r="AJ624" s="1367"/>
      <c r="AK624" s="1425"/>
      <c r="AL624" s="1426"/>
      <c r="AM624" s="1426"/>
      <c r="AN624" s="1427"/>
      <c r="AO624" s="1421">
        <v>3000000</v>
      </c>
      <c r="AP624" s="1422"/>
      <c r="AQ624" s="1422"/>
      <c r="AR624" s="1422"/>
      <c r="AS624" s="1423"/>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90.923076923076934</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2.95" customHeight="1">
      <c r="B625" s="52" t="s">
        <v>120</v>
      </c>
      <c r="C625" s="1371" t="s">
        <v>2706</v>
      </c>
      <c r="D625" s="1371"/>
      <c r="E625" s="1371"/>
      <c r="F625" s="1371"/>
      <c r="G625" s="1371"/>
      <c r="H625" s="1371"/>
      <c r="I625" s="1371"/>
      <c r="J625" s="1371"/>
      <c r="K625" s="1371"/>
      <c r="L625" s="1371"/>
      <c r="M625" s="1390" t="s">
        <v>2548</v>
      </c>
      <c r="N625" s="1390"/>
      <c r="O625" s="1390"/>
      <c r="P625" s="1390"/>
      <c r="Q625" s="1381"/>
      <c r="R625" s="1382"/>
      <c r="S625" s="1383"/>
      <c r="T625" s="1381"/>
      <c r="U625" s="1382"/>
      <c r="V625" s="1383"/>
      <c r="W625" s="1356">
        <v>0</v>
      </c>
      <c r="X625" s="1357"/>
      <c r="Y625" s="1358"/>
      <c r="Z625" s="1378" t="s">
        <v>302</v>
      </c>
      <c r="AA625" s="1379"/>
      <c r="AB625" s="1380"/>
      <c r="AC625" s="1430"/>
      <c r="AD625" s="1431"/>
      <c r="AE625" s="1432"/>
      <c r="AF625" s="1365"/>
      <c r="AG625" s="1366"/>
      <c r="AH625" s="1366"/>
      <c r="AI625" s="1366"/>
      <c r="AJ625" s="1367"/>
      <c r="AK625" s="1425"/>
      <c r="AL625" s="1426"/>
      <c r="AM625" s="1426"/>
      <c r="AN625" s="1427"/>
      <c r="AO625" s="1421">
        <v>5750000</v>
      </c>
      <c r="AP625" s="1422"/>
      <c r="AQ625" s="1422"/>
      <c r="AR625" s="1422"/>
      <c r="AS625" s="1423"/>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500.07692307692309</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2.95" customHeight="1">
      <c r="B626" s="52" t="s">
        <v>590</v>
      </c>
      <c r="C626" s="1371" t="s">
        <v>2682</v>
      </c>
      <c r="D626" s="1349"/>
      <c r="E626" s="1349"/>
      <c r="F626" s="1349"/>
      <c r="G626" s="1349"/>
      <c r="H626" s="1349"/>
      <c r="I626" s="1349"/>
      <c r="J626" s="1349"/>
      <c r="K626" s="1349"/>
      <c r="L626" s="1349"/>
      <c r="M626" s="1390" t="s">
        <v>2533</v>
      </c>
      <c r="N626" s="1390"/>
      <c r="O626" s="1390"/>
      <c r="P626" s="1390"/>
      <c r="Q626" s="1381"/>
      <c r="R626" s="1382"/>
      <c r="S626" s="1383"/>
      <c r="T626" s="1381"/>
      <c r="U626" s="1382"/>
      <c r="V626" s="1383"/>
      <c r="W626" s="1356"/>
      <c r="X626" s="1357"/>
      <c r="Y626" s="1358"/>
      <c r="Z626" s="1378" t="s">
        <v>302</v>
      </c>
      <c r="AA626" s="1379"/>
      <c r="AB626" s="1380"/>
      <c r="AC626" s="1430"/>
      <c r="AD626" s="1431"/>
      <c r="AE626" s="1432"/>
      <c r="AF626" s="1365"/>
      <c r="AG626" s="1366"/>
      <c r="AH626" s="1366"/>
      <c r="AI626" s="1366"/>
      <c r="AJ626" s="1367"/>
      <c r="AK626" s="1425"/>
      <c r="AL626" s="1426"/>
      <c r="AM626" s="1426"/>
      <c r="AN626" s="1427"/>
      <c r="AO626" s="1421">
        <v>4170029</v>
      </c>
      <c r="AP626" s="1422"/>
      <c r="AQ626" s="1422"/>
      <c r="AR626" s="1422"/>
      <c r="AS626" s="1423"/>
      <c r="AT626" s="1201" t="str">
        <f t="shared" si="29"/>
        <v/>
      </c>
      <c r="AU626" s="3"/>
      <c r="AV626" s="3"/>
      <c r="AW626" s="3"/>
      <c r="AX626" s="3"/>
      <c r="AY626" s="3"/>
      <c r="AZ626" s="34"/>
      <c r="BA626" s="3" t="s">
        <v>2553</v>
      </c>
      <c r="BB626" s="34"/>
      <c r="BC626" s="34"/>
      <c r="BD626" s="34"/>
      <c r="BE626" s="34"/>
      <c r="BF626" s="34"/>
      <c r="BG626" s="34"/>
      <c r="BH626" s="34"/>
      <c r="BI626" s="34"/>
      <c r="BJ626" s="34"/>
      <c r="BK626" s="34"/>
      <c r="BL626" s="34"/>
      <c r="BM626" s="34"/>
      <c r="BN626" s="1409">
        <f>IF(J758="SRO/Studio",O758,0)</f>
        <v>1</v>
      </c>
      <c r="BO626" s="1410"/>
      <c r="BP626" s="1410"/>
      <c r="BQ626" s="1410"/>
      <c r="BR626" s="1411"/>
      <c r="BS626" s="1418">
        <f>IF(J758="1 Bedroom",O758,0)</f>
        <v>0</v>
      </c>
      <c r="BT626" s="1418"/>
      <c r="BU626" s="1418"/>
      <c r="BV626" s="1418"/>
      <c r="BW626" s="1418"/>
      <c r="BX626" s="1418">
        <f>IF(J758="2 Bedrooms",O758,0)</f>
        <v>0</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300.04615384615386</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2.95" customHeight="1">
      <c r="B627" s="52" t="s">
        <v>787</v>
      </c>
      <c r="C627" s="1371" t="s">
        <v>2684</v>
      </c>
      <c r="D627" s="1349"/>
      <c r="E627" s="1349"/>
      <c r="F627" s="1349"/>
      <c r="G627" s="1349"/>
      <c r="H627" s="1349"/>
      <c r="I627" s="1349"/>
      <c r="J627" s="1349"/>
      <c r="K627" s="1349"/>
      <c r="L627" s="1349"/>
      <c r="M627" s="1390" t="s">
        <v>2534</v>
      </c>
      <c r="N627" s="1390"/>
      <c r="O627" s="1390"/>
      <c r="P627" s="1390"/>
      <c r="Q627" s="1381">
        <f>12*55</f>
        <v>660</v>
      </c>
      <c r="R627" s="1382"/>
      <c r="S627" s="1383"/>
      <c r="T627" s="1381"/>
      <c r="U627" s="1382"/>
      <c r="V627" s="1383"/>
      <c r="W627" s="1356"/>
      <c r="X627" s="1357"/>
      <c r="Y627" s="1358"/>
      <c r="Z627" s="1378" t="s">
        <v>466</v>
      </c>
      <c r="AA627" s="1379"/>
      <c r="AB627" s="1380"/>
      <c r="AC627" s="1430"/>
      <c r="AD627" s="1431"/>
      <c r="AE627" s="1432"/>
      <c r="AF627" s="1365"/>
      <c r="AG627" s="1366"/>
      <c r="AH627" s="1366"/>
      <c r="AI627" s="1366"/>
      <c r="AJ627" s="1367"/>
      <c r="AK627" s="1425"/>
      <c r="AL627" s="1426"/>
      <c r="AM627" s="1426"/>
      <c r="AN627" s="1427"/>
      <c r="AO627" s="1421">
        <v>4650000</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f t="shared" si="24"/>
        <v>54.553846153846159</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2.95" customHeight="1">
      <c r="B628" s="52" t="s">
        <v>593</v>
      </c>
      <c r="C628" s="1371" t="s">
        <v>1921</v>
      </c>
      <c r="D628" s="1349"/>
      <c r="E628" s="1349"/>
      <c r="F628" s="1349"/>
      <c r="G628" s="1349"/>
      <c r="H628" s="1349"/>
      <c r="I628" s="1349"/>
      <c r="J628" s="1349"/>
      <c r="K628" s="1349"/>
      <c r="L628" s="1349"/>
      <c r="M628" s="1390" t="s">
        <v>2528</v>
      </c>
      <c r="N628" s="1390"/>
      <c r="O628" s="1390"/>
      <c r="P628" s="1390"/>
      <c r="Q628" s="1381"/>
      <c r="R628" s="1382"/>
      <c r="S628" s="1383"/>
      <c r="T628" s="1381"/>
      <c r="U628" s="1382"/>
      <c r="V628" s="1383"/>
      <c r="W628" s="1356">
        <v>0</v>
      </c>
      <c r="X628" s="1357"/>
      <c r="Y628" s="1358"/>
      <c r="Z628" s="1378" t="s">
        <v>467</v>
      </c>
      <c r="AA628" s="1379"/>
      <c r="AB628" s="1380"/>
      <c r="AC628" s="1430"/>
      <c r="AD628" s="1431"/>
      <c r="AE628" s="1432"/>
      <c r="AF628" s="1365"/>
      <c r="AG628" s="1366"/>
      <c r="AH628" s="1366"/>
      <c r="AI628" s="1366"/>
      <c r="AJ628" s="1367"/>
      <c r="AK628" s="1425"/>
      <c r="AL628" s="1426"/>
      <c r="AM628" s="1426"/>
      <c r="AN628" s="1427"/>
      <c r="AO628" s="1421">
        <f>882504-1</f>
        <v>882503</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f t="shared" si="23"/>
        <v>60.163636363636364</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2.95" customHeight="1">
      <c r="B629" s="52" t="s">
        <v>464</v>
      </c>
      <c r="C629" s="1371"/>
      <c r="D629" s="1349"/>
      <c r="E629" s="1349"/>
      <c r="F629" s="1349"/>
      <c r="G629" s="1349"/>
      <c r="H629" s="1349"/>
      <c r="I629" s="1349"/>
      <c r="J629" s="1349"/>
      <c r="K629" s="1349"/>
      <c r="L629" s="1349"/>
      <c r="M629" s="1390" t="s">
        <v>1327</v>
      </c>
      <c r="N629" s="1390"/>
      <c r="O629" s="1390"/>
      <c r="P629" s="1390"/>
      <c r="Q629" s="1381"/>
      <c r="R629" s="1382"/>
      <c r="S629" s="1383"/>
      <c r="T629" s="1381"/>
      <c r="U629" s="1382"/>
      <c r="V629" s="1383"/>
      <c r="W629" s="1356"/>
      <c r="X629" s="1357"/>
      <c r="Y629" s="1358"/>
      <c r="Z629" s="1378" t="s">
        <v>1327</v>
      </c>
      <c r="AA629" s="1379"/>
      <c r="AB629" s="1380"/>
      <c r="AC629" s="1430"/>
      <c r="AD629" s="1431"/>
      <c r="AE629" s="1432"/>
      <c r="AF629" s="1365"/>
      <c r="AG629" s="1366"/>
      <c r="AH629" s="1366"/>
      <c r="AI629" s="1366"/>
      <c r="AJ629" s="1367"/>
      <c r="AK629" s="1425"/>
      <c r="AL629" s="1426"/>
      <c r="AM629" s="1426"/>
      <c r="AN629" s="1427"/>
      <c r="AO629" s="1421"/>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f t="shared" si="23"/>
        <v>181.81818181818181</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2.95" customHeight="1">
      <c r="B630" s="52" t="s">
        <v>465</v>
      </c>
      <c r="C630" s="1371"/>
      <c r="D630" s="1349"/>
      <c r="E630" s="1349"/>
      <c r="F630" s="1349"/>
      <c r="G630" s="1349"/>
      <c r="H630" s="1349"/>
      <c r="I630" s="1349"/>
      <c r="J630" s="1349"/>
      <c r="K630" s="1349"/>
      <c r="L630" s="1349"/>
      <c r="M630" s="1390" t="s">
        <v>1327</v>
      </c>
      <c r="N630" s="1390"/>
      <c r="O630" s="1390"/>
      <c r="P630" s="1390"/>
      <c r="Q630" s="1381"/>
      <c r="R630" s="1382"/>
      <c r="S630" s="1383"/>
      <c r="T630" s="1381"/>
      <c r="U630" s="1382"/>
      <c r="V630" s="1383"/>
      <c r="W630" s="1356"/>
      <c r="X630" s="1357"/>
      <c r="Y630" s="1358"/>
      <c r="Z630" s="1378" t="s">
        <v>1327</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1</v>
      </c>
      <c r="BO630" s="1591"/>
      <c r="BP630" s="1591"/>
      <c r="BQ630" s="1591"/>
      <c r="BR630" s="1429"/>
      <c r="BS630" s="1412">
        <f>SUM(BS626:BW629)</f>
        <v>0</v>
      </c>
      <c r="BT630" s="1413"/>
      <c r="BU630" s="1413"/>
      <c r="BV630" s="1413"/>
      <c r="BW630" s="1414"/>
      <c r="BX630" s="1412">
        <f>SUM(BX626:CB629)</f>
        <v>0</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2122</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2.95" customHeight="1">
      <c r="B631" s="52" t="s">
        <v>470</v>
      </c>
      <c r="C631" s="1349"/>
      <c r="D631" s="1349"/>
      <c r="E631" s="1349"/>
      <c r="F631" s="1349"/>
      <c r="G631" s="1349"/>
      <c r="H631" s="1349"/>
      <c r="I631" s="1349"/>
      <c r="J631" s="1349"/>
      <c r="K631" s="1349"/>
      <c r="L631" s="1349"/>
      <c r="M631" s="1390" t="s">
        <v>1327</v>
      </c>
      <c r="N631" s="1390"/>
      <c r="O631" s="1390"/>
      <c r="P631" s="1390"/>
      <c r="Q631" s="1381"/>
      <c r="R631" s="1382"/>
      <c r="S631" s="1383"/>
      <c r="T631" s="1381"/>
      <c r="U631" s="1382"/>
      <c r="V631" s="1383"/>
      <c r="W631" s="1356"/>
      <c r="X631" s="1357"/>
      <c r="Y631" s="1358"/>
      <c r="Z631" s="1378" t="s">
        <v>1327</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1</v>
      </c>
      <c r="BS631" s="3"/>
      <c r="BT631" s="3"/>
      <c r="BU631" s="3"/>
      <c r="BV631" s="3"/>
      <c r="BW631" s="897">
        <f>BS630*1</f>
        <v>0</v>
      </c>
      <c r="BX631" s="3"/>
      <c r="BY631" s="3"/>
      <c r="BZ631" s="3"/>
      <c r="CA631" s="3"/>
      <c r="CB631" s="897">
        <f>BX630*2</f>
        <v>0</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1</v>
      </c>
      <c r="CT631" s="57" t="s">
        <v>2124</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2.95" customHeight="1">
      <c r="B632" s="52" t="s">
        <v>655</v>
      </c>
      <c r="C632" s="1349"/>
      <c r="D632" s="1349"/>
      <c r="E632" s="1349"/>
      <c r="F632" s="1349"/>
      <c r="G632" s="1349"/>
      <c r="H632" s="1349"/>
      <c r="I632" s="1349"/>
      <c r="J632" s="1349"/>
      <c r="K632" s="1349"/>
      <c r="L632" s="1349"/>
      <c r="M632" s="1390" t="s">
        <v>1327</v>
      </c>
      <c r="N632" s="1390"/>
      <c r="O632" s="1390"/>
      <c r="P632" s="1390"/>
      <c r="Q632" s="1381"/>
      <c r="R632" s="1382"/>
      <c r="S632" s="1383"/>
      <c r="T632" s="1381"/>
      <c r="U632" s="1382"/>
      <c r="V632" s="1383"/>
      <c r="W632" s="1356"/>
      <c r="X632" s="1357"/>
      <c r="Y632" s="1358"/>
      <c r="Z632" s="1378" t="s">
        <v>1327</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2.95" customHeight="1">
      <c r="B633" s="52" t="s">
        <v>364</v>
      </c>
      <c r="C633" s="1349"/>
      <c r="D633" s="1349"/>
      <c r="E633" s="1349"/>
      <c r="F633" s="1349"/>
      <c r="G633" s="1349"/>
      <c r="H633" s="1349"/>
      <c r="I633" s="1349"/>
      <c r="J633" s="1349"/>
      <c r="K633" s="1349"/>
      <c r="L633" s="1349"/>
      <c r="M633" s="1390" t="s">
        <v>1327</v>
      </c>
      <c r="N633" s="1390"/>
      <c r="O633" s="1390"/>
      <c r="P633" s="1390"/>
      <c r="Q633" s="1381"/>
      <c r="R633" s="1382"/>
      <c r="S633" s="1383"/>
      <c r="T633" s="1381"/>
      <c r="U633" s="1382"/>
      <c r="V633" s="1383"/>
      <c r="W633" s="1356"/>
      <c r="X633" s="1357"/>
      <c r="Y633" s="1358"/>
      <c r="Z633" s="1378" t="s">
        <v>1327</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2.95" customHeight="1">
      <c r="B634" s="52" t="s">
        <v>365</v>
      </c>
      <c r="C634" s="1349"/>
      <c r="D634" s="1349"/>
      <c r="E634" s="1349"/>
      <c r="F634" s="1349"/>
      <c r="G634" s="1349"/>
      <c r="H634" s="1349"/>
      <c r="I634" s="1349"/>
      <c r="J634" s="1349"/>
      <c r="K634" s="1349"/>
      <c r="L634" s="1349"/>
      <c r="M634" s="1390" t="s">
        <v>1327</v>
      </c>
      <c r="N634" s="1390"/>
      <c r="O634" s="1390"/>
      <c r="P634" s="1390"/>
      <c r="Q634" s="1381"/>
      <c r="R634" s="1382"/>
      <c r="S634" s="1383"/>
      <c r="T634" s="1381"/>
      <c r="U634" s="1382"/>
      <c r="V634" s="1383"/>
      <c r="W634" s="1356"/>
      <c r="X634" s="1357"/>
      <c r="Y634" s="1358"/>
      <c r="Z634" s="1378" t="s">
        <v>1327</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2.95"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24202532</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2.95"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v>8926438</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2.95" customHeight="1">
      <c r="B637" s="1736" t="s">
        <v>270</v>
      </c>
      <c r="C637" s="1737"/>
      <c r="D637" s="1737"/>
      <c r="E637" s="1737"/>
      <c r="F637" s="1737"/>
      <c r="G637" s="1737"/>
      <c r="H637" s="1737"/>
      <c r="I637" s="1737"/>
      <c r="J637" s="1737"/>
      <c r="K637" s="1737"/>
      <c r="L637" s="1737"/>
      <c r="M637" s="1737"/>
      <c r="N637" s="1737"/>
      <c r="O637" s="1737"/>
      <c r="P637" s="1737"/>
      <c r="Q637" s="1737"/>
      <c r="R637" s="1737"/>
      <c r="S637" s="1737"/>
      <c r="T637" s="1737"/>
      <c r="U637" s="1737"/>
      <c r="V637" s="1737"/>
      <c r="W637" s="1737"/>
      <c r="X637" s="1737"/>
      <c r="Y637" s="1737"/>
      <c r="Z637" s="1737"/>
      <c r="AA637" s="1737"/>
      <c r="AB637" s="1737"/>
      <c r="AC637" s="1737"/>
      <c r="AD637" s="1737"/>
      <c r="AE637" s="1737"/>
      <c r="AF637" s="1737"/>
      <c r="AG637" s="1737"/>
      <c r="AH637" s="1737"/>
      <c r="AI637" s="1737"/>
      <c r="AJ637" s="1737"/>
      <c r="AK637" s="1737"/>
      <c r="AL637" s="1737"/>
      <c r="AM637" s="1737"/>
      <c r="AN637" s="1738"/>
      <c r="AO637" s="1588">
        <f>AO635+AO636</f>
        <v>33128970</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2.95" customHeight="1">
      <c r="A639" s="55" t="s">
        <v>113</v>
      </c>
      <c r="B639" t="s">
        <v>472</v>
      </c>
      <c r="G639" s="1351" t="str">
        <f>C623</f>
        <v>Tunnel to Towers Foundation</v>
      </c>
      <c r="H639" s="1351"/>
      <c r="I639" s="1351"/>
      <c r="J639" s="1351"/>
      <c r="K639" s="1351"/>
      <c r="L639" s="1351"/>
      <c r="M639" s="1351"/>
      <c r="N639" s="1351"/>
      <c r="O639" s="1351"/>
      <c r="P639" s="1351"/>
      <c r="Q639" s="1351"/>
      <c r="R639" s="1351"/>
      <c r="S639" s="8"/>
      <c r="T639" s="55" t="s">
        <v>114</v>
      </c>
      <c r="U639" t="s">
        <v>472</v>
      </c>
      <c r="Z639" s="1351" t="str">
        <f>C624</f>
        <v>Home Depot Foundation</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2.95" customHeight="1">
      <c r="A640" s="22"/>
      <c r="B640" t="s">
        <v>86</v>
      </c>
      <c r="G640" s="1352" t="s">
        <v>2720</v>
      </c>
      <c r="H640" s="1353"/>
      <c r="I640" s="1353"/>
      <c r="J640" s="1353"/>
      <c r="K640" s="1353"/>
      <c r="L640" s="1353"/>
      <c r="M640" s="1353"/>
      <c r="N640" s="1353"/>
      <c r="O640" s="1353"/>
      <c r="P640" s="1353"/>
      <c r="Q640" s="1353"/>
      <c r="R640" s="1353"/>
      <c r="S640" s="8"/>
      <c r="T640" s="22"/>
      <c r="U640" t="s">
        <v>86</v>
      </c>
      <c r="Z640" s="1352" t="s">
        <v>2719</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2.95" customHeight="1">
      <c r="A641" s="22"/>
      <c r="B641" t="s">
        <v>589</v>
      </c>
      <c r="G641" s="1352" t="s">
        <v>2718</v>
      </c>
      <c r="H641" s="1353"/>
      <c r="I641" s="1353"/>
      <c r="J641" s="1353"/>
      <c r="K641" s="1353"/>
      <c r="L641" s="1353"/>
      <c r="M641" s="1353"/>
      <c r="N641" s="1353"/>
      <c r="O641" s="1353"/>
      <c r="P641" s="1353"/>
      <c r="Q641" s="1353"/>
      <c r="R641" s="1353"/>
      <c r="T641" s="22"/>
      <c r="U641" t="s">
        <v>589</v>
      </c>
      <c r="Z641" s="1620" t="s">
        <v>2715</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2.95" customHeight="1">
      <c r="A642" s="22"/>
      <c r="B642" t="s">
        <v>17</v>
      </c>
      <c r="G642" s="1352" t="s">
        <v>2721</v>
      </c>
      <c r="H642" s="1353"/>
      <c r="I642" s="1353"/>
      <c r="J642" s="1353"/>
      <c r="K642" s="1353"/>
      <c r="L642" s="1353"/>
      <c r="M642" s="1353"/>
      <c r="N642" s="1353"/>
      <c r="O642" s="1353"/>
      <c r="P642" s="1353"/>
      <c r="Q642" s="1353"/>
      <c r="R642" s="1353"/>
      <c r="S642" s="8"/>
      <c r="T642" s="22"/>
      <c r="U642" t="s">
        <v>17</v>
      </c>
      <c r="Z642" s="1620" t="s">
        <v>2716</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2.95" customHeight="1">
      <c r="A643" s="22"/>
      <c r="B643" t="s">
        <v>318</v>
      </c>
      <c r="G643" s="1355">
        <v>7189871937</v>
      </c>
      <c r="H643" s="1355"/>
      <c r="I643" s="1355"/>
      <c r="J643" s="1355"/>
      <c r="K643" s="1355"/>
      <c r="L643" s="1355"/>
      <c r="O643" s="33" t="s">
        <v>208</v>
      </c>
      <c r="P643" s="1350"/>
      <c r="Q643" s="1350"/>
      <c r="R643" s="1350"/>
      <c r="S643" s="10"/>
      <c r="T643" s="22"/>
      <c r="U643" t="s">
        <v>318</v>
      </c>
      <c r="Z643" s="1355">
        <v>7704338211</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2.95" customHeight="1">
      <c r="A644" s="22"/>
      <c r="B644" t="s">
        <v>18</v>
      </c>
      <c r="H644" s="1352" t="s">
        <v>2534</v>
      </c>
      <c r="I644" s="1353"/>
      <c r="J644" s="1353"/>
      <c r="K644" s="1353"/>
      <c r="L644" s="1353"/>
      <c r="M644" s="1353"/>
      <c r="N644" s="1353"/>
      <c r="O644" s="1353"/>
      <c r="P644" s="1353"/>
      <c r="Q644" s="1353"/>
      <c r="R644" s="1353"/>
      <c r="S644" s="8"/>
      <c r="T644" s="22"/>
      <c r="U644" t="s">
        <v>18</v>
      </c>
      <c r="AA644" s="1352" t="s">
        <v>2534</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2.95" customHeight="1">
      <c r="A645" s="22"/>
      <c r="B645" t="s">
        <v>20</v>
      </c>
      <c r="N645" s="1354" t="s">
        <v>554</v>
      </c>
      <c r="O645" s="1354"/>
      <c r="T645" s="22"/>
      <c r="U645" t="s">
        <v>20</v>
      </c>
      <c r="AG645" s="1354" t="s">
        <v>554</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2.95" customHeight="1">
      <c r="A647" s="55" t="s">
        <v>120</v>
      </c>
      <c r="B647" t="s">
        <v>472</v>
      </c>
      <c r="G647" s="1351" t="str">
        <f>C625</f>
        <v>Land Donation/U.S. Department of Veteran Affairs</v>
      </c>
      <c r="H647" s="1351"/>
      <c r="I647" s="1351"/>
      <c r="J647" s="1351"/>
      <c r="K647" s="1351"/>
      <c r="L647" s="1351"/>
      <c r="M647" s="1351"/>
      <c r="N647" s="1351"/>
      <c r="O647" s="1351"/>
      <c r="P647" s="1351"/>
      <c r="Q647" s="1351"/>
      <c r="R647" s="1351"/>
      <c r="T647" s="55" t="s">
        <v>590</v>
      </c>
      <c r="U647" t="s">
        <v>472</v>
      </c>
      <c r="Z647" s="1351" t="str">
        <f>C626</f>
        <v>Historical Tax Credits</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2.95" customHeight="1">
      <c r="A648" s="22"/>
      <c r="B648" t="s">
        <v>86</v>
      </c>
      <c r="G648" s="1352" t="s">
        <v>2722</v>
      </c>
      <c r="H648" s="1353"/>
      <c r="I648" s="1353"/>
      <c r="J648" s="1353"/>
      <c r="K648" s="1353"/>
      <c r="L648" s="1353"/>
      <c r="M648" s="1353"/>
      <c r="N648" s="1353"/>
      <c r="O648" s="1353"/>
      <c r="P648" s="1353"/>
      <c r="Q648" s="1353"/>
      <c r="R648" s="1353"/>
      <c r="T648" s="22"/>
      <c r="U648" t="s">
        <v>86</v>
      </c>
      <c r="Z648" s="1352" t="s">
        <v>2725</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2.95" customHeight="1">
      <c r="A649" s="22"/>
      <c r="B649" t="s">
        <v>589</v>
      </c>
      <c r="G649" s="1620" t="s">
        <v>2723</v>
      </c>
      <c r="H649" s="1360"/>
      <c r="I649" s="1360"/>
      <c r="J649" s="1360"/>
      <c r="K649" s="1360"/>
      <c r="L649" s="1360"/>
      <c r="M649" s="1360"/>
      <c r="N649" s="1360"/>
      <c r="O649" s="1360"/>
      <c r="P649" s="1360"/>
      <c r="Q649" s="1360"/>
      <c r="R649" s="1360"/>
      <c r="T649" s="22"/>
      <c r="U649" t="s">
        <v>589</v>
      </c>
      <c r="Z649" s="1620" t="s">
        <v>2726</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12</v>
      </c>
      <c r="BO649" s="1413"/>
      <c r="BP649" s="1413"/>
      <c r="BQ649" s="1413"/>
      <c r="BR649" s="1414"/>
      <c r="BS649" s="1412">
        <f>BS621+BS630+BS644</f>
        <v>26</v>
      </c>
      <c r="BT649" s="1413"/>
      <c r="BU649" s="1413"/>
      <c r="BV649" s="1413"/>
      <c r="BW649" s="1414"/>
      <c r="BX649" s="1412">
        <f>BX621+BX630+BX644</f>
        <v>0</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37</v>
      </c>
      <c r="CT649" s="57" t="s">
        <v>2126</v>
      </c>
      <c r="CU649" s="3"/>
      <c r="CV649" s="3"/>
      <c r="CW649" s="3"/>
      <c r="CX649" s="3"/>
      <c r="CY649" s="3"/>
      <c r="CZ649" s="3"/>
      <c r="DA649" s="3"/>
      <c r="DB649" s="3"/>
      <c r="DC649" s="3"/>
      <c r="DD649" s="3"/>
      <c r="DE649" s="3"/>
      <c r="DF649" s="3"/>
      <c r="DX649" s="1407">
        <f>SUMIF(DX624:EB648,"&gt;0")</f>
        <v>241.98181818181817</v>
      </c>
      <c r="DY649" s="1407"/>
      <c r="DZ649" s="1407"/>
      <c r="EA649" s="1407"/>
      <c r="EB649" s="1407"/>
      <c r="EC649" s="1407">
        <f>SUMIF(EC624:EG648,"&gt;0")</f>
        <v>945.6</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2.95" customHeight="1">
      <c r="A650" s="22"/>
      <c r="B650" t="s">
        <v>17</v>
      </c>
      <c r="G650" s="1620" t="s">
        <v>2724</v>
      </c>
      <c r="H650" s="1360"/>
      <c r="I650" s="1360"/>
      <c r="J650" s="1360"/>
      <c r="K650" s="1360"/>
      <c r="L650" s="1360"/>
      <c r="M650" s="1360"/>
      <c r="N650" s="1360"/>
      <c r="O650" s="1360"/>
      <c r="P650" s="1360"/>
      <c r="Q650" s="1360"/>
      <c r="R650" s="1360"/>
      <c r="T650" s="22"/>
      <c r="U650" t="s">
        <v>17</v>
      </c>
      <c r="Z650" s="1620" t="s">
        <v>2727</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355"/>
      <c r="H651" s="1355"/>
      <c r="I651" s="1355"/>
      <c r="J651" s="1355"/>
      <c r="K651" s="1355"/>
      <c r="L651" s="1355"/>
      <c r="O651" s="33" t="s">
        <v>208</v>
      </c>
      <c r="P651" s="1350"/>
      <c r="Q651" s="1350"/>
      <c r="R651" s="1350"/>
      <c r="T651" s="22"/>
      <c r="U651" t="s">
        <v>318</v>
      </c>
      <c r="Z651" s="1355">
        <v>8283865198</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52" t="s">
        <v>2548</v>
      </c>
      <c r="I652" s="1353"/>
      <c r="J652" s="1353"/>
      <c r="K652" s="1353"/>
      <c r="L652" s="1353"/>
      <c r="M652" s="1353"/>
      <c r="N652" s="1353"/>
      <c r="O652" s="1353"/>
      <c r="P652" s="1353"/>
      <c r="Q652" s="1353"/>
      <c r="R652" s="1353"/>
      <c r="T652" s="22"/>
      <c r="U652" t="s">
        <v>18</v>
      </c>
      <c r="AA652" s="1352" t="s">
        <v>2728</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2622</v>
      </c>
      <c r="BQ652" s="208"/>
      <c r="BR652" s="208"/>
      <c r="BS652" s="208"/>
      <c r="BT652" s="208"/>
      <c r="BU652" s="208"/>
      <c r="BV652" s="208"/>
      <c r="BW652" s="3"/>
      <c r="BX652" s="207" t="s">
        <v>2621</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54" t="s">
        <v>554</v>
      </c>
      <c r="O653" s="1354"/>
      <c r="T653" s="22"/>
      <c r="U653" t="s">
        <v>20</v>
      </c>
      <c r="AG653" s="1354" t="s">
        <v>554</v>
      </c>
      <c r="AH653" s="135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2314</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351" t="str">
        <f>C627</f>
        <v>PACT Act</v>
      </c>
      <c r="H655" s="1351"/>
      <c r="I655" s="1351"/>
      <c r="J655" s="1351"/>
      <c r="K655" s="1351"/>
      <c r="L655" s="1351"/>
      <c r="M655" s="1351"/>
      <c r="N655" s="1351"/>
      <c r="O655" s="1351"/>
      <c r="P655" s="1351"/>
      <c r="Q655" s="1351"/>
      <c r="R655" s="1351"/>
      <c r="T655" s="55" t="s">
        <v>593</v>
      </c>
      <c r="U655" t="s">
        <v>472</v>
      </c>
      <c r="Z655" s="1351" t="str">
        <f>C628</f>
        <v>Deferred Developer Fee</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53" t="s">
        <v>2722</v>
      </c>
      <c r="H656" s="1353"/>
      <c r="I656" s="1353"/>
      <c r="J656" s="1353"/>
      <c r="K656" s="1353"/>
      <c r="L656" s="1353"/>
      <c r="M656" s="1353"/>
      <c r="N656" s="1353"/>
      <c r="O656" s="1353"/>
      <c r="P656" s="1353"/>
      <c r="Q656" s="1353"/>
      <c r="R656" s="1353"/>
      <c r="T656" s="22"/>
      <c r="U656" t="s">
        <v>86</v>
      </c>
      <c r="Z656" s="1353" t="s">
        <v>2703</v>
      </c>
      <c r="AA656" s="1353"/>
      <c r="AB656" s="1353"/>
      <c r="AC656" s="1353"/>
      <c r="AD656" s="1353"/>
      <c r="AE656" s="1353"/>
      <c r="AF656" s="1353"/>
      <c r="AG656" s="1353"/>
      <c r="AH656" s="1353"/>
      <c r="AI656" s="1353"/>
      <c r="AJ656" s="1353"/>
      <c r="AK656" s="1353"/>
      <c r="AZ656" s="3"/>
      <c r="BA656" s="118">
        <f t="shared" ref="BA656:BA680" si="42">IF($G714=0,"N/A",VLOOKUP($T$189,TC_Rent,(MATCH($B714,bedrooms,FALSE))))</f>
        <v>2364</v>
      </c>
      <c r="BB656" s="3"/>
      <c r="BC656" s="3"/>
      <c r="BD656" s="3"/>
      <c r="BE656" s="3"/>
      <c r="BF656" s="218"/>
      <c r="BG656" s="313" t="s">
        <v>929</v>
      </c>
      <c r="BH656" s="318" t="s">
        <v>930</v>
      </c>
      <c r="BI656" s="317" t="s">
        <v>931</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53" t="s">
        <v>2723</v>
      </c>
      <c r="H657" s="1353"/>
      <c r="I657" s="1353"/>
      <c r="J657" s="1353"/>
      <c r="K657" s="1353"/>
      <c r="L657" s="1353"/>
      <c r="M657" s="1353"/>
      <c r="N657" s="1353"/>
      <c r="O657" s="1353"/>
      <c r="P657" s="1353"/>
      <c r="Q657" s="1353"/>
      <c r="R657" s="1353"/>
      <c r="T657" s="22"/>
      <c r="U657" t="s">
        <v>589</v>
      </c>
      <c r="Z657" s="1360" t="s">
        <v>503</v>
      </c>
      <c r="AA657" s="1360"/>
      <c r="AB657" s="1360"/>
      <c r="AC657" s="1360"/>
      <c r="AD657" s="1360"/>
      <c r="AE657" s="1360"/>
      <c r="AF657" s="1360"/>
      <c r="AG657" s="1360"/>
      <c r="AH657" s="1360"/>
      <c r="AI657" s="1360"/>
      <c r="AJ657" s="1360"/>
      <c r="AK657" s="1360"/>
      <c r="AZ657" s="3"/>
      <c r="BA657" s="118">
        <f t="shared" si="42"/>
        <v>2364</v>
      </c>
      <c r="BB657" s="3"/>
      <c r="BC657" s="3"/>
      <c r="BD657" s="3"/>
      <c r="BE657" s="3"/>
      <c r="BF657" s="218"/>
      <c r="BG657" s="315">
        <f t="shared" ref="BG657:BG681" si="43">G714</f>
        <v>2</v>
      </c>
      <c r="BH657" s="319">
        <f>BG657/$BG$682</f>
        <v>5.4054054054054057E-2</v>
      </c>
      <c r="BI657" s="320">
        <f t="shared" ref="BI657:BI681" si="44">IF(BH657=0," ",BH657*AC714)</f>
        <v>2.7027027027027029E-2</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52" t="s">
        <v>2724</v>
      </c>
      <c r="H658" s="1353"/>
      <c r="I658" s="1353"/>
      <c r="J658" s="1353"/>
      <c r="K658" s="1353"/>
      <c r="L658" s="1353"/>
      <c r="M658" s="1353"/>
      <c r="N658" s="1353"/>
      <c r="O658" s="1353"/>
      <c r="P658" s="1353"/>
      <c r="Q658" s="1353"/>
      <c r="R658" s="1353"/>
      <c r="T658" s="22"/>
      <c r="U658" t="s">
        <v>17</v>
      </c>
      <c r="Z658" s="1360" t="s">
        <v>2646</v>
      </c>
      <c r="AA658" s="1360"/>
      <c r="AB658" s="1360"/>
      <c r="AC658" s="1360"/>
      <c r="AD658" s="1360"/>
      <c r="AE658" s="1360"/>
      <c r="AF658" s="1360"/>
      <c r="AG658" s="1360"/>
      <c r="AH658" s="1360"/>
      <c r="AI658" s="1360"/>
      <c r="AJ658" s="1360"/>
      <c r="AK658" s="1360"/>
      <c r="AZ658" s="3"/>
      <c r="BA658" s="118">
        <f t="shared" si="42"/>
        <v>2364</v>
      </c>
      <c r="BB658" s="3"/>
      <c r="BC658" s="3"/>
      <c r="BD658" s="3"/>
      <c r="BE658" s="3"/>
      <c r="BF658" s="218"/>
      <c r="BG658" s="316">
        <f t="shared" si="43"/>
        <v>11</v>
      </c>
      <c r="BH658" s="319">
        <f t="shared" ref="BH658:BH681" si="45">BG658/$BG$682</f>
        <v>0.29729729729729731</v>
      </c>
      <c r="BI658" s="320">
        <f t="shared" si="44"/>
        <v>0.14864864864864866</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355"/>
      <c r="H659" s="1355"/>
      <c r="I659" s="1355"/>
      <c r="J659" s="1355"/>
      <c r="K659" s="1355"/>
      <c r="L659" s="1355"/>
      <c r="O659" s="33" t="s">
        <v>208</v>
      </c>
      <c r="P659" s="1350"/>
      <c r="Q659" s="1350"/>
      <c r="R659" s="1350"/>
      <c r="T659" s="22"/>
      <c r="U659" t="s">
        <v>318</v>
      </c>
      <c r="Z659" s="1355">
        <v>2136107649</v>
      </c>
      <c r="AA659" s="1355"/>
      <c r="AB659" s="1355"/>
      <c r="AC659" s="1355"/>
      <c r="AD659" s="1355"/>
      <c r="AE659" s="1355"/>
      <c r="AH659" s="33" t="s">
        <v>208</v>
      </c>
      <c r="AI659" s="1350"/>
      <c r="AJ659" s="1350"/>
      <c r="AK659" s="1350"/>
      <c r="AZ659" s="3"/>
      <c r="BA659" s="118">
        <f t="shared" si="42"/>
        <v>2364</v>
      </c>
      <c r="BB659" s="3"/>
      <c r="BC659" s="3"/>
      <c r="BD659" s="3"/>
      <c r="BE659" s="3"/>
      <c r="BF659" s="218"/>
      <c r="BG659" s="316">
        <f t="shared" si="43"/>
        <v>11</v>
      </c>
      <c r="BH659" s="319">
        <f t="shared" si="45"/>
        <v>0.29729729729729731</v>
      </c>
      <c r="BI659" s="320">
        <f t="shared" si="44"/>
        <v>8.9189189189189194E-2</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52" t="s">
        <v>2534</v>
      </c>
      <c r="I660" s="1353"/>
      <c r="J660" s="1353"/>
      <c r="K660" s="1353"/>
      <c r="L660" s="1353"/>
      <c r="M660" s="1353"/>
      <c r="N660" s="1353"/>
      <c r="O660" s="1353"/>
      <c r="P660" s="1353"/>
      <c r="Q660" s="1353"/>
      <c r="R660" s="1353"/>
      <c r="T660" s="22"/>
      <c r="U660" t="s">
        <v>18</v>
      </c>
      <c r="AA660" s="1352" t="s">
        <v>1921</v>
      </c>
      <c r="AB660" s="1353"/>
      <c r="AC660" s="1353"/>
      <c r="AD660" s="1353"/>
      <c r="AE660" s="1353"/>
      <c r="AF660" s="1353"/>
      <c r="AG660" s="1353"/>
      <c r="AH660" s="1353"/>
      <c r="AI660" s="1353"/>
      <c r="AJ660" s="1353"/>
      <c r="AK660" s="1353"/>
      <c r="AZ660" s="3"/>
      <c r="BA660" s="118">
        <f t="shared" si="42"/>
        <v>2206</v>
      </c>
      <c r="BB660" s="3"/>
      <c r="BC660" s="3"/>
      <c r="BD660" s="3"/>
      <c r="BE660" s="3"/>
      <c r="BF660" s="218"/>
      <c r="BG660" s="316">
        <f t="shared" si="43"/>
        <v>2</v>
      </c>
      <c r="BH660" s="319">
        <f t="shared" si="45"/>
        <v>5.4054054054054057E-2</v>
      </c>
      <c r="BI660" s="320">
        <f t="shared" si="44"/>
        <v>1.6216216216216217E-2</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54" t="s">
        <v>554</v>
      </c>
      <c r="O661" s="1354"/>
      <c r="T661" s="22"/>
      <c r="U661" t="s">
        <v>20</v>
      </c>
      <c r="AG661" s="1354" t="s">
        <v>554</v>
      </c>
      <c r="AH661" s="1354"/>
      <c r="AZ661" s="3"/>
      <c r="BA661" s="118">
        <f t="shared" si="42"/>
        <v>2206</v>
      </c>
      <c r="BB661" s="3"/>
      <c r="BC661" s="3"/>
      <c r="BD661" s="3"/>
      <c r="BE661" s="3"/>
      <c r="BF661" s="218"/>
      <c r="BG661" s="316">
        <f t="shared" si="43"/>
        <v>1</v>
      </c>
      <c r="BH661" s="319">
        <f t="shared" si="45"/>
        <v>2.7027027027027029E-2</v>
      </c>
      <c r="BI661" s="320">
        <f t="shared" si="44"/>
        <v>8.1081081081081086E-3</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10</v>
      </c>
      <c r="BH662" s="319">
        <f t="shared" si="45"/>
        <v>0.27027027027027029</v>
      </c>
      <c r="BI662" s="320">
        <f t="shared" si="44"/>
        <v>8.1081081081081086E-2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351">
        <f>C629</f>
        <v>0</v>
      </c>
      <c r="H663" s="1351"/>
      <c r="I663" s="1351"/>
      <c r="J663" s="1351"/>
      <c r="K663" s="1351"/>
      <c r="L663" s="1351"/>
      <c r="M663" s="1351"/>
      <c r="N663" s="1351"/>
      <c r="O663" s="1351"/>
      <c r="P663" s="1351"/>
      <c r="Q663" s="1351"/>
      <c r="R663" s="1351"/>
      <c r="T663" s="55" t="s">
        <v>465</v>
      </c>
      <c r="U663" t="s">
        <v>472</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53"/>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53"/>
      <c r="H665" s="1353"/>
      <c r="I665" s="1353"/>
      <c r="J665" s="1353"/>
      <c r="K665" s="1353"/>
      <c r="L665" s="1353"/>
      <c r="M665" s="1353"/>
      <c r="N665" s="1353"/>
      <c r="O665" s="1353"/>
      <c r="P665" s="1353"/>
      <c r="Q665" s="1353"/>
      <c r="R665" s="1353"/>
      <c r="T665" s="22"/>
      <c r="U665" t="s">
        <v>589</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53"/>
      <c r="H666" s="1353"/>
      <c r="I666" s="1353"/>
      <c r="J666" s="1353"/>
      <c r="K666" s="1353"/>
      <c r="L666" s="1353"/>
      <c r="M666" s="1353"/>
      <c r="N666" s="1353"/>
      <c r="O666" s="1353"/>
      <c r="P666" s="1353"/>
      <c r="Q666" s="1353"/>
      <c r="R666" s="1353"/>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355"/>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53"/>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54" t="s">
        <v>678</v>
      </c>
      <c r="O669" s="1354"/>
      <c r="T669" s="22"/>
      <c r="U669" t="s">
        <v>20</v>
      </c>
      <c r="AG669" s="1354" t="s">
        <v>678</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351">
        <f>C631</f>
        <v>0</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53"/>
      <c r="H673" s="1353"/>
      <c r="I673" s="1353"/>
      <c r="J673" s="1353"/>
      <c r="K673" s="1353"/>
      <c r="L673" s="1353"/>
      <c r="M673" s="1353"/>
      <c r="N673" s="1353"/>
      <c r="O673" s="1353"/>
      <c r="P673" s="1353"/>
      <c r="Q673" s="1353"/>
      <c r="R673" s="1353"/>
      <c r="T673" s="22"/>
      <c r="U673" t="s">
        <v>589</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53"/>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54" t="s">
        <v>678</v>
      </c>
      <c r="O677" s="1354"/>
      <c r="T677" s="22"/>
      <c r="U677" t="s">
        <v>20</v>
      </c>
      <c r="AG677" s="1354" t="s">
        <v>678</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351">
        <f>C633</f>
        <v>0</v>
      </c>
      <c r="H679" s="1351"/>
      <c r="I679" s="1351"/>
      <c r="J679" s="1351"/>
      <c r="K679" s="1351"/>
      <c r="L679" s="1351"/>
      <c r="M679" s="1351"/>
      <c r="N679" s="1351"/>
      <c r="O679" s="1351"/>
      <c r="P679" s="1351"/>
      <c r="Q679" s="1351"/>
      <c r="R679" s="1351"/>
      <c r="T679" s="55" t="s">
        <v>365</v>
      </c>
      <c r="U679" t="s">
        <v>472</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53"/>
      <c r="H681" s="1353"/>
      <c r="I681" s="1353"/>
      <c r="J681" s="1353"/>
      <c r="K681" s="1353"/>
      <c r="L681" s="1353"/>
      <c r="M681" s="1353"/>
      <c r="N681" s="1353"/>
      <c r="O681" s="1353"/>
      <c r="P681" s="1353"/>
      <c r="Q681" s="1353"/>
      <c r="R681" s="1353"/>
      <c r="U681" t="s">
        <v>589</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932</v>
      </c>
      <c r="BG682" s="321">
        <f>SUM(BG657:BG681)</f>
        <v>37</v>
      </c>
      <c r="BH682" s="322">
        <f>SUM(BH657:BH681)</f>
        <v>1</v>
      </c>
      <c r="BI682" s="322">
        <f>SUM(BI657:BI681)</f>
        <v>0.37027027027027032</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54" t="s">
        <v>678</v>
      </c>
      <c r="O685" s="1354"/>
      <c r="U685" t="s">
        <v>20</v>
      </c>
      <c r="AG685" s="1354" t="s">
        <v>678</v>
      </c>
      <c r="AH685" s="1354"/>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54" t="s">
        <v>554</v>
      </c>
      <c r="AF689" s="1354"/>
      <c r="AZ689" s="34"/>
      <c r="BA689" s="34"/>
      <c r="BB689" s="34"/>
      <c r="BC689" s="34"/>
      <c r="BD689" s="34"/>
      <c r="BE689" s="34"/>
      <c r="BF689" s="34"/>
      <c r="BG689" s="315">
        <f t="shared" ref="BG689:BG713" si="46">G714</f>
        <v>2</v>
      </c>
      <c r="BH689" s="319">
        <f>BG689/$BG$714</f>
        <v>5.4054054054054057E-2</v>
      </c>
      <c r="BI689" s="320">
        <f t="shared" ref="BI689:BI713" si="47">IF(BH689=0," ",BH689*AH714)</f>
        <v>2.7027027027027029E-2</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54" t="s">
        <v>678</v>
      </c>
      <c r="AF690" s="1354"/>
      <c r="AZ690" s="34"/>
      <c r="BA690" s="34"/>
      <c r="BB690" s="34"/>
      <c r="BC690" s="34"/>
      <c r="BD690" s="34"/>
      <c r="BE690" s="34"/>
      <c r="BF690" s="34"/>
      <c r="BG690" s="316">
        <f t="shared" si="46"/>
        <v>11</v>
      </c>
      <c r="BH690" s="319">
        <f t="shared" ref="BH690:BH713" si="48">BG690/$BG$714</f>
        <v>0.29729729729729731</v>
      </c>
      <c r="BI690" s="320">
        <f t="shared" si="47"/>
        <v>0.14864864864864866</v>
      </c>
      <c r="BJ690" s="3"/>
      <c r="BK690" s="34"/>
      <c r="BL690" s="34"/>
      <c r="BM690" s="34"/>
      <c r="BN690" s="34"/>
      <c r="BO690" s="34"/>
      <c r="BP690" s="379" t="s">
        <v>739</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635">
        <v>45175</v>
      </c>
      <c r="AF691" s="1635"/>
      <c r="AG691" s="1635"/>
      <c r="AH691" s="1635"/>
      <c r="AI691" s="1635"/>
      <c r="AZ691" s="34"/>
      <c r="BA691" s="34"/>
      <c r="BB691" s="34"/>
      <c r="BC691" s="34"/>
      <c r="BD691" s="34"/>
      <c r="BE691" s="3"/>
      <c r="BF691" s="3"/>
      <c r="BG691" s="316">
        <f t="shared" si="46"/>
        <v>11</v>
      </c>
      <c r="BH691" s="319">
        <f t="shared" si="48"/>
        <v>0.29729729729729731</v>
      </c>
      <c r="BI691" s="320">
        <f t="shared" si="47"/>
        <v>8.9189189189189208E-2</v>
      </c>
      <c r="BJ691" s="3"/>
      <c r="BK691" s="3"/>
      <c r="BL691" s="3"/>
      <c r="BM691" s="3"/>
      <c r="BN691" s="34"/>
      <c r="BO691" s="34"/>
      <c r="BP691" s="379" t="s">
        <v>740</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637">
        <v>45266</v>
      </c>
      <c r="AF692" s="1637"/>
      <c r="AG692" s="1637"/>
      <c r="AH692" s="1637"/>
      <c r="AI692" s="1637"/>
      <c r="AZ692" s="34"/>
      <c r="BA692" s="34"/>
      <c r="BB692" s="34"/>
      <c r="BC692" s="34"/>
      <c r="BD692" s="34"/>
      <c r="BE692" s="3"/>
      <c r="BF692" s="2"/>
      <c r="BG692" s="316">
        <f t="shared" si="46"/>
        <v>2</v>
      </c>
      <c r="BH692" s="319">
        <f t="shared" si="48"/>
        <v>5.4054054054054057E-2</v>
      </c>
      <c r="BI692" s="320">
        <f t="shared" si="47"/>
        <v>1.6216216216216221E-2</v>
      </c>
      <c r="BJ692" s="3"/>
      <c r="BK692" s="3"/>
      <c r="BL692" s="3"/>
      <c r="BM692" s="3"/>
      <c r="BN692" s="34"/>
      <c r="BO692" s="34"/>
      <c r="BP692" s="379" t="s">
        <v>741</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v>
      </c>
      <c r="BH693" s="319">
        <f t="shared" si="48"/>
        <v>2.7027027027027029E-2</v>
      </c>
      <c r="BI693" s="320">
        <f t="shared" si="47"/>
        <v>8.1081081081081086E-3</v>
      </c>
      <c r="BJ693" s="3"/>
      <c r="BK693" s="3"/>
      <c r="BL693" s="3"/>
      <c r="BM693" s="3"/>
      <c r="BN693" s="34"/>
      <c r="BO693" s="34"/>
      <c r="BP693" s="379" t="s">
        <v>742</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635">
        <v>45444</v>
      </c>
      <c r="AF694" s="1635"/>
      <c r="AG694" s="1635"/>
      <c r="AH694" s="1635"/>
      <c r="AI694" s="1635"/>
      <c r="AZ694" s="3"/>
      <c r="BA694" s="3"/>
      <c r="BB694" s="3"/>
      <c r="BC694" s="3"/>
      <c r="BD694" s="3"/>
      <c r="BE694" s="3"/>
      <c r="BF694" s="3"/>
      <c r="BG694" s="316">
        <f t="shared" si="46"/>
        <v>10</v>
      </c>
      <c r="BH694" s="319">
        <f t="shared" si="48"/>
        <v>0.27027027027027029</v>
      </c>
      <c r="BI694" s="320">
        <f t="shared" si="47"/>
        <v>2.4503197667295584E-2</v>
      </c>
      <c r="BJ694" s="3"/>
      <c r="BK694" s="3"/>
      <c r="BL694" s="3"/>
      <c r="BM694" s="3"/>
      <c r="BN694" s="3"/>
      <c r="BO694" s="3"/>
      <c r="BP694" s="379" t="s">
        <v>743</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63">
        <f>AM550/SUM('Sources and Uses Budget'!C5,'Sources and Uses Budget'!S105)</f>
        <v>0.55000000580185793</v>
      </c>
      <c r="AF695" s="1663"/>
      <c r="AG695" s="1663"/>
      <c r="AH695" s="1663"/>
      <c r="AI695" s="1663"/>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351" t="str">
        <f>H334</f>
        <v>CMFA - 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54" t="s">
        <v>678</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06" t="s">
        <v>391</v>
      </c>
      <c r="C710" s="1395"/>
      <c r="D710" s="1395"/>
      <c r="E710" s="1395"/>
      <c r="F710" s="1396"/>
      <c r="G710" s="1406" t="s">
        <v>287</v>
      </c>
      <c r="H710" s="1395"/>
      <c r="I710" s="1395"/>
      <c r="J710" s="1396"/>
      <c r="K710" s="1629" t="s">
        <v>1938</v>
      </c>
      <c r="L710" s="1630"/>
      <c r="M710" s="1630"/>
      <c r="N710" s="1631"/>
      <c r="O710" s="1406" t="s">
        <v>456</v>
      </c>
      <c r="P710" s="1395"/>
      <c r="Q710" s="1395"/>
      <c r="R710" s="1395"/>
      <c r="S710" s="1396"/>
      <c r="T710" s="1394" t="s">
        <v>2333</v>
      </c>
      <c r="U710" s="1395"/>
      <c r="V710" s="1395"/>
      <c r="W710" s="1396"/>
      <c r="X710" s="1394" t="s">
        <v>2335</v>
      </c>
      <c r="Y710" s="1395"/>
      <c r="Z710" s="1395"/>
      <c r="AA710" s="1395"/>
      <c r="AB710" s="1396"/>
      <c r="AC710" s="1394" t="s">
        <v>2334</v>
      </c>
      <c r="AD710" s="1395"/>
      <c r="AE710" s="1395"/>
      <c r="AF710" s="1395"/>
      <c r="AG710" s="1396"/>
      <c r="AH710" s="1394" t="s">
        <v>2336</v>
      </c>
      <c r="AI710" s="1395"/>
      <c r="AJ710" s="1396"/>
      <c r="AK710" s="1394" t="s">
        <v>2370</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397"/>
      <c r="C711" s="1398"/>
      <c r="D711" s="1398"/>
      <c r="E711" s="1398"/>
      <c r="F711" s="1399"/>
      <c r="G711" s="1397"/>
      <c r="H711" s="1398"/>
      <c r="I711" s="1398"/>
      <c r="J711" s="1399"/>
      <c r="K711" s="1632"/>
      <c r="L711" s="1633"/>
      <c r="M711" s="1633"/>
      <c r="N711" s="1634"/>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397"/>
      <c r="C712" s="1398"/>
      <c r="D712" s="1398"/>
      <c r="E712" s="1398"/>
      <c r="F712" s="1399"/>
      <c r="G712" s="1397"/>
      <c r="H712" s="1398"/>
      <c r="I712" s="1398"/>
      <c r="J712" s="1399"/>
      <c r="K712" s="1632"/>
      <c r="L712" s="1633"/>
      <c r="M712" s="1633"/>
      <c r="N712" s="1634"/>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00"/>
      <c r="C713" s="1401"/>
      <c r="D713" s="1401"/>
      <c r="E713" s="1401"/>
      <c r="F713" s="1402"/>
      <c r="G713" s="1400"/>
      <c r="H713" s="1401"/>
      <c r="I713" s="1401"/>
      <c r="J713" s="1402"/>
      <c r="K713" s="1632"/>
      <c r="L713" s="1633"/>
      <c r="M713" s="1633"/>
      <c r="N713" s="1634"/>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4" t="s">
        <v>327</v>
      </c>
      <c r="C714" s="1385"/>
      <c r="D714" s="1385"/>
      <c r="E714" s="1385"/>
      <c r="F714" s="1386"/>
      <c r="G714" s="1571">
        <v>2</v>
      </c>
      <c r="H714" s="1572"/>
      <c r="I714" s="1572"/>
      <c r="J714" s="1573"/>
      <c r="K714" s="1568">
        <v>550</v>
      </c>
      <c r="L714" s="1569"/>
      <c r="M714" s="1569"/>
      <c r="N714" s="1570"/>
      <c r="O714" s="1565">
        <v>1182</v>
      </c>
      <c r="P714" s="1566"/>
      <c r="Q714" s="1566"/>
      <c r="R714" s="1566"/>
      <c r="S714" s="1567"/>
      <c r="T714" s="1565">
        <v>0</v>
      </c>
      <c r="U714" s="1566"/>
      <c r="V714" s="1566"/>
      <c r="W714" s="1567"/>
      <c r="X714" s="1391">
        <f t="shared" ref="X714:X738" si="49">O714+T714</f>
        <v>1182</v>
      </c>
      <c r="Y714" s="1392"/>
      <c r="Z714" s="1392"/>
      <c r="AA714" s="1392"/>
      <c r="AB714" s="1393"/>
      <c r="AC714" s="1403">
        <v>0.5</v>
      </c>
      <c r="AD714" s="1404"/>
      <c r="AE714" s="1404"/>
      <c r="AF714" s="1404"/>
      <c r="AG714" s="1405"/>
      <c r="AH714" s="1387">
        <f t="shared" ref="AH714:AH738" si="50">IF($AC714&gt;0,($X714/$BA656), " ")</f>
        <v>0.5</v>
      </c>
      <c r="AI714" s="1388"/>
      <c r="AJ714" s="1389"/>
      <c r="AK714" s="1384" t="s">
        <v>2685</v>
      </c>
      <c r="AL714" s="1385"/>
      <c r="AM714" s="1385"/>
      <c r="AN714" s="1385"/>
      <c r="AO714" s="1386"/>
      <c r="AP714" s="3"/>
      <c r="AQ714" s="3"/>
      <c r="AR714" s="3"/>
      <c r="AS714" s="3"/>
      <c r="AY714" s="1134"/>
      <c r="AZ714" s="1134"/>
      <c r="BA714" s="1134"/>
      <c r="BB714" s="1134"/>
      <c r="BC714" s="1134"/>
      <c r="BD714" s="3"/>
      <c r="BE714" s="3"/>
      <c r="BF714" s="3"/>
      <c r="BG714" s="895">
        <f>SUM(BG689:BG713)</f>
        <v>37</v>
      </c>
      <c r="BH714" s="322">
        <f>SUM(BH689:BH713)</f>
        <v>1</v>
      </c>
      <c r="BI714" s="322">
        <f>SUM(BI689:BI713)</f>
        <v>0.31369238685648482</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4" t="s">
        <v>327</v>
      </c>
      <c r="C715" s="1385"/>
      <c r="D715" s="1385"/>
      <c r="E715" s="1385"/>
      <c r="F715" s="1386"/>
      <c r="G715" s="1571">
        <v>11</v>
      </c>
      <c r="H715" s="1572"/>
      <c r="I715" s="1572"/>
      <c r="J715" s="1573"/>
      <c r="K715" s="1568">
        <v>550</v>
      </c>
      <c r="L715" s="1569"/>
      <c r="M715" s="1569"/>
      <c r="N715" s="1570"/>
      <c r="O715" s="1565">
        <v>1182</v>
      </c>
      <c r="P715" s="1566"/>
      <c r="Q715" s="1566"/>
      <c r="R715" s="1566"/>
      <c r="S715" s="1567"/>
      <c r="T715" s="1565"/>
      <c r="U715" s="1566"/>
      <c r="V715" s="1566"/>
      <c r="W715" s="1567"/>
      <c r="X715" s="1391">
        <f t="shared" si="49"/>
        <v>1182</v>
      </c>
      <c r="Y715" s="1392"/>
      <c r="Z715" s="1392"/>
      <c r="AA715" s="1392"/>
      <c r="AB715" s="1393"/>
      <c r="AC715" s="1403">
        <v>0.5</v>
      </c>
      <c r="AD715" s="1404"/>
      <c r="AE715" s="1404"/>
      <c r="AF715" s="1404"/>
      <c r="AG715" s="1405"/>
      <c r="AH715" s="1387">
        <f t="shared" si="50"/>
        <v>0.5</v>
      </c>
      <c r="AI715" s="1388"/>
      <c r="AJ715" s="1389"/>
      <c r="AK715" s="1384" t="s">
        <v>2685</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t="s">
        <v>327</v>
      </c>
      <c r="C716" s="1385"/>
      <c r="D716" s="1385"/>
      <c r="E716" s="1385"/>
      <c r="F716" s="1386"/>
      <c r="G716" s="1571">
        <v>11</v>
      </c>
      <c r="H716" s="1572"/>
      <c r="I716" s="1572"/>
      <c r="J716" s="1573"/>
      <c r="K716" s="1568">
        <v>550</v>
      </c>
      <c r="L716" s="1569"/>
      <c r="M716" s="1569"/>
      <c r="N716" s="1570"/>
      <c r="O716" s="1565">
        <v>709.2</v>
      </c>
      <c r="P716" s="1566"/>
      <c r="Q716" s="1566"/>
      <c r="R716" s="1566"/>
      <c r="S716" s="1567"/>
      <c r="T716" s="1565"/>
      <c r="U716" s="1566"/>
      <c r="V716" s="1566"/>
      <c r="W716" s="1567"/>
      <c r="X716" s="1391">
        <f t="shared" si="49"/>
        <v>709.2</v>
      </c>
      <c r="Y716" s="1392"/>
      <c r="Z716" s="1392"/>
      <c r="AA716" s="1392"/>
      <c r="AB716" s="1393"/>
      <c r="AC716" s="1403">
        <v>0.3</v>
      </c>
      <c r="AD716" s="1404"/>
      <c r="AE716" s="1404"/>
      <c r="AF716" s="1404"/>
      <c r="AG716" s="1405"/>
      <c r="AH716" s="1387">
        <f t="shared" si="50"/>
        <v>0.30000000000000004</v>
      </c>
      <c r="AI716" s="1388"/>
      <c r="AJ716" s="1389"/>
      <c r="AK716" s="1384" t="s">
        <v>2685</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4" t="s">
        <v>327</v>
      </c>
      <c r="C717" s="1385"/>
      <c r="D717" s="1385"/>
      <c r="E717" s="1385"/>
      <c r="F717" s="1386"/>
      <c r="G717" s="1571">
        <v>2</v>
      </c>
      <c r="H717" s="1572"/>
      <c r="I717" s="1572"/>
      <c r="J717" s="1573"/>
      <c r="K717" s="1568">
        <v>550</v>
      </c>
      <c r="L717" s="1569"/>
      <c r="M717" s="1569"/>
      <c r="N717" s="1570"/>
      <c r="O717" s="1565">
        <v>709.2</v>
      </c>
      <c r="P717" s="1566"/>
      <c r="Q717" s="1566"/>
      <c r="R717" s="1566"/>
      <c r="S717" s="1567"/>
      <c r="T717" s="1565"/>
      <c r="U717" s="1566"/>
      <c r="V717" s="1566"/>
      <c r="W717" s="1567"/>
      <c r="X717" s="1391">
        <f t="shared" si="49"/>
        <v>709.2</v>
      </c>
      <c r="Y717" s="1392"/>
      <c r="Z717" s="1392"/>
      <c r="AA717" s="1392"/>
      <c r="AB717" s="1393"/>
      <c r="AC717" s="1403">
        <v>0.3</v>
      </c>
      <c r="AD717" s="1404"/>
      <c r="AE717" s="1404"/>
      <c r="AF717" s="1404"/>
      <c r="AG717" s="1405"/>
      <c r="AH717" s="1387">
        <f t="shared" si="50"/>
        <v>0.30000000000000004</v>
      </c>
      <c r="AI717" s="1388"/>
      <c r="AJ717" s="1389"/>
      <c r="AK717" s="1384" t="s">
        <v>2685</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4" t="s">
        <v>326</v>
      </c>
      <c r="C718" s="1385"/>
      <c r="D718" s="1385"/>
      <c r="E718" s="1385"/>
      <c r="F718" s="1386"/>
      <c r="G718" s="1571">
        <v>1</v>
      </c>
      <c r="H718" s="1572"/>
      <c r="I718" s="1572"/>
      <c r="J718" s="1573"/>
      <c r="K718" s="1568">
        <v>404</v>
      </c>
      <c r="L718" s="1569"/>
      <c r="M718" s="1569"/>
      <c r="N718" s="1570"/>
      <c r="O718" s="1565">
        <v>661.8</v>
      </c>
      <c r="P718" s="1566"/>
      <c r="Q718" s="1566"/>
      <c r="R718" s="1566"/>
      <c r="S718" s="1567"/>
      <c r="T718" s="1565"/>
      <c r="U718" s="1566"/>
      <c r="V718" s="1566"/>
      <c r="W718" s="1567"/>
      <c r="X718" s="1391">
        <f t="shared" si="49"/>
        <v>661.8</v>
      </c>
      <c r="Y718" s="1392"/>
      <c r="Z718" s="1392"/>
      <c r="AA718" s="1392"/>
      <c r="AB718" s="1393"/>
      <c r="AC718" s="1403">
        <v>0.3</v>
      </c>
      <c r="AD718" s="1404"/>
      <c r="AE718" s="1404"/>
      <c r="AF718" s="1404"/>
      <c r="AG718" s="1405"/>
      <c r="AH718" s="1387">
        <f t="shared" si="50"/>
        <v>0.3</v>
      </c>
      <c r="AI718" s="1388"/>
      <c r="AJ718" s="1389"/>
      <c r="AK718" s="1384" t="s">
        <v>2685</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4" t="s">
        <v>326</v>
      </c>
      <c r="C719" s="1385"/>
      <c r="D719" s="1385"/>
      <c r="E719" s="1385"/>
      <c r="F719" s="1386"/>
      <c r="G719" s="1571">
        <v>10</v>
      </c>
      <c r="H719" s="1572"/>
      <c r="I719" s="1572"/>
      <c r="J719" s="1573"/>
      <c r="K719" s="1568">
        <v>404</v>
      </c>
      <c r="L719" s="1569"/>
      <c r="M719" s="1569"/>
      <c r="N719" s="1570"/>
      <c r="O719" s="1565">
        <v>200</v>
      </c>
      <c r="P719" s="1566"/>
      <c r="Q719" s="1566"/>
      <c r="R719" s="1566"/>
      <c r="S719" s="1567"/>
      <c r="T719" s="1565"/>
      <c r="U719" s="1566"/>
      <c r="V719" s="1566"/>
      <c r="W719" s="1567"/>
      <c r="X719" s="1391">
        <f t="shared" si="49"/>
        <v>200</v>
      </c>
      <c r="Y719" s="1392"/>
      <c r="Z719" s="1392"/>
      <c r="AA719" s="1392"/>
      <c r="AB719" s="1393"/>
      <c r="AC719" s="1403">
        <v>0.3</v>
      </c>
      <c r="AD719" s="1404"/>
      <c r="AE719" s="1404"/>
      <c r="AF719" s="1404"/>
      <c r="AG719" s="1405"/>
      <c r="AH719" s="1387">
        <f t="shared" si="50"/>
        <v>9.0661831368993653E-2</v>
      </c>
      <c r="AI719" s="1388"/>
      <c r="AJ719" s="1389"/>
      <c r="AK719" s="1384" t="s">
        <v>2685</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4"/>
      <c r="C720" s="1385"/>
      <c r="D720" s="1385"/>
      <c r="E720" s="1385"/>
      <c r="F720" s="1386"/>
      <c r="G720" s="1571"/>
      <c r="H720" s="1572"/>
      <c r="I720" s="1572"/>
      <c r="J720" s="1573"/>
      <c r="K720" s="1568"/>
      <c r="L720" s="1569"/>
      <c r="M720" s="1569"/>
      <c r="N720" s="1570"/>
      <c r="O720" s="1565"/>
      <c r="P720" s="1566"/>
      <c r="Q720" s="1566"/>
      <c r="R720" s="1566"/>
      <c r="S720" s="1567"/>
      <c r="T720" s="1565"/>
      <c r="U720" s="1566"/>
      <c r="V720" s="1566"/>
      <c r="W720" s="1567"/>
      <c r="X720" s="1391">
        <f t="shared" si="49"/>
        <v>0</v>
      </c>
      <c r="Y720" s="1392"/>
      <c r="Z720" s="1392"/>
      <c r="AA720" s="1392"/>
      <c r="AB720" s="1393"/>
      <c r="AC720" s="1403"/>
      <c r="AD720" s="1404"/>
      <c r="AE720" s="1404"/>
      <c r="AF720" s="1404"/>
      <c r="AG720" s="1405"/>
      <c r="AH720" s="1387" t="str">
        <f t="shared" si="50"/>
        <v xml:space="preserve"> </v>
      </c>
      <c r="AI720" s="1388"/>
      <c r="AJ720" s="1389"/>
      <c r="AK720" s="1384" t="s">
        <v>600</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4"/>
      <c r="C721" s="1385"/>
      <c r="D721" s="1385"/>
      <c r="E721" s="1385"/>
      <c r="F721" s="1386"/>
      <c r="G721" s="1571"/>
      <c r="H721" s="1572"/>
      <c r="I721" s="1572"/>
      <c r="J721" s="1573"/>
      <c r="K721" s="1568"/>
      <c r="L721" s="1569"/>
      <c r="M721" s="1569"/>
      <c r="N721" s="1570"/>
      <c r="O721" s="1565"/>
      <c r="P721" s="1566"/>
      <c r="Q721" s="1566"/>
      <c r="R721" s="1566"/>
      <c r="S721" s="1567"/>
      <c r="T721" s="1565"/>
      <c r="U721" s="1566"/>
      <c r="V721" s="1566"/>
      <c r="W721" s="1567"/>
      <c r="X721" s="1391">
        <f t="shared" si="49"/>
        <v>0</v>
      </c>
      <c r="Y721" s="1392"/>
      <c r="Z721" s="1392"/>
      <c r="AA721" s="1392"/>
      <c r="AB721" s="1393"/>
      <c r="AC721" s="1403"/>
      <c r="AD721" s="1404"/>
      <c r="AE721" s="1404"/>
      <c r="AF721" s="1404"/>
      <c r="AG721" s="1405"/>
      <c r="AH721" s="1387" t="str">
        <f t="shared" si="50"/>
        <v xml:space="preserve"> </v>
      </c>
      <c r="AI721" s="1388"/>
      <c r="AJ721" s="1389"/>
      <c r="AK721" s="1384" t="s">
        <v>600</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4"/>
      <c r="C722" s="1385"/>
      <c r="D722" s="1385"/>
      <c r="E722" s="1385"/>
      <c r="F722" s="1386"/>
      <c r="G722" s="1571"/>
      <c r="H722" s="1572"/>
      <c r="I722" s="1572"/>
      <c r="J722" s="1573"/>
      <c r="K722" s="1568"/>
      <c r="L722" s="1569"/>
      <c r="M722" s="1569"/>
      <c r="N722" s="1570"/>
      <c r="O722" s="1565"/>
      <c r="P722" s="1566"/>
      <c r="Q722" s="1566"/>
      <c r="R722" s="1566"/>
      <c r="S722" s="1567"/>
      <c r="T722" s="1565"/>
      <c r="U722" s="1566"/>
      <c r="V722" s="1566"/>
      <c r="W722" s="1567"/>
      <c r="X722" s="1391">
        <f t="shared" si="49"/>
        <v>0</v>
      </c>
      <c r="Y722" s="1392"/>
      <c r="Z722" s="1392"/>
      <c r="AA722" s="1392"/>
      <c r="AB722" s="1393"/>
      <c r="AC722" s="1403"/>
      <c r="AD722" s="1404"/>
      <c r="AE722" s="1404"/>
      <c r="AF722" s="1404"/>
      <c r="AG722" s="1405"/>
      <c r="AH722" s="1387" t="str">
        <f t="shared" si="50"/>
        <v xml:space="preserve"> </v>
      </c>
      <c r="AI722" s="1388"/>
      <c r="AJ722" s="1389"/>
      <c r="AK722" s="1384" t="s">
        <v>600</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4"/>
      <c r="C723" s="1385"/>
      <c r="D723" s="1385"/>
      <c r="E723" s="1385"/>
      <c r="F723" s="1386"/>
      <c r="G723" s="1571"/>
      <c r="H723" s="1572"/>
      <c r="I723" s="1572"/>
      <c r="J723" s="1573"/>
      <c r="K723" s="1568"/>
      <c r="L723" s="1569"/>
      <c r="M723" s="1569"/>
      <c r="N723" s="1570"/>
      <c r="O723" s="1565"/>
      <c r="P723" s="1566"/>
      <c r="Q723" s="1566"/>
      <c r="R723" s="1566"/>
      <c r="S723" s="1567"/>
      <c r="T723" s="1565"/>
      <c r="U723" s="1566"/>
      <c r="V723" s="1566"/>
      <c r="W723" s="1567"/>
      <c r="X723" s="1391">
        <f t="shared" si="49"/>
        <v>0</v>
      </c>
      <c r="Y723" s="1392"/>
      <c r="Z723" s="1392"/>
      <c r="AA723" s="1392"/>
      <c r="AB723" s="1393"/>
      <c r="AC723" s="1403"/>
      <c r="AD723" s="1404"/>
      <c r="AE723" s="1404"/>
      <c r="AF723" s="1404"/>
      <c r="AG723" s="1405"/>
      <c r="AH723" s="1387" t="str">
        <f t="shared" si="50"/>
        <v xml:space="preserve"> </v>
      </c>
      <c r="AI723" s="1388"/>
      <c r="AJ723" s="1389"/>
      <c r="AK723" s="1384" t="s">
        <v>600</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4"/>
      <c r="C724" s="1385"/>
      <c r="D724" s="1385"/>
      <c r="E724" s="1385"/>
      <c r="F724" s="1386"/>
      <c r="G724" s="1571"/>
      <c r="H724" s="1572"/>
      <c r="I724" s="1572"/>
      <c r="J724" s="1573"/>
      <c r="K724" s="1568"/>
      <c r="L724" s="1569"/>
      <c r="M724" s="1569"/>
      <c r="N724" s="1570"/>
      <c r="O724" s="1565"/>
      <c r="P724" s="1566"/>
      <c r="Q724" s="1566"/>
      <c r="R724" s="1566"/>
      <c r="S724" s="1567"/>
      <c r="T724" s="1565"/>
      <c r="U724" s="1566"/>
      <c r="V724" s="1566"/>
      <c r="W724" s="1567"/>
      <c r="X724" s="1391">
        <f t="shared" si="49"/>
        <v>0</v>
      </c>
      <c r="Y724" s="1392"/>
      <c r="Z724" s="1392"/>
      <c r="AA724" s="1392"/>
      <c r="AB724" s="1393"/>
      <c r="AC724" s="1403"/>
      <c r="AD724" s="1404"/>
      <c r="AE724" s="1404"/>
      <c r="AF724" s="1404"/>
      <c r="AG724" s="1405"/>
      <c r="AH724" s="1387" t="str">
        <f t="shared" si="50"/>
        <v xml:space="preserve"> </v>
      </c>
      <c r="AI724" s="1388"/>
      <c r="AJ724" s="1389"/>
      <c r="AK724" s="1384" t="s">
        <v>600</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4"/>
      <c r="C725" s="1385"/>
      <c r="D725" s="1385"/>
      <c r="E725" s="1385"/>
      <c r="F725" s="1386"/>
      <c r="G725" s="1571"/>
      <c r="H725" s="1572"/>
      <c r="I725" s="1572"/>
      <c r="J725" s="1573"/>
      <c r="K725" s="1568"/>
      <c r="L725" s="1569"/>
      <c r="M725" s="1569"/>
      <c r="N725" s="1570"/>
      <c r="O725" s="1565"/>
      <c r="P725" s="1566"/>
      <c r="Q725" s="1566"/>
      <c r="R725" s="1566"/>
      <c r="S725" s="1567"/>
      <c r="T725" s="1565"/>
      <c r="U725" s="1566"/>
      <c r="V725" s="1566"/>
      <c r="W725" s="1567"/>
      <c r="X725" s="1391">
        <f t="shared" si="49"/>
        <v>0</v>
      </c>
      <c r="Y725" s="1392"/>
      <c r="Z725" s="1392"/>
      <c r="AA725" s="1392"/>
      <c r="AB725" s="1393"/>
      <c r="AC725" s="1403"/>
      <c r="AD725" s="1404"/>
      <c r="AE725" s="1404"/>
      <c r="AF725" s="1404"/>
      <c r="AG725" s="1405"/>
      <c r="AH725" s="1387" t="str">
        <f t="shared" si="50"/>
        <v xml:space="preserve"> </v>
      </c>
      <c r="AI725" s="1388"/>
      <c r="AJ725" s="1389"/>
      <c r="AK725" s="1384" t="s">
        <v>600</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7" t="str">
        <f t="shared" si="50"/>
        <v xml:space="preserve"> </v>
      </c>
      <c r="AI726" s="1388"/>
      <c r="AJ726" s="1389"/>
      <c r="AK726" s="1384" t="s">
        <v>600</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600</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600</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600</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600</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600</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600</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600</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600</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600</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600</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600</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600</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78" t="s">
        <v>126</v>
      </c>
      <c r="C739" s="1579"/>
      <c r="D739" s="1579"/>
      <c r="E739" s="1579"/>
      <c r="F739" s="1580"/>
      <c r="G739" s="1575">
        <f>SUM(G714:J738)</f>
        <v>37</v>
      </c>
      <c r="H739" s="1576"/>
      <c r="I739" s="1576"/>
      <c r="J739" s="1577"/>
      <c r="K739" s="939" t="s">
        <v>125</v>
      </c>
      <c r="L739" s="5"/>
      <c r="M739" s="5"/>
      <c r="N739" s="46"/>
      <c r="O739" s="1391">
        <f>SUMPRODUCT(G714:G738,O714:O738)</f>
        <v>27247.4</v>
      </c>
      <c r="P739" s="1392"/>
      <c r="Q739" s="1392"/>
      <c r="R739" s="1392"/>
      <c r="S739" s="1393"/>
      <c r="X739" s="941" t="s">
        <v>933</v>
      </c>
      <c r="Y739" s="940"/>
      <c r="Z739" s="940"/>
      <c r="AA739" s="940"/>
      <c r="AB739" s="942"/>
      <c r="AC739" s="1581">
        <f>BI682</f>
        <v>0.37027027027027032</v>
      </c>
      <c r="AD739" s="1582"/>
      <c r="AE739" s="1582"/>
      <c r="AF739" s="1582"/>
      <c r="AG739" s="1583"/>
      <c r="AH739" s="1581">
        <f>BI714</f>
        <v>0.31369238685648482</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809" t="s">
        <v>2257</v>
      </c>
      <c r="C740" s="1809"/>
      <c r="D740" s="1809"/>
      <c r="E740" s="1809"/>
      <c r="F740" s="1809"/>
      <c r="G740" s="1809"/>
      <c r="H740" s="1809"/>
      <c r="I740" s="1809"/>
      <c r="J740" s="1809"/>
      <c r="K740" s="1809"/>
      <c r="L740" s="1809"/>
      <c r="M740" s="1809"/>
      <c r="N740" s="1809"/>
      <c r="O740" s="1809"/>
      <c r="P740" s="1809"/>
      <c r="Q740" s="1809"/>
      <c r="R740" s="1809"/>
      <c r="S740" s="1809"/>
      <c r="T740" s="1809"/>
      <c r="U740" s="1809"/>
      <c r="V740" s="1809"/>
      <c r="W740" s="1809"/>
      <c r="X740" s="1809"/>
      <c r="Y740" s="1809"/>
      <c r="Z740" s="1809"/>
      <c r="AA740" s="1809"/>
      <c r="AB740" s="1809"/>
      <c r="AC740" s="1809"/>
      <c r="AD740" s="1809"/>
      <c r="AE740" s="1809"/>
      <c r="AF740" s="1809"/>
      <c r="AG740" s="1809"/>
      <c r="AH740" s="180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809"/>
      <c r="C741" s="1809"/>
      <c r="D741" s="1809"/>
      <c r="E741" s="1809"/>
      <c r="F741" s="1809"/>
      <c r="G741" s="1809"/>
      <c r="H741" s="1809"/>
      <c r="I741" s="1809"/>
      <c r="J741" s="1809"/>
      <c r="K741" s="1809"/>
      <c r="L741" s="1809"/>
      <c r="M741" s="1809"/>
      <c r="N741" s="1809"/>
      <c r="O741" s="1809"/>
      <c r="P741" s="1809"/>
      <c r="Q741" s="1809"/>
      <c r="R741" s="1809"/>
      <c r="S741" s="1809"/>
      <c r="T741" s="1809"/>
      <c r="U741" s="1809"/>
      <c r="V741" s="1809"/>
      <c r="W741" s="1809"/>
      <c r="X741" s="1809"/>
      <c r="Y741" s="1809"/>
      <c r="Z741" s="1809"/>
      <c r="AA741" s="1809"/>
      <c r="AB741" s="1809"/>
      <c r="AC741" s="1809"/>
      <c r="AD741" s="1809"/>
      <c r="AE741" s="1809"/>
      <c r="AF741" s="1809"/>
      <c r="AG741" s="1809"/>
      <c r="AH741" s="180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2255</v>
      </c>
      <c r="D742" s="1076"/>
      <c r="E742" s="1076"/>
      <c r="F742" s="1076"/>
      <c r="G742" s="1077"/>
      <c r="H742" s="1077"/>
      <c r="I742" s="1077"/>
      <c r="J742" s="1077"/>
      <c r="K742" s="1076"/>
      <c r="L742" s="1076"/>
      <c r="M742" s="1076"/>
      <c r="N742" s="1076"/>
      <c r="O742" s="1420">
        <f>CS623</f>
        <v>37</v>
      </c>
      <c r="P742" s="1420"/>
      <c r="Q742" s="1420"/>
      <c r="R742" s="1420"/>
      <c r="S742" s="1006"/>
      <c r="T742" s="1006"/>
      <c r="U742" s="118" t="s">
        <v>2256</v>
      </c>
      <c r="V742" s="1076"/>
      <c r="W742" s="1076"/>
      <c r="X742" s="1076"/>
      <c r="Y742" s="1077"/>
      <c r="Z742" s="1077"/>
      <c r="AA742" s="1077"/>
      <c r="AB742" s="1077"/>
      <c r="AC742" s="1076"/>
      <c r="AD742" s="1076"/>
      <c r="AE742" s="1076"/>
      <c r="AF742" s="1076"/>
      <c r="AG742" s="1681">
        <v>37</v>
      </c>
      <c r="AH742" s="1681"/>
      <c r="AI742" s="1681"/>
      <c r="AJ742" s="1681"/>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1" t="s">
        <v>600</v>
      </c>
      <c r="AE744" s="1741"/>
      <c r="AF744" s="1741"/>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2506</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6" t="s">
        <v>2507</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2.95"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2.95"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2.95" customHeight="1">
      <c r="B751" s="1076"/>
      <c r="C751" s="1266" t="s">
        <v>2508</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2.95"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2.95"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2.95" customHeight="1">
      <c r="J754" s="1406" t="s">
        <v>391</v>
      </c>
      <c r="K754" s="1395"/>
      <c r="L754" s="1395"/>
      <c r="M754" s="1395"/>
      <c r="N754" s="1396"/>
      <c r="O754" s="1669" t="s">
        <v>287</v>
      </c>
      <c r="P754" s="1669"/>
      <c r="Q754" s="1669"/>
      <c r="R754" s="1669"/>
      <c r="S754" s="1669"/>
      <c r="T754" s="1629" t="s">
        <v>1938</v>
      </c>
      <c r="U754" s="1630"/>
      <c r="V754" s="1630"/>
      <c r="W754" s="1631"/>
      <c r="X754" s="1406" t="s">
        <v>456</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397"/>
      <c r="K755" s="1398"/>
      <c r="L755" s="1398"/>
      <c r="M755" s="1398"/>
      <c r="N755" s="1399"/>
      <c r="O755" s="1669"/>
      <c r="P755" s="1669"/>
      <c r="Q755" s="1669"/>
      <c r="R755" s="1669"/>
      <c r="S755" s="1669"/>
      <c r="T755" s="1632"/>
      <c r="U755" s="1633"/>
      <c r="V755" s="1633"/>
      <c r="W755" s="1634"/>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397"/>
      <c r="K756" s="1398"/>
      <c r="L756" s="1398"/>
      <c r="M756" s="1398"/>
      <c r="N756" s="1399"/>
      <c r="O756" s="1669"/>
      <c r="P756" s="1669"/>
      <c r="Q756" s="1669"/>
      <c r="R756" s="1669"/>
      <c r="S756" s="1669"/>
      <c r="T756" s="1632"/>
      <c r="U756" s="1633"/>
      <c r="V756" s="1633"/>
      <c r="W756" s="1634"/>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00"/>
      <c r="K757" s="1401"/>
      <c r="L757" s="1401"/>
      <c r="M757" s="1401"/>
      <c r="N757" s="1402"/>
      <c r="O757" s="1669"/>
      <c r="P757" s="1669"/>
      <c r="Q757" s="1669"/>
      <c r="R757" s="1669"/>
      <c r="S757" s="1669"/>
      <c r="T757" s="1723"/>
      <c r="U757" s="1724"/>
      <c r="V757" s="1724"/>
      <c r="W757" s="1725"/>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4" t="s">
        <v>326</v>
      </c>
      <c r="K758" s="1385"/>
      <c r="L758" s="1385"/>
      <c r="M758" s="1385"/>
      <c r="N758" s="1386"/>
      <c r="O758" s="1624">
        <v>1</v>
      </c>
      <c r="P758" s="1624"/>
      <c r="Q758" s="1624"/>
      <c r="R758" s="1624"/>
      <c r="S758" s="1624"/>
      <c r="T758" s="1568">
        <v>404</v>
      </c>
      <c r="U758" s="1569"/>
      <c r="V758" s="1569"/>
      <c r="W758" s="1570"/>
      <c r="X758" s="1565"/>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728" t="s">
        <v>678</v>
      </c>
      <c r="K764" s="1728"/>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2509</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06" t="s">
        <v>391</v>
      </c>
      <c r="K768" s="1395"/>
      <c r="L768" s="1395"/>
      <c r="M768" s="1395"/>
      <c r="N768" s="1396"/>
      <c r="O768" s="1669" t="s">
        <v>287</v>
      </c>
      <c r="P768" s="1669"/>
      <c r="Q768" s="1669"/>
      <c r="R768" s="1669"/>
      <c r="S768" s="1669"/>
      <c r="T768" s="1629" t="s">
        <v>1938</v>
      </c>
      <c r="U768" s="1630"/>
      <c r="V768" s="1630"/>
      <c r="W768" s="1631"/>
      <c r="X768" s="1406" t="s">
        <v>456</v>
      </c>
      <c r="Y768" s="1395"/>
      <c r="Z768" s="1395"/>
      <c r="AA768" s="1395"/>
      <c r="AB768" s="1396"/>
      <c r="AC768" s="1406" t="s">
        <v>288</v>
      </c>
      <c r="AD768" s="1395"/>
      <c r="AE768" s="1395"/>
      <c r="AF768" s="1395"/>
      <c r="AG768" s="1396"/>
      <c r="AH768" s="1720" t="s">
        <v>2131</v>
      </c>
      <c r="AI768" s="1721"/>
      <c r="AJ768" s="1721"/>
      <c r="AK768" s="1721"/>
      <c r="AL768" s="17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397"/>
      <c r="K769" s="1398"/>
      <c r="L769" s="1398"/>
      <c r="M769" s="1398"/>
      <c r="N769" s="1399"/>
      <c r="O769" s="1669"/>
      <c r="P769" s="1669"/>
      <c r="Q769" s="1669"/>
      <c r="R769" s="1669"/>
      <c r="S769" s="1669"/>
      <c r="T769" s="1632"/>
      <c r="U769" s="1633"/>
      <c r="V769" s="1633"/>
      <c r="W769" s="1634"/>
      <c r="X769" s="1397"/>
      <c r="Y769" s="1398"/>
      <c r="Z769" s="1398"/>
      <c r="AA769" s="1398"/>
      <c r="AB769" s="1399"/>
      <c r="AC769" s="1397"/>
      <c r="AD769" s="1398"/>
      <c r="AE769" s="1398"/>
      <c r="AF769" s="1398"/>
      <c r="AG769" s="1399"/>
      <c r="AH769" s="1720"/>
      <c r="AI769" s="1721"/>
      <c r="AJ769" s="1721"/>
      <c r="AK769" s="1721"/>
      <c r="AL769" s="17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397"/>
      <c r="K770" s="1398"/>
      <c r="L770" s="1398"/>
      <c r="M770" s="1398"/>
      <c r="N770" s="1399"/>
      <c r="O770" s="1669"/>
      <c r="P770" s="1669"/>
      <c r="Q770" s="1669"/>
      <c r="R770" s="1669"/>
      <c r="S770" s="1669"/>
      <c r="T770" s="1632"/>
      <c r="U770" s="1633"/>
      <c r="V770" s="1633"/>
      <c r="W770" s="1634"/>
      <c r="X770" s="1397"/>
      <c r="Y770" s="1398"/>
      <c r="Z770" s="1398"/>
      <c r="AA770" s="1398"/>
      <c r="AB770" s="1399"/>
      <c r="AC770" s="1397"/>
      <c r="AD770" s="1398"/>
      <c r="AE770" s="1398"/>
      <c r="AF770" s="1398"/>
      <c r="AG770" s="1399"/>
      <c r="AH770" s="1720"/>
      <c r="AI770" s="1721"/>
      <c r="AJ770" s="1721"/>
      <c r="AK770" s="1721"/>
      <c r="AL770" s="17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00"/>
      <c r="K771" s="1401"/>
      <c r="L771" s="1401"/>
      <c r="M771" s="1401"/>
      <c r="N771" s="1402"/>
      <c r="O771" s="1669"/>
      <c r="P771" s="1669"/>
      <c r="Q771" s="1669"/>
      <c r="R771" s="1669"/>
      <c r="S771" s="1669"/>
      <c r="T771" s="1723"/>
      <c r="U771" s="1724"/>
      <c r="V771" s="1724"/>
      <c r="W771" s="1725"/>
      <c r="X771" s="1400"/>
      <c r="Y771" s="1401"/>
      <c r="Z771" s="1401"/>
      <c r="AA771" s="1401"/>
      <c r="AB771" s="1402"/>
      <c r="AC771" s="1400"/>
      <c r="AD771" s="1401"/>
      <c r="AE771" s="1401"/>
      <c r="AF771" s="1401"/>
      <c r="AG771" s="1402"/>
      <c r="AH771" s="1720"/>
      <c r="AI771" s="1721"/>
      <c r="AJ771" s="1721"/>
      <c r="AK771" s="1721"/>
      <c r="AL771" s="17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70">
        <f>O739+AC762+AC782</f>
        <v>27247.4</v>
      </c>
      <c r="Z784" s="1670"/>
      <c r="AA784" s="1670"/>
      <c r="AB784" s="1670"/>
      <c r="AC784" s="16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70">
        <f>(O739+AC762+AC782)*12</f>
        <v>326968.80000000005</v>
      </c>
      <c r="Z785" s="1670"/>
      <c r="AA785" s="1670"/>
      <c r="AB785" s="1670"/>
      <c r="AC785" s="1670"/>
      <c r="AZ785" s="3"/>
      <c r="BA785" s="14" t="s">
        <v>641</v>
      </c>
      <c r="BB785" s="14"/>
      <c r="BC785" s="14"/>
      <c r="BD785" s="14"/>
      <c r="BE785" s="14"/>
      <c r="BF785" s="14"/>
      <c r="BG785" s="14"/>
      <c r="BH785" s="14"/>
      <c r="BI785" s="14"/>
      <c r="BJ785" s="14"/>
      <c r="BK785" s="14"/>
      <c r="BL785" s="14"/>
      <c r="BM785" s="14"/>
      <c r="BN785" s="1667" t="s">
        <v>478</v>
      </c>
      <c r="BO785" s="1668"/>
      <c r="BP785" s="3"/>
      <c r="BQ785" s="3"/>
      <c r="BR785" s="3"/>
      <c r="BS785" s="14" t="s">
        <v>643</v>
      </c>
      <c r="BT785" s="14"/>
      <c r="BU785" s="14"/>
      <c r="BV785" s="14"/>
      <c r="BW785" s="14"/>
      <c r="BX785" s="14"/>
      <c r="BY785" s="14"/>
      <c r="BZ785" s="14"/>
      <c r="CA785" s="14"/>
      <c r="CB785" s="1664" t="str">
        <f>T189</f>
        <v>Los Angeles</v>
      </c>
      <c r="CC785" s="1665"/>
      <c r="CD785" s="1665"/>
      <c r="CE785" s="1665"/>
      <c r="CF785" s="1665"/>
      <c r="CG785" s="1665"/>
      <c r="CH785" s="166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2612</v>
      </c>
      <c r="BP788" s="32"/>
      <c r="BQ788" s="32"/>
      <c r="BR788" s="32"/>
      <c r="BS788" s="32"/>
      <c r="BT788" s="32"/>
      <c r="BV788" s="31" t="s">
        <v>2613</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24</v>
      </c>
      <c r="AA790" s="1586"/>
      <c r="AB790" s="1586"/>
      <c r="AC790" s="1586"/>
      <c r="AD790" s="1586"/>
      <c r="AE790" s="1587"/>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6">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2">
        <v>52475</v>
      </c>
      <c r="AA792" s="1673"/>
      <c r="AB792" s="1673"/>
      <c r="AC792" s="1673"/>
      <c r="AD792" s="1673"/>
      <c r="AE792" s="1674"/>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336988.8</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f>150*37</f>
        <v>5550</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5550</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8">
        <f>Z801+Y785+Z793</f>
        <v>669507.60000000009</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21" t="s">
        <v>127</v>
      </c>
      <c r="N807" s="1521"/>
      <c r="O807" s="1521"/>
      <c r="P807" s="1739"/>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4" t="s">
        <v>337</v>
      </c>
      <c r="AH807" s="1714"/>
      <c r="AI807" s="1714"/>
      <c r="AJ807" s="1714"/>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25"/>
      <c r="N808" s="1525"/>
      <c r="O808" s="1525"/>
      <c r="P808" s="1704"/>
      <c r="Q808" s="1584"/>
      <c r="R808" s="1584"/>
      <c r="S808" s="1584"/>
      <c r="T808" s="1584"/>
      <c r="U808" s="1584"/>
      <c r="V808" s="1584"/>
      <c r="W808" s="1584"/>
      <c r="X808" s="1584"/>
      <c r="Y808" s="1584"/>
      <c r="Z808" s="1584"/>
      <c r="AA808" s="1584"/>
      <c r="AB808" s="1584"/>
      <c r="AC808" s="1584"/>
      <c r="AD808" s="1584"/>
      <c r="AE808" s="1584"/>
      <c r="AF808" s="1584"/>
      <c r="AG808" s="1714"/>
      <c r="AH808" s="1714"/>
      <c r="AI808" s="1714"/>
      <c r="AJ808" s="1714"/>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677"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638" t="s">
        <v>41</v>
      </c>
      <c r="D810" s="1639"/>
      <c r="E810" s="1639"/>
      <c r="F810" s="1639"/>
      <c r="G810" s="1639"/>
      <c r="H810" s="1639"/>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638" t="s">
        <v>42</v>
      </c>
      <c r="D811" s="1639"/>
      <c r="E811" s="1639"/>
      <c r="F811" s="1639"/>
      <c r="G811" s="1639"/>
      <c r="H811" s="1639"/>
      <c r="I811" s="60"/>
      <c r="J811" s="60"/>
      <c r="K811" s="60"/>
      <c r="L811" s="61"/>
      <c r="M811" s="1574"/>
      <c r="N811" s="1574"/>
      <c r="O811" s="1574"/>
      <c r="P811" s="1574"/>
      <c r="Q811" s="1574"/>
      <c r="R811" s="1574"/>
      <c r="S811" s="1574"/>
      <c r="T811" s="1574"/>
      <c r="U811" s="1574"/>
      <c r="V811" s="1574"/>
      <c r="W811" s="1574"/>
      <c r="X811" s="1574"/>
      <c r="Y811" s="1574"/>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638" t="s">
        <v>786</v>
      </c>
      <c r="D812" s="1639"/>
      <c r="E812" s="1639"/>
      <c r="F812" s="1639"/>
      <c r="G812" s="1639"/>
      <c r="H812" s="1639"/>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638" t="s">
        <v>468</v>
      </c>
      <c r="D813" s="1639"/>
      <c r="E813" s="1639"/>
      <c r="F813" s="1639"/>
      <c r="G813" s="1639"/>
      <c r="H813" s="1639"/>
      <c r="I813" s="60"/>
      <c r="J813" s="60"/>
      <c r="K813" s="60"/>
      <c r="L813" s="61"/>
      <c r="M813" s="1574"/>
      <c r="N813" s="1574"/>
      <c r="O813" s="1574"/>
      <c r="P813" s="1574"/>
      <c r="Q813" s="1574"/>
      <c r="R813" s="1574"/>
      <c r="S813" s="1574"/>
      <c r="T813" s="1574"/>
      <c r="U813" s="1574"/>
      <c r="V813" s="1574"/>
      <c r="W813" s="1574"/>
      <c r="X813" s="1574"/>
      <c r="Y813" s="1574"/>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715" t="s">
        <v>807</v>
      </c>
      <c r="D814" s="1639"/>
      <c r="E814" s="1639"/>
      <c r="F814" s="1639"/>
      <c r="G814" s="1639"/>
      <c r="H814" s="1639"/>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35" t="s">
        <v>336</v>
      </c>
      <c r="G815" s="1536"/>
      <c r="H815" s="1536"/>
      <c r="I815" s="1536"/>
      <c r="J815" s="1536"/>
      <c r="K815" s="1536"/>
      <c r="L815" s="1536"/>
      <c r="M815" s="1574"/>
      <c r="N815" s="1574"/>
      <c r="O815" s="1574"/>
      <c r="P815" s="1574"/>
      <c r="Q815" s="1574"/>
      <c r="R815" s="1574"/>
      <c r="S815" s="1574"/>
      <c r="T815" s="1574"/>
      <c r="U815" s="1574"/>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78" t="s">
        <v>125</v>
      </c>
      <c r="D816" s="1579"/>
      <c r="E816" s="1579"/>
      <c r="F816" s="1579"/>
      <c r="G816" s="1579"/>
      <c r="H816" s="1579"/>
      <c r="I816" s="1579"/>
      <c r="J816" s="1579"/>
      <c r="K816" s="1579"/>
      <c r="L816" s="1580"/>
      <c r="M816" s="1705">
        <f>SUM(M809:P815)</f>
        <v>0</v>
      </c>
      <c r="N816" s="1705"/>
      <c r="O816" s="1705"/>
      <c r="P816" s="1705"/>
      <c r="Q816" s="1705">
        <f>SUM(Q809:T815)</f>
        <v>0</v>
      </c>
      <c r="R816" s="1705"/>
      <c r="S816" s="1705"/>
      <c r="T816" s="1705"/>
      <c r="U816" s="1705">
        <f>SUM(U809:X815)</f>
        <v>0</v>
      </c>
      <c r="V816" s="1705"/>
      <c r="W816" s="1705"/>
      <c r="X816" s="1705"/>
      <c r="Y816" s="1705">
        <f>SUM(Y809:AB815)</f>
        <v>0</v>
      </c>
      <c r="Z816" s="1705"/>
      <c r="AA816" s="1705"/>
      <c r="AB816" s="1705"/>
      <c r="AC816" s="1705">
        <f>SUM(AC809:AF815)</f>
        <v>0</v>
      </c>
      <c r="AD816" s="1705"/>
      <c r="AE816" s="1705"/>
      <c r="AF816" s="1705"/>
      <c r="AG816" s="1705">
        <f>SUM(AG809:AJ815)</f>
        <v>0</v>
      </c>
      <c r="AH816" s="1705"/>
      <c r="AI816" s="1705"/>
      <c r="AJ816" s="1705"/>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89" t="s">
        <v>2709</v>
      </c>
      <c r="D821" s="1690"/>
      <c r="E821" s="1690"/>
      <c r="F821" s="1690"/>
      <c r="G821" s="1690"/>
      <c r="H821" s="1690"/>
      <c r="I821" s="1690"/>
      <c r="J821" s="1690"/>
      <c r="K821" s="1690"/>
      <c r="L821" s="1690"/>
      <c r="M821" s="1690"/>
      <c r="N821" s="1690"/>
      <c r="O821" s="1690"/>
      <c r="P821" s="1690"/>
      <c r="Q821" s="1690"/>
      <c r="R821" s="1690"/>
      <c r="S821" s="1690"/>
      <c r="T821" s="1690"/>
      <c r="U821" s="1690"/>
      <c r="V821" s="1690"/>
      <c r="W821" s="1690"/>
      <c r="X821" s="1690"/>
      <c r="Y821" s="1690"/>
      <c r="Z821" s="1690"/>
      <c r="AA821" s="1690"/>
      <c r="AB821" s="1690"/>
      <c r="AC821" s="1690"/>
      <c r="AD821" s="1690"/>
      <c r="AE821" s="1690"/>
      <c r="AF821" s="1690"/>
      <c r="AG821" s="1690"/>
      <c r="AH821" s="1690"/>
      <c r="AI821" s="1690"/>
      <c r="AJ821" s="169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424">
        <v>2824</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424">
        <v>11063</v>
      </c>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424">
        <v>9194</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424">
        <v>12009</v>
      </c>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35" t="s">
        <v>2689</v>
      </c>
      <c r="N830" s="1536"/>
      <c r="O830" s="1536"/>
      <c r="P830" s="1536"/>
      <c r="Q830" s="1536"/>
      <c r="R830" s="1536"/>
      <c r="S830" s="1536"/>
      <c r="T830" s="1536"/>
      <c r="U830" s="1536"/>
      <c r="V830" s="1537"/>
      <c r="W830" s="1424">
        <v>14188</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88">
        <f>SUM(W826:AC830)</f>
        <v>49278</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39440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698"/>
      <c r="X835" s="1698"/>
      <c r="Y835" s="1698"/>
      <c r="Z835" s="1698"/>
      <c r="AA835" s="1698"/>
      <c r="AB835" s="1698"/>
      <c r="AC835" s="1698"/>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698">
        <v>9955</v>
      </c>
      <c r="X836" s="1698"/>
      <c r="Y836" s="1698"/>
      <c r="Z836" s="1698"/>
      <c r="AA836" s="1698"/>
      <c r="AB836" s="1698"/>
      <c r="AC836" s="1698"/>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698">
        <v>17679</v>
      </c>
      <c r="X837" s="1698"/>
      <c r="Y837" s="1698"/>
      <c r="Z837" s="1698"/>
      <c r="AA837" s="1698"/>
      <c r="AB837" s="1698"/>
      <c r="AC837" s="1698"/>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698">
        <v>19012</v>
      </c>
      <c r="X838" s="1698"/>
      <c r="Y838" s="1698"/>
      <c r="Z838" s="1698"/>
      <c r="AA838" s="1698"/>
      <c r="AB838" s="1698"/>
      <c r="AC838" s="1698"/>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713">
        <f>SUM(W835:AC838)</f>
        <v>46646</v>
      </c>
      <c r="X839" s="1713"/>
      <c r="Y839" s="1713"/>
      <c r="Z839" s="1713"/>
      <c r="AA839" s="1713"/>
      <c r="AB839" s="1713"/>
      <c r="AC839" s="1713"/>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09">
        <f>SUM(AZ807:AZ835)</f>
        <v>7.5000000000000011E-2</v>
      </c>
      <c r="BA840" s="1709"/>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43">
        <v>33012</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1835</v>
      </c>
      <c r="K842" s="5"/>
      <c r="L842" s="5"/>
      <c r="M842" s="5"/>
      <c r="N842" s="5"/>
      <c r="O842" s="5"/>
      <c r="P842" s="5"/>
      <c r="Q842" s="5"/>
      <c r="R842" s="5"/>
      <c r="S842" s="5"/>
      <c r="T842" s="1696">
        <v>1</v>
      </c>
      <c r="U842" s="1658"/>
      <c r="V842" s="169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43">
        <v>27539</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1836</v>
      </c>
      <c r="K844" s="5"/>
      <c r="L844" s="5"/>
      <c r="M844" s="5"/>
      <c r="N844" s="5"/>
      <c r="O844" s="5"/>
      <c r="P844" s="5"/>
      <c r="Q844" s="5"/>
      <c r="R844" s="5"/>
      <c r="S844" s="5"/>
      <c r="T844" s="1696">
        <v>1</v>
      </c>
      <c r="U844" s="1658"/>
      <c r="V844" s="169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35" t="s">
        <v>2690</v>
      </c>
      <c r="N845" s="1536"/>
      <c r="O845" s="1536"/>
      <c r="P845" s="1536"/>
      <c r="Q845" s="1536"/>
      <c r="R845" s="1536"/>
      <c r="S845" s="1536"/>
      <c r="T845" s="1536"/>
      <c r="U845" s="1536"/>
      <c r="V845" s="1537"/>
      <c r="W845" s="1643">
        <v>15014</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10">
        <f>SUM(W841:AC845)</f>
        <v>75565</v>
      </c>
      <c r="X846" s="1711"/>
      <c r="Y846" s="1711"/>
      <c r="Z846" s="1711"/>
      <c r="AA846" s="1711"/>
      <c r="AB846" s="1711"/>
      <c r="AC846" s="1712"/>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43">
        <v>29629</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424">
        <v>2625</v>
      </c>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424">
        <v>7779</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424">
        <v>7392</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424">
        <v>3436</v>
      </c>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424">
        <v>12489</v>
      </c>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424">
        <v>1260</v>
      </c>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35" t="s">
        <v>2691</v>
      </c>
      <c r="N855" s="1536"/>
      <c r="O855" s="1536"/>
      <c r="P855" s="1536"/>
      <c r="Q855" s="1536"/>
      <c r="R855" s="1536"/>
      <c r="S855" s="1536"/>
      <c r="T855" s="1536"/>
      <c r="U855" s="1536"/>
      <c r="V855" s="1537"/>
      <c r="W855" s="1424">
        <v>8811</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70">
        <f>SUM(W849:AC855)</f>
        <v>43792</v>
      </c>
      <c r="X856" s="1670"/>
      <c r="Y856" s="1670"/>
      <c r="Z856" s="1670"/>
      <c r="AA856" s="1670"/>
      <c r="AB856" s="1670"/>
      <c r="AC856" s="1670"/>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35" t="s">
        <v>2695</v>
      </c>
      <c r="N858" s="1536"/>
      <c r="O858" s="1536"/>
      <c r="P858" s="1536"/>
      <c r="Q858" s="1536"/>
      <c r="R858" s="1536"/>
      <c r="S858" s="1536"/>
      <c r="T858" s="1536"/>
      <c r="U858" s="1536"/>
      <c r="V858" s="1537"/>
      <c r="W858" s="1421">
        <v>3558</v>
      </c>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35" t="s">
        <v>2696</v>
      </c>
      <c r="N859" s="1536"/>
      <c r="O859" s="1536"/>
      <c r="P859" s="1536"/>
      <c r="Q859" s="1536"/>
      <c r="R859" s="1536"/>
      <c r="S859" s="1536"/>
      <c r="T859" s="1536"/>
      <c r="U859" s="1536"/>
      <c r="V859" s="1537"/>
      <c r="W859" s="1421">
        <v>2292</v>
      </c>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88">
        <f>SUM(W858:AC862)</f>
        <v>5850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290200</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4">
        <f>O782+O762+G739</f>
        <v>38</v>
      </c>
      <c r="AD868" s="1694"/>
      <c r="AE868" s="1694"/>
      <c r="AF868" s="1694"/>
      <c r="AG868" s="1694"/>
      <c r="AH868" s="169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92" t="s">
        <v>32</v>
      </c>
      <c r="F869" s="1692"/>
      <c r="G869" s="1692"/>
      <c r="H869" s="1692"/>
      <c r="I869" s="1692"/>
      <c r="J869" s="1692"/>
      <c r="K869" s="1692"/>
      <c r="L869" s="1692"/>
      <c r="M869" s="1692"/>
      <c r="N869" s="1692"/>
      <c r="O869" s="1692"/>
      <c r="P869" s="1692"/>
      <c r="Q869" s="1692"/>
      <c r="R869" s="1692"/>
      <c r="S869" s="1692"/>
      <c r="T869" s="1692"/>
      <c r="U869" s="1692"/>
      <c r="V869" s="1692"/>
      <c r="W869" s="1692"/>
      <c r="X869" s="1692"/>
      <c r="Y869" s="1692"/>
      <c r="Z869" s="1692"/>
      <c r="AA869" s="1692"/>
      <c r="AB869" s="1693"/>
      <c r="AC869" s="1670">
        <f>IF(ISERROR((ROUNDDOWN(AC867/AC868,0))),0,(ROUNDDOWN(AC867/AC868,0)))</f>
        <v>7636</v>
      </c>
      <c r="AD869" s="1670"/>
      <c r="AE869" s="1670"/>
      <c r="AF869" s="1670"/>
      <c r="AG869" s="1670"/>
      <c r="AH869" s="1670"/>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18">
        <f>'Sources and Uses Budget'!C75</f>
        <v>138850</v>
      </c>
      <c r="AD870" s="1719"/>
      <c r="AE870" s="1719"/>
      <c r="AF870" s="1719"/>
      <c r="AG870" s="1719"/>
      <c r="AH870" s="1719"/>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2">
        <v>240500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19000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5700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706" t="s">
        <v>996</v>
      </c>
      <c r="D877" s="1707"/>
      <c r="E877" s="1707"/>
      <c r="F877" s="1707"/>
      <c r="G877" s="1707"/>
      <c r="H877" s="1707"/>
      <c r="I877" s="1707"/>
      <c r="J877" s="1707"/>
      <c r="K877" s="1707"/>
      <c r="L877" s="1707"/>
      <c r="M877" s="1707"/>
      <c r="N877" s="1707"/>
      <c r="O877" s="1707"/>
      <c r="P877" s="1707"/>
      <c r="Q877" s="1707"/>
      <c r="R877" s="1707"/>
      <c r="S877" s="1707"/>
      <c r="T877" s="1707"/>
      <c r="U877" s="1707"/>
      <c r="V877" s="1707"/>
      <c r="W877" s="1707"/>
      <c r="X877" s="1707"/>
      <c r="Y877" s="1707"/>
      <c r="Z877" s="1707"/>
      <c r="AA877" s="1707"/>
      <c r="AB877" s="1708"/>
      <c r="AC877" s="1424"/>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706" t="s">
        <v>996</v>
      </c>
      <c r="D878" s="1707"/>
      <c r="E878" s="1707"/>
      <c r="F878" s="1707"/>
      <c r="G878" s="1707"/>
      <c r="H878" s="1707"/>
      <c r="I878" s="1707"/>
      <c r="J878" s="1707"/>
      <c r="K878" s="1707"/>
      <c r="L878" s="1707"/>
      <c r="M878" s="1707"/>
      <c r="N878" s="1707"/>
      <c r="O878" s="1707"/>
      <c r="P878" s="1707"/>
      <c r="Q878" s="1707"/>
      <c r="R878" s="1707"/>
      <c r="S878" s="1707"/>
      <c r="T878" s="1707"/>
      <c r="U878" s="1707"/>
      <c r="V878" s="1707"/>
      <c r="W878" s="1707"/>
      <c r="X878" s="1707"/>
      <c r="Y878" s="1707"/>
      <c r="Z878" s="1707"/>
      <c r="AA878" s="1707"/>
      <c r="AB878" s="1708"/>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99"/>
      <c r="BE887" s="169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99"/>
      <c r="BE888" s="169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99"/>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7"/>
      <c r="BE893" s="1717"/>
      <c r="BF893" s="1717"/>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99"/>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541" t="s">
        <v>816</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699"/>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522" t="s">
        <v>844</v>
      </c>
      <c r="G899" s="1523"/>
      <c r="H899" s="1523"/>
      <c r="I899" s="1523"/>
      <c r="J899" s="1523"/>
      <c r="K899" s="1523"/>
      <c r="L899" s="1523"/>
      <c r="M899" s="1523"/>
      <c r="N899" s="1523"/>
      <c r="O899" s="1523"/>
      <c r="P899" s="1523"/>
      <c r="Q899" s="1523"/>
      <c r="R899" s="1523"/>
      <c r="S899" s="1523"/>
      <c r="T899" s="1703"/>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524"/>
      <c r="G900" s="1525"/>
      <c r="H900" s="1525"/>
      <c r="I900" s="1525"/>
      <c r="J900" s="1525"/>
      <c r="K900" s="1525"/>
      <c r="L900" s="1525"/>
      <c r="M900" s="1525"/>
      <c r="N900" s="1525"/>
      <c r="O900" s="1525"/>
      <c r="P900" s="1525"/>
      <c r="Q900" s="1525"/>
      <c r="R900" s="1525"/>
      <c r="S900" s="1525"/>
      <c r="T900" s="1704"/>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517" t="s">
        <v>554</v>
      </c>
      <c r="V901" s="1518"/>
      <c r="W901" s="1518"/>
      <c r="X901" s="1518"/>
      <c r="Y901" s="1518"/>
      <c r="Z901" s="1519"/>
      <c r="AA901" s="1529">
        <f>AM550</f>
        <v>14219583</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517" t="s">
        <v>600</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517" t="s">
        <v>600</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517" t="s">
        <v>600</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517" t="s">
        <v>600</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517" t="s">
        <v>600</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517" t="s">
        <v>600</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517" t="s">
        <v>600</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517" t="s">
        <v>600</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517" t="s">
        <v>600</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1435</v>
      </c>
      <c r="G911" s="5"/>
      <c r="H911" s="5"/>
      <c r="I911" s="5"/>
      <c r="J911" s="5"/>
      <c r="K911" s="5"/>
      <c r="L911" s="5"/>
      <c r="M911" s="5"/>
      <c r="N911" s="5"/>
      <c r="O911" s="5"/>
      <c r="P911" s="5"/>
      <c r="Q911" s="5"/>
      <c r="R911" s="5"/>
      <c r="S911" s="5"/>
      <c r="T911" s="46"/>
      <c r="U911" s="1517" t="s">
        <v>600</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517" t="s">
        <v>600</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517" t="s">
        <v>600</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517" t="s">
        <v>600</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517" t="s">
        <v>600</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517" t="s">
        <v>678</v>
      </c>
      <c r="Q916" s="1518"/>
      <c r="R916" s="1518"/>
      <c r="S916" s="1518"/>
      <c r="T916" s="1519"/>
      <c r="U916" s="1517" t="s">
        <v>600</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35" t="s">
        <v>336</v>
      </c>
      <c r="J917" s="1536"/>
      <c r="K917" s="1536"/>
      <c r="L917" s="1536"/>
      <c r="M917" s="1536"/>
      <c r="N917" s="1536"/>
      <c r="O917" s="1536"/>
      <c r="P917" s="1536"/>
      <c r="Q917" s="1536"/>
      <c r="R917" s="1536"/>
      <c r="S917" s="1536"/>
      <c r="T917" s="1537"/>
      <c r="U917" s="1517" t="s">
        <v>600</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44" t="s">
        <v>336</v>
      </c>
      <c r="J918" s="1545"/>
      <c r="K918" s="1545"/>
      <c r="L918" s="1545"/>
      <c r="M918" s="1545"/>
      <c r="N918" s="1545"/>
      <c r="O918" s="1545"/>
      <c r="P918" s="1545"/>
      <c r="Q918" s="1545"/>
      <c r="R918" s="1545"/>
      <c r="S918" s="1545"/>
      <c r="T918" s="1546"/>
      <c r="U918" s="1517" t="s">
        <v>600</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544" t="str">
        <f>C623</f>
        <v>Tunnel to Towers Foundation</v>
      </c>
      <c r="J919" s="1545"/>
      <c r="K919" s="1545"/>
      <c r="L919" s="1545"/>
      <c r="M919" s="1545"/>
      <c r="N919" s="1545"/>
      <c r="O919" s="1545"/>
      <c r="P919" s="1545"/>
      <c r="Q919" s="1545"/>
      <c r="R919" s="1545"/>
      <c r="S919" s="1545"/>
      <c r="T919" s="1546"/>
      <c r="U919" s="1517" t="s">
        <v>554</v>
      </c>
      <c r="V919" s="1518"/>
      <c r="W919" s="1518"/>
      <c r="X919" s="1518"/>
      <c r="Y919" s="1518"/>
      <c r="Z919" s="1519"/>
      <c r="AA919" s="1529">
        <f>AO623</f>
        <v>5750000</v>
      </c>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544" t="str">
        <f>C624</f>
        <v>Home Depot Foundation</v>
      </c>
      <c r="J920" s="1545"/>
      <c r="K920" s="1545"/>
      <c r="L920" s="1545"/>
      <c r="M920" s="1545"/>
      <c r="N920" s="1545"/>
      <c r="O920" s="1545"/>
      <c r="P920" s="1545"/>
      <c r="Q920" s="1545"/>
      <c r="R920" s="1545"/>
      <c r="S920" s="1545"/>
      <c r="T920" s="1546"/>
      <c r="U920" s="1517" t="s">
        <v>554</v>
      </c>
      <c r="V920" s="1518"/>
      <c r="W920" s="1518"/>
      <c r="X920" s="1518"/>
      <c r="Y920" s="1518"/>
      <c r="Z920" s="1519"/>
      <c r="AA920" s="1529">
        <f>AO624</f>
        <v>3000000</v>
      </c>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72">
        <v>45118</v>
      </c>
      <c r="N925" s="1673"/>
      <c r="O925" s="1673"/>
      <c r="P925" s="1673"/>
      <c r="Q925" s="1673"/>
      <c r="R925" s="1673"/>
      <c r="S925" s="1674"/>
      <c r="U925" s="66" t="s">
        <v>11</v>
      </c>
      <c r="V925" s="5"/>
      <c r="W925" s="5"/>
      <c r="X925" s="5"/>
      <c r="Y925" s="5"/>
      <c r="Z925" s="5"/>
      <c r="AA925" s="5"/>
      <c r="AB925" s="5"/>
      <c r="AC925" s="5"/>
      <c r="AD925" s="46"/>
      <c r="AE925" s="1672"/>
      <c r="AF925" s="1673"/>
      <c r="AG925" s="1673"/>
      <c r="AH925" s="1673"/>
      <c r="AI925" s="1673"/>
      <c r="AJ925" s="1673"/>
      <c r="AK925" s="167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7" t="s">
        <v>2748</v>
      </c>
      <c r="N926" s="1620"/>
      <c r="O926" s="1620"/>
      <c r="P926" s="1620"/>
      <c r="Q926" s="1620"/>
      <c r="R926" s="1620"/>
      <c r="S926" s="1628"/>
      <c r="U926" s="66" t="s">
        <v>12</v>
      </c>
      <c r="V926" s="5"/>
      <c r="W926" s="5"/>
      <c r="X926" s="5"/>
      <c r="Y926" s="5"/>
      <c r="Z926" s="5"/>
      <c r="AA926" s="5"/>
      <c r="AB926" s="5"/>
      <c r="AC926" s="5"/>
      <c r="AD926" s="46"/>
      <c r="AE926" s="1627"/>
      <c r="AF926" s="1620"/>
      <c r="AG926" s="1620"/>
      <c r="AH926" s="1620"/>
      <c r="AI926" s="1620"/>
      <c r="AJ926" s="1620"/>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700" t="s">
        <v>2679</v>
      </c>
      <c r="K927" s="1701"/>
      <c r="L927" s="1701"/>
      <c r="M927" s="1701"/>
      <c r="N927" s="1701"/>
      <c r="O927" s="1701"/>
      <c r="P927" s="1701"/>
      <c r="Q927" s="1701"/>
      <c r="R927" s="1701"/>
      <c r="S927" s="1702"/>
      <c r="U927" s="66" t="s">
        <v>909</v>
      </c>
      <c r="V927" s="5"/>
      <c r="W927" s="5"/>
      <c r="AB927" s="1700" t="s">
        <v>309</v>
      </c>
      <c r="AC927" s="1701"/>
      <c r="AD927" s="1701"/>
      <c r="AE927" s="1701"/>
      <c r="AF927" s="1701"/>
      <c r="AG927" s="1701"/>
      <c r="AH927" s="1701"/>
      <c r="AI927" s="1701"/>
      <c r="AJ927" s="1701"/>
      <c r="AK927" s="170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549">
        <f>M929/AG439</f>
        <v>0.64864864864864868</v>
      </c>
      <c r="N928" s="1550"/>
      <c r="O928" s="1550"/>
      <c r="P928" s="1550"/>
      <c r="Q928" s="1550"/>
      <c r="R928" s="1550"/>
      <c r="S928" s="1551"/>
      <c r="U928" s="66" t="s">
        <v>13</v>
      </c>
      <c r="V928" s="5"/>
      <c r="W928" s="5"/>
      <c r="X928" s="5"/>
      <c r="Y928" s="5"/>
      <c r="Z928" s="5"/>
      <c r="AA928" s="5"/>
      <c r="AB928" s="5"/>
      <c r="AC928" s="5"/>
      <c r="AD928" s="46"/>
      <c r="AE928" s="1682"/>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585">
        <v>24</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529">
        <f>'Subsidy Contract Calculation'!G30</f>
        <v>603648</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529">
        <f>M930*M932</f>
        <v>12072960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1842</v>
      </c>
      <c r="D932" s="5"/>
      <c r="E932" s="5"/>
      <c r="F932" s="5"/>
      <c r="G932" s="5"/>
      <c r="H932" s="5"/>
      <c r="I932" s="5"/>
      <c r="J932" s="5"/>
      <c r="K932" s="5"/>
      <c r="L932" s="46"/>
      <c r="M932" s="1437">
        <v>20</v>
      </c>
      <c r="N932" s="1438"/>
      <c r="O932" s="1438"/>
      <c r="P932" s="1438"/>
      <c r="Q932" s="1438"/>
      <c r="R932" s="1438"/>
      <c r="S932" s="1439"/>
      <c r="U932" s="121" t="s">
        <v>1842</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538"/>
      <c r="N937" s="1539"/>
      <c r="O937" s="1539"/>
      <c r="P937" s="1539"/>
      <c r="Q937" s="1539"/>
      <c r="R937" s="1539"/>
      <c r="S937" s="1540"/>
      <c r="T937" s="66" t="s">
        <v>814</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538"/>
      <c r="N938" s="1539"/>
      <c r="O938" s="1539"/>
      <c r="P938" s="1539"/>
      <c r="Q938" s="1539"/>
      <c r="R938" s="1539"/>
      <c r="S938" s="1540"/>
      <c r="T938" s="66" t="s">
        <v>813</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78" t="s">
        <v>600</v>
      </c>
      <c r="N939" s="1679"/>
      <c r="O939" s="1679"/>
      <c r="P939" s="1679"/>
      <c r="Q939" s="1679"/>
      <c r="R939" s="1679"/>
      <c r="S939" s="1680"/>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86" t="s">
        <v>309</v>
      </c>
      <c r="N942" s="1687"/>
      <c r="O942" s="1687"/>
      <c r="P942" s="1687"/>
      <c r="Q942" s="1687"/>
      <c r="R942" s="1687"/>
      <c r="S942" s="1688"/>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675" t="s">
        <v>678</v>
      </c>
      <c r="P944" s="1676"/>
      <c r="Q944" s="92"/>
      <c r="R944" s="92"/>
      <c r="S944" s="93"/>
      <c r="T944" s="41" t="s">
        <v>171</v>
      </c>
      <c r="U944" s="42"/>
      <c r="V944" s="42"/>
      <c r="W944" s="1683" t="s">
        <v>336</v>
      </c>
      <c r="X944" s="1684"/>
      <c r="Y944" s="1684"/>
      <c r="Z944" s="1684"/>
      <c r="AA944" s="1684"/>
      <c r="AB944" s="1684"/>
      <c r="AC944" s="1684"/>
      <c r="AD944" s="1684"/>
      <c r="AE944" s="1684"/>
      <c r="AF944" s="1684"/>
      <c r="AG944" s="168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7"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548" t="s">
        <v>557</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478" t="s">
        <v>647</v>
      </c>
      <c r="E954" s="1479"/>
      <c r="F954" s="1479"/>
      <c r="G954" s="1479"/>
      <c r="H954" s="1479"/>
      <c r="I954" s="1479"/>
      <c r="J954" s="1479"/>
      <c r="K954" s="1479"/>
      <c r="L954" s="1479"/>
      <c r="M954" s="1479"/>
      <c r="N954" s="1479"/>
      <c r="O954" s="1479"/>
      <c r="P954" s="1479"/>
      <c r="Q954" s="1480"/>
      <c r="R954" s="1478" t="s">
        <v>648</v>
      </c>
      <c r="S954" s="1479"/>
      <c r="T954" s="1479"/>
      <c r="U954" s="1479"/>
      <c r="V954" s="1479"/>
      <c r="W954" s="1479"/>
      <c r="X954" s="1479"/>
      <c r="Y954" s="1479"/>
      <c r="Z954" s="1479"/>
      <c r="AA954" s="1480"/>
      <c r="AB954" s="1478" t="s">
        <v>649</v>
      </c>
      <c r="AC954" s="1479"/>
      <c r="AD954" s="1479"/>
      <c r="AE954" s="1479"/>
      <c r="AF954" s="1479"/>
      <c r="AG954" s="1479"/>
      <c r="AH954" s="1479"/>
      <c r="AI954" s="1480"/>
      <c r="AJ954" s="1478" t="s">
        <v>650</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475" t="s">
        <v>642</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437727</v>
      </c>
      <c r="S955" s="1516"/>
      <c r="T955" s="1516"/>
      <c r="U955" s="1516"/>
      <c r="V955" s="1516"/>
      <c r="W955" s="1516"/>
      <c r="X955" s="1516"/>
      <c r="Y955" s="1516"/>
      <c r="Z955" s="1516"/>
      <c r="AA955" s="1516"/>
      <c r="AB955" s="1434">
        <f>BN649</f>
        <v>12</v>
      </c>
      <c r="AC955" s="1435"/>
      <c r="AD955" s="1435"/>
      <c r="AE955" s="1435"/>
      <c r="AF955" s="1435"/>
      <c r="AG955" s="1435"/>
      <c r="AH955" s="1435"/>
      <c r="AI955" s="1436"/>
      <c r="AJ955" s="1447">
        <f>IF(ISERROR((R955*AB955)),0,(R955*AB955))</f>
        <v>5252724</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504695</v>
      </c>
      <c r="S956" s="1516"/>
      <c r="T956" s="1516"/>
      <c r="U956" s="1516"/>
      <c r="V956" s="1516"/>
      <c r="W956" s="1516"/>
      <c r="X956" s="1516"/>
      <c r="Y956" s="1516"/>
      <c r="Z956" s="1516"/>
      <c r="AA956" s="1516"/>
      <c r="AB956" s="1434">
        <f>BS649</f>
        <v>26</v>
      </c>
      <c r="AC956" s="1435"/>
      <c r="AD956" s="1435"/>
      <c r="AE956" s="1435"/>
      <c r="AF956" s="1435"/>
      <c r="AG956" s="1435"/>
      <c r="AH956" s="1435"/>
      <c r="AI956" s="1436"/>
      <c r="AJ956" s="1447">
        <f>IF(ISERROR((R956*AB956)),0,(R956*AB956))</f>
        <v>13122070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608800</v>
      </c>
      <c r="S957" s="1516"/>
      <c r="T957" s="1516"/>
      <c r="U957" s="1516"/>
      <c r="V957" s="1516"/>
      <c r="W957" s="1516"/>
      <c r="X957" s="1516"/>
      <c r="Y957" s="1516"/>
      <c r="Z957" s="1516"/>
      <c r="AA957" s="1516"/>
      <c r="AB957" s="1434">
        <f>BX649</f>
        <v>0</v>
      </c>
      <c r="AC957" s="1435"/>
      <c r="AD957" s="1435"/>
      <c r="AE957" s="1435"/>
      <c r="AF957" s="1435"/>
      <c r="AG957" s="1435"/>
      <c r="AH957" s="1435"/>
      <c r="AI957" s="1436"/>
      <c r="AJ957" s="1447">
        <f>IF(ISERROR((R957*AB957)),0,(R957*AB957))</f>
        <v>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779264</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475" t="s">
        <v>469</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868149</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495" t="s">
        <v>815</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38</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513" t="s">
        <v>521</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18374794</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675</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463" t="s">
        <v>1364</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554</v>
      </c>
      <c r="AH963" s="1460"/>
      <c r="AI963" s="87"/>
      <c r="AJ963" s="1486">
        <f>ROUND(IF(AND(AG963="yes",D965&gt;0),AJ961*0.2,0),0)</f>
        <v>3674959</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1365</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501" t="s">
        <v>2710</v>
      </c>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453" t="s">
        <v>1450</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678</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498" t="s">
        <v>1448</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453" t="s">
        <v>1943</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678</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441" t="s">
        <v>1449</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37</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0.35</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453" t="s">
        <v>1451</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678</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0.64</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466" t="s">
        <v>1452</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2.95" customHeight="1">
      <c r="A978" s="14"/>
      <c r="B978" s="79"/>
      <c r="C978" s="80" t="s">
        <v>217</v>
      </c>
      <c r="D978" s="1453" t="s">
        <v>1453</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678</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2.95" customHeight="1">
      <c r="A979" s="14"/>
      <c r="B979" s="73"/>
      <c r="C979" s="74"/>
      <c r="D979" s="1441" t="s">
        <v>1454</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2.95"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2.95" customHeight="1">
      <c r="A981" s="14"/>
      <c r="B981" s="79"/>
      <c r="C981" s="80" t="s">
        <v>220</v>
      </c>
      <c r="D981" s="1463" t="s">
        <v>1455</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678</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2.95" customHeight="1">
      <c r="A982" s="14"/>
      <c r="B982" s="73"/>
      <c r="C982" s="74"/>
      <c r="D982" s="1441" t="s">
        <v>1456</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2.95"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2.95"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2.95" customHeight="1">
      <c r="A985" s="14"/>
      <c r="B985" s="79"/>
      <c r="C985" s="80" t="s">
        <v>225</v>
      </c>
      <c r="D985" s="1507" t="s">
        <v>1457</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678</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2.95"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2.95" customHeight="1">
      <c r="A987" s="14"/>
      <c r="B987" s="81"/>
      <c r="C987" s="84"/>
      <c r="D987" s="1441" t="s">
        <v>1458</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2.95"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444" t="s">
        <v>600</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2.95" customHeight="1">
      <c r="A990" s="14"/>
      <c r="B990" s="79"/>
      <c r="C990" s="80" t="s">
        <v>231</v>
      </c>
      <c r="D990" s="1453" t="s">
        <v>1459</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678</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2.95" customHeight="1">
      <c r="A991" s="14"/>
      <c r="B991" s="73"/>
      <c r="C991" s="74"/>
      <c r="D991" s="1441" t="s">
        <v>1950</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2.95"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2.95"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2.95" customHeight="1">
      <c r="A994" s="14"/>
      <c r="B994" s="79"/>
      <c r="C994" s="80" t="s">
        <v>236</v>
      </c>
      <c r="D994" s="1463" t="s">
        <v>1460</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554</v>
      </c>
      <c r="AH994" s="1462"/>
      <c r="AI994" s="87"/>
      <c r="AJ994" s="1486">
        <f>ROUND(IF(AG994="yes",(AJ961*0.1),0),0)</f>
        <v>1837479</v>
      </c>
      <c r="AK994" s="1487"/>
      <c r="AL994" s="1487"/>
      <c r="AM994" s="1487"/>
      <c r="AN994" s="1487"/>
      <c r="AO994" s="1487"/>
      <c r="AP994" s="1487"/>
      <c r="AQ994" s="1488"/>
      <c r="AR994" s="68"/>
      <c r="AS994" s="68"/>
      <c r="AT994" s="68"/>
      <c r="AU994" s="68"/>
      <c r="AV994" s="68"/>
      <c r="AW994" s="68"/>
      <c r="AX994" s="68"/>
      <c r="AY994" s="68"/>
    </row>
    <row r="995" spans="1:51" ht="12.95" customHeight="1">
      <c r="A995" s="14"/>
      <c r="B995" s="73"/>
      <c r="C995" s="74"/>
      <c r="D995" s="1441" t="s">
        <v>1461</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2.95"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2.95" customHeight="1">
      <c r="A997" s="14"/>
      <c r="B997" s="73"/>
      <c r="C997" s="368" t="s">
        <v>697</v>
      </c>
      <c r="D997" s="1453" t="s">
        <v>1946</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554</v>
      </c>
      <c r="AH997" s="1462"/>
      <c r="AI997" s="87"/>
      <c r="AJ997" s="1486">
        <f>ROUND(IF(AG997="yes",(AJ961*0.15),0),0)</f>
        <v>2756219</v>
      </c>
      <c r="AK997" s="1487"/>
      <c r="AL997" s="1487"/>
      <c r="AM997" s="1487"/>
      <c r="AN997" s="1487"/>
      <c r="AO997" s="1487"/>
      <c r="AP997" s="1487"/>
      <c r="AQ997" s="1488"/>
      <c r="AR997" s="68"/>
      <c r="AS997" s="68"/>
      <c r="AT997" s="68"/>
      <c r="AU997" s="68"/>
      <c r="AV997" s="68"/>
      <c r="AW997" s="68"/>
      <c r="AX997" s="68"/>
      <c r="AY997" s="68"/>
    </row>
    <row r="998" spans="1:51" ht="12.95" customHeight="1">
      <c r="A998" s="14"/>
      <c r="B998" s="73"/>
      <c r="C998" s="74"/>
      <c r="D998" s="1481"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2.95"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2.95"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2.95" customHeight="1">
      <c r="A1001" s="14"/>
      <c r="B1001" s="73"/>
      <c r="C1001" s="368" t="s">
        <v>697</v>
      </c>
      <c r="D1001" s="1463" t="s">
        <v>1948</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678</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2.95" customHeight="1">
      <c r="A1002" s="14"/>
      <c r="B1002" s="73"/>
      <c r="C1002" s="74"/>
      <c r="D1002" s="1481"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2.95"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2.95"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2.95"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2.95" customHeight="1">
      <c r="A1006" s="14"/>
      <c r="B1006" s="79"/>
      <c r="C1006" s="131" t="s">
        <v>1067</v>
      </c>
      <c r="D1006" s="1453" t="s">
        <v>1462</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678</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2.95" customHeight="1">
      <c r="A1007" s="14"/>
      <c r="B1007" s="73"/>
      <c r="C1007" s="74"/>
      <c r="D1007" s="1441" t="s">
        <v>2617</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2.95"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2.95"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2.95" customHeight="1">
      <c r="A1010" s="14"/>
      <c r="B1010" s="79"/>
      <c r="C1010" s="131" t="s">
        <v>1944</v>
      </c>
      <c r="D1010" s="1463" t="s">
        <v>2128</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6431177.8999999994</v>
      </c>
      <c r="AK1010" s="1487"/>
      <c r="AL1010" s="1487"/>
      <c r="AM1010" s="1487"/>
      <c r="AN1010" s="1487"/>
      <c r="AO1010" s="1487"/>
      <c r="AP1010" s="1487"/>
      <c r="AQ1010" s="1488"/>
      <c r="AR1010" s="68"/>
      <c r="AS1010" s="68"/>
      <c r="AT1010" s="68"/>
      <c r="AU1010" s="68"/>
      <c r="AV1010" s="68"/>
      <c r="AW1010" s="68"/>
      <c r="AX1010" s="68"/>
      <c r="AY1010" s="68"/>
    </row>
    <row r="1011" spans="1:51" ht="12.95" customHeight="1">
      <c r="A1011" s="14"/>
      <c r="B1011" s="73"/>
      <c r="C1011" s="477"/>
      <c r="D1011" s="1441" t="s">
        <v>1464</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2.95"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556">
        <f>BA973</f>
        <v>37</v>
      </c>
      <c r="J1013" s="1557"/>
      <c r="K1013" s="7"/>
      <c r="L1013" s="133"/>
      <c r="M1013" s="133"/>
      <c r="N1013" s="133"/>
      <c r="O1013" s="133"/>
      <c r="P1013" s="133"/>
      <c r="Q1013" s="133"/>
      <c r="R1013" s="133"/>
      <c r="S1013" s="133"/>
      <c r="T1013" s="133"/>
      <c r="U1013" s="133"/>
      <c r="V1013" s="134" t="s">
        <v>1013</v>
      </c>
      <c r="W1013" s="48"/>
      <c r="X1013" s="1554">
        <f>BG621</f>
        <v>13</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2.95" customHeight="1">
      <c r="A1014" s="14"/>
      <c r="B1014" s="79"/>
      <c r="C1014" s="131" t="s">
        <v>1945</v>
      </c>
      <c r="D1014" s="1453" t="s">
        <v>2129</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Yes</v>
      </c>
      <c r="AH1014" s="1559"/>
      <c r="AI1014" s="83"/>
      <c r="AJ1014" s="1486">
        <f>IF((X1017=0),0,(2*BA976)*AJ961)</f>
        <v>23519736.32</v>
      </c>
      <c r="AK1014" s="1487"/>
      <c r="AL1014" s="1487"/>
      <c r="AM1014" s="1487"/>
      <c r="AN1014" s="1487"/>
      <c r="AO1014" s="1487"/>
      <c r="AP1014" s="1487"/>
      <c r="AQ1014" s="1488"/>
      <c r="AR1014" s="68"/>
      <c r="AS1014" s="68"/>
      <c r="AT1014" s="68"/>
      <c r="AU1014" s="68"/>
      <c r="AV1014" s="68"/>
      <c r="AW1014" s="68"/>
      <c r="AX1014" s="68"/>
      <c r="AY1014" s="68"/>
    </row>
    <row r="1015" spans="1:51" ht="12.95" customHeight="1">
      <c r="A1015" s="14"/>
      <c r="B1015" s="73"/>
      <c r="C1015" s="477"/>
      <c r="D1015" s="1441" t="s">
        <v>1463</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2.95"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556">
        <f>BA973</f>
        <v>37</v>
      </c>
      <c r="J1017" s="1557"/>
      <c r="K1017" s="14"/>
      <c r="L1017" s="133"/>
      <c r="M1017" s="133"/>
      <c r="N1017" s="133"/>
      <c r="O1017" s="133"/>
      <c r="P1017" s="133"/>
      <c r="Q1017" s="133"/>
      <c r="R1017" s="133"/>
      <c r="S1017" s="133"/>
      <c r="T1017" s="133"/>
      <c r="U1017" s="133"/>
      <c r="V1017" s="134" t="s">
        <v>1014</v>
      </c>
      <c r="X1017" s="1554">
        <f>BK621</f>
        <v>24</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2.95" customHeight="1">
      <c r="A1018" s="14"/>
      <c r="B1018" s="102"/>
      <c r="C1018" s="103"/>
      <c r="D1018" s="1552" t="s">
        <v>522</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56594365.219999999</v>
      </c>
      <c r="AK1018" s="1563"/>
      <c r="AL1018" s="1563"/>
      <c r="AM1018" s="1563"/>
      <c r="AN1018" s="1563"/>
      <c r="AO1018" s="1563"/>
      <c r="AP1018" s="1563"/>
      <c r="AQ1018" s="1564"/>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2.95" customHeight="1" thickBot="1">
      <c r="A1026" s="1671" t="s">
        <v>818</v>
      </c>
      <c r="B1026" s="1671"/>
      <c r="C1026" s="1671"/>
      <c r="D1026" s="1671"/>
      <c r="E1026" s="1671"/>
      <c r="F1026" s="1671"/>
      <c r="G1026" s="1671"/>
      <c r="H1026" s="1671"/>
      <c r="I1026" s="1671"/>
      <c r="J1026" s="1671"/>
      <c r="K1026" s="1671"/>
      <c r="L1026" s="1671"/>
      <c r="M1026" s="1671"/>
      <c r="N1026" s="1671"/>
      <c r="O1026" s="1671"/>
      <c r="P1026" s="1671"/>
      <c r="Q1026" s="1671"/>
      <c r="R1026" s="1671"/>
      <c r="S1026" s="1671"/>
      <c r="T1026" s="1671"/>
      <c r="U1026" s="1671"/>
      <c r="V1026" s="1671"/>
      <c r="W1026" s="1671"/>
      <c r="X1026" s="1671"/>
      <c r="Y1026" s="1671"/>
      <c r="Z1026" s="1671"/>
      <c r="AA1026" s="1671"/>
      <c r="AB1026" s="1671"/>
      <c r="AC1026" s="1671"/>
      <c r="AD1026" s="1671"/>
      <c r="AE1026" s="1671"/>
      <c r="AF1026" s="1671"/>
      <c r="AG1026" s="1671"/>
      <c r="AH1026" s="1671"/>
      <c r="AI1026" s="1671"/>
      <c r="AJ1026" s="1671"/>
      <c r="AK1026" s="1671"/>
      <c r="AL1026" s="1671"/>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54" t="s">
        <v>600</v>
      </c>
      <c r="B1030" s="1354"/>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2.95" customHeight="1">
      <c r="A1036" s="1354" t="s">
        <v>600</v>
      </c>
      <c r="B1036" s="1354"/>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2.95" customHeight="1">
      <c r="A1042" s="1354" t="s">
        <v>600</v>
      </c>
      <c r="B1042" s="1354"/>
      <c r="C1042" s="8">
        <v>3</v>
      </c>
      <c r="D1042" s="1262" t="s">
        <v>2560</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2.95"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2.95"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2.95"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2.95"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2.95"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2.95"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2.95" customHeight="1">
      <c r="A1049" s="1354" t="s">
        <v>600</v>
      </c>
      <c r="B1049" s="1354"/>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2.95"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2.95"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2.95" customHeight="1">
      <c r="A1052" s="1354" t="s">
        <v>600</v>
      </c>
      <c r="B1052" s="1354"/>
      <c r="C1052" s="8">
        <v>5</v>
      </c>
      <c r="D1052" s="1262" t="s">
        <v>2561</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2.95"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2.95"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2.95"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2.95"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2.95" customHeight="1">
      <c r="A1057" s="1354" t="s">
        <v>600</v>
      </c>
      <c r="B1057" s="1354"/>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2.95"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2.95"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2.95" customHeight="1">
      <c r="A1060" s="1354" t="s">
        <v>600</v>
      </c>
      <c r="B1060" s="1354"/>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2.95"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2.95"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2.95"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2.95" customHeight="1">
      <c r="A1064" s="1354" t="s">
        <v>600</v>
      </c>
      <c r="B1064" s="1354"/>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2.95"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2.95"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2.95"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2.95" customHeight="1">
      <c r="A1068" s="1354" t="s">
        <v>600</v>
      </c>
      <c r="B1068" s="1354"/>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2.95"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2.95"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4" zoomScaleNormal="100" zoomScaleSheetLayoutView="90" workbookViewId="0">
      <selection activeCell="C4" sqref="C4"/>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2" t="s">
        <v>630</v>
      </c>
      <c r="G1" s="1853"/>
      <c r="H1" s="1853"/>
      <c r="I1" s="1853"/>
      <c r="J1" s="1853"/>
      <c r="K1" s="1853"/>
      <c r="L1" s="1853"/>
      <c r="M1" s="1853"/>
      <c r="N1" s="1853"/>
      <c r="O1" s="1853"/>
      <c r="P1" s="1853"/>
      <c r="Q1" s="1853"/>
      <c r="R1" s="1854"/>
      <c r="S1" s="112"/>
      <c r="T1" s="111"/>
      <c r="U1" s="113"/>
    </row>
    <row r="2" spans="1:21" s="138" customFormat="1" ht="71.25" customHeight="1">
      <c r="A2" s="137"/>
      <c r="B2" s="138" t="s">
        <v>23</v>
      </c>
      <c r="C2" s="138" t="s">
        <v>376</v>
      </c>
      <c r="D2" s="138" t="s">
        <v>375</v>
      </c>
      <c r="E2" s="138" t="s">
        <v>24</v>
      </c>
      <c r="F2" s="139" t="str">
        <f>Application!B623&amp;Application!C623</f>
        <v>1)Tunnel to Towers Foundation</v>
      </c>
      <c r="G2" s="139" t="str">
        <f>Application!B624&amp;Application!C624</f>
        <v>2)Home Depot Foundation</v>
      </c>
      <c r="H2" s="139" t="str">
        <f>Application!B625&amp;Application!C625</f>
        <v>3)Land Donation/U.S. Department of Veteran Affairs</v>
      </c>
      <c r="I2" s="139" t="str">
        <f>Application!B626&amp;Application!C626</f>
        <v>4)Historical Tax Credits</v>
      </c>
      <c r="J2" s="139" t="str">
        <f>Application!B627&amp;Application!C627</f>
        <v>5)PACT Act</v>
      </c>
      <c r="K2" s="139" t="str">
        <f>Application!B628&amp;Application!C628</f>
        <v>6)Deferred Developer Fee</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5750000</v>
      </c>
      <c r="C4" s="147">
        <v>5750000</v>
      </c>
      <c r="D4" s="147"/>
      <c r="E4" s="147">
        <f>C4-SUM(F4:Q4)</f>
        <v>0</v>
      </c>
      <c r="F4" s="147"/>
      <c r="G4" s="147"/>
      <c r="H4" s="147">
        <f>H108</f>
        <v>5750000</v>
      </c>
      <c r="I4" s="147"/>
      <c r="J4" s="147"/>
      <c r="K4" s="147"/>
      <c r="L4" s="147"/>
      <c r="M4" s="147"/>
      <c r="N4" s="147"/>
      <c r="O4" s="147"/>
      <c r="P4" s="147"/>
      <c r="Q4" s="147"/>
      <c r="R4" s="551">
        <f>SUM(E4:Q4)</f>
        <v>5750000</v>
      </c>
      <c r="S4" s="148"/>
      <c r="T4" s="148"/>
      <c r="U4" s="143"/>
    </row>
    <row r="5" spans="1:21" s="144" customFormat="1">
      <c r="A5" s="145" t="s">
        <v>28</v>
      </c>
      <c r="B5" s="146">
        <f>SUM(C5+D5)</f>
        <v>144869</v>
      </c>
      <c r="C5" s="147">
        <v>144869</v>
      </c>
      <c r="D5" s="147"/>
      <c r="E5" s="147">
        <f t="shared" ref="E5:E7" si="0">C5-SUM(F5:Q5)</f>
        <v>0</v>
      </c>
      <c r="F5" s="147">
        <f>C5-SUM(G5:Q5)</f>
        <v>144869</v>
      </c>
      <c r="G5" s="147"/>
      <c r="H5" s="147"/>
      <c r="I5" s="147"/>
      <c r="J5" s="147"/>
      <c r="K5" s="147"/>
      <c r="L5" s="147"/>
      <c r="M5" s="147"/>
      <c r="N5" s="147"/>
      <c r="O5" s="147"/>
      <c r="P5" s="147"/>
      <c r="Q5" s="147"/>
      <c r="R5" s="551">
        <f>SUM(E5:Q5)</f>
        <v>144869</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602</v>
      </c>
      <c r="B8" s="146">
        <f>SUM(C8:D8)</f>
        <v>5894869</v>
      </c>
      <c r="C8" s="146">
        <f t="shared" ref="C8:Q8" si="1">SUM(C4:C7)</f>
        <v>5894869</v>
      </c>
      <c r="D8" s="146">
        <f t="shared" si="1"/>
        <v>0</v>
      </c>
      <c r="E8" s="146">
        <f t="shared" si="1"/>
        <v>0</v>
      </c>
      <c r="F8" s="146">
        <f t="shared" si="1"/>
        <v>144869</v>
      </c>
      <c r="G8" s="146">
        <f t="shared" si="1"/>
        <v>0</v>
      </c>
      <c r="H8" s="146">
        <f t="shared" si="1"/>
        <v>5750000</v>
      </c>
      <c r="I8" s="146">
        <f t="shared" si="1"/>
        <v>0</v>
      </c>
      <c r="J8" s="146">
        <f t="shared" si="1"/>
        <v>0</v>
      </c>
      <c r="K8" s="146">
        <f t="shared" si="1"/>
        <v>0</v>
      </c>
      <c r="L8" s="146">
        <f t="shared" si="1"/>
        <v>0</v>
      </c>
      <c r="M8" s="146">
        <f t="shared" si="1"/>
        <v>0</v>
      </c>
      <c r="N8" s="146">
        <f t="shared" si="1"/>
        <v>0</v>
      </c>
      <c r="O8" s="146">
        <f t="shared" si="1"/>
        <v>0</v>
      </c>
      <c r="P8" s="146"/>
      <c r="Q8" s="146">
        <f t="shared" si="1"/>
        <v>0</v>
      </c>
      <c r="R8" s="371">
        <f>SUM(R4:R7)</f>
        <v>5894869</v>
      </c>
      <c r="S8" s="148"/>
      <c r="T8" s="148"/>
      <c r="U8" s="143"/>
    </row>
    <row r="9" spans="1:21" s="144" customFormat="1">
      <c r="A9" s="145" t="s">
        <v>603</v>
      </c>
      <c r="B9" s="146">
        <f>SUM(C9+D9)</f>
        <v>0</v>
      </c>
      <c r="C9" s="147"/>
      <c r="D9" s="147"/>
      <c r="E9" s="147">
        <f t="shared" ref="E9:E10" si="2">C9-SUM(F9:Q9)</f>
        <v>0</v>
      </c>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380000</v>
      </c>
      <c r="C10" s="147">
        <v>380000</v>
      </c>
      <c r="D10" s="147"/>
      <c r="E10" s="147">
        <f t="shared" si="2"/>
        <v>0</v>
      </c>
      <c r="F10" s="147">
        <f>C10-SUM(G10:Q10)</f>
        <v>380000</v>
      </c>
      <c r="G10" s="147"/>
      <c r="H10" s="147"/>
      <c r="I10" s="147"/>
      <c r="J10" s="147"/>
      <c r="K10" s="147"/>
      <c r="L10" s="147"/>
      <c r="M10" s="147"/>
      <c r="N10" s="147"/>
      <c r="O10" s="147"/>
      <c r="P10" s="147"/>
      <c r="Q10" s="147"/>
      <c r="R10" s="551">
        <f>SUM(E10:Q10)</f>
        <v>380000</v>
      </c>
      <c r="S10" s="147">
        <f>C10</f>
        <v>380000</v>
      </c>
      <c r="T10" s="147"/>
      <c r="U10" s="143"/>
    </row>
    <row r="11" spans="1:21" s="144" customFormat="1">
      <c r="A11" s="149" t="s">
        <v>605</v>
      </c>
      <c r="B11" s="146">
        <f>SUM(C11:D11)</f>
        <v>380000</v>
      </c>
      <c r="C11" s="146">
        <f t="shared" ref="C11:Q11" si="3">SUM(C9:C10)</f>
        <v>380000</v>
      </c>
      <c r="D11" s="146">
        <f t="shared" si="3"/>
        <v>0</v>
      </c>
      <c r="E11" s="146">
        <f t="shared" si="3"/>
        <v>0</v>
      </c>
      <c r="F11" s="146">
        <f t="shared" si="3"/>
        <v>380000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1">
        <f>SUM(R9:R10)</f>
        <v>380000</v>
      </c>
      <c r="S11" s="148"/>
      <c r="T11" s="150">
        <f>SUM(T9:T10)</f>
        <v>0</v>
      </c>
      <c r="U11" s="143"/>
    </row>
    <row r="12" spans="1:21" s="144" customFormat="1">
      <c r="A12" s="149" t="s">
        <v>85</v>
      </c>
      <c r="B12" s="146">
        <f t="shared" ref="B12:Q12" si="4">SUM(B8+B11)</f>
        <v>6274869</v>
      </c>
      <c r="C12" s="146">
        <f t="shared" si="4"/>
        <v>6274869</v>
      </c>
      <c r="D12" s="146">
        <f t="shared" si="4"/>
        <v>0</v>
      </c>
      <c r="E12" s="146">
        <f t="shared" si="4"/>
        <v>0</v>
      </c>
      <c r="F12" s="146">
        <f t="shared" si="4"/>
        <v>524869</v>
      </c>
      <c r="G12" s="146">
        <f t="shared" si="4"/>
        <v>0</v>
      </c>
      <c r="H12" s="146">
        <f t="shared" si="4"/>
        <v>5750000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1">
        <f>SUM(R8+R11)</f>
        <v>6274869</v>
      </c>
      <c r="S12" s="148"/>
      <c r="T12" s="148"/>
      <c r="U12" s="143"/>
    </row>
    <row r="13" spans="1:21" s="144" customFormat="1">
      <c r="A13" s="309" t="s">
        <v>935</v>
      </c>
      <c r="B13" s="146">
        <f>SUM(C13+D13)</f>
        <v>16750</v>
      </c>
      <c r="C13" s="147">
        <v>16750</v>
      </c>
      <c r="D13" s="147"/>
      <c r="E13" s="147">
        <f t="shared" ref="E13:E15" si="5">C13-SUM(F13:Q13)</f>
        <v>0</v>
      </c>
      <c r="F13" s="147">
        <f>C13-SUM(G13:Q13)</f>
        <v>16750</v>
      </c>
      <c r="G13" s="147"/>
      <c r="H13" s="147"/>
      <c r="I13" s="147"/>
      <c r="J13" s="147"/>
      <c r="K13" s="147"/>
      <c r="L13" s="147"/>
      <c r="M13" s="147"/>
      <c r="N13" s="147"/>
      <c r="O13" s="147"/>
      <c r="P13" s="147"/>
      <c r="Q13" s="147"/>
      <c r="R13" s="551">
        <f>SUM(E13:Q13)</f>
        <v>16750</v>
      </c>
      <c r="S13" s="147"/>
      <c r="T13" s="147"/>
      <c r="U13" s="143"/>
    </row>
    <row r="14" spans="1:21" s="144" customFormat="1" ht="24">
      <c r="A14" s="310" t="s">
        <v>1823</v>
      </c>
      <c r="B14" s="146">
        <f>SUM(C14+D14)</f>
        <v>0</v>
      </c>
      <c r="C14" s="147"/>
      <c r="D14" s="147"/>
      <c r="E14" s="147">
        <f t="shared" si="5"/>
        <v>0</v>
      </c>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f t="shared" si="5"/>
        <v>0</v>
      </c>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6"/>
        <v>0</v>
      </c>
      <c r="C20" s="147"/>
      <c r="D20" s="147"/>
      <c r="E20" s="147"/>
      <c r="F20" s="147"/>
      <c r="G20" s="147"/>
      <c r="H20" s="147"/>
      <c r="I20" s="147"/>
      <c r="J20" s="147"/>
      <c r="K20" s="147"/>
      <c r="L20" s="147"/>
      <c r="M20" s="147"/>
      <c r="N20" s="147"/>
      <c r="O20" s="147"/>
      <c r="P20" s="147"/>
      <c r="Q20" s="147"/>
      <c r="R20" s="551">
        <f t="shared" ref="R20:R27" si="7">SUM(E20:Q20)</f>
        <v>0</v>
      </c>
      <c r="S20" s="147"/>
      <c r="T20" s="147"/>
      <c r="U20" s="143"/>
    </row>
    <row r="21" spans="1:21" s="144" customFormat="1">
      <c r="A21" s="145" t="s">
        <v>139</v>
      </c>
      <c r="B21" s="146">
        <f t="shared" si="6"/>
        <v>0</v>
      </c>
      <c r="C21" s="147"/>
      <c r="D21" s="147"/>
      <c r="E21" s="147"/>
      <c r="F21" s="147"/>
      <c r="G21" s="147"/>
      <c r="H21" s="147"/>
      <c r="I21" s="147"/>
      <c r="J21" s="147"/>
      <c r="K21" s="147"/>
      <c r="L21" s="147"/>
      <c r="M21" s="147"/>
      <c r="N21" s="147"/>
      <c r="O21" s="147"/>
      <c r="P21" s="147"/>
      <c r="Q21" s="147"/>
      <c r="R21" s="551">
        <f t="shared" si="7"/>
        <v>0</v>
      </c>
      <c r="S21" s="147"/>
      <c r="T21" s="147"/>
      <c r="U21" s="143"/>
    </row>
    <row r="22" spans="1:21" s="144" customFormat="1">
      <c r="A22" s="145" t="s">
        <v>140</v>
      </c>
      <c r="B22" s="146">
        <f t="shared" si="6"/>
        <v>0</v>
      </c>
      <c r="C22" s="147"/>
      <c r="D22" s="147"/>
      <c r="E22" s="147"/>
      <c r="F22" s="147"/>
      <c r="G22" s="147"/>
      <c r="H22" s="147"/>
      <c r="I22" s="147"/>
      <c r="J22" s="147"/>
      <c r="K22" s="147"/>
      <c r="L22" s="147"/>
      <c r="M22" s="147"/>
      <c r="N22" s="147"/>
      <c r="O22" s="147"/>
      <c r="P22" s="147"/>
      <c r="Q22" s="147"/>
      <c r="R22" s="551">
        <f t="shared" si="7"/>
        <v>0</v>
      </c>
      <c r="S22" s="147"/>
      <c r="T22" s="147"/>
      <c r="U22" s="143"/>
    </row>
    <row r="23" spans="1:21" s="144" customFormat="1">
      <c r="A23" s="145" t="s">
        <v>141</v>
      </c>
      <c r="B23" s="146">
        <f t="shared" si="6"/>
        <v>0</v>
      </c>
      <c r="C23" s="147"/>
      <c r="D23" s="147"/>
      <c r="E23" s="147"/>
      <c r="F23" s="147"/>
      <c r="G23" s="147"/>
      <c r="H23" s="147"/>
      <c r="I23" s="147"/>
      <c r="J23" s="147"/>
      <c r="K23" s="147"/>
      <c r="L23" s="147"/>
      <c r="M23" s="147"/>
      <c r="N23" s="147"/>
      <c r="O23" s="147"/>
      <c r="P23" s="147"/>
      <c r="Q23" s="147"/>
      <c r="R23" s="551">
        <f t="shared" si="7"/>
        <v>0</v>
      </c>
      <c r="S23" s="147"/>
      <c r="T23" s="147"/>
      <c r="U23" s="143"/>
    </row>
    <row r="24" spans="1:21" s="144" customFormat="1">
      <c r="A24" s="543" t="s">
        <v>1820</v>
      </c>
      <c r="B24" s="146">
        <f t="shared" si="6"/>
        <v>0</v>
      </c>
      <c r="C24" s="147"/>
      <c r="D24" s="147"/>
      <c r="E24" s="147"/>
      <c r="F24" s="147"/>
      <c r="G24" s="147"/>
      <c r="H24" s="147"/>
      <c r="I24" s="147"/>
      <c r="J24" s="147"/>
      <c r="K24" s="147"/>
      <c r="L24" s="147"/>
      <c r="M24" s="147"/>
      <c r="N24" s="147"/>
      <c r="O24" s="147"/>
      <c r="P24" s="147"/>
      <c r="Q24" s="147"/>
      <c r="R24" s="551">
        <f t="shared" si="7"/>
        <v>0</v>
      </c>
      <c r="S24" s="147"/>
      <c r="T24" s="147"/>
      <c r="U24" s="143"/>
    </row>
    <row r="25" spans="1:21" s="144" customFormat="1">
      <c r="A25" s="1202" t="s">
        <v>34</v>
      </c>
      <c r="B25" s="146">
        <f t="shared" si="6"/>
        <v>0</v>
      </c>
      <c r="C25" s="147"/>
      <c r="D25" s="147"/>
      <c r="E25" s="147"/>
      <c r="F25" s="147"/>
      <c r="G25" s="147"/>
      <c r="H25" s="147"/>
      <c r="I25" s="147"/>
      <c r="J25" s="147"/>
      <c r="K25" s="147"/>
      <c r="L25" s="147"/>
      <c r="M25" s="147"/>
      <c r="N25" s="147"/>
      <c r="O25" s="147"/>
      <c r="P25" s="147"/>
      <c r="Q25" s="147"/>
      <c r="R25" s="551">
        <f t="shared" si="7"/>
        <v>0</v>
      </c>
      <c r="S25" s="147"/>
      <c r="T25" s="147"/>
      <c r="U25" s="143"/>
    </row>
    <row r="26" spans="1:21" s="144" customFormat="1">
      <c r="A26" s="149" t="s">
        <v>134</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7"/>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2598163</v>
      </c>
      <c r="C29" s="147">
        <v>2598163</v>
      </c>
      <c r="D29" s="147"/>
      <c r="E29" s="147">
        <f t="shared" ref="E29:E37" si="10">C29-SUM(F29:Q29)</f>
        <v>0</v>
      </c>
      <c r="F29" s="147">
        <f>C29-SUM(G29:Q29)</f>
        <v>98163</v>
      </c>
      <c r="G29" s="147">
        <v>2500000</v>
      </c>
      <c r="H29" s="147"/>
      <c r="I29" s="147"/>
      <c r="J29" s="147"/>
      <c r="K29" s="147"/>
      <c r="L29" s="147"/>
      <c r="M29" s="147"/>
      <c r="N29" s="147"/>
      <c r="O29" s="147"/>
      <c r="P29" s="147"/>
      <c r="Q29" s="147"/>
      <c r="R29" s="551">
        <f t="shared" ref="R29:R37" si="11">SUM(E29:Q29)</f>
        <v>2598163</v>
      </c>
      <c r="S29" s="147">
        <f t="shared" ref="S29:S35" si="12">C29</f>
        <v>2598163</v>
      </c>
      <c r="T29" s="147"/>
      <c r="U29" s="143"/>
    </row>
    <row r="30" spans="1:21" s="144" customFormat="1">
      <c r="A30" s="145" t="s">
        <v>608</v>
      </c>
      <c r="B30" s="146">
        <f t="shared" si="9"/>
        <v>11333594</v>
      </c>
      <c r="C30" s="147">
        <f>185000+250000+4000000+6898594</f>
        <v>11333594</v>
      </c>
      <c r="D30" s="147"/>
      <c r="E30" s="147">
        <f t="shared" si="10"/>
        <v>0</v>
      </c>
      <c r="F30" s="147">
        <f t="shared" ref="F30:F37" si="13">C30-SUM(G30:Q30)</f>
        <v>2013565</v>
      </c>
      <c r="G30" s="147">
        <v>500000</v>
      </c>
      <c r="H30" s="147"/>
      <c r="I30" s="147">
        <f>I108</f>
        <v>4170029</v>
      </c>
      <c r="J30" s="147">
        <f>J108</f>
        <v>4650000</v>
      </c>
      <c r="K30" s="147"/>
      <c r="L30" s="147"/>
      <c r="M30" s="147"/>
      <c r="N30" s="147"/>
      <c r="O30" s="147"/>
      <c r="P30" s="147"/>
      <c r="Q30" s="147"/>
      <c r="R30" s="551">
        <f t="shared" si="11"/>
        <v>11333594</v>
      </c>
      <c r="S30" s="147">
        <f t="shared" si="12"/>
        <v>11333594</v>
      </c>
      <c r="T30" s="147"/>
      <c r="U30" s="143"/>
    </row>
    <row r="31" spans="1:21" s="144" customFormat="1">
      <c r="A31" s="145" t="s">
        <v>609</v>
      </c>
      <c r="B31" s="146">
        <f t="shared" si="9"/>
        <v>806680</v>
      </c>
      <c r="C31" s="147">
        <v>806680</v>
      </c>
      <c r="D31" s="147"/>
      <c r="E31" s="147">
        <f t="shared" si="10"/>
        <v>0</v>
      </c>
      <c r="F31" s="147">
        <f t="shared" si="13"/>
        <v>806680</v>
      </c>
      <c r="G31" s="147"/>
      <c r="H31" s="147"/>
      <c r="I31" s="147"/>
      <c r="J31" s="147"/>
      <c r="K31" s="147"/>
      <c r="L31" s="147"/>
      <c r="M31" s="147"/>
      <c r="N31" s="147"/>
      <c r="O31" s="147"/>
      <c r="P31" s="147"/>
      <c r="Q31" s="147"/>
      <c r="R31" s="551">
        <f t="shared" si="11"/>
        <v>806680</v>
      </c>
      <c r="S31" s="147">
        <f t="shared" si="12"/>
        <v>806680</v>
      </c>
      <c r="T31" s="147"/>
      <c r="U31" s="143"/>
    </row>
    <row r="32" spans="1:21" s="144" customFormat="1">
      <c r="A32" s="145" t="s">
        <v>138</v>
      </c>
      <c r="B32" s="146">
        <f t="shared" si="9"/>
        <v>610532</v>
      </c>
      <c r="C32" s="147">
        <f>1221064/2</f>
        <v>610532</v>
      </c>
      <c r="D32" s="147"/>
      <c r="E32" s="147">
        <f t="shared" si="10"/>
        <v>0</v>
      </c>
      <c r="F32" s="147">
        <f t="shared" si="13"/>
        <v>610532</v>
      </c>
      <c r="G32" s="147"/>
      <c r="H32" s="147"/>
      <c r="I32" s="147"/>
      <c r="J32" s="147"/>
      <c r="K32" s="147"/>
      <c r="L32" s="147"/>
      <c r="M32" s="147"/>
      <c r="N32" s="147"/>
      <c r="O32" s="147"/>
      <c r="P32" s="147"/>
      <c r="Q32" s="147"/>
      <c r="R32" s="551">
        <f t="shared" si="11"/>
        <v>610532</v>
      </c>
      <c r="S32" s="147">
        <f t="shared" si="12"/>
        <v>610532</v>
      </c>
      <c r="T32" s="147"/>
      <c r="U32" s="143"/>
    </row>
    <row r="33" spans="1:21" s="144" customFormat="1">
      <c r="A33" s="145" t="s">
        <v>139</v>
      </c>
      <c r="B33" s="146">
        <f t="shared" si="9"/>
        <v>610532</v>
      </c>
      <c r="C33" s="147">
        <f>1221064/2</f>
        <v>610532</v>
      </c>
      <c r="D33" s="147"/>
      <c r="E33" s="147">
        <f t="shared" si="10"/>
        <v>0</v>
      </c>
      <c r="F33" s="147">
        <f t="shared" si="13"/>
        <v>610532</v>
      </c>
      <c r="G33" s="147"/>
      <c r="H33" s="147"/>
      <c r="I33" s="147"/>
      <c r="J33" s="147"/>
      <c r="K33" s="147"/>
      <c r="L33" s="147"/>
      <c r="M33" s="147"/>
      <c r="N33" s="147"/>
      <c r="O33" s="147"/>
      <c r="P33" s="147"/>
      <c r="Q33" s="147"/>
      <c r="R33" s="551">
        <f t="shared" si="11"/>
        <v>610532</v>
      </c>
      <c r="S33" s="147">
        <f t="shared" si="12"/>
        <v>610532</v>
      </c>
      <c r="T33" s="147"/>
      <c r="U33" s="143"/>
    </row>
    <row r="34" spans="1:21" s="144" customFormat="1">
      <c r="A34" s="145" t="s">
        <v>140</v>
      </c>
      <c r="B34" s="146">
        <f t="shared" si="9"/>
        <v>0</v>
      </c>
      <c r="C34" s="147"/>
      <c r="D34" s="147"/>
      <c r="E34" s="147">
        <f t="shared" si="10"/>
        <v>0</v>
      </c>
      <c r="F34" s="147">
        <f t="shared" si="13"/>
        <v>0</v>
      </c>
      <c r="G34" s="147"/>
      <c r="H34" s="147"/>
      <c r="I34" s="147"/>
      <c r="J34" s="147"/>
      <c r="K34" s="147"/>
      <c r="L34" s="147"/>
      <c r="M34" s="147"/>
      <c r="N34" s="147"/>
      <c r="O34" s="147"/>
      <c r="P34" s="147"/>
      <c r="Q34" s="147"/>
      <c r="R34" s="551">
        <f t="shared" si="11"/>
        <v>0</v>
      </c>
      <c r="S34" s="147">
        <f t="shared" si="12"/>
        <v>0</v>
      </c>
      <c r="T34" s="147"/>
      <c r="U34" s="143"/>
    </row>
    <row r="35" spans="1:21" s="144" customFormat="1">
      <c r="A35" s="145" t="s">
        <v>141</v>
      </c>
      <c r="B35" s="146">
        <f t="shared" si="9"/>
        <v>329687</v>
      </c>
      <c r="C35" s="147">
        <v>329687</v>
      </c>
      <c r="D35" s="147"/>
      <c r="E35" s="147">
        <f t="shared" si="10"/>
        <v>0</v>
      </c>
      <c r="F35" s="147">
        <f t="shared" si="13"/>
        <v>329687</v>
      </c>
      <c r="G35" s="147"/>
      <c r="H35" s="147"/>
      <c r="I35" s="147"/>
      <c r="J35" s="147"/>
      <c r="K35" s="147"/>
      <c r="L35" s="147"/>
      <c r="M35" s="147"/>
      <c r="N35" s="147"/>
      <c r="O35" s="147"/>
      <c r="P35" s="147"/>
      <c r="Q35" s="147"/>
      <c r="R35" s="551">
        <f t="shared" si="11"/>
        <v>329687</v>
      </c>
      <c r="S35" s="147">
        <f t="shared" si="12"/>
        <v>329687</v>
      </c>
      <c r="T35" s="147"/>
      <c r="U35" s="143"/>
    </row>
    <row r="36" spans="1:21" s="144" customFormat="1">
      <c r="A36" s="304" t="s">
        <v>1820</v>
      </c>
      <c r="B36" s="146">
        <f t="shared" si="9"/>
        <v>250000</v>
      </c>
      <c r="C36" s="147">
        <v>250000</v>
      </c>
      <c r="D36" s="147"/>
      <c r="E36" s="147">
        <f t="shared" si="10"/>
        <v>0</v>
      </c>
      <c r="F36" s="147">
        <f t="shared" si="13"/>
        <v>250000</v>
      </c>
      <c r="G36" s="147"/>
      <c r="H36" s="147"/>
      <c r="I36" s="147"/>
      <c r="J36" s="147"/>
      <c r="K36" s="147"/>
      <c r="L36" s="147"/>
      <c r="M36" s="147"/>
      <c r="N36" s="147"/>
      <c r="O36" s="147"/>
      <c r="P36" s="147"/>
      <c r="Q36" s="147"/>
      <c r="R36" s="551">
        <f t="shared" si="11"/>
        <v>250000</v>
      </c>
      <c r="S36" s="147">
        <v>250000</v>
      </c>
      <c r="T36" s="147"/>
      <c r="U36" s="143"/>
    </row>
    <row r="37" spans="1:21" s="144" customFormat="1">
      <c r="A37" s="1202" t="s">
        <v>34</v>
      </c>
      <c r="B37" s="146">
        <f t="shared" si="9"/>
        <v>0</v>
      </c>
      <c r="C37" s="147"/>
      <c r="D37" s="147"/>
      <c r="E37" s="147">
        <f t="shared" si="10"/>
        <v>0</v>
      </c>
      <c r="F37" s="147">
        <f t="shared" si="13"/>
        <v>0</v>
      </c>
      <c r="G37" s="147"/>
      <c r="H37" s="147"/>
      <c r="I37" s="147"/>
      <c r="J37" s="147"/>
      <c r="K37" s="147"/>
      <c r="L37" s="147"/>
      <c r="M37" s="147"/>
      <c r="N37" s="147"/>
      <c r="O37" s="147"/>
      <c r="P37" s="147"/>
      <c r="Q37" s="147"/>
      <c r="R37" s="551">
        <f t="shared" si="11"/>
        <v>0</v>
      </c>
      <c r="S37" s="147"/>
      <c r="T37" s="147"/>
      <c r="U37" s="143"/>
    </row>
    <row r="38" spans="1:21" s="144" customFormat="1">
      <c r="A38" s="149" t="s">
        <v>144</v>
      </c>
      <c r="B38" s="146">
        <f t="shared" si="9"/>
        <v>16539188</v>
      </c>
      <c r="C38" s="146">
        <f>SUM(C29:C37)</f>
        <v>16539188</v>
      </c>
      <c r="D38" s="146">
        <f t="shared" ref="D38:Q38" si="14">SUM(D29:D37)</f>
        <v>0</v>
      </c>
      <c r="E38" s="146">
        <f t="shared" si="14"/>
        <v>0</v>
      </c>
      <c r="F38" s="146">
        <f t="shared" si="14"/>
        <v>4719159</v>
      </c>
      <c r="G38" s="146">
        <f t="shared" si="14"/>
        <v>3000000</v>
      </c>
      <c r="H38" s="146">
        <f t="shared" si="14"/>
        <v>0</v>
      </c>
      <c r="I38" s="146">
        <f t="shared" si="14"/>
        <v>4170029</v>
      </c>
      <c r="J38" s="146">
        <f t="shared" si="14"/>
        <v>4650000</v>
      </c>
      <c r="K38" s="146">
        <f t="shared" si="14"/>
        <v>0</v>
      </c>
      <c r="L38" s="146">
        <f t="shared" si="14"/>
        <v>0</v>
      </c>
      <c r="M38" s="146">
        <f t="shared" si="14"/>
        <v>0</v>
      </c>
      <c r="N38" s="146">
        <f t="shared" si="14"/>
        <v>0</v>
      </c>
      <c r="O38" s="146">
        <f t="shared" si="14"/>
        <v>0</v>
      </c>
      <c r="P38" s="146">
        <f t="shared" si="14"/>
        <v>0</v>
      </c>
      <c r="Q38" s="146">
        <f t="shared" si="14"/>
        <v>0</v>
      </c>
      <c r="R38" s="371">
        <f>SUM(R29:R37)</f>
        <v>16539188</v>
      </c>
      <c r="S38" s="150">
        <f>SUM(S29:S37)</f>
        <v>16539188</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749179</v>
      </c>
      <c r="C40" s="147">
        <f>5829+509200+7350+26800+200000</f>
        <v>749179</v>
      </c>
      <c r="D40" s="147"/>
      <c r="E40" s="147">
        <f t="shared" ref="E40:E41" si="15">C40-SUM(F40:Q40)</f>
        <v>749179</v>
      </c>
      <c r="F40" s="147"/>
      <c r="G40" s="147"/>
      <c r="H40" s="147"/>
      <c r="I40" s="147"/>
      <c r="J40" s="147"/>
      <c r="K40" s="147"/>
      <c r="L40" s="147"/>
      <c r="M40" s="147"/>
      <c r="N40" s="147"/>
      <c r="O40" s="147"/>
      <c r="P40" s="147"/>
      <c r="Q40" s="147"/>
      <c r="R40" s="551">
        <f>SUM(E40:Q40)</f>
        <v>749179</v>
      </c>
      <c r="S40" s="147">
        <f>C40</f>
        <v>749179</v>
      </c>
      <c r="T40" s="147"/>
      <c r="U40" s="143"/>
    </row>
    <row r="41" spans="1:21" s="144" customFormat="1">
      <c r="A41" s="145" t="s">
        <v>147</v>
      </c>
      <c r="B41" s="146">
        <f>SUM(C41+D41)</f>
        <v>302500</v>
      </c>
      <c r="C41" s="147">
        <f>120600+181900</f>
        <v>302500</v>
      </c>
      <c r="D41" s="147"/>
      <c r="E41" s="147">
        <f t="shared" si="15"/>
        <v>302500</v>
      </c>
      <c r="F41" s="147"/>
      <c r="G41" s="147"/>
      <c r="H41" s="147"/>
      <c r="I41" s="147"/>
      <c r="J41" s="147"/>
      <c r="K41" s="147"/>
      <c r="L41" s="147"/>
      <c r="M41" s="147"/>
      <c r="N41" s="147"/>
      <c r="O41" s="147"/>
      <c r="P41" s="147"/>
      <c r="Q41" s="147"/>
      <c r="R41" s="551">
        <f>SUM(E41:Q41)</f>
        <v>302500</v>
      </c>
      <c r="S41" s="147">
        <f>C41</f>
        <v>302500</v>
      </c>
      <c r="T41" s="147"/>
      <c r="U41" s="143"/>
    </row>
    <row r="42" spans="1:21" s="144" customFormat="1">
      <c r="A42" s="149" t="s">
        <v>148</v>
      </c>
      <c r="B42" s="146">
        <f>SUM(C42:D42)</f>
        <v>1051679</v>
      </c>
      <c r="C42" s="146">
        <f>SUM(C39:C41)</f>
        <v>1051679</v>
      </c>
      <c r="D42" s="146">
        <f>SUM(D39:D41)</f>
        <v>0</v>
      </c>
      <c r="E42" s="146">
        <f t="shared" ref="E42:T42" si="16">SUM(E40:E41)</f>
        <v>1051679</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1">
        <f>SUM(R40:R41)</f>
        <v>1051679</v>
      </c>
      <c r="S42" s="150">
        <f t="shared" si="16"/>
        <v>1051679</v>
      </c>
      <c r="T42" s="150">
        <f t="shared" si="16"/>
        <v>0</v>
      </c>
      <c r="U42" s="143"/>
    </row>
    <row r="43" spans="1:21" s="144" customFormat="1">
      <c r="A43" s="149" t="s">
        <v>149</v>
      </c>
      <c r="B43" s="146">
        <f>SUM(C43:D43)</f>
        <v>194146</v>
      </c>
      <c r="C43" s="147">
        <v>194146</v>
      </c>
      <c r="D43" s="147"/>
      <c r="E43" s="147">
        <f>C43-SUM(F43:Q43)</f>
        <v>194146</v>
      </c>
      <c r="F43" s="147"/>
      <c r="G43" s="147"/>
      <c r="H43" s="147"/>
      <c r="I43" s="147"/>
      <c r="J43" s="147"/>
      <c r="K43" s="147"/>
      <c r="L43" s="147"/>
      <c r="M43" s="147"/>
      <c r="N43" s="147"/>
      <c r="O43" s="147"/>
      <c r="P43" s="147"/>
      <c r="Q43" s="147"/>
      <c r="R43" s="551">
        <f>SUM(E43:Q43)</f>
        <v>194146</v>
      </c>
      <c r="S43" s="147">
        <f>C43</f>
        <v>194146</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7">SUM(C45+D45)</f>
        <v>1202293</v>
      </c>
      <c r="C45" s="147">
        <f>1202294-1</f>
        <v>1202293</v>
      </c>
      <c r="D45" s="147"/>
      <c r="E45" s="147">
        <f t="shared" ref="E45:E53" si="18">C45-SUM(F45:Q45)</f>
        <v>713071</v>
      </c>
      <c r="F45" s="147">
        <v>489222</v>
      </c>
      <c r="G45" s="147"/>
      <c r="H45" s="147"/>
      <c r="I45" s="147"/>
      <c r="J45" s="147"/>
      <c r="K45" s="147"/>
      <c r="L45" s="147"/>
      <c r="M45" s="147"/>
      <c r="N45" s="147"/>
      <c r="O45" s="147"/>
      <c r="P45" s="147"/>
      <c r="Q45" s="147"/>
      <c r="R45" s="551">
        <f t="shared" ref="R45:R53" si="19">SUM(E45:Q45)</f>
        <v>1202293</v>
      </c>
      <c r="S45" s="147">
        <v>963235</v>
      </c>
      <c r="T45" s="147"/>
      <c r="U45" s="143"/>
    </row>
    <row r="46" spans="1:21" s="144" customFormat="1">
      <c r="A46" s="145" t="s">
        <v>152</v>
      </c>
      <c r="B46" s="146">
        <f t="shared" si="17"/>
        <v>187774</v>
      </c>
      <c r="C46" s="147">
        <v>187774</v>
      </c>
      <c r="D46" s="147"/>
      <c r="E46" s="147">
        <f t="shared" si="18"/>
        <v>187774</v>
      </c>
      <c r="F46" s="147"/>
      <c r="G46" s="147"/>
      <c r="H46" s="147"/>
      <c r="I46" s="147"/>
      <c r="J46" s="147"/>
      <c r="K46" s="147"/>
      <c r="L46" s="147"/>
      <c r="M46" s="147"/>
      <c r="N46" s="147"/>
      <c r="O46" s="147"/>
      <c r="P46" s="147"/>
      <c r="Q46" s="147"/>
      <c r="R46" s="551">
        <f t="shared" si="19"/>
        <v>187774</v>
      </c>
      <c r="S46" s="147">
        <v>150438</v>
      </c>
      <c r="T46" s="147"/>
      <c r="U46" s="143"/>
    </row>
    <row r="47" spans="1:21" s="144" customFormat="1">
      <c r="A47" s="198" t="s">
        <v>153</v>
      </c>
      <c r="B47" s="146">
        <f t="shared" si="17"/>
        <v>0</v>
      </c>
      <c r="C47" s="147"/>
      <c r="D47" s="147"/>
      <c r="E47" s="147">
        <f t="shared" si="18"/>
        <v>0</v>
      </c>
      <c r="F47" s="147"/>
      <c r="G47" s="147"/>
      <c r="H47" s="147"/>
      <c r="I47" s="147"/>
      <c r="J47" s="147"/>
      <c r="K47" s="147"/>
      <c r="L47" s="147"/>
      <c r="M47" s="147"/>
      <c r="N47" s="147"/>
      <c r="O47" s="147"/>
      <c r="P47" s="147"/>
      <c r="Q47" s="147"/>
      <c r="R47" s="551">
        <f t="shared" si="19"/>
        <v>0</v>
      </c>
      <c r="S47" s="147"/>
      <c r="T47" s="147"/>
      <c r="U47" s="143"/>
    </row>
    <row r="48" spans="1:21" s="144" customFormat="1">
      <c r="A48" s="145" t="s">
        <v>154</v>
      </c>
      <c r="B48" s="146">
        <f t="shared" si="17"/>
        <v>164844</v>
      </c>
      <c r="C48" s="147">
        <v>164844</v>
      </c>
      <c r="D48" s="147"/>
      <c r="E48" s="147">
        <f t="shared" si="18"/>
        <v>164844</v>
      </c>
      <c r="F48" s="147"/>
      <c r="G48" s="147"/>
      <c r="H48" s="147"/>
      <c r="I48" s="147"/>
      <c r="J48" s="147"/>
      <c r="K48" s="147"/>
      <c r="L48" s="147"/>
      <c r="M48" s="147"/>
      <c r="N48" s="147"/>
      <c r="O48" s="147"/>
      <c r="P48" s="147"/>
      <c r="Q48" s="147"/>
      <c r="R48" s="551">
        <f t="shared" si="19"/>
        <v>164844</v>
      </c>
      <c r="S48" s="147">
        <f>C48</f>
        <v>164844</v>
      </c>
      <c r="T48" s="147"/>
      <c r="U48" s="143"/>
    </row>
    <row r="49" spans="1:21" s="144" customFormat="1">
      <c r="A49" s="145" t="s">
        <v>57</v>
      </c>
      <c r="B49" s="146">
        <f t="shared" si="17"/>
        <v>215000</v>
      </c>
      <c r="C49" s="147">
        <v>215000</v>
      </c>
      <c r="D49" s="147"/>
      <c r="E49" s="147">
        <f t="shared" si="18"/>
        <v>215000</v>
      </c>
      <c r="F49" s="147"/>
      <c r="G49" s="147"/>
      <c r="H49" s="147"/>
      <c r="I49" s="147"/>
      <c r="J49" s="147"/>
      <c r="K49" s="147"/>
      <c r="L49" s="147"/>
      <c r="M49" s="147"/>
      <c r="N49" s="147"/>
      <c r="O49" s="147"/>
      <c r="P49" s="147"/>
      <c r="Q49" s="147"/>
      <c r="R49" s="551">
        <f t="shared" si="19"/>
        <v>215000</v>
      </c>
      <c r="S49" s="147">
        <f>C49</f>
        <v>215000</v>
      </c>
      <c r="T49" s="147"/>
      <c r="U49" s="143"/>
    </row>
    <row r="50" spans="1:21" s="144" customFormat="1">
      <c r="A50" s="145" t="s">
        <v>157</v>
      </c>
      <c r="B50" s="146">
        <f t="shared" si="17"/>
        <v>60000</v>
      </c>
      <c r="C50" s="147">
        <v>60000</v>
      </c>
      <c r="D50" s="147"/>
      <c r="E50" s="147">
        <f t="shared" si="18"/>
        <v>60000</v>
      </c>
      <c r="F50" s="147"/>
      <c r="G50" s="147"/>
      <c r="H50" s="147"/>
      <c r="I50" s="147"/>
      <c r="J50" s="147"/>
      <c r="K50" s="147"/>
      <c r="L50" s="147"/>
      <c r="M50" s="147"/>
      <c r="N50" s="147"/>
      <c r="O50" s="147"/>
      <c r="P50" s="147"/>
      <c r="Q50" s="147"/>
      <c r="R50" s="551">
        <f t="shared" si="19"/>
        <v>60000</v>
      </c>
      <c r="S50" s="147">
        <v>25000</v>
      </c>
      <c r="T50" s="147"/>
      <c r="U50" s="143"/>
    </row>
    <row r="51" spans="1:21" s="144" customFormat="1">
      <c r="A51" s="304" t="s">
        <v>155</v>
      </c>
      <c r="B51" s="146">
        <f t="shared" si="17"/>
        <v>0</v>
      </c>
      <c r="C51" s="147"/>
      <c r="D51" s="147"/>
      <c r="E51" s="147">
        <f t="shared" si="18"/>
        <v>0</v>
      </c>
      <c r="F51" s="147"/>
      <c r="G51" s="147"/>
      <c r="H51" s="147"/>
      <c r="I51" s="147"/>
      <c r="J51" s="147"/>
      <c r="K51" s="147"/>
      <c r="L51" s="147"/>
      <c r="M51" s="147"/>
      <c r="N51" s="147"/>
      <c r="O51" s="147"/>
      <c r="P51" s="147"/>
      <c r="Q51" s="147"/>
      <c r="R51" s="551">
        <f t="shared" si="19"/>
        <v>0</v>
      </c>
      <c r="S51" s="147"/>
      <c r="T51" s="147"/>
      <c r="U51" s="143"/>
    </row>
    <row r="52" spans="1:21" s="144" customFormat="1">
      <c r="A52" s="145" t="s">
        <v>156</v>
      </c>
      <c r="B52" s="146">
        <f t="shared" si="17"/>
        <v>0</v>
      </c>
      <c r="C52" s="147"/>
      <c r="D52" s="147"/>
      <c r="E52" s="147">
        <f t="shared" si="18"/>
        <v>0</v>
      </c>
      <c r="F52" s="147"/>
      <c r="G52" s="147"/>
      <c r="H52" s="147"/>
      <c r="I52" s="147"/>
      <c r="J52" s="147"/>
      <c r="K52" s="147"/>
      <c r="L52" s="147"/>
      <c r="M52" s="147"/>
      <c r="N52" s="147"/>
      <c r="O52" s="147"/>
      <c r="P52" s="147"/>
      <c r="Q52" s="147"/>
      <c r="R52" s="551">
        <f t="shared" si="19"/>
        <v>0</v>
      </c>
      <c r="S52" s="147"/>
      <c r="T52" s="147"/>
      <c r="U52" s="143"/>
    </row>
    <row r="53" spans="1:21" s="144" customFormat="1">
      <c r="A53" s="1202" t="s">
        <v>34</v>
      </c>
      <c r="B53" s="146">
        <f t="shared" si="17"/>
        <v>0</v>
      </c>
      <c r="C53" s="147"/>
      <c r="D53" s="147"/>
      <c r="E53" s="147">
        <f t="shared" si="18"/>
        <v>0</v>
      </c>
      <c r="F53" s="147"/>
      <c r="G53" s="147"/>
      <c r="H53" s="147"/>
      <c r="I53" s="147"/>
      <c r="J53" s="147"/>
      <c r="K53" s="147"/>
      <c r="L53" s="147"/>
      <c r="M53" s="147"/>
      <c r="N53" s="147"/>
      <c r="O53" s="147"/>
      <c r="P53" s="147"/>
      <c r="Q53" s="147"/>
      <c r="R53" s="551">
        <f t="shared" si="19"/>
        <v>0</v>
      </c>
      <c r="S53" s="147"/>
      <c r="T53" s="147"/>
      <c r="U53" s="143"/>
    </row>
    <row r="54" spans="1:21" s="153" customFormat="1">
      <c r="A54" s="149" t="s">
        <v>158</v>
      </c>
      <c r="B54" s="150">
        <f>SUM(C54:D54)</f>
        <v>1829911</v>
      </c>
      <c r="C54" s="150">
        <f t="shared" ref="C54:T54" si="20">SUM(C45:C53)</f>
        <v>1829911</v>
      </c>
      <c r="D54" s="150">
        <f t="shared" si="20"/>
        <v>0</v>
      </c>
      <c r="E54" s="150">
        <f t="shared" si="20"/>
        <v>1340689</v>
      </c>
      <c r="F54" s="150">
        <f t="shared" si="20"/>
        <v>489222</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71">
        <f t="shared" si="20"/>
        <v>1829911</v>
      </c>
      <c r="S54" s="150">
        <f t="shared" si="20"/>
        <v>1518517</v>
      </c>
      <c r="T54" s="150">
        <f t="shared" si="20"/>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1">SUM(C56+D56)</f>
        <v>0</v>
      </c>
      <c r="C56" s="147"/>
      <c r="D56" s="147"/>
      <c r="E56" s="147"/>
      <c r="F56" s="147"/>
      <c r="G56" s="147"/>
      <c r="H56" s="147"/>
      <c r="I56" s="147"/>
      <c r="J56" s="147"/>
      <c r="K56" s="147"/>
      <c r="L56" s="147"/>
      <c r="M56" s="147"/>
      <c r="N56" s="147"/>
      <c r="O56" s="147"/>
      <c r="P56" s="147"/>
      <c r="Q56" s="147"/>
      <c r="R56" s="551">
        <f t="shared" ref="R56:R61" si="22">SUM(E56:Q56)</f>
        <v>0</v>
      </c>
      <c r="S56" s="148"/>
      <c r="T56" s="148"/>
      <c r="U56" s="143"/>
    </row>
    <row r="57" spans="1:21" s="204" customFormat="1">
      <c r="A57" s="198" t="s">
        <v>153</v>
      </c>
      <c r="B57" s="205">
        <f t="shared" si="21"/>
        <v>0</v>
      </c>
      <c r="C57" s="202"/>
      <c r="D57" s="202"/>
      <c r="E57" s="202"/>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1"/>
        <v>0</v>
      </c>
      <c r="C58" s="147"/>
      <c r="D58" s="147"/>
      <c r="E58" s="147"/>
      <c r="F58" s="147"/>
      <c r="G58" s="147"/>
      <c r="H58" s="147"/>
      <c r="I58" s="147"/>
      <c r="J58" s="147"/>
      <c r="K58" s="147"/>
      <c r="L58" s="147"/>
      <c r="M58" s="147"/>
      <c r="N58" s="147"/>
      <c r="O58" s="147"/>
      <c r="P58" s="147"/>
      <c r="Q58" s="147"/>
      <c r="R58" s="551">
        <f t="shared" si="22"/>
        <v>0</v>
      </c>
      <c r="S58" s="148"/>
      <c r="T58" s="148"/>
      <c r="U58" s="143"/>
    </row>
    <row r="59" spans="1:21" s="144" customFormat="1">
      <c r="A59" s="304" t="s">
        <v>155</v>
      </c>
      <c r="B59" s="146">
        <f t="shared" si="21"/>
        <v>0</v>
      </c>
      <c r="C59" s="147"/>
      <c r="D59" s="147"/>
      <c r="E59" s="147"/>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1"/>
        <v>0</v>
      </c>
      <c r="C60" s="147"/>
      <c r="D60" s="147"/>
      <c r="E60" s="147"/>
      <c r="F60" s="147"/>
      <c r="G60" s="147"/>
      <c r="H60" s="147"/>
      <c r="I60" s="147"/>
      <c r="J60" s="147"/>
      <c r="K60" s="147"/>
      <c r="L60" s="147"/>
      <c r="M60" s="147"/>
      <c r="N60" s="147"/>
      <c r="O60" s="147"/>
      <c r="P60" s="147"/>
      <c r="Q60" s="147"/>
      <c r="R60" s="551">
        <f t="shared" si="22"/>
        <v>0</v>
      </c>
      <c r="S60" s="148"/>
      <c r="T60" s="148"/>
      <c r="U60" s="143"/>
    </row>
    <row r="61" spans="1:21" s="144" customFormat="1">
      <c r="A61" s="1202" t="s">
        <v>34</v>
      </c>
      <c r="B61" s="146">
        <f t="shared" si="21"/>
        <v>0</v>
      </c>
      <c r="C61" s="147"/>
      <c r="D61" s="147"/>
      <c r="E61" s="147"/>
      <c r="F61" s="147"/>
      <c r="G61" s="147"/>
      <c r="H61" s="147"/>
      <c r="I61" s="147"/>
      <c r="J61" s="147"/>
      <c r="K61" s="147"/>
      <c r="L61" s="147"/>
      <c r="M61" s="147"/>
      <c r="N61" s="147"/>
      <c r="O61" s="147"/>
      <c r="P61" s="147"/>
      <c r="Q61" s="147"/>
      <c r="R61" s="551">
        <f t="shared" si="22"/>
        <v>0</v>
      </c>
      <c r="S61" s="148"/>
      <c r="T61" s="148"/>
      <c r="U61" s="143"/>
    </row>
    <row r="62" spans="1:21" s="144" customFormat="1" ht="13.7" customHeight="1">
      <c r="A62" s="149" t="s">
        <v>303</v>
      </c>
      <c r="B62" s="146">
        <f>SUM(C62:D62)</f>
        <v>0</v>
      </c>
      <c r="C62" s="146">
        <f t="shared" ref="C62:R62" si="23">SUM(C56:C61)</f>
        <v>0</v>
      </c>
      <c r="D62" s="146">
        <f t="shared" si="23"/>
        <v>0</v>
      </c>
      <c r="E62" s="146">
        <f t="shared" si="23"/>
        <v>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0</v>
      </c>
      <c r="S62" s="148"/>
      <c r="T62" s="148"/>
      <c r="U62" s="143"/>
    </row>
    <row r="63" spans="1:21" s="144" customFormat="1">
      <c r="A63" s="154" t="s">
        <v>304</v>
      </c>
      <c r="B63" s="146">
        <f t="shared" ref="B63:R63" si="24">SUM(B8+B11+B13+B14+B15+B26+B27+B38+B42+B43+B54+B62)</f>
        <v>25906543</v>
      </c>
      <c r="C63" s="146">
        <f t="shared" si="24"/>
        <v>25906543</v>
      </c>
      <c r="D63" s="146">
        <f t="shared" si="24"/>
        <v>0</v>
      </c>
      <c r="E63" s="146">
        <f t="shared" si="24"/>
        <v>2586514</v>
      </c>
      <c r="F63" s="146">
        <f t="shared" si="24"/>
        <v>5750000</v>
      </c>
      <c r="G63" s="146">
        <f t="shared" si="24"/>
        <v>3000000</v>
      </c>
      <c r="H63" s="146">
        <f t="shared" si="24"/>
        <v>5750000</v>
      </c>
      <c r="I63" s="146">
        <f t="shared" si="24"/>
        <v>4170029</v>
      </c>
      <c r="J63" s="146">
        <f t="shared" si="24"/>
        <v>4650000</v>
      </c>
      <c r="K63" s="146">
        <f t="shared" si="24"/>
        <v>0</v>
      </c>
      <c r="L63" s="146">
        <f t="shared" si="24"/>
        <v>0</v>
      </c>
      <c r="M63" s="146">
        <f t="shared" si="24"/>
        <v>0</v>
      </c>
      <c r="N63" s="146">
        <f t="shared" si="24"/>
        <v>0</v>
      </c>
      <c r="O63" s="146">
        <f t="shared" si="24"/>
        <v>0</v>
      </c>
      <c r="P63" s="146">
        <f t="shared" si="24"/>
        <v>0</v>
      </c>
      <c r="Q63" s="146">
        <f t="shared" si="24"/>
        <v>0</v>
      </c>
      <c r="R63" s="371">
        <f t="shared" si="24"/>
        <v>25906543</v>
      </c>
      <c r="S63" s="146">
        <f>SUM(S10+S13+S14+S15+S26+S27+S38+S42+S43+S54)</f>
        <v>19683530</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163750</v>
      </c>
      <c r="C65" s="147">
        <f>10000+35000+83750+35000</f>
        <v>163750</v>
      </c>
      <c r="D65" s="147"/>
      <c r="E65" s="147">
        <f t="shared" ref="E65:E69" si="25">C65-SUM(F65:Q65)</f>
        <v>163750</v>
      </c>
      <c r="F65" s="147"/>
      <c r="G65" s="147"/>
      <c r="H65" s="147"/>
      <c r="I65" s="147"/>
      <c r="J65" s="147"/>
      <c r="K65" s="147"/>
      <c r="L65" s="147"/>
      <c r="M65" s="147"/>
      <c r="N65" s="147"/>
      <c r="O65" s="147"/>
      <c r="P65" s="147"/>
      <c r="Q65" s="147"/>
      <c r="R65" s="551">
        <f>SUM(E65:Q65)</f>
        <v>163750</v>
      </c>
      <c r="S65" s="147">
        <v>35000</v>
      </c>
      <c r="T65" s="147"/>
      <c r="U65" s="143"/>
    </row>
    <row r="66" spans="1:21" s="144" customFormat="1" ht="24" customHeight="1">
      <c r="A66" s="304" t="s">
        <v>1821</v>
      </c>
      <c r="B66" s="146">
        <f>SUM(C66+D66)</f>
        <v>250000</v>
      </c>
      <c r="C66" s="147">
        <f>250000</f>
        <v>250000</v>
      </c>
      <c r="D66" s="147"/>
      <c r="E66" s="147">
        <f t="shared" si="25"/>
        <v>250000</v>
      </c>
      <c r="F66" s="147"/>
      <c r="G66" s="147"/>
      <c r="H66" s="147"/>
      <c r="I66" s="147"/>
      <c r="J66" s="147"/>
      <c r="K66" s="147"/>
      <c r="L66" s="147"/>
      <c r="M66" s="147"/>
      <c r="N66" s="147"/>
      <c r="O66" s="147"/>
      <c r="P66" s="147"/>
      <c r="Q66" s="147"/>
      <c r="R66" s="551">
        <f>SUM(E66:Q66)</f>
        <v>250000</v>
      </c>
      <c r="S66" s="147">
        <f>C66</f>
        <v>250000</v>
      </c>
      <c r="T66" s="147"/>
      <c r="U66" s="143"/>
    </row>
    <row r="67" spans="1:21" s="144" customFormat="1" ht="24" customHeight="1">
      <c r="A67" s="304" t="s">
        <v>1822</v>
      </c>
      <c r="B67" s="146">
        <f>SUM(C67+D67)</f>
        <v>0</v>
      </c>
      <c r="C67" s="147"/>
      <c r="D67" s="147"/>
      <c r="E67" s="147">
        <f t="shared" si="25"/>
        <v>0</v>
      </c>
      <c r="F67" s="147"/>
      <c r="G67" s="147"/>
      <c r="H67" s="147"/>
      <c r="I67" s="147"/>
      <c r="J67" s="147"/>
      <c r="K67" s="147"/>
      <c r="L67" s="147"/>
      <c r="M67" s="147"/>
      <c r="N67" s="147"/>
      <c r="O67" s="147"/>
      <c r="P67" s="147"/>
      <c r="Q67" s="147"/>
      <c r="R67" s="551">
        <f>SUM(E67:Q67)</f>
        <v>0</v>
      </c>
      <c r="S67" s="147">
        <f>C67</f>
        <v>0</v>
      </c>
      <c r="T67" s="147"/>
      <c r="U67" s="143"/>
    </row>
    <row r="68" spans="1:21" s="144" customFormat="1" ht="12" customHeight="1">
      <c r="A68" s="304" t="s">
        <v>1828</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c r="B69" s="146">
        <f>SUM(C69+D69)</f>
        <v>0</v>
      </c>
      <c r="C69" s="147"/>
      <c r="D69" s="147"/>
      <c r="E69" s="147">
        <f t="shared" si="25"/>
        <v>0</v>
      </c>
      <c r="F69" s="147"/>
      <c r="G69" s="147"/>
      <c r="H69" s="147"/>
      <c r="I69" s="147"/>
      <c r="J69" s="147"/>
      <c r="K69" s="147"/>
      <c r="L69" s="147"/>
      <c r="M69" s="147"/>
      <c r="N69" s="147"/>
      <c r="O69" s="147"/>
      <c r="P69" s="147"/>
      <c r="Q69" s="147"/>
      <c r="R69" s="551">
        <f>SUM(E69:Q69)</f>
        <v>0</v>
      </c>
      <c r="S69" s="147"/>
      <c r="T69" s="147"/>
      <c r="U69" s="143"/>
    </row>
    <row r="70" spans="1:21" s="144" customFormat="1">
      <c r="A70" s="149" t="s">
        <v>1825</v>
      </c>
      <c r="B70" s="146">
        <f>SUM(C70:D70)</f>
        <v>413750</v>
      </c>
      <c r="C70" s="146">
        <f>SUM(C65:C69)</f>
        <v>413750</v>
      </c>
      <c r="D70" s="146">
        <f>SUM(D65:D69)</f>
        <v>0</v>
      </c>
      <c r="E70" s="146">
        <f t="shared" ref="E70:T70" si="26">SUM(E65:E69)</f>
        <v>413750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413750</v>
      </c>
      <c r="S70" s="150">
        <f t="shared" si="26"/>
        <v>285000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33500</v>
      </c>
      <c r="C72" s="147">
        <f>33500</f>
        <v>33500</v>
      </c>
      <c r="D72" s="147"/>
      <c r="E72" s="147">
        <f t="shared" ref="E72:E76" si="27">C72-SUM(F72:Q72)</f>
        <v>33500</v>
      </c>
      <c r="F72" s="147"/>
      <c r="G72" s="147"/>
      <c r="H72" s="147"/>
      <c r="I72" s="147"/>
      <c r="J72" s="147"/>
      <c r="K72" s="147"/>
      <c r="L72" s="147"/>
      <c r="M72" s="147"/>
      <c r="N72" s="147"/>
      <c r="O72" s="147"/>
      <c r="P72" s="147"/>
      <c r="Q72" s="147"/>
      <c r="R72" s="551">
        <f>SUM(E72:Q72)</f>
        <v>33500</v>
      </c>
      <c r="S72" s="148"/>
      <c r="T72" s="148"/>
      <c r="U72" s="143"/>
    </row>
    <row r="73" spans="1:21" s="144" customFormat="1">
      <c r="A73" s="145" t="s">
        <v>613</v>
      </c>
      <c r="B73" s="146">
        <f>SUM(C73+D73)</f>
        <v>453543</v>
      </c>
      <c r="C73" s="147">
        <v>453543</v>
      </c>
      <c r="D73" s="147"/>
      <c r="E73" s="147">
        <f t="shared" si="27"/>
        <v>453543</v>
      </c>
      <c r="F73" s="147"/>
      <c r="G73" s="147"/>
      <c r="H73" s="147"/>
      <c r="I73" s="147"/>
      <c r="J73" s="147"/>
      <c r="K73" s="147"/>
      <c r="L73" s="147"/>
      <c r="M73" s="147"/>
      <c r="N73" s="147"/>
      <c r="O73" s="147"/>
      <c r="P73" s="147"/>
      <c r="Q73" s="147"/>
      <c r="R73" s="551">
        <f>SUM(E73:Q73)</f>
        <v>453543</v>
      </c>
      <c r="S73" s="148"/>
      <c r="T73" s="148"/>
      <c r="U73" s="143"/>
    </row>
    <row r="74" spans="1:21" s="144" customFormat="1">
      <c r="A74" s="485" t="s">
        <v>1040</v>
      </c>
      <c r="B74" s="146">
        <f>SUM(C74+D74)</f>
        <v>33500</v>
      </c>
      <c r="C74" s="147">
        <v>33500</v>
      </c>
      <c r="D74" s="147"/>
      <c r="E74" s="147">
        <f t="shared" si="27"/>
        <v>33500</v>
      </c>
      <c r="F74" s="147"/>
      <c r="G74" s="147"/>
      <c r="H74" s="147"/>
      <c r="I74" s="147"/>
      <c r="J74" s="147"/>
      <c r="K74" s="147"/>
      <c r="L74" s="147"/>
      <c r="M74" s="147"/>
      <c r="N74" s="147"/>
      <c r="O74" s="147"/>
      <c r="P74" s="147"/>
      <c r="Q74" s="147"/>
      <c r="R74" s="551">
        <f>SUM(E74:Q74)</f>
        <v>33500</v>
      </c>
      <c r="S74" s="148"/>
      <c r="T74" s="148"/>
      <c r="U74" s="143"/>
    </row>
    <row r="75" spans="1:21" s="144" customFormat="1">
      <c r="A75" s="145" t="s">
        <v>614</v>
      </c>
      <c r="B75" s="146">
        <f>SUM(C75+D75)</f>
        <v>138850</v>
      </c>
      <c r="C75" s="147">
        <v>138850</v>
      </c>
      <c r="D75" s="147"/>
      <c r="E75" s="147">
        <f t="shared" si="27"/>
        <v>138850</v>
      </c>
      <c r="F75" s="147"/>
      <c r="G75" s="147"/>
      <c r="H75" s="147"/>
      <c r="I75" s="147"/>
      <c r="J75" s="147"/>
      <c r="K75" s="147"/>
      <c r="L75" s="147"/>
      <c r="M75" s="147"/>
      <c r="N75" s="147"/>
      <c r="O75" s="147"/>
      <c r="P75" s="147"/>
      <c r="Q75" s="147"/>
      <c r="R75" s="551">
        <f>SUM(E75:Q75)</f>
        <v>138850</v>
      </c>
      <c r="S75" s="148"/>
      <c r="T75" s="148"/>
      <c r="U75" s="143"/>
    </row>
    <row r="76" spans="1:21" s="144" customFormat="1">
      <c r="A76" s="1202" t="s">
        <v>34</v>
      </c>
      <c r="B76" s="146">
        <f>SUM(C76+D76)</f>
        <v>0</v>
      </c>
      <c r="C76" s="147"/>
      <c r="D76" s="147"/>
      <c r="E76" s="147">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659393</v>
      </c>
      <c r="C77" s="146">
        <f>SUM(C72:C76)</f>
        <v>659393</v>
      </c>
      <c r="D77" s="146">
        <f>SUM(D72:D76)</f>
        <v>0</v>
      </c>
      <c r="E77" s="146">
        <f t="shared" ref="E77:Q77" si="28">SUM(E72:E76)</f>
        <v>659393</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659393</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1664922</v>
      </c>
      <c r="C79" s="147">
        <f>1664921+1</f>
        <v>1664922</v>
      </c>
      <c r="D79" s="147"/>
      <c r="E79" s="147">
        <f t="shared" ref="E79:E80" si="29">C79-SUM(F79:Q79)</f>
        <v>1664922</v>
      </c>
      <c r="F79" s="147"/>
      <c r="G79" s="147"/>
      <c r="H79" s="147"/>
      <c r="I79" s="147"/>
      <c r="J79" s="147"/>
      <c r="K79" s="147"/>
      <c r="L79" s="147"/>
      <c r="M79" s="147"/>
      <c r="N79" s="147"/>
      <c r="O79" s="147"/>
      <c r="P79" s="147"/>
      <c r="Q79" s="147"/>
      <c r="R79" s="551">
        <f>SUM(E79:Q79)</f>
        <v>1664922</v>
      </c>
      <c r="S79" s="147">
        <f>C79</f>
        <v>1664922</v>
      </c>
      <c r="T79" s="147"/>
      <c r="U79" s="143"/>
    </row>
    <row r="80" spans="1:21" s="144" customFormat="1">
      <c r="A80" s="304" t="s">
        <v>58</v>
      </c>
      <c r="B80" s="146">
        <f>SUM(C80:D80)</f>
        <v>250000</v>
      </c>
      <c r="C80" s="147">
        <v>250000</v>
      </c>
      <c r="D80" s="147"/>
      <c r="E80" s="147">
        <f t="shared" si="29"/>
        <v>250000</v>
      </c>
      <c r="F80" s="147"/>
      <c r="G80" s="147"/>
      <c r="H80" s="147"/>
      <c r="I80" s="147"/>
      <c r="J80" s="147"/>
      <c r="K80" s="147"/>
      <c r="L80" s="147"/>
      <c r="M80" s="147"/>
      <c r="N80" s="147"/>
      <c r="O80" s="147"/>
      <c r="P80" s="147"/>
      <c r="Q80" s="147"/>
      <c r="R80" s="551">
        <f>SUM(E80:Q80)</f>
        <v>250000</v>
      </c>
      <c r="S80" s="147">
        <v>125000</v>
      </c>
      <c r="T80" s="147"/>
      <c r="U80" s="143"/>
    </row>
    <row r="81" spans="1:21" s="144" customFormat="1">
      <c r="A81" s="149" t="s">
        <v>1352</v>
      </c>
      <c r="B81" s="146">
        <f>SUM(C81:D81)</f>
        <v>1914922</v>
      </c>
      <c r="C81" s="544">
        <f>SUM(C79:C80)</f>
        <v>1914922</v>
      </c>
      <c r="D81" s="544">
        <f t="shared" ref="D81:T81" si="30">SUM(D79:D80)</f>
        <v>0</v>
      </c>
      <c r="E81" s="544">
        <f t="shared" si="30"/>
        <v>1914922</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1914922</v>
      </c>
      <c r="S81" s="544">
        <f t="shared" si="30"/>
        <v>1789922</v>
      </c>
      <c r="T81" s="544">
        <f t="shared" si="30"/>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2512</v>
      </c>
      <c r="B83" s="146">
        <f t="shared" ref="B83:B95" si="31">SUM(C83+D83)</f>
        <v>102846</v>
      </c>
      <c r="C83" s="147">
        <f>57074+75920-30148</f>
        <v>102846</v>
      </c>
      <c r="D83" s="147"/>
      <c r="E83" s="147">
        <f t="shared" ref="E83:E95" si="32">C83-SUM(F83:Q83)</f>
        <v>102846</v>
      </c>
      <c r="F83" s="147"/>
      <c r="G83" s="147"/>
      <c r="H83" s="147"/>
      <c r="I83" s="147"/>
      <c r="J83" s="147"/>
      <c r="K83" s="147"/>
      <c r="L83" s="147"/>
      <c r="M83" s="147"/>
      <c r="N83" s="147"/>
      <c r="O83" s="147"/>
      <c r="P83" s="147"/>
      <c r="Q83" s="147"/>
      <c r="R83" s="551">
        <f t="shared" ref="R83:R95" si="33">SUM(E83:Q83)</f>
        <v>102846</v>
      </c>
      <c r="S83" s="148"/>
      <c r="T83" s="148"/>
      <c r="U83" s="143"/>
    </row>
    <row r="84" spans="1:21" s="144" customFormat="1">
      <c r="A84" s="145" t="s">
        <v>791</v>
      </c>
      <c r="B84" s="146">
        <f t="shared" si="31"/>
        <v>0</v>
      </c>
      <c r="C84" s="147"/>
      <c r="D84" s="147"/>
      <c r="E84" s="147">
        <f t="shared" si="32"/>
        <v>0</v>
      </c>
      <c r="F84" s="147"/>
      <c r="G84" s="147"/>
      <c r="H84" s="147"/>
      <c r="I84" s="147"/>
      <c r="J84" s="147"/>
      <c r="K84" s="147"/>
      <c r="L84" s="147"/>
      <c r="M84" s="147"/>
      <c r="N84" s="147"/>
      <c r="O84" s="147"/>
      <c r="P84" s="147"/>
      <c r="Q84" s="147"/>
      <c r="R84" s="551">
        <f t="shared" si="33"/>
        <v>0</v>
      </c>
      <c r="S84" s="147"/>
      <c r="T84" s="147"/>
      <c r="U84" s="143"/>
    </row>
    <row r="85" spans="1:21" s="144" customFormat="1">
      <c r="A85" s="145" t="s">
        <v>792</v>
      </c>
      <c r="B85" s="146">
        <f t="shared" si="31"/>
        <v>179179</v>
      </c>
      <c r="C85" s="147">
        <v>179179</v>
      </c>
      <c r="D85" s="147"/>
      <c r="E85" s="147">
        <f t="shared" si="32"/>
        <v>179179</v>
      </c>
      <c r="F85" s="147"/>
      <c r="G85" s="147"/>
      <c r="H85" s="147"/>
      <c r="I85" s="147"/>
      <c r="J85" s="147"/>
      <c r="K85" s="147"/>
      <c r="L85" s="147"/>
      <c r="M85" s="147"/>
      <c r="N85" s="147"/>
      <c r="O85" s="147"/>
      <c r="P85" s="147"/>
      <c r="Q85" s="147"/>
      <c r="R85" s="551">
        <f t="shared" si="33"/>
        <v>179179</v>
      </c>
      <c r="S85" s="147">
        <f>C85</f>
        <v>179179</v>
      </c>
      <c r="T85" s="147"/>
      <c r="U85" s="143"/>
    </row>
    <row r="86" spans="1:21" s="144" customFormat="1">
      <c r="A86" s="145" t="s">
        <v>793</v>
      </c>
      <c r="B86" s="146">
        <f t="shared" si="31"/>
        <v>232500</v>
      </c>
      <c r="C86" s="147">
        <v>232500</v>
      </c>
      <c r="D86" s="147"/>
      <c r="E86" s="147">
        <f t="shared" si="32"/>
        <v>232500</v>
      </c>
      <c r="F86" s="147"/>
      <c r="G86" s="147"/>
      <c r="H86" s="147"/>
      <c r="I86" s="147"/>
      <c r="J86" s="147"/>
      <c r="K86" s="147"/>
      <c r="L86" s="147"/>
      <c r="M86" s="147"/>
      <c r="N86" s="147"/>
      <c r="O86" s="147"/>
      <c r="P86" s="147"/>
      <c r="Q86" s="147"/>
      <c r="R86" s="551">
        <f t="shared" si="33"/>
        <v>232500</v>
      </c>
      <c r="S86" s="147">
        <f>C86</f>
        <v>232500</v>
      </c>
      <c r="T86" s="147"/>
      <c r="U86" s="143"/>
    </row>
    <row r="87" spans="1:21" s="144" customFormat="1">
      <c r="A87" s="145" t="s">
        <v>794</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c r="T87" s="147"/>
      <c r="U87" s="143"/>
    </row>
    <row r="88" spans="1:21" s="144" customFormat="1">
      <c r="A88" s="145" t="s">
        <v>795</v>
      </c>
      <c r="B88" s="146">
        <f t="shared" si="31"/>
        <v>80000</v>
      </c>
      <c r="C88" s="147">
        <f>80000</f>
        <v>80000</v>
      </c>
      <c r="D88" s="147"/>
      <c r="E88" s="147">
        <f t="shared" si="32"/>
        <v>80000</v>
      </c>
      <c r="F88" s="147"/>
      <c r="G88" s="147"/>
      <c r="H88" s="147"/>
      <c r="I88" s="147"/>
      <c r="J88" s="147"/>
      <c r="K88" s="147"/>
      <c r="L88" s="147"/>
      <c r="M88" s="147"/>
      <c r="N88" s="147"/>
      <c r="O88" s="147"/>
      <c r="P88" s="147"/>
      <c r="Q88" s="147"/>
      <c r="R88" s="551">
        <f t="shared" si="33"/>
        <v>80000</v>
      </c>
      <c r="S88" s="148"/>
      <c r="T88" s="148"/>
      <c r="U88" s="143"/>
    </row>
    <row r="89" spans="1:21" s="144" customFormat="1">
      <c r="A89" s="145" t="s">
        <v>796</v>
      </c>
      <c r="B89" s="146">
        <f t="shared" si="31"/>
        <v>150750</v>
      </c>
      <c r="C89" s="147">
        <v>150750</v>
      </c>
      <c r="D89" s="147"/>
      <c r="E89" s="147">
        <f t="shared" si="32"/>
        <v>150750</v>
      </c>
      <c r="F89" s="147"/>
      <c r="G89" s="147"/>
      <c r="H89" s="147"/>
      <c r="I89" s="147"/>
      <c r="J89" s="147"/>
      <c r="K89" s="147"/>
      <c r="L89" s="147"/>
      <c r="M89" s="147"/>
      <c r="N89" s="147"/>
      <c r="O89" s="147"/>
      <c r="P89" s="147"/>
      <c r="Q89" s="147"/>
      <c r="R89" s="551">
        <f t="shared" si="33"/>
        <v>150750</v>
      </c>
      <c r="S89" s="147">
        <v>117250</v>
      </c>
      <c r="T89" s="147"/>
      <c r="U89" s="143"/>
    </row>
    <row r="90" spans="1:21" s="144" customFormat="1">
      <c r="A90" s="145" t="s">
        <v>797</v>
      </c>
      <c r="B90" s="146">
        <f t="shared" si="31"/>
        <v>8000</v>
      </c>
      <c r="C90" s="147">
        <v>8000</v>
      </c>
      <c r="D90" s="147"/>
      <c r="E90" s="147">
        <f t="shared" si="32"/>
        <v>8000</v>
      </c>
      <c r="F90" s="147"/>
      <c r="G90" s="147"/>
      <c r="H90" s="147"/>
      <c r="I90" s="147"/>
      <c r="J90" s="147"/>
      <c r="K90" s="147"/>
      <c r="L90" s="147"/>
      <c r="M90" s="147"/>
      <c r="N90" s="147"/>
      <c r="O90" s="147"/>
      <c r="P90" s="147"/>
      <c r="Q90" s="147"/>
      <c r="R90" s="551">
        <f t="shared" si="33"/>
        <v>8000</v>
      </c>
      <c r="S90" s="147">
        <f>C90</f>
        <v>8000</v>
      </c>
      <c r="T90" s="147"/>
      <c r="U90" s="143"/>
    </row>
    <row r="91" spans="1:21" s="144" customFormat="1">
      <c r="A91" s="145" t="s">
        <v>374</v>
      </c>
      <c r="B91" s="146">
        <f t="shared" si="31"/>
        <v>96950</v>
      </c>
      <c r="C91" s="147">
        <f>56750+23450+16750</f>
        <v>96950</v>
      </c>
      <c r="D91" s="147"/>
      <c r="E91" s="147">
        <f t="shared" si="32"/>
        <v>96950</v>
      </c>
      <c r="F91" s="147"/>
      <c r="G91" s="147"/>
      <c r="H91" s="147"/>
      <c r="I91" s="147"/>
      <c r="J91" s="147"/>
      <c r="K91" s="147"/>
      <c r="L91" s="147"/>
      <c r="M91" s="147"/>
      <c r="N91" s="147"/>
      <c r="O91" s="147"/>
      <c r="P91" s="147"/>
      <c r="Q91" s="147"/>
      <c r="R91" s="551">
        <f t="shared" si="33"/>
        <v>96950</v>
      </c>
      <c r="S91" s="147">
        <f>36750</f>
        <v>36750</v>
      </c>
      <c r="T91" s="147"/>
      <c r="U91" s="143"/>
    </row>
    <row r="92" spans="1:21" s="144" customFormat="1">
      <c r="A92" s="304" t="s">
        <v>1354</v>
      </c>
      <c r="B92" s="146">
        <f t="shared" si="31"/>
        <v>7350</v>
      </c>
      <c r="C92" s="147">
        <v>7350</v>
      </c>
      <c r="D92" s="147"/>
      <c r="E92" s="147">
        <f t="shared" si="32"/>
        <v>7350</v>
      </c>
      <c r="F92" s="147"/>
      <c r="G92" s="147"/>
      <c r="H92" s="147"/>
      <c r="I92" s="147"/>
      <c r="J92" s="147"/>
      <c r="K92" s="147"/>
      <c r="L92" s="147"/>
      <c r="M92" s="147"/>
      <c r="N92" s="147"/>
      <c r="O92" s="147"/>
      <c r="P92" s="147"/>
      <c r="Q92" s="147"/>
      <c r="R92" s="551">
        <f t="shared" si="33"/>
        <v>7350</v>
      </c>
      <c r="S92" s="147"/>
      <c r="T92" s="147"/>
      <c r="U92" s="143"/>
    </row>
    <row r="93" spans="1:21" s="144" customFormat="1">
      <c r="A93" s="1202" t="s">
        <v>2687</v>
      </c>
      <c r="B93" s="146">
        <f t="shared" si="31"/>
        <v>23450</v>
      </c>
      <c r="C93" s="147">
        <v>23450</v>
      </c>
      <c r="D93" s="147"/>
      <c r="E93" s="147">
        <f t="shared" si="32"/>
        <v>23450</v>
      </c>
      <c r="F93" s="147"/>
      <c r="G93" s="147"/>
      <c r="H93" s="147"/>
      <c r="I93" s="147"/>
      <c r="J93" s="147"/>
      <c r="K93" s="147"/>
      <c r="L93" s="147"/>
      <c r="M93" s="147"/>
      <c r="N93" s="147"/>
      <c r="O93" s="147"/>
      <c r="P93" s="147"/>
      <c r="Q93" s="147"/>
      <c r="R93" s="551">
        <f t="shared" si="33"/>
        <v>23450</v>
      </c>
      <c r="S93" s="147">
        <f>C93</f>
        <v>23450</v>
      </c>
      <c r="T93" s="147"/>
      <c r="U93" s="143"/>
    </row>
    <row r="94" spans="1:21" s="144" customFormat="1">
      <c r="A94" s="1202" t="s">
        <v>34</v>
      </c>
      <c r="B94" s="146">
        <f t="shared" si="31"/>
        <v>0</v>
      </c>
      <c r="C94" s="147"/>
      <c r="D94" s="147"/>
      <c r="E94" s="147">
        <f t="shared" si="32"/>
        <v>0</v>
      </c>
      <c r="F94" s="147"/>
      <c r="G94" s="147"/>
      <c r="H94" s="147"/>
      <c r="I94" s="147"/>
      <c r="J94" s="147"/>
      <c r="K94" s="147"/>
      <c r="L94" s="147"/>
      <c r="M94" s="147"/>
      <c r="N94" s="147"/>
      <c r="O94" s="147"/>
      <c r="P94" s="147"/>
      <c r="Q94" s="147"/>
      <c r="R94" s="551">
        <f t="shared" si="33"/>
        <v>0</v>
      </c>
      <c r="S94" s="147"/>
      <c r="T94" s="147"/>
      <c r="U94" s="143"/>
    </row>
    <row r="95" spans="1:21" s="144" customFormat="1">
      <c r="A95" s="1202" t="s">
        <v>34</v>
      </c>
      <c r="B95" s="146">
        <f t="shared" si="31"/>
        <v>0</v>
      </c>
      <c r="C95" s="147"/>
      <c r="D95" s="147"/>
      <c r="E95" s="147">
        <f t="shared" si="32"/>
        <v>0</v>
      </c>
      <c r="F95" s="147"/>
      <c r="G95" s="147"/>
      <c r="H95" s="147"/>
      <c r="I95" s="147"/>
      <c r="J95" s="147"/>
      <c r="K95" s="147"/>
      <c r="L95" s="147"/>
      <c r="M95" s="147"/>
      <c r="N95" s="147"/>
      <c r="O95" s="147"/>
      <c r="P95" s="147"/>
      <c r="Q95" s="147"/>
      <c r="R95" s="551">
        <f t="shared" si="33"/>
        <v>0</v>
      </c>
      <c r="S95" s="147"/>
      <c r="T95" s="147"/>
      <c r="U95" s="143"/>
    </row>
    <row r="96" spans="1:21" s="144" customFormat="1">
      <c r="A96" s="149" t="s">
        <v>798</v>
      </c>
      <c r="B96" s="146">
        <f>SUM(C96:D96)</f>
        <v>881025</v>
      </c>
      <c r="C96" s="146">
        <f t="shared" ref="C96:R96" si="34">SUM(C83:C95)</f>
        <v>881025</v>
      </c>
      <c r="D96" s="146">
        <f t="shared" si="34"/>
        <v>0</v>
      </c>
      <c r="E96" s="146">
        <f t="shared" si="34"/>
        <v>881025</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1">
        <f t="shared" si="34"/>
        <v>881025</v>
      </c>
      <c r="S96" s="150">
        <f>SUM(S84:S87,S89:S95)</f>
        <v>597129</v>
      </c>
      <c r="T96" s="146">
        <f>SUM(T84:T87,T89:T95)</f>
        <v>0</v>
      </c>
      <c r="U96" s="143"/>
    </row>
    <row r="97" spans="1:21" s="144" customFormat="1">
      <c r="A97" s="149" t="s">
        <v>799</v>
      </c>
      <c r="B97" s="146">
        <f>SUM(C97:D97)</f>
        <v>29775633</v>
      </c>
      <c r="C97" s="146">
        <f t="shared" ref="C97:R97" si="35">SUM(C63+C70+C77+C81+C96)</f>
        <v>29775633</v>
      </c>
      <c r="D97" s="146">
        <f t="shared" si="35"/>
        <v>0</v>
      </c>
      <c r="E97" s="146">
        <f t="shared" si="35"/>
        <v>6455604</v>
      </c>
      <c r="F97" s="146">
        <f t="shared" si="35"/>
        <v>5750000</v>
      </c>
      <c r="G97" s="146">
        <f t="shared" si="35"/>
        <v>3000000</v>
      </c>
      <c r="H97" s="146">
        <f t="shared" si="35"/>
        <v>5750000</v>
      </c>
      <c r="I97" s="146">
        <f t="shared" si="35"/>
        <v>4170029</v>
      </c>
      <c r="J97" s="146">
        <f t="shared" si="35"/>
        <v>4650000</v>
      </c>
      <c r="K97" s="146">
        <f t="shared" si="35"/>
        <v>0</v>
      </c>
      <c r="L97" s="146">
        <f t="shared" si="35"/>
        <v>0</v>
      </c>
      <c r="M97" s="146">
        <f t="shared" si="35"/>
        <v>0</v>
      </c>
      <c r="N97" s="146">
        <f t="shared" si="35"/>
        <v>0</v>
      </c>
      <c r="O97" s="146">
        <f t="shared" si="35"/>
        <v>0</v>
      </c>
      <c r="P97" s="146">
        <f t="shared" si="35"/>
        <v>0</v>
      </c>
      <c r="Q97" s="146">
        <f t="shared" si="35"/>
        <v>0</v>
      </c>
      <c r="R97" s="146">
        <f t="shared" si="35"/>
        <v>29775633</v>
      </c>
      <c r="S97" s="146">
        <f>SUM(S63+S70+S81+S96)</f>
        <v>22355581</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3353337</v>
      </c>
      <c r="C99" s="1016">
        <v>3353337</v>
      </c>
      <c r="D99" s="1016"/>
      <c r="E99" s="1016">
        <f t="shared" ref="E99:E103" si="36">C99-SUM(F99:Q99)</f>
        <v>2470834</v>
      </c>
      <c r="F99" s="147"/>
      <c r="G99" s="147"/>
      <c r="H99" s="147"/>
      <c r="I99" s="147"/>
      <c r="J99" s="147"/>
      <c r="K99" s="147">
        <f>K108</f>
        <v>882503</v>
      </c>
      <c r="L99" s="147"/>
      <c r="M99" s="147"/>
      <c r="N99" s="147"/>
      <c r="O99" s="147"/>
      <c r="P99" s="147"/>
      <c r="Q99" s="147"/>
      <c r="R99" s="551">
        <f>SUM(E99:Q99)</f>
        <v>3353337</v>
      </c>
      <c r="S99" s="147">
        <f>C99</f>
        <v>3353337</v>
      </c>
      <c r="T99" s="147"/>
      <c r="U99" s="143"/>
    </row>
    <row r="100" spans="1:21" s="144" customFormat="1">
      <c r="A100" s="304" t="s">
        <v>1826</v>
      </c>
      <c r="B100" s="146">
        <f>SUM(C100+D100)</f>
        <v>0</v>
      </c>
      <c r="C100" s="147"/>
      <c r="D100" s="147"/>
      <c r="E100" s="147">
        <f t="shared" si="36"/>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 t="shared" si="36"/>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f t="shared" si="36"/>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36"/>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3353337</v>
      </c>
      <c r="C104" s="146">
        <f>SUM(C99:C103)</f>
        <v>3353337</v>
      </c>
      <c r="D104" s="146">
        <f t="shared" ref="D104:T104" si="37">SUM(D99:D103)</f>
        <v>0</v>
      </c>
      <c r="E104" s="146">
        <f t="shared" si="37"/>
        <v>2470834</v>
      </c>
      <c r="F104" s="146">
        <f t="shared" si="37"/>
        <v>0</v>
      </c>
      <c r="G104" s="146">
        <f t="shared" si="37"/>
        <v>0</v>
      </c>
      <c r="H104" s="146">
        <f t="shared" si="37"/>
        <v>0</v>
      </c>
      <c r="I104" s="146">
        <f t="shared" si="37"/>
        <v>0</v>
      </c>
      <c r="J104" s="146">
        <f t="shared" si="37"/>
        <v>0</v>
      </c>
      <c r="K104" s="146">
        <f t="shared" si="37"/>
        <v>882503</v>
      </c>
      <c r="L104" s="146">
        <f t="shared" si="37"/>
        <v>0</v>
      </c>
      <c r="M104" s="146">
        <f t="shared" si="37"/>
        <v>0</v>
      </c>
      <c r="N104" s="146">
        <f t="shared" si="37"/>
        <v>0</v>
      </c>
      <c r="O104" s="146">
        <f t="shared" si="37"/>
        <v>0</v>
      </c>
      <c r="P104" s="146">
        <f t="shared" si="37"/>
        <v>0</v>
      </c>
      <c r="Q104" s="146">
        <f t="shared" si="37"/>
        <v>0</v>
      </c>
      <c r="R104" s="371">
        <f t="shared" si="37"/>
        <v>3353337</v>
      </c>
      <c r="S104" s="150">
        <f t="shared" si="37"/>
        <v>3353337</v>
      </c>
      <c r="T104" s="150">
        <f t="shared" si="37"/>
        <v>0</v>
      </c>
      <c r="U104" s="143"/>
    </row>
    <row r="105" spans="1:21" s="144" customFormat="1">
      <c r="A105" s="149" t="s">
        <v>804</v>
      </c>
      <c r="B105" s="150">
        <f>SUM(C105:D105)</f>
        <v>33128970</v>
      </c>
      <c r="C105" s="150">
        <f t="shared" ref="C105:R105" si="38">SUM(C97+C104)</f>
        <v>33128970</v>
      </c>
      <c r="D105" s="150">
        <f t="shared" si="38"/>
        <v>0</v>
      </c>
      <c r="E105" s="150">
        <f t="shared" si="38"/>
        <v>8926438</v>
      </c>
      <c r="F105" s="150">
        <f t="shared" si="38"/>
        <v>5750000</v>
      </c>
      <c r="G105" s="150">
        <f t="shared" si="38"/>
        <v>3000000</v>
      </c>
      <c r="H105" s="150">
        <f t="shared" si="38"/>
        <v>5750000</v>
      </c>
      <c r="I105" s="150">
        <f t="shared" si="38"/>
        <v>4170029</v>
      </c>
      <c r="J105" s="150">
        <f t="shared" si="38"/>
        <v>4650000</v>
      </c>
      <c r="K105" s="150">
        <f t="shared" si="38"/>
        <v>882503</v>
      </c>
      <c r="L105" s="150">
        <f t="shared" si="38"/>
        <v>0</v>
      </c>
      <c r="M105" s="150">
        <f t="shared" si="38"/>
        <v>0</v>
      </c>
      <c r="N105" s="150">
        <f t="shared" si="38"/>
        <v>0</v>
      </c>
      <c r="O105" s="150">
        <f t="shared" si="38"/>
        <v>0</v>
      </c>
      <c r="P105" s="150">
        <f t="shared" si="38"/>
        <v>0</v>
      </c>
      <c r="Q105" s="150">
        <f t="shared" si="38"/>
        <v>0</v>
      </c>
      <c r="R105" s="371">
        <f t="shared" si="38"/>
        <v>33128970</v>
      </c>
      <c r="S105" s="150">
        <f>S97+S104</f>
        <v>25708918</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25708918</v>
      </c>
      <c r="T107" s="150">
        <f>T105+T106</f>
        <v>0</v>
      </c>
    </row>
    <row r="108" spans="1:21" s="201" customFormat="1">
      <c r="A108" s="162" t="s">
        <v>908</v>
      </c>
      <c r="B108" s="157"/>
      <c r="C108" s="157"/>
      <c r="D108" s="157"/>
      <c r="E108" s="323">
        <f>Application!AO636</f>
        <v>8926438</v>
      </c>
      <c r="F108" s="323">
        <f>Application!AO623</f>
        <v>5750000</v>
      </c>
      <c r="G108" s="323">
        <f>Application!AO624</f>
        <v>3000000</v>
      </c>
      <c r="H108" s="323">
        <f>Application!AO625</f>
        <v>5750000</v>
      </c>
      <c r="I108" s="323">
        <f>Application!AO626</f>
        <v>4170029</v>
      </c>
      <c r="J108" s="323">
        <f>Application!AO627</f>
        <v>4650000</v>
      </c>
      <c r="K108" s="323">
        <f>Application!AO628</f>
        <v>882503</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2513</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58" t="s">
        <v>1047</v>
      </c>
      <c r="E122" s="1858"/>
      <c r="F122" s="1858"/>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0" t="s">
        <v>1371</v>
      </c>
      <c r="E123" s="1861"/>
      <c r="F123" s="1861"/>
      <c r="G123" s="1861"/>
      <c r="H123" s="1861"/>
      <c r="I123" s="1861"/>
      <c r="J123" s="1861"/>
      <c r="K123" s="1861"/>
      <c r="L123" s="1861"/>
      <c r="M123" s="1861"/>
      <c r="N123" s="1861"/>
      <c r="O123" s="1861"/>
      <c r="P123" s="1861"/>
      <c r="Q123" s="1861"/>
      <c r="R123" s="1861"/>
      <c r="S123" s="1861"/>
      <c r="T123" s="353"/>
      <c r="U123" s="355"/>
    </row>
    <row r="124" spans="1:21" ht="12.75">
      <c r="A124" s="117" t="s">
        <v>1049</v>
      </c>
      <c r="B124" s="362"/>
      <c r="C124" s="117"/>
      <c r="D124" s="1861"/>
      <c r="E124" s="1861"/>
      <c r="F124" s="1861"/>
      <c r="G124" s="1861"/>
      <c r="H124" s="1861"/>
      <c r="I124" s="1861"/>
      <c r="J124" s="1861"/>
      <c r="K124" s="1861"/>
      <c r="L124" s="1861"/>
      <c r="M124" s="1861"/>
      <c r="N124" s="1861"/>
      <c r="O124" s="1861"/>
      <c r="P124" s="1861"/>
      <c r="Q124" s="1861"/>
      <c r="R124" s="1861"/>
      <c r="S124" s="1861"/>
      <c r="T124" s="353"/>
      <c r="U124" s="355"/>
    </row>
    <row r="125" spans="1:21" ht="12.75">
      <c r="A125" s="117" t="s">
        <v>1050</v>
      </c>
      <c r="B125" s="362"/>
      <c r="C125" s="117"/>
      <c r="D125" s="1861"/>
      <c r="E125" s="1861"/>
      <c r="F125" s="1861"/>
      <c r="G125" s="1861"/>
      <c r="H125" s="1861"/>
      <c r="I125" s="1861"/>
      <c r="J125" s="1861"/>
      <c r="K125" s="1861"/>
      <c r="L125" s="1861"/>
      <c r="M125" s="1861"/>
      <c r="N125" s="1861"/>
      <c r="O125" s="1861"/>
      <c r="P125" s="1861"/>
      <c r="Q125" s="1861"/>
      <c r="R125" s="1861"/>
      <c r="S125" s="1861"/>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5"/>
      <c r="E128" s="1855"/>
      <c r="F128" s="1855"/>
      <c r="G128" s="1855"/>
      <c r="H128" s="1855"/>
      <c r="I128" s="117"/>
      <c r="J128" s="1856"/>
      <c r="K128" s="1856"/>
      <c r="L128" s="117"/>
      <c r="M128" s="117"/>
      <c r="N128" s="117"/>
      <c r="O128" s="117"/>
      <c r="P128" s="117"/>
      <c r="Q128" s="117"/>
      <c r="R128" s="117"/>
      <c r="S128" s="117"/>
      <c r="T128" s="353"/>
      <c r="U128" s="355"/>
    </row>
    <row r="129" spans="1:21" ht="12.75">
      <c r="A129" s="117" t="s">
        <v>302</v>
      </c>
      <c r="B129" s="362"/>
      <c r="C129" s="117"/>
      <c r="D129" s="1857" t="s">
        <v>1054</v>
      </c>
      <c r="E129" s="1857"/>
      <c r="F129" s="1857"/>
      <c r="G129" s="1857"/>
      <c r="H129" s="1857"/>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32"/>
      <c r="E131" s="1832"/>
      <c r="F131" s="1832"/>
      <c r="G131" s="1832"/>
      <c r="H131" s="1832"/>
      <c r="I131" s="117"/>
      <c r="J131" s="1832"/>
      <c r="K131" s="1832"/>
      <c r="L131" s="1832"/>
      <c r="M131" s="1832"/>
      <c r="N131" s="117"/>
      <c r="O131" s="117"/>
      <c r="P131" s="117"/>
      <c r="Q131" s="117"/>
      <c r="R131" s="117"/>
      <c r="S131" s="117"/>
      <c r="T131" s="353"/>
      <c r="U131" s="355"/>
    </row>
    <row r="132" spans="1:21" ht="12" customHeight="1">
      <c r="A132" s="365"/>
      <c r="B132" s="117"/>
      <c r="C132" s="117"/>
      <c r="D132" s="1862" t="s">
        <v>1057</v>
      </c>
      <c r="E132" s="1862"/>
      <c r="F132" s="1862"/>
      <c r="G132" s="1862"/>
      <c r="H132" s="1862"/>
      <c r="I132" s="117"/>
      <c r="J132" s="1862" t="s">
        <v>1058</v>
      </c>
      <c r="K132" s="1862"/>
      <c r="L132" s="1862"/>
      <c r="M132" s="1862"/>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3"/>
      <c r="B138" s="1855"/>
      <c r="C138" s="1855"/>
      <c r="D138" s="357"/>
      <c r="E138" s="1856"/>
      <c r="F138" s="1856"/>
      <c r="G138" s="117"/>
      <c r="H138" s="117"/>
      <c r="I138" s="117"/>
      <c r="J138" s="117"/>
      <c r="K138" s="117"/>
      <c r="L138" s="117"/>
      <c r="M138" s="117"/>
      <c r="N138" s="117"/>
      <c r="O138" s="117"/>
      <c r="P138" s="117"/>
      <c r="Q138" s="117"/>
      <c r="R138" s="117"/>
      <c r="S138" s="117"/>
      <c r="T138" s="359"/>
      <c r="U138" s="360"/>
    </row>
    <row r="139" spans="1:21" ht="12.75">
      <c r="A139" s="1859" t="s">
        <v>1061</v>
      </c>
      <c r="B139" s="1859"/>
      <c r="C139" s="1859"/>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6" t="s">
        <v>1374</v>
      </c>
      <c r="B1" s="1867"/>
      <c r="C1" s="1867"/>
      <c r="D1" s="1867"/>
      <c r="E1" s="1867"/>
      <c r="F1" s="1867"/>
      <c r="G1" s="1867"/>
      <c r="H1" s="1867"/>
      <c r="I1" s="1867"/>
      <c r="J1" s="1868"/>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5750000</v>
      </c>
      <c r="C4" s="394"/>
      <c r="D4" s="394"/>
      <c r="E4" s="395"/>
      <c r="F4" s="395"/>
      <c r="G4" s="395"/>
      <c r="H4" s="395"/>
      <c r="I4" s="395"/>
      <c r="J4" s="395"/>
      <c r="K4" s="391"/>
    </row>
    <row r="5" spans="1:11" s="392" customFormat="1">
      <c r="A5" s="396" t="s">
        <v>28</v>
      </c>
      <c r="B5" s="393">
        <f>'Sources and Uses Budget'!C5</f>
        <v>144869</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5894869</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380000</v>
      </c>
      <c r="C10" s="394"/>
      <c r="D10" s="394"/>
      <c r="E10" s="393">
        <f>'Sources and Uses Budget'!S10</f>
        <v>380000</v>
      </c>
      <c r="F10" s="394"/>
      <c r="G10" s="394"/>
      <c r="H10" s="393">
        <f>'Sources and Uses Budget'!T10</f>
        <v>0</v>
      </c>
      <c r="I10" s="394"/>
      <c r="J10" s="394"/>
      <c r="K10" s="391"/>
    </row>
    <row r="11" spans="1:11" s="392" customFormat="1">
      <c r="A11" s="397" t="s">
        <v>605</v>
      </c>
      <c r="B11" s="393">
        <f>'Sources and Uses Budget'!C11</f>
        <v>380000</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6274869</v>
      </c>
      <c r="C12" s="393">
        <f>SUM(C8+C11)</f>
        <v>0</v>
      </c>
      <c r="D12" s="393">
        <f>SUM(D8+D11)</f>
        <v>0</v>
      </c>
      <c r="E12" s="395"/>
      <c r="F12" s="395"/>
      <c r="G12" s="395"/>
      <c r="H12" s="395"/>
      <c r="I12" s="395"/>
      <c r="J12" s="395"/>
      <c r="K12" s="391"/>
    </row>
    <row r="13" spans="1:11" s="392" customFormat="1">
      <c r="A13" s="398" t="s">
        <v>935</v>
      </c>
      <c r="B13" s="393">
        <f>'Sources and Uses Budget'!C13</f>
        <v>16750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2598163</v>
      </c>
      <c r="C29" s="394"/>
      <c r="D29" s="394"/>
      <c r="E29" s="393">
        <f>'Sources and Uses Budget'!S29</f>
        <v>2598163</v>
      </c>
      <c r="F29" s="394"/>
      <c r="G29" s="394"/>
      <c r="H29" s="393">
        <f>'Sources and Uses Budget'!T29</f>
        <v>0</v>
      </c>
      <c r="I29" s="394"/>
      <c r="J29" s="394"/>
      <c r="K29" s="391"/>
    </row>
    <row r="30" spans="1:11" s="392" customFormat="1">
      <c r="A30" s="145" t="s">
        <v>608</v>
      </c>
      <c r="B30" s="393">
        <f>'Sources and Uses Budget'!C30</f>
        <v>11333594</v>
      </c>
      <c r="C30" s="394"/>
      <c r="D30" s="394"/>
      <c r="E30" s="393">
        <f>'Sources and Uses Budget'!S30</f>
        <v>11333594</v>
      </c>
      <c r="F30" s="394"/>
      <c r="G30" s="394"/>
      <c r="H30" s="393">
        <f>'Sources and Uses Budget'!T30</f>
        <v>0</v>
      </c>
      <c r="I30" s="394"/>
      <c r="J30" s="394"/>
      <c r="K30" s="391"/>
    </row>
    <row r="31" spans="1:11" s="392" customFormat="1">
      <c r="A31" s="145" t="s">
        <v>609</v>
      </c>
      <c r="B31" s="393">
        <f>'Sources and Uses Budget'!C31</f>
        <v>806680</v>
      </c>
      <c r="C31" s="394"/>
      <c r="D31" s="394"/>
      <c r="E31" s="393">
        <f>'Sources and Uses Budget'!S31</f>
        <v>806680</v>
      </c>
      <c r="F31" s="394"/>
      <c r="G31" s="394"/>
      <c r="H31" s="393">
        <f>'Sources and Uses Budget'!T31</f>
        <v>0</v>
      </c>
      <c r="I31" s="394"/>
      <c r="J31" s="394"/>
      <c r="K31" s="391"/>
    </row>
    <row r="32" spans="1:11" s="392" customFormat="1">
      <c r="A32" s="145" t="s">
        <v>138</v>
      </c>
      <c r="B32" s="393">
        <f>'Sources and Uses Budget'!C32</f>
        <v>610532</v>
      </c>
      <c r="C32" s="394"/>
      <c r="D32" s="394"/>
      <c r="E32" s="393">
        <f>'Sources and Uses Budget'!S32</f>
        <v>610532</v>
      </c>
      <c r="F32" s="394"/>
      <c r="G32" s="394"/>
      <c r="H32" s="393">
        <f>'Sources and Uses Budget'!T32</f>
        <v>0</v>
      </c>
      <c r="I32" s="394"/>
      <c r="J32" s="394"/>
      <c r="K32" s="391"/>
    </row>
    <row r="33" spans="1:11" s="392" customFormat="1">
      <c r="A33" s="145" t="s">
        <v>139</v>
      </c>
      <c r="B33" s="393">
        <f>'Sources and Uses Budget'!C33</f>
        <v>610532</v>
      </c>
      <c r="C33" s="394"/>
      <c r="D33" s="394"/>
      <c r="E33" s="393">
        <f>'Sources and Uses Budget'!S33</f>
        <v>610532</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329687</v>
      </c>
      <c r="C35" s="394"/>
      <c r="D35" s="394"/>
      <c r="E35" s="393">
        <f>'Sources and Uses Budget'!S35</f>
        <v>329687</v>
      </c>
      <c r="F35" s="394"/>
      <c r="G35" s="394"/>
      <c r="H35" s="393">
        <f>'Sources and Uses Budget'!T35</f>
        <v>0</v>
      </c>
      <c r="I35" s="394"/>
      <c r="J35" s="394"/>
      <c r="K35" s="391"/>
    </row>
    <row r="36" spans="1:11" s="392" customFormat="1">
      <c r="A36" s="543" t="s">
        <v>1820</v>
      </c>
      <c r="B36" s="393">
        <f>'Sources and Uses Budget'!C36</f>
        <v>250000</v>
      </c>
      <c r="C36" s="394"/>
      <c r="D36" s="394"/>
      <c r="E36" s="393">
        <f>'Sources and Uses Budget'!S36</f>
        <v>250000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16539188</v>
      </c>
      <c r="C38" s="393">
        <f>SUM(C29:C37)</f>
        <v>0</v>
      </c>
      <c r="D38" s="393">
        <f>SUM(D29:D37)</f>
        <v>0</v>
      </c>
      <c r="E38" s="393">
        <f>'Sources and Uses Budget'!S38</f>
        <v>16539188</v>
      </c>
      <c r="F38" s="399">
        <f>SUM(F29:F37)</f>
        <v>0</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749179</v>
      </c>
      <c r="C40" s="394"/>
      <c r="D40" s="394"/>
      <c r="E40" s="393">
        <f>'Sources and Uses Budget'!S40</f>
        <v>749179</v>
      </c>
      <c r="F40" s="394"/>
      <c r="G40" s="394"/>
      <c r="H40" s="393">
        <f>'Sources and Uses Budget'!T40</f>
        <v>0</v>
      </c>
      <c r="I40" s="394"/>
      <c r="J40" s="394"/>
      <c r="K40" s="391"/>
    </row>
    <row r="41" spans="1:11" s="392" customFormat="1">
      <c r="A41" s="396" t="s">
        <v>147</v>
      </c>
      <c r="B41" s="393">
        <f>'Sources and Uses Budget'!C41</f>
        <v>302500</v>
      </c>
      <c r="C41" s="394"/>
      <c r="D41" s="394"/>
      <c r="E41" s="393">
        <f>'Sources and Uses Budget'!S41</f>
        <v>302500</v>
      </c>
      <c r="F41" s="394"/>
      <c r="G41" s="394"/>
      <c r="H41" s="393">
        <f>'Sources and Uses Budget'!T41</f>
        <v>0</v>
      </c>
      <c r="I41" s="394"/>
      <c r="J41" s="394"/>
      <c r="K41" s="391"/>
    </row>
    <row r="42" spans="1:11" s="392" customFormat="1">
      <c r="A42" s="397" t="s">
        <v>148</v>
      </c>
      <c r="B42" s="393">
        <f>'Sources and Uses Budget'!C42</f>
        <v>1051679</v>
      </c>
      <c r="C42" s="393">
        <f>SUM(C39:C41)</f>
        <v>0</v>
      </c>
      <c r="D42" s="393">
        <f>SUM(D39:D41)</f>
        <v>0</v>
      </c>
      <c r="E42" s="393">
        <f>'Sources and Uses Budget'!S42</f>
        <v>1051679</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194146</v>
      </c>
      <c r="C43" s="394"/>
      <c r="D43" s="394"/>
      <c r="E43" s="393">
        <f>'Sources and Uses Budget'!S43</f>
        <v>194146</v>
      </c>
      <c r="F43" s="394"/>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1202293</v>
      </c>
      <c r="C45" s="394"/>
      <c r="D45" s="394"/>
      <c r="E45" s="393">
        <f>'Sources and Uses Budget'!S45</f>
        <v>963235</v>
      </c>
      <c r="F45" s="394"/>
      <c r="G45" s="394"/>
      <c r="H45" s="393">
        <f>'Sources and Uses Budget'!T45</f>
        <v>0</v>
      </c>
      <c r="I45" s="394"/>
      <c r="J45" s="394"/>
      <c r="K45" s="391"/>
    </row>
    <row r="46" spans="1:11" s="392" customFormat="1">
      <c r="A46" s="396" t="s">
        <v>152</v>
      </c>
      <c r="B46" s="393">
        <f>'Sources and Uses Budget'!C46</f>
        <v>187774</v>
      </c>
      <c r="C46" s="394"/>
      <c r="D46" s="394"/>
      <c r="E46" s="393">
        <f>'Sources and Uses Budget'!S46</f>
        <v>150438</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164844</v>
      </c>
      <c r="C48" s="394"/>
      <c r="D48" s="394"/>
      <c r="E48" s="393">
        <f>'Sources and Uses Budget'!S48</f>
        <v>164844</v>
      </c>
      <c r="F48" s="394"/>
      <c r="G48" s="394"/>
      <c r="H48" s="393">
        <f>'Sources and Uses Budget'!T48</f>
        <v>0</v>
      </c>
      <c r="I48" s="394"/>
      <c r="J48" s="394"/>
      <c r="K48" s="391"/>
    </row>
    <row r="49" spans="1:11" s="392" customFormat="1">
      <c r="A49" s="304" t="s">
        <v>57</v>
      </c>
      <c r="B49" s="393">
        <f>'Sources and Uses Budget'!C49</f>
        <v>215000</v>
      </c>
      <c r="C49" s="394"/>
      <c r="D49" s="394"/>
      <c r="E49" s="393">
        <f>'Sources and Uses Budget'!S49</f>
        <v>215000</v>
      </c>
      <c r="F49" s="394"/>
      <c r="G49" s="394"/>
      <c r="H49" s="393">
        <f>'Sources and Uses Budget'!T49</f>
        <v>0</v>
      </c>
      <c r="I49" s="394"/>
      <c r="J49" s="394"/>
      <c r="K49" s="391"/>
    </row>
    <row r="50" spans="1:11" s="392" customFormat="1">
      <c r="A50" s="396" t="s">
        <v>157</v>
      </c>
      <c r="B50" s="393">
        <f>'Sources and Uses Budget'!C50</f>
        <v>60000</v>
      </c>
      <c r="C50" s="394"/>
      <c r="D50" s="394"/>
      <c r="E50" s="393">
        <f>'Sources and Uses Budget'!S50</f>
        <v>25000</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0</v>
      </c>
      <c r="C52" s="394"/>
      <c r="D52" s="394"/>
      <c r="E52" s="393">
        <f>'Sources and Uses Budget'!S52</f>
        <v>0</v>
      </c>
      <c r="F52" s="394"/>
      <c r="G52" s="394"/>
      <c r="H52" s="393">
        <f>'Sources and Uses Budget'!T52</f>
        <v>0</v>
      </c>
      <c r="I52" s="394"/>
      <c r="J52" s="394"/>
      <c r="K52" s="391"/>
    </row>
    <row r="53" spans="1:11" s="392" customFormat="1">
      <c r="A53" s="396" t="str">
        <f>'Sources and Uses Budget'!$A53</f>
        <v>Other: (Specify)</v>
      </c>
      <c r="B53" s="393">
        <f>'Sources and Uses Budget'!C53</f>
        <v>0</v>
      </c>
      <c r="C53" s="394"/>
      <c r="D53" s="394"/>
      <c r="E53" s="393">
        <f>'Sources and Uses Budget'!S53</f>
        <v>0</v>
      </c>
      <c r="F53" s="394"/>
      <c r="G53" s="394"/>
      <c r="H53" s="393">
        <f>'Sources and Uses Budget'!T53</f>
        <v>0</v>
      </c>
      <c r="I53" s="394"/>
      <c r="J53" s="394"/>
      <c r="K53" s="391"/>
    </row>
    <row r="54" spans="1:11" s="401" customFormat="1">
      <c r="A54" s="397" t="s">
        <v>158</v>
      </c>
      <c r="B54" s="393">
        <f>'Sources and Uses Budget'!C54</f>
        <v>1829911</v>
      </c>
      <c r="C54" s="399">
        <f>SUM(C45:C53)</f>
        <v>0</v>
      </c>
      <c r="D54" s="399">
        <f>SUM(D45:D53)</f>
        <v>0</v>
      </c>
      <c r="E54" s="393">
        <f>'Sources and Uses Budget'!S54</f>
        <v>1518517</v>
      </c>
      <c r="F54" s="399">
        <f>SUM(F45:F53)</f>
        <v>0</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0</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(Specify)</v>
      </c>
      <c r="B61" s="393">
        <f>'Sources and Uses Budget'!C61</f>
        <v>0</v>
      </c>
      <c r="C61" s="394"/>
      <c r="D61" s="394"/>
      <c r="E61" s="395"/>
      <c r="F61" s="395"/>
      <c r="G61" s="395"/>
      <c r="H61" s="395"/>
      <c r="I61" s="395"/>
      <c r="J61" s="395"/>
      <c r="K61" s="391"/>
    </row>
    <row r="62" spans="1:11" s="392" customFormat="1" ht="13.7" customHeight="1">
      <c r="A62" s="397" t="s">
        <v>303</v>
      </c>
      <c r="B62" s="393">
        <f>'Sources and Uses Budget'!C62</f>
        <v>0</v>
      </c>
      <c r="C62" s="393">
        <f>SUM(C56:C61)</f>
        <v>0</v>
      </c>
      <c r="D62" s="393">
        <f>SUM(D56:D61)</f>
        <v>0</v>
      </c>
      <c r="E62" s="395"/>
      <c r="F62" s="395"/>
      <c r="G62" s="395"/>
      <c r="H62" s="395"/>
      <c r="I62" s="395"/>
      <c r="J62" s="395"/>
      <c r="K62" s="391"/>
    </row>
    <row r="63" spans="1:11" s="392" customFormat="1">
      <c r="A63" s="402" t="s">
        <v>304</v>
      </c>
      <c r="B63" s="393">
        <f>'Sources and Uses Budget'!C63</f>
        <v>25906543</v>
      </c>
      <c r="C63" s="393">
        <f>SUM(C8+C11+C13+C14+C15+C26+C27+C38+C42+C43+C54+C62)</f>
        <v>0</v>
      </c>
      <c r="D63" s="393">
        <f>SUM(D8+D11+D13+D14+D15+D26+D27+D38+D42+D43+D54+D62)</f>
        <v>0</v>
      </c>
      <c r="E63" s="393">
        <f>'Sources and Uses Budget'!S63</f>
        <v>19683530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172</v>
      </c>
      <c r="B65" s="393">
        <f>'Sources and Uses Budget'!C65</f>
        <v>163750</v>
      </c>
      <c r="C65" s="394"/>
      <c r="D65" s="394"/>
      <c r="E65" s="393">
        <f>'Sources and Uses Budget'!S65</f>
        <v>35000</v>
      </c>
      <c r="F65" s="394"/>
      <c r="G65" s="394"/>
      <c r="H65" s="393">
        <f>'Sources and Uses Budget'!T65</f>
        <v>0</v>
      </c>
      <c r="I65" s="394"/>
      <c r="J65" s="394"/>
      <c r="K65" s="391"/>
    </row>
    <row r="66" spans="1:11" s="392" customFormat="1" ht="24">
      <c r="A66" s="304" t="s">
        <v>1821</v>
      </c>
      <c r="B66" s="393">
        <f>'Sources and Uses Budget'!C66</f>
        <v>250000</v>
      </c>
      <c r="C66" s="394"/>
      <c r="D66" s="394"/>
      <c r="E66" s="393">
        <f>'Sources and Uses Budget'!S66</f>
        <v>250000</v>
      </c>
      <c r="F66" s="394"/>
      <c r="G66" s="394"/>
      <c r="H66" s="393">
        <f>'Sources and Uses Budget'!T66</f>
        <v>0</v>
      </c>
      <c r="I66" s="394"/>
      <c r="J66" s="394"/>
      <c r="K66" s="391"/>
    </row>
    <row r="67" spans="1:11" s="392" customFormat="1" ht="24">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f>'Sources and Uses Budget'!$A69</f>
        <v>0</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413750</v>
      </c>
      <c r="C70" s="393">
        <f>SUM(C64:C69)</f>
        <v>0</v>
      </c>
      <c r="D70" s="393">
        <f>SUM(D64:D69)</f>
        <v>0</v>
      </c>
      <c r="E70" s="393">
        <f>'Sources and Uses Budget'!S70</f>
        <v>285000</v>
      </c>
      <c r="F70" s="399">
        <f>SUM(F65:F69)</f>
        <v>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33500</v>
      </c>
      <c r="C72" s="394"/>
      <c r="D72" s="394"/>
      <c r="E72" s="395"/>
      <c r="F72" s="395"/>
      <c r="G72" s="395"/>
      <c r="H72" s="395"/>
      <c r="I72" s="395"/>
      <c r="J72" s="395"/>
      <c r="K72" s="391"/>
    </row>
    <row r="73" spans="1:11" s="392" customFormat="1">
      <c r="A73" s="396" t="s">
        <v>613</v>
      </c>
      <c r="B73" s="393">
        <f>'Sources and Uses Budget'!C73</f>
        <v>453543</v>
      </c>
      <c r="C73" s="394"/>
      <c r="D73" s="394"/>
      <c r="E73" s="395"/>
      <c r="F73" s="395"/>
      <c r="G73" s="395"/>
      <c r="H73" s="395"/>
      <c r="I73" s="395"/>
      <c r="J73" s="395"/>
      <c r="K73" s="391"/>
    </row>
    <row r="74" spans="1:11" s="392" customFormat="1">
      <c r="A74" s="398" t="s">
        <v>1040</v>
      </c>
      <c r="B74" s="393">
        <f>'Sources and Uses Budget'!C74</f>
        <v>33500</v>
      </c>
      <c r="C74" s="394"/>
      <c r="D74" s="394"/>
      <c r="E74" s="395"/>
      <c r="F74" s="395"/>
      <c r="G74" s="395"/>
      <c r="H74" s="395"/>
      <c r="I74" s="395"/>
      <c r="J74" s="395"/>
      <c r="K74" s="391"/>
    </row>
    <row r="75" spans="1:11" s="392" customFormat="1">
      <c r="A75" s="396" t="s">
        <v>614</v>
      </c>
      <c r="B75" s="393">
        <f>'Sources and Uses Budget'!C75</f>
        <v>138850</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659393</v>
      </c>
      <c r="C77" s="393">
        <f>SUM(C72:C76)</f>
        <v>0</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1664922</v>
      </c>
      <c r="C79" s="394"/>
      <c r="D79" s="394"/>
      <c r="E79" s="393">
        <f>'Sources and Uses Budget'!S79</f>
        <v>1664922</v>
      </c>
      <c r="F79" s="394"/>
      <c r="G79" s="394"/>
      <c r="H79" s="393">
        <f>'Sources and Uses Budget'!T79</f>
        <v>0</v>
      </c>
      <c r="I79" s="394"/>
      <c r="J79" s="394"/>
      <c r="K79" s="391"/>
    </row>
    <row r="80" spans="1:11" s="392" customFormat="1">
      <c r="A80" s="396" t="s">
        <v>58</v>
      </c>
      <c r="B80" s="393">
        <f>'Sources and Uses Budget'!C80</f>
        <v>250000</v>
      </c>
      <c r="C80" s="394"/>
      <c r="D80" s="394"/>
      <c r="E80" s="393">
        <f>'Sources and Uses Budget'!S80</f>
        <v>125000</v>
      </c>
      <c r="F80" s="394"/>
      <c r="G80" s="394"/>
      <c r="H80" s="393">
        <f>'Sources and Uses Budget'!T80</f>
        <v>0</v>
      </c>
      <c r="I80" s="394"/>
      <c r="J80" s="394"/>
      <c r="K80" s="391"/>
    </row>
    <row r="81" spans="1:11" s="392" customFormat="1">
      <c r="A81" s="397" t="s">
        <v>1352</v>
      </c>
      <c r="B81" s="393">
        <f>'Sources and Uses Budget'!C81</f>
        <v>1914922</v>
      </c>
      <c r="C81" s="393">
        <f>SUM(C79:C80)</f>
        <v>0</v>
      </c>
      <c r="D81" s="393">
        <f>SUM(D79:D80)</f>
        <v>0</v>
      </c>
      <c r="E81" s="393">
        <f>'Sources and Uses Budget'!S81</f>
        <v>1789922</v>
      </c>
      <c r="F81" s="393">
        <f>SUM(F79:F80)</f>
        <v>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2512</v>
      </c>
      <c r="B83" s="393">
        <f>'Sources and Uses Budget'!C83</f>
        <v>102846</v>
      </c>
      <c r="C83" s="394"/>
      <c r="D83" s="394"/>
      <c r="E83" s="395"/>
      <c r="F83" s="395"/>
      <c r="G83" s="395"/>
      <c r="H83" s="395"/>
      <c r="I83" s="395"/>
      <c r="J83" s="395"/>
      <c r="K83" s="391"/>
    </row>
    <row r="84" spans="1:11" s="392" customFormat="1">
      <c r="A84" s="145" t="s">
        <v>791</v>
      </c>
      <c r="B84" s="393">
        <f>'Sources and Uses Budget'!C84</f>
        <v>0</v>
      </c>
      <c r="C84" s="394"/>
      <c r="D84" s="394"/>
      <c r="E84" s="393">
        <f>'Sources and Uses Budget'!S84</f>
        <v>0</v>
      </c>
      <c r="F84" s="394"/>
      <c r="G84" s="394"/>
      <c r="H84" s="393">
        <f>'Sources and Uses Budget'!T84</f>
        <v>0</v>
      </c>
      <c r="I84" s="394"/>
      <c r="J84" s="394"/>
      <c r="K84" s="391"/>
    </row>
    <row r="85" spans="1:11" s="392" customFormat="1">
      <c r="A85" s="145" t="s">
        <v>792</v>
      </c>
      <c r="B85" s="393">
        <f>'Sources and Uses Budget'!C85</f>
        <v>179179</v>
      </c>
      <c r="C85" s="394"/>
      <c r="D85" s="394"/>
      <c r="E85" s="393">
        <f>'Sources and Uses Budget'!S85</f>
        <v>179179</v>
      </c>
      <c r="F85" s="394"/>
      <c r="G85" s="394"/>
      <c r="H85" s="393">
        <f>'Sources and Uses Budget'!T85</f>
        <v>0</v>
      </c>
      <c r="I85" s="394"/>
      <c r="J85" s="394"/>
      <c r="K85" s="391"/>
    </row>
    <row r="86" spans="1:11" s="392" customFormat="1">
      <c r="A86" s="145" t="s">
        <v>793</v>
      </c>
      <c r="B86" s="393">
        <f>'Sources and Uses Budget'!C86</f>
        <v>232500</v>
      </c>
      <c r="C86" s="394"/>
      <c r="D86" s="394"/>
      <c r="E86" s="393">
        <f>'Sources and Uses Budget'!S86</f>
        <v>232500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80000</v>
      </c>
      <c r="C88" s="394"/>
      <c r="D88" s="394"/>
      <c r="E88" s="395"/>
      <c r="F88" s="395"/>
      <c r="G88" s="395"/>
      <c r="H88" s="395"/>
      <c r="I88" s="395"/>
      <c r="J88" s="395"/>
      <c r="K88" s="391"/>
    </row>
    <row r="89" spans="1:11" s="392" customFormat="1">
      <c r="A89" s="145" t="s">
        <v>796</v>
      </c>
      <c r="B89" s="393">
        <f>'Sources and Uses Budget'!C89</f>
        <v>150750</v>
      </c>
      <c r="C89" s="394"/>
      <c r="D89" s="394"/>
      <c r="E89" s="393">
        <f>'Sources and Uses Budget'!S89</f>
        <v>117250</v>
      </c>
      <c r="F89" s="394"/>
      <c r="G89" s="394"/>
      <c r="H89" s="393">
        <f>'Sources and Uses Budget'!T89</f>
        <v>0</v>
      </c>
      <c r="I89" s="394"/>
      <c r="J89" s="394"/>
      <c r="K89" s="391"/>
    </row>
    <row r="90" spans="1:11" s="392" customFormat="1">
      <c r="A90" s="145" t="s">
        <v>797</v>
      </c>
      <c r="B90" s="393">
        <f>'Sources and Uses Budget'!C90</f>
        <v>8000</v>
      </c>
      <c r="C90" s="394"/>
      <c r="D90" s="394"/>
      <c r="E90" s="393">
        <f>'Sources and Uses Budget'!S90</f>
        <v>8000</v>
      </c>
      <c r="F90" s="394"/>
      <c r="G90" s="394"/>
      <c r="H90" s="393">
        <f>'Sources and Uses Budget'!T90</f>
        <v>0</v>
      </c>
      <c r="I90" s="394"/>
      <c r="J90" s="394"/>
      <c r="K90" s="391"/>
    </row>
    <row r="91" spans="1:11" s="392" customFormat="1">
      <c r="A91" s="155" t="s">
        <v>374</v>
      </c>
      <c r="B91" s="393">
        <f>'Sources and Uses Budget'!C91</f>
        <v>96950</v>
      </c>
      <c r="C91" s="394"/>
      <c r="D91" s="394"/>
      <c r="E91" s="393">
        <f>'Sources and Uses Budget'!S91</f>
        <v>36750</v>
      </c>
      <c r="F91" s="394"/>
      <c r="G91" s="394"/>
      <c r="H91" s="393">
        <f>'Sources and Uses Budget'!T91</f>
        <v>0</v>
      </c>
      <c r="I91" s="394"/>
      <c r="J91" s="394"/>
      <c r="K91" s="391"/>
    </row>
    <row r="92" spans="1:11" s="392" customFormat="1">
      <c r="A92" s="543" t="s">
        <v>1354</v>
      </c>
      <c r="B92" s="393">
        <f>'Sources and Uses Budget'!C92</f>
        <v>7350</v>
      </c>
      <c r="C92" s="394"/>
      <c r="D92" s="394"/>
      <c r="E92" s="393">
        <f>'Sources and Uses Budget'!S92</f>
        <v>0</v>
      </c>
      <c r="F92" s="394"/>
      <c r="G92" s="394"/>
      <c r="H92" s="393">
        <f>'Sources and Uses Budget'!T92</f>
        <v>0</v>
      </c>
      <c r="I92" s="394"/>
      <c r="J92" s="394"/>
      <c r="K92" s="391"/>
    </row>
    <row r="93" spans="1:11" s="392" customFormat="1">
      <c r="A93" s="396" t="str">
        <f>'Sources and Uses Budget'!$A93</f>
        <v>Other: (Prevailing Wage Monitoring)</v>
      </c>
      <c r="B93" s="393">
        <f>'Sources and Uses Budget'!C93</f>
        <v>23450</v>
      </c>
      <c r="C93" s="394"/>
      <c r="D93" s="394"/>
      <c r="E93" s="393">
        <f>'Sources and Uses Budget'!S93</f>
        <v>23450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881025</v>
      </c>
      <c r="C96" s="393">
        <f>SUM(C83:C95)</f>
        <v>0</v>
      </c>
      <c r="D96" s="393">
        <f>SUM(D83:D95)</f>
        <v>0</v>
      </c>
      <c r="E96" s="393">
        <f>'Sources and Uses Budget'!S96</f>
        <v>597129</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29775633</v>
      </c>
      <c r="C97" s="393">
        <f>SUM(C63+C70+C77+C81+C96)</f>
        <v>0</v>
      </c>
      <c r="D97" s="393">
        <f>SUM(D63+D70+D77+D81+D96)</f>
        <v>0</v>
      </c>
      <c r="E97" s="393">
        <f>'Sources and Uses Budget'!S97</f>
        <v>22355581</v>
      </c>
      <c r="F97" s="399">
        <f>SUM(+F63+F70+F81+F96)</f>
        <v>0</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3353337</v>
      </c>
      <c r="C99" s="394"/>
      <c r="D99" s="394"/>
      <c r="E99" s="393">
        <f>'Sources and Uses Budget'!S99</f>
        <v>3353337</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3353337</v>
      </c>
      <c r="C104" s="393">
        <f>SUM(C99:C103)</f>
        <v>0</v>
      </c>
      <c r="D104" s="393">
        <f>SUM(D99:D103)</f>
        <v>0</v>
      </c>
      <c r="E104" s="393">
        <f>'Sources and Uses Budget'!S104</f>
        <v>3353337</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33128970</v>
      </c>
      <c r="C105" s="399">
        <f>SUM(C97+C104)</f>
        <v>0</v>
      </c>
      <c r="D105" s="399">
        <f>SUM(D97+D104)</f>
        <v>0</v>
      </c>
      <c r="E105" s="393">
        <f>'Sources and Uses Budget'!S105</f>
        <v>25708918</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25708918</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4"/>
      <c r="E124" s="1331"/>
      <c r="F124" s="1331"/>
      <c r="G124" s="1331"/>
      <c r="H124" s="1331"/>
      <c r="I124" s="1331"/>
      <c r="J124" s="408"/>
      <c r="K124" s="391"/>
    </row>
    <row r="125" spans="1:11" s="392" customFormat="1" ht="12.75">
      <c r="A125" s="417"/>
      <c r="B125" s="416"/>
      <c r="C125" s="417"/>
      <c r="D125" s="1331"/>
      <c r="E125" s="1331"/>
      <c r="F125" s="1331"/>
      <c r="G125" s="1331"/>
      <c r="H125" s="1331"/>
      <c r="I125" s="1331"/>
      <c r="J125" s="408"/>
      <c r="K125" s="391"/>
    </row>
    <row r="126" spans="1:11" s="392" customFormat="1" ht="12.75">
      <c r="A126" s="417"/>
      <c r="B126" s="416"/>
      <c r="C126" s="417"/>
      <c r="D126" s="1331"/>
      <c r="E126" s="1331"/>
      <c r="F126" s="1331"/>
      <c r="G126" s="1331"/>
      <c r="H126" s="1331"/>
      <c r="I126" s="1331"/>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5"/>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K18" sqref="AK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9"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01" t="s">
        <v>1472</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row>
    <row r="2" spans="1:42" s="571" customFormat="1" ht="12.75" customHeight="1" thickBo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5" t="s">
        <v>1477</v>
      </c>
      <c r="AF7" s="1885"/>
      <c r="AG7" s="1885"/>
      <c r="AH7" s="1885"/>
      <c r="AI7" s="1885"/>
      <c r="AJ7" s="1885"/>
      <c r="AK7" s="1885"/>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2405</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2399</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5" t="s">
        <v>600</v>
      </c>
      <c r="C13" s="1875"/>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3"/>
      <c r="AH13" s="1903"/>
      <c r="AI13" s="1903"/>
      <c r="AJ13" s="19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5" t="s">
        <v>600</v>
      </c>
      <c r="C16" s="1875"/>
      <c r="D16" s="582"/>
      <c r="E16" s="1886" t="s">
        <v>1479</v>
      </c>
      <c r="F16" s="1887"/>
      <c r="G16" s="1887"/>
      <c r="H16" s="1887"/>
      <c r="I16" s="1887"/>
      <c r="J16" s="1887"/>
      <c r="K16" s="1887"/>
      <c r="L16" s="1887"/>
      <c r="M16" s="1887"/>
      <c r="N16" s="1887"/>
      <c r="O16" s="1887"/>
      <c r="P16" s="1887"/>
      <c r="Q16" s="1887"/>
      <c r="R16" s="1887"/>
      <c r="S16" s="1887"/>
      <c r="T16" s="1887"/>
      <c r="U16" s="1887"/>
      <c r="V16" s="1887"/>
      <c r="W16" s="1887"/>
      <c r="X16" s="1887"/>
      <c r="Y16" s="1887"/>
      <c r="Z16" s="1887"/>
      <c r="AA16" s="1887"/>
      <c r="AB16" s="1887"/>
      <c r="AC16" s="1887"/>
      <c r="AD16" s="1887"/>
      <c r="AE16" s="1887"/>
      <c r="AF16" s="1887"/>
      <c r="AG16" s="1887"/>
      <c r="AH16" s="1887"/>
      <c r="AI16" s="1887"/>
      <c r="AJ16" s="1888"/>
      <c r="AK16" s="575"/>
      <c r="AL16" s="575"/>
      <c r="AM16" s="575"/>
      <c r="AN16" s="570"/>
      <c r="AO16" s="585">
        <f>IF($B25="yes",20,0)</f>
        <v>0</v>
      </c>
      <c r="AP16" s="14"/>
    </row>
    <row r="17" spans="1:42" s="571" customFormat="1" ht="12.75" customHeight="1">
      <c r="A17" s="575"/>
      <c r="B17" s="575"/>
      <c r="C17" s="575"/>
      <c r="D17" s="586"/>
      <c r="E17" s="1889"/>
      <c r="F17" s="1890"/>
      <c r="G17" s="1890"/>
      <c r="H17" s="1890"/>
      <c r="I17" s="1890"/>
      <c r="J17" s="1890"/>
      <c r="K17" s="1890"/>
      <c r="L17" s="1890"/>
      <c r="M17" s="1890"/>
      <c r="N17" s="1890"/>
      <c r="O17" s="1890"/>
      <c r="P17" s="1890"/>
      <c r="Q17" s="1890"/>
      <c r="R17" s="1890"/>
      <c r="S17" s="1890"/>
      <c r="T17" s="1890"/>
      <c r="U17" s="1890"/>
      <c r="V17" s="1890"/>
      <c r="W17" s="1890"/>
      <c r="X17" s="1890"/>
      <c r="Y17" s="1890"/>
      <c r="Z17" s="1890"/>
      <c r="AA17" s="1890"/>
      <c r="AB17" s="1890"/>
      <c r="AC17" s="1890"/>
      <c r="AD17" s="1890"/>
      <c r="AE17" s="1890"/>
      <c r="AF17" s="1890"/>
      <c r="AG17" s="1890"/>
      <c r="AH17" s="1890"/>
      <c r="AI17" s="1890"/>
      <c r="AJ17" s="1891"/>
      <c r="AK17" s="575"/>
      <c r="AL17" s="575"/>
      <c r="AM17" s="575"/>
      <c r="AN17" s="570"/>
      <c r="AO17" s="571">
        <f>IF(SUM(AO13:AO16)&gt;20,20,(SUM(AO13:AO16)))</f>
        <v>0</v>
      </c>
      <c r="AP17" s="571" t="s">
        <v>1480</v>
      </c>
    </row>
    <row r="18" spans="1:42" s="571" customFormat="1" ht="12.75" customHeight="1">
      <c r="A18" s="575"/>
      <c r="B18" s="575"/>
      <c r="C18" s="575"/>
      <c r="D18" s="586"/>
      <c r="E18" s="1889"/>
      <c r="F18" s="1890"/>
      <c r="G18" s="1890"/>
      <c r="H18" s="1890"/>
      <c r="I18" s="1890"/>
      <c r="J18" s="1890"/>
      <c r="K18" s="1890"/>
      <c r="L18" s="1890"/>
      <c r="M18" s="1890"/>
      <c r="N18" s="1890"/>
      <c r="O18" s="1890"/>
      <c r="P18" s="1890"/>
      <c r="Q18" s="1890"/>
      <c r="R18" s="1890"/>
      <c r="S18" s="1890"/>
      <c r="T18" s="1890"/>
      <c r="U18" s="1890"/>
      <c r="V18" s="1890"/>
      <c r="W18" s="1890"/>
      <c r="X18" s="1890"/>
      <c r="Y18" s="1890"/>
      <c r="Z18" s="1890"/>
      <c r="AA18" s="1890"/>
      <c r="AB18" s="1890"/>
      <c r="AC18" s="1890"/>
      <c r="AD18" s="1890"/>
      <c r="AE18" s="1890"/>
      <c r="AF18" s="1890"/>
      <c r="AG18" s="1890"/>
      <c r="AH18" s="1890"/>
      <c r="AI18" s="1890"/>
      <c r="AJ18" s="1891"/>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4"/>
      <c r="F20" s="1915"/>
      <c r="G20" s="1915"/>
      <c r="H20" s="1915"/>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5" t="s">
        <v>600</v>
      </c>
      <c r="C22" s="1875"/>
      <c r="D22" s="582"/>
      <c r="E22" s="1908" t="s">
        <v>1482</v>
      </c>
      <c r="F22" s="1909"/>
      <c r="G22" s="1909"/>
      <c r="H22" s="1909"/>
      <c r="I22" s="1909"/>
      <c r="J22" s="1909"/>
      <c r="K22" s="1909"/>
      <c r="L22" s="1909"/>
      <c r="M22" s="1909"/>
      <c r="N22" s="1909"/>
      <c r="O22" s="1909"/>
      <c r="P22" s="1909"/>
      <c r="Q22" s="1909"/>
      <c r="R22" s="1909"/>
      <c r="S22" s="1909"/>
      <c r="T22" s="1909"/>
      <c r="U22" s="1909"/>
      <c r="V22" s="1909"/>
      <c r="W22" s="1909"/>
      <c r="X22" s="1909"/>
      <c r="Y22" s="1909"/>
      <c r="Z22" s="1909"/>
      <c r="AA22" s="1909"/>
      <c r="AB22" s="1909"/>
      <c r="AC22" s="1909"/>
      <c r="AD22" s="1909"/>
      <c r="AE22" s="1909"/>
      <c r="AF22" s="1909"/>
      <c r="AG22" s="1909"/>
      <c r="AH22" s="1909"/>
      <c r="AI22" s="1909"/>
      <c r="AJ22" s="1910"/>
      <c r="AK22" s="575"/>
      <c r="AL22" s="575"/>
      <c r="AM22" s="575"/>
      <c r="AN22" s="570"/>
      <c r="AO22" s="571">
        <f>IF(SUM(AO20:AO21)&gt;14,14,SUM(AO20:AO21))</f>
        <v>0</v>
      </c>
      <c r="AP22" s="571" t="s">
        <v>1480</v>
      </c>
    </row>
    <row r="23" spans="1:42" s="571" customFormat="1" ht="12.75" customHeight="1">
      <c r="A23" s="575"/>
      <c r="B23" s="575"/>
      <c r="C23" s="575"/>
      <c r="D23" s="585"/>
      <c r="E23" s="1911"/>
      <c r="F23" s="1912"/>
      <c r="G23" s="1912"/>
      <c r="H23" s="1912"/>
      <c r="I23" s="1912"/>
      <c r="J23" s="1912"/>
      <c r="K23" s="1912"/>
      <c r="L23" s="1912"/>
      <c r="M23" s="1912"/>
      <c r="N23" s="1912"/>
      <c r="O23" s="1912"/>
      <c r="P23" s="1912"/>
      <c r="Q23" s="1912"/>
      <c r="R23" s="1912"/>
      <c r="S23" s="1912"/>
      <c r="T23" s="1912"/>
      <c r="U23" s="1912"/>
      <c r="V23" s="1912"/>
      <c r="W23" s="1912"/>
      <c r="X23" s="1912"/>
      <c r="Y23" s="1912"/>
      <c r="Z23" s="1912"/>
      <c r="AA23" s="1912"/>
      <c r="AB23" s="1912"/>
      <c r="AC23" s="1912"/>
      <c r="AD23" s="1912"/>
      <c r="AE23" s="1912"/>
      <c r="AF23" s="1912"/>
      <c r="AG23" s="1912"/>
      <c r="AH23" s="1912"/>
      <c r="AI23" s="1912"/>
      <c r="AJ23" s="191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5" t="s">
        <v>600</v>
      </c>
      <c r="C25" s="1875"/>
      <c r="D25" s="582"/>
      <c r="E25" s="1876" t="s">
        <v>2429</v>
      </c>
      <c r="F25" s="1877"/>
      <c r="G25" s="1877"/>
      <c r="H25" s="1877"/>
      <c r="I25" s="1877"/>
      <c r="J25" s="1877"/>
      <c r="K25" s="1877"/>
      <c r="L25" s="1877"/>
      <c r="M25" s="1877"/>
      <c r="N25" s="1877"/>
      <c r="O25" s="1877"/>
      <c r="P25" s="1877"/>
      <c r="Q25" s="1877"/>
      <c r="R25" s="1877"/>
      <c r="S25" s="1877"/>
      <c r="T25" s="1877"/>
      <c r="U25" s="1877"/>
      <c r="V25" s="1877"/>
      <c r="W25" s="1877"/>
      <c r="X25" s="1877"/>
      <c r="Y25" s="1877"/>
      <c r="Z25" s="1877"/>
      <c r="AA25" s="1877"/>
      <c r="AB25" s="1877"/>
      <c r="AC25" s="1877"/>
      <c r="AD25" s="1877"/>
      <c r="AE25" s="1877"/>
      <c r="AF25" s="1877"/>
      <c r="AG25" s="1877"/>
      <c r="AH25" s="1877"/>
      <c r="AI25" s="1877"/>
      <c r="AJ25" s="1878"/>
      <c r="AK25" s="575"/>
      <c r="AL25" s="575"/>
      <c r="AM25" s="575"/>
      <c r="AN25" s="570"/>
      <c r="AO25" s="571">
        <f>IF(AO24&gt;6,6,AO24)</f>
        <v>0</v>
      </c>
      <c r="AP25" s="571" t="s">
        <v>1480</v>
      </c>
    </row>
    <row r="26" spans="1:42" s="571" customFormat="1" ht="12.75" customHeight="1">
      <c r="A26" s="575"/>
      <c r="B26" s="575"/>
      <c r="C26" s="575"/>
      <c r="D26" s="585"/>
      <c r="E26" s="1879"/>
      <c r="F26" s="1880"/>
      <c r="G26" s="1880"/>
      <c r="H26" s="1880"/>
      <c r="I26" s="1880"/>
      <c r="J26" s="1880"/>
      <c r="K26" s="1880"/>
      <c r="L26" s="1880"/>
      <c r="M26" s="1880"/>
      <c r="N26" s="1880"/>
      <c r="O26" s="1880"/>
      <c r="P26" s="1880"/>
      <c r="Q26" s="1880"/>
      <c r="R26" s="1880"/>
      <c r="S26" s="1880"/>
      <c r="T26" s="1880"/>
      <c r="U26" s="1880"/>
      <c r="V26" s="1880"/>
      <c r="W26" s="1880"/>
      <c r="X26" s="1880"/>
      <c r="Y26" s="1880"/>
      <c r="Z26" s="1880"/>
      <c r="AA26" s="1880"/>
      <c r="AB26" s="1880"/>
      <c r="AC26" s="1880"/>
      <c r="AD26" s="1880"/>
      <c r="AE26" s="1880"/>
      <c r="AF26" s="1880"/>
      <c r="AG26" s="1880"/>
      <c r="AH26" s="1880"/>
      <c r="AI26" s="1880"/>
      <c r="AJ26" s="1881"/>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2400</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75" t="s">
        <v>600</v>
      </c>
      <c r="C30" s="1875"/>
      <c r="D30" s="582"/>
      <c r="E30" s="1908" t="s">
        <v>2401</v>
      </c>
      <c r="F30" s="1909"/>
      <c r="G30" s="1909"/>
      <c r="H30" s="1909"/>
      <c r="I30" s="1909"/>
      <c r="J30" s="1909"/>
      <c r="K30" s="1909"/>
      <c r="L30" s="1909"/>
      <c r="M30" s="1909"/>
      <c r="N30" s="1909"/>
      <c r="O30" s="1909"/>
      <c r="P30" s="1909"/>
      <c r="Q30" s="1909"/>
      <c r="R30" s="1909"/>
      <c r="S30" s="1909"/>
      <c r="T30" s="1909"/>
      <c r="U30" s="1909"/>
      <c r="V30" s="1909"/>
      <c r="W30" s="1909"/>
      <c r="X30" s="1909"/>
      <c r="Y30" s="1909"/>
      <c r="Z30" s="1909"/>
      <c r="AA30" s="1909"/>
      <c r="AB30" s="1909"/>
      <c r="AC30" s="1909"/>
      <c r="AD30" s="1909"/>
      <c r="AE30" s="1909"/>
      <c r="AF30" s="1909"/>
      <c r="AG30" s="1909"/>
      <c r="AH30" s="1909"/>
      <c r="AI30" s="1909"/>
      <c r="AJ30" s="1910"/>
      <c r="AK30" s="575"/>
      <c r="AL30" s="575"/>
      <c r="AM30" s="575"/>
      <c r="AN30" s="570"/>
      <c r="AO30" s="585"/>
    </row>
    <row r="31" spans="1:42" s="571" customFormat="1" ht="12.75" customHeight="1">
      <c r="A31" s="575"/>
      <c r="B31" s="575"/>
      <c r="C31" s="575"/>
      <c r="E31" s="1911"/>
      <c r="F31" s="1912"/>
      <c r="G31" s="1912"/>
      <c r="H31" s="1912"/>
      <c r="I31" s="1912"/>
      <c r="J31" s="1912"/>
      <c r="K31" s="1912"/>
      <c r="L31" s="1912"/>
      <c r="M31" s="1912"/>
      <c r="N31" s="1912"/>
      <c r="O31" s="1912"/>
      <c r="P31" s="1912"/>
      <c r="Q31" s="1912"/>
      <c r="R31" s="1912"/>
      <c r="S31" s="1912"/>
      <c r="T31" s="1912"/>
      <c r="U31" s="1912"/>
      <c r="V31" s="1912"/>
      <c r="W31" s="1912"/>
      <c r="X31" s="1912"/>
      <c r="Y31" s="1912"/>
      <c r="Z31" s="1912"/>
      <c r="AA31" s="1912"/>
      <c r="AB31" s="1912"/>
      <c r="AC31" s="1912"/>
      <c r="AD31" s="1912"/>
      <c r="AE31" s="1912"/>
      <c r="AF31" s="1912"/>
      <c r="AG31" s="1912"/>
      <c r="AH31" s="1912"/>
      <c r="AI31" s="1912"/>
      <c r="AJ31" s="191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5" t="s">
        <v>600</v>
      </c>
      <c r="C33" s="1875"/>
      <c r="D33" s="582"/>
      <c r="E33" s="1876" t="s">
        <v>2402</v>
      </c>
      <c r="F33" s="1877"/>
      <c r="G33" s="1877"/>
      <c r="H33" s="1877"/>
      <c r="I33" s="1877"/>
      <c r="J33" s="1877"/>
      <c r="K33" s="1877"/>
      <c r="L33" s="1877"/>
      <c r="M33" s="1877"/>
      <c r="N33" s="1877"/>
      <c r="O33" s="1877"/>
      <c r="P33" s="1877"/>
      <c r="Q33" s="1877"/>
      <c r="R33" s="1877"/>
      <c r="S33" s="1877"/>
      <c r="T33" s="1877"/>
      <c r="U33" s="1877"/>
      <c r="V33" s="1877"/>
      <c r="W33" s="1877"/>
      <c r="X33" s="1877"/>
      <c r="Y33" s="1877"/>
      <c r="Z33" s="1877"/>
      <c r="AA33" s="1877"/>
      <c r="AB33" s="1877"/>
      <c r="AC33" s="1877"/>
      <c r="AD33" s="1877"/>
      <c r="AE33" s="1877"/>
      <c r="AF33" s="1877"/>
      <c r="AG33" s="1877"/>
      <c r="AH33" s="1877"/>
      <c r="AI33" s="1877"/>
      <c r="AJ33" s="1878"/>
      <c r="AK33" s="575"/>
      <c r="AL33" s="575"/>
      <c r="AM33" s="575"/>
      <c r="AN33" s="570"/>
    </row>
    <row r="34" spans="1:41" s="571" customFormat="1" ht="12.75" customHeight="1">
      <c r="A34" s="575"/>
      <c r="B34" s="575"/>
      <c r="C34" s="575"/>
      <c r="E34" s="1882"/>
      <c r="F34" s="1883"/>
      <c r="G34" s="1883"/>
      <c r="H34" s="1883"/>
      <c r="I34" s="1883"/>
      <c r="J34" s="1883"/>
      <c r="K34" s="1883"/>
      <c r="L34" s="1883"/>
      <c r="M34" s="1883"/>
      <c r="N34" s="1883"/>
      <c r="O34" s="1883"/>
      <c r="P34" s="1883"/>
      <c r="Q34" s="1883"/>
      <c r="R34" s="1883"/>
      <c r="S34" s="1883"/>
      <c r="T34" s="1883"/>
      <c r="U34" s="1883"/>
      <c r="V34" s="1883"/>
      <c r="W34" s="1883"/>
      <c r="X34" s="1883"/>
      <c r="Y34" s="1883"/>
      <c r="Z34" s="1883"/>
      <c r="AA34" s="1883"/>
      <c r="AB34" s="1883"/>
      <c r="AC34" s="1883"/>
      <c r="AD34" s="1883"/>
      <c r="AE34" s="1883"/>
      <c r="AF34" s="1883"/>
      <c r="AG34" s="1883"/>
      <c r="AH34" s="1883"/>
      <c r="AI34" s="1883"/>
      <c r="AJ34" s="1884"/>
      <c r="AK34" s="575"/>
      <c r="AL34" s="575"/>
      <c r="AM34" s="575"/>
      <c r="AN34" s="570"/>
    </row>
    <row r="35" spans="1:41" s="571" customFormat="1" ht="12.75" customHeight="1">
      <c r="A35" s="575"/>
      <c r="B35" s="575"/>
      <c r="C35" s="575"/>
      <c r="E35" s="1879"/>
      <c r="F35" s="1880"/>
      <c r="G35" s="1880"/>
      <c r="H35" s="1880"/>
      <c r="I35" s="1880"/>
      <c r="J35" s="1880"/>
      <c r="K35" s="1880"/>
      <c r="L35" s="1880"/>
      <c r="M35" s="1880"/>
      <c r="N35" s="1880"/>
      <c r="O35" s="1880"/>
      <c r="P35" s="1880"/>
      <c r="Q35" s="1880"/>
      <c r="R35" s="1880"/>
      <c r="S35" s="1880"/>
      <c r="T35" s="1880"/>
      <c r="U35" s="1880"/>
      <c r="V35" s="1880"/>
      <c r="W35" s="1880"/>
      <c r="X35" s="1880"/>
      <c r="Y35" s="1880"/>
      <c r="Z35" s="1880"/>
      <c r="AA35" s="1880"/>
      <c r="AB35" s="1880"/>
      <c r="AC35" s="1880"/>
      <c r="AD35" s="1880"/>
      <c r="AE35" s="1880"/>
      <c r="AF35" s="1880"/>
      <c r="AG35" s="1880"/>
      <c r="AH35" s="1880"/>
      <c r="AI35" s="1880"/>
      <c r="AJ35" s="1881"/>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2404</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5" t="s">
        <v>600</v>
      </c>
      <c r="C39" s="1875"/>
      <c r="D39" s="1195"/>
      <c r="E39" s="1876" t="s">
        <v>2403</v>
      </c>
      <c r="F39" s="1877"/>
      <c r="G39" s="1877"/>
      <c r="H39" s="1877"/>
      <c r="I39" s="1877"/>
      <c r="J39" s="1877"/>
      <c r="K39" s="1877"/>
      <c r="L39" s="1877"/>
      <c r="M39" s="1877"/>
      <c r="N39" s="1877"/>
      <c r="O39" s="1877"/>
      <c r="P39" s="1877"/>
      <c r="Q39" s="1877"/>
      <c r="R39" s="1877"/>
      <c r="S39" s="1877"/>
      <c r="T39" s="1877"/>
      <c r="U39" s="1877"/>
      <c r="V39" s="1877"/>
      <c r="W39" s="1877"/>
      <c r="X39" s="1877"/>
      <c r="Y39" s="1877"/>
      <c r="Z39" s="1877"/>
      <c r="AA39" s="1877"/>
      <c r="AB39" s="1877"/>
      <c r="AC39" s="1877"/>
      <c r="AD39" s="1877"/>
      <c r="AE39" s="1877"/>
      <c r="AF39" s="1877"/>
      <c r="AG39" s="1877"/>
      <c r="AH39" s="1877"/>
      <c r="AI39" s="1877"/>
      <c r="AJ39" s="1878"/>
      <c r="AK39" s="1195"/>
      <c r="AL39" s="575"/>
      <c r="AM39" s="575"/>
      <c r="AN39" s="570"/>
    </row>
    <row r="40" spans="1:41" s="571" customFormat="1" ht="12.75" customHeight="1">
      <c r="A40" s="575"/>
      <c r="B40" s="575"/>
      <c r="C40" s="575"/>
      <c r="E40" s="1882"/>
      <c r="F40" s="1883"/>
      <c r="G40" s="1883"/>
      <c r="H40" s="1883"/>
      <c r="I40" s="1883"/>
      <c r="J40" s="1883"/>
      <c r="K40" s="1883"/>
      <c r="L40" s="1883"/>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4"/>
      <c r="AK40" s="575"/>
      <c r="AL40" s="575"/>
      <c r="AM40" s="575"/>
      <c r="AN40" s="570"/>
    </row>
    <row r="41" spans="1:41" s="571" customFormat="1" ht="12.75" customHeight="1">
      <c r="A41" s="575"/>
      <c r="D41" s="582"/>
      <c r="E41" s="1879"/>
      <c r="F41" s="1880"/>
      <c r="G41" s="1880"/>
      <c r="H41" s="1880"/>
      <c r="I41" s="1880"/>
      <c r="J41" s="1880"/>
      <c r="K41" s="1880"/>
      <c r="L41" s="1880"/>
      <c r="M41" s="1880"/>
      <c r="N41" s="1880"/>
      <c r="O41" s="1880"/>
      <c r="P41" s="1880"/>
      <c r="Q41" s="1880"/>
      <c r="R41" s="1880"/>
      <c r="S41" s="1880"/>
      <c r="T41" s="1880"/>
      <c r="U41" s="1880"/>
      <c r="V41" s="1880"/>
      <c r="W41" s="1880"/>
      <c r="X41" s="1880"/>
      <c r="Y41" s="1880"/>
      <c r="Z41" s="1880"/>
      <c r="AA41" s="1880"/>
      <c r="AB41" s="1880"/>
      <c r="AC41" s="1880"/>
      <c r="AD41" s="1880"/>
      <c r="AE41" s="1880"/>
      <c r="AF41" s="1880"/>
      <c r="AG41" s="1880"/>
      <c r="AH41" s="1880"/>
      <c r="AI41" s="1880"/>
      <c r="AJ41" s="1881"/>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2406</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2407</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5" t="s">
        <v>600</v>
      </c>
      <c r="C46" s="1875"/>
      <c r="D46" s="575"/>
      <c r="E46" s="1876" t="s">
        <v>2408</v>
      </c>
      <c r="F46" s="1877"/>
      <c r="G46" s="1877"/>
      <c r="H46" s="1877"/>
      <c r="I46" s="1877"/>
      <c r="J46" s="1877"/>
      <c r="K46" s="1877"/>
      <c r="L46" s="1877"/>
      <c r="M46" s="1877"/>
      <c r="N46" s="1877"/>
      <c r="O46" s="1877"/>
      <c r="P46" s="1877"/>
      <c r="Q46" s="1877"/>
      <c r="R46" s="1877"/>
      <c r="S46" s="1877"/>
      <c r="T46" s="1877"/>
      <c r="U46" s="1877"/>
      <c r="V46" s="1877"/>
      <c r="W46" s="1877"/>
      <c r="X46" s="1877"/>
      <c r="Y46" s="1877"/>
      <c r="Z46" s="1877"/>
      <c r="AA46" s="1877"/>
      <c r="AB46" s="1877"/>
      <c r="AC46" s="1877"/>
      <c r="AD46" s="1877"/>
      <c r="AE46" s="1877"/>
      <c r="AF46" s="1877"/>
      <c r="AG46" s="1877"/>
      <c r="AH46" s="1877"/>
      <c r="AI46" s="1877"/>
      <c r="AJ46" s="1878"/>
      <c r="AK46" s="575"/>
      <c r="AL46" s="575"/>
      <c r="AM46" s="575"/>
      <c r="AN46" s="570"/>
      <c r="AO46" s="594"/>
    </row>
    <row r="47" spans="1:41" s="571" customFormat="1" ht="12.75" customHeight="1">
      <c r="A47" s="575"/>
      <c r="D47" s="582"/>
      <c r="E47" s="1882"/>
      <c r="F47" s="1883"/>
      <c r="G47" s="1883"/>
      <c r="H47" s="1883"/>
      <c r="I47" s="1883"/>
      <c r="J47" s="1883"/>
      <c r="K47" s="1883"/>
      <c r="L47" s="1883"/>
      <c r="M47" s="1883"/>
      <c r="N47" s="1883"/>
      <c r="O47" s="1883"/>
      <c r="P47" s="1883"/>
      <c r="Q47" s="1883"/>
      <c r="R47" s="1883"/>
      <c r="S47" s="1883"/>
      <c r="T47" s="1883"/>
      <c r="U47" s="1883"/>
      <c r="V47" s="1883"/>
      <c r="W47" s="1883"/>
      <c r="X47" s="1883"/>
      <c r="Y47" s="1883"/>
      <c r="Z47" s="1883"/>
      <c r="AA47" s="1883"/>
      <c r="AB47" s="1883"/>
      <c r="AC47" s="1883"/>
      <c r="AD47" s="1883"/>
      <c r="AE47" s="1883"/>
      <c r="AF47" s="1883"/>
      <c r="AG47" s="1883"/>
      <c r="AH47" s="1883"/>
      <c r="AI47" s="1883"/>
      <c r="AJ47" s="1884"/>
      <c r="AK47" s="575"/>
      <c r="AL47" s="575"/>
      <c r="AM47" s="575"/>
      <c r="AN47" s="570"/>
      <c r="AO47" s="594"/>
    </row>
    <row r="48" spans="1:41" s="571" customFormat="1" ht="12.75" customHeight="1">
      <c r="A48" s="575"/>
      <c r="D48" s="575"/>
      <c r="E48" s="1879"/>
      <c r="F48" s="1880"/>
      <c r="G48" s="1880"/>
      <c r="H48" s="1880"/>
      <c r="I48" s="1880"/>
      <c r="J48" s="1880"/>
      <c r="K48" s="1880"/>
      <c r="L48" s="1880"/>
      <c r="M48" s="1880"/>
      <c r="N48" s="1880"/>
      <c r="O48" s="1880"/>
      <c r="P48" s="1880"/>
      <c r="Q48" s="1880"/>
      <c r="R48" s="1880"/>
      <c r="S48" s="1880"/>
      <c r="T48" s="1880"/>
      <c r="U48" s="1880"/>
      <c r="V48" s="1880"/>
      <c r="W48" s="1880"/>
      <c r="X48" s="1880"/>
      <c r="Y48" s="1880"/>
      <c r="Z48" s="1880"/>
      <c r="AA48" s="1880"/>
      <c r="AB48" s="1880"/>
      <c r="AC48" s="1880"/>
      <c r="AD48" s="1880"/>
      <c r="AE48" s="1880"/>
      <c r="AF48" s="1880"/>
      <c r="AG48" s="1880"/>
      <c r="AH48" s="1880"/>
      <c r="AI48" s="1880"/>
      <c r="AJ48" s="1881"/>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5" t="s">
        <v>600</v>
      </c>
      <c r="C50" s="1875"/>
      <c r="D50" s="575"/>
      <c r="E50" s="1896" t="s">
        <v>2409</v>
      </c>
      <c r="F50" s="1897"/>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8"/>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5" t="s">
        <v>600</v>
      </c>
      <c r="C52" s="1875"/>
      <c r="D52" s="575"/>
      <c r="E52" s="1876" t="s">
        <v>2410</v>
      </c>
      <c r="F52" s="1877"/>
      <c r="G52" s="1877"/>
      <c r="H52" s="1877"/>
      <c r="I52" s="1877"/>
      <c r="J52" s="1877"/>
      <c r="K52" s="1877"/>
      <c r="L52" s="1877"/>
      <c r="M52" s="1877"/>
      <c r="N52" s="1877"/>
      <c r="O52" s="1877"/>
      <c r="P52" s="1877"/>
      <c r="Q52" s="1877"/>
      <c r="R52" s="1877"/>
      <c r="S52" s="1877"/>
      <c r="T52" s="1877"/>
      <c r="U52" s="1877"/>
      <c r="V52" s="1877"/>
      <c r="W52" s="1877"/>
      <c r="X52" s="1877"/>
      <c r="Y52" s="1877"/>
      <c r="Z52" s="1877"/>
      <c r="AA52" s="1877"/>
      <c r="AB52" s="1877"/>
      <c r="AC52" s="1877"/>
      <c r="AD52" s="1877"/>
      <c r="AE52" s="1877"/>
      <c r="AF52" s="1877"/>
      <c r="AG52" s="1877"/>
      <c r="AH52" s="1877"/>
      <c r="AI52" s="1877"/>
      <c r="AJ52" s="1878"/>
      <c r="AK52" s="575"/>
      <c r="AL52" s="575"/>
      <c r="AM52" s="575"/>
      <c r="AN52" s="570"/>
    </row>
    <row r="53" spans="1:50" s="571" customFormat="1" ht="12.75" customHeight="1">
      <c r="A53" s="575"/>
      <c r="B53" s="582"/>
      <c r="C53" s="582"/>
      <c r="D53" s="582"/>
      <c r="E53" s="1879"/>
      <c r="F53" s="1880"/>
      <c r="G53" s="1880"/>
      <c r="H53" s="1880"/>
      <c r="I53" s="1880"/>
      <c r="J53" s="1880"/>
      <c r="K53" s="1880"/>
      <c r="L53" s="1880"/>
      <c r="M53" s="1880"/>
      <c r="N53" s="1880"/>
      <c r="O53" s="1880"/>
      <c r="P53" s="1880"/>
      <c r="Q53" s="1880"/>
      <c r="R53" s="1880"/>
      <c r="S53" s="1880"/>
      <c r="T53" s="1880"/>
      <c r="U53" s="1880"/>
      <c r="V53" s="1880"/>
      <c r="W53" s="1880"/>
      <c r="X53" s="1880"/>
      <c r="Y53" s="1880"/>
      <c r="Z53" s="1880"/>
      <c r="AA53" s="1880"/>
      <c r="AB53" s="1880"/>
      <c r="AC53" s="1880"/>
      <c r="AD53" s="1880"/>
      <c r="AE53" s="1880"/>
      <c r="AF53" s="1880"/>
      <c r="AG53" s="1880"/>
      <c r="AH53" s="1880"/>
      <c r="AI53" s="1880"/>
      <c r="AJ53" s="1881"/>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05">
        <f>AO36</f>
        <v>0</v>
      </c>
      <c r="AL56" s="1906"/>
      <c r="AM56" s="1907"/>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5" t="s">
        <v>1486</v>
      </c>
      <c r="AF59" s="1885"/>
      <c r="AG59" s="1885"/>
      <c r="AH59" s="1885"/>
      <c r="AI59" s="1885"/>
      <c r="AJ59" s="1885"/>
      <c r="AK59" s="1885"/>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5" t="s">
        <v>600</v>
      </c>
      <c r="C62" s="1875"/>
      <c r="D62" s="582" t="s">
        <v>1487</v>
      </c>
      <c r="E62" s="1886" t="s">
        <v>2411</v>
      </c>
      <c r="F62" s="1887"/>
      <c r="G62" s="1887"/>
      <c r="H62" s="1887"/>
      <c r="I62" s="1887"/>
      <c r="J62" s="1887"/>
      <c r="K62" s="1887"/>
      <c r="L62" s="1887"/>
      <c r="M62" s="1887"/>
      <c r="N62" s="1887"/>
      <c r="O62" s="1887"/>
      <c r="P62" s="1887"/>
      <c r="Q62" s="1887"/>
      <c r="R62" s="1887"/>
      <c r="S62" s="1887"/>
      <c r="T62" s="1887"/>
      <c r="U62" s="1887"/>
      <c r="V62" s="1887"/>
      <c r="W62" s="1887"/>
      <c r="X62" s="1887"/>
      <c r="Y62" s="1887"/>
      <c r="Z62" s="1887"/>
      <c r="AA62" s="1887"/>
      <c r="AB62" s="1887"/>
      <c r="AC62" s="1887"/>
      <c r="AD62" s="1887"/>
      <c r="AE62" s="1887"/>
      <c r="AF62" s="1887"/>
      <c r="AG62" s="1887"/>
      <c r="AH62" s="1887"/>
      <c r="AI62" s="1887"/>
      <c r="AJ62" s="1888"/>
      <c r="AK62" s="578"/>
      <c r="AL62" s="575"/>
      <c r="AM62" s="575"/>
      <c r="AN62" s="570"/>
      <c r="AO62" s="585">
        <f>IF($B62="yes",10,0)</f>
        <v>0</v>
      </c>
    </row>
    <row r="63" spans="1:50" s="571" customFormat="1" ht="12.75" customHeight="1">
      <c r="A63" s="573"/>
      <c r="B63" s="575"/>
      <c r="C63" s="575"/>
      <c r="D63" s="586"/>
      <c r="E63" s="1889"/>
      <c r="F63" s="1890"/>
      <c r="G63" s="1890"/>
      <c r="H63" s="1890"/>
      <c r="I63" s="1890"/>
      <c r="J63" s="1890"/>
      <c r="K63" s="1890"/>
      <c r="L63" s="1890"/>
      <c r="M63" s="1890"/>
      <c r="N63" s="1890"/>
      <c r="O63" s="1890"/>
      <c r="P63" s="1890"/>
      <c r="Q63" s="1890"/>
      <c r="R63" s="1890"/>
      <c r="S63" s="1890"/>
      <c r="T63" s="1890"/>
      <c r="U63" s="1890"/>
      <c r="V63" s="1890"/>
      <c r="W63" s="1890"/>
      <c r="X63" s="1890"/>
      <c r="Y63" s="1890"/>
      <c r="Z63" s="1890"/>
      <c r="AA63" s="1890"/>
      <c r="AB63" s="1890"/>
      <c r="AC63" s="1890"/>
      <c r="AD63" s="1890"/>
      <c r="AE63" s="1890"/>
      <c r="AF63" s="1890"/>
      <c r="AG63" s="1890"/>
      <c r="AH63" s="1890"/>
      <c r="AI63" s="1890"/>
      <c r="AJ63" s="1891"/>
      <c r="AK63" s="578"/>
      <c r="AL63" s="575"/>
      <c r="AM63" s="575"/>
      <c r="AN63" s="570"/>
      <c r="AO63" s="585">
        <f>IF($B68="yes",10,0)</f>
        <v>10</v>
      </c>
    </row>
    <row r="64" spans="1:50" s="571" customFormat="1" ht="12.75" customHeight="1">
      <c r="A64" s="573"/>
      <c r="B64" s="575"/>
      <c r="C64" s="575"/>
      <c r="D64" s="586"/>
      <c r="E64" s="1889"/>
      <c r="F64" s="1890"/>
      <c r="G64" s="1890"/>
      <c r="H64" s="1890"/>
      <c r="I64" s="1890"/>
      <c r="J64" s="1890"/>
      <c r="K64" s="1890"/>
      <c r="L64" s="1890"/>
      <c r="M64" s="1890"/>
      <c r="N64" s="1890"/>
      <c r="O64" s="1890"/>
      <c r="P64" s="1890"/>
      <c r="Q64" s="1890"/>
      <c r="R64" s="1890"/>
      <c r="S64" s="1890"/>
      <c r="T64" s="1890"/>
      <c r="U64" s="1890"/>
      <c r="V64" s="1890"/>
      <c r="W64" s="1890"/>
      <c r="X64" s="1890"/>
      <c r="Y64" s="1890"/>
      <c r="Z64" s="1890"/>
      <c r="AA64" s="1890"/>
      <c r="AB64" s="1890"/>
      <c r="AC64" s="1890"/>
      <c r="AD64" s="1890"/>
      <c r="AE64" s="1890"/>
      <c r="AF64" s="1890"/>
      <c r="AG64" s="1890"/>
      <c r="AH64" s="1890"/>
      <c r="AI64" s="1890"/>
      <c r="AJ64" s="1891"/>
      <c r="AK64" s="578"/>
      <c r="AL64" s="575"/>
      <c r="AM64" s="575"/>
      <c r="AN64" s="570"/>
      <c r="AO64" s="585">
        <f>IF($B75="yes",10,0)</f>
        <v>0</v>
      </c>
    </row>
    <row r="65" spans="1:42" s="571" customFormat="1" ht="12.75" customHeight="1">
      <c r="A65" s="573"/>
      <c r="B65" s="575"/>
      <c r="C65" s="575"/>
      <c r="D65" s="586"/>
      <c r="E65" s="1889"/>
      <c r="F65" s="1890"/>
      <c r="G65" s="1890"/>
      <c r="H65" s="1890"/>
      <c r="I65" s="1890"/>
      <c r="J65" s="1890"/>
      <c r="K65" s="1890"/>
      <c r="L65" s="1890"/>
      <c r="M65" s="1890"/>
      <c r="N65" s="1890"/>
      <c r="O65" s="1890"/>
      <c r="P65" s="1890"/>
      <c r="Q65" s="1890"/>
      <c r="R65" s="1890"/>
      <c r="S65" s="1890"/>
      <c r="T65" s="1890"/>
      <c r="U65" s="1890"/>
      <c r="V65" s="1890"/>
      <c r="W65" s="1890"/>
      <c r="X65" s="1890"/>
      <c r="Y65" s="1890"/>
      <c r="Z65" s="1890"/>
      <c r="AA65" s="1890"/>
      <c r="AB65" s="1890"/>
      <c r="AC65" s="1890"/>
      <c r="AD65" s="1890"/>
      <c r="AE65" s="1890"/>
      <c r="AF65" s="1890"/>
      <c r="AG65" s="1890"/>
      <c r="AH65" s="1890"/>
      <c r="AI65" s="1890"/>
      <c r="AJ65" s="1891"/>
      <c r="AK65" s="578"/>
      <c r="AL65" s="575"/>
      <c r="AM65" s="575"/>
      <c r="AN65" s="570"/>
      <c r="AO65" s="571">
        <f>IF(SUM(AO62:AO64)&gt;10,10,(SUM(AO62:AO64)))</f>
        <v>10</v>
      </c>
      <c r="AP65" s="609" t="s">
        <v>1488</v>
      </c>
    </row>
    <row r="66" spans="1:42" s="571" customFormat="1" ht="12.75" customHeight="1">
      <c r="A66" s="573"/>
      <c r="B66" s="575"/>
      <c r="C66" s="575"/>
      <c r="D66" s="586"/>
      <c r="E66" s="1892"/>
      <c r="F66" s="1893"/>
      <c r="G66" s="1893"/>
      <c r="H66" s="1893"/>
      <c r="I66" s="1893"/>
      <c r="J66" s="1893"/>
      <c r="K66" s="1893"/>
      <c r="L66" s="1893"/>
      <c r="M66" s="1893"/>
      <c r="N66" s="1893"/>
      <c r="O66" s="1893"/>
      <c r="P66" s="1893"/>
      <c r="Q66" s="1893"/>
      <c r="R66" s="1893"/>
      <c r="S66" s="1893"/>
      <c r="T66" s="1893"/>
      <c r="U66" s="1893"/>
      <c r="V66" s="1893"/>
      <c r="W66" s="1893"/>
      <c r="X66" s="1893"/>
      <c r="Y66" s="1893"/>
      <c r="Z66" s="1893"/>
      <c r="AA66" s="1893"/>
      <c r="AB66" s="1893"/>
      <c r="AC66" s="1893"/>
      <c r="AD66" s="1893"/>
      <c r="AE66" s="1893"/>
      <c r="AF66" s="1893"/>
      <c r="AG66" s="1893"/>
      <c r="AH66" s="1893"/>
      <c r="AI66" s="1893"/>
      <c r="AJ66" s="1894"/>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5" t="s">
        <v>554</v>
      </c>
      <c r="C68" s="1875"/>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5" t="s">
        <v>600</v>
      </c>
      <c r="F69" s="1875"/>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3" t="s">
        <v>600</v>
      </c>
      <c r="F70" s="1874"/>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3" t="s">
        <v>600</v>
      </c>
      <c r="F71" s="1874"/>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5" t="s">
        <v>554</v>
      </c>
      <c r="F73" s="1875"/>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5" t="s">
        <v>600</v>
      </c>
      <c r="C75" s="1875"/>
      <c r="D75" s="582" t="s">
        <v>1492</v>
      </c>
      <c r="E75" s="1876" t="s">
        <v>2000</v>
      </c>
      <c r="F75" s="1877"/>
      <c r="G75" s="1877"/>
      <c r="H75" s="1877"/>
      <c r="I75" s="1877"/>
      <c r="J75" s="1877"/>
      <c r="K75" s="1877"/>
      <c r="L75" s="1877"/>
      <c r="M75" s="1877"/>
      <c r="N75" s="1877"/>
      <c r="O75" s="1877"/>
      <c r="P75" s="1877"/>
      <c r="Q75" s="1877"/>
      <c r="R75" s="1877"/>
      <c r="S75" s="1877"/>
      <c r="T75" s="1877"/>
      <c r="U75" s="1877"/>
      <c r="V75" s="1877"/>
      <c r="W75" s="1877"/>
      <c r="X75" s="1877"/>
      <c r="Y75" s="1877"/>
      <c r="Z75" s="1877"/>
      <c r="AA75" s="1877"/>
      <c r="AB75" s="1877"/>
      <c r="AC75" s="1877"/>
      <c r="AD75" s="1877"/>
      <c r="AE75" s="1877"/>
      <c r="AF75" s="1877"/>
      <c r="AG75" s="1877"/>
      <c r="AH75" s="1877"/>
      <c r="AI75" s="1877"/>
      <c r="AJ75" s="1878"/>
      <c r="AK75" s="578"/>
      <c r="AL75" s="575"/>
      <c r="AM75" s="575"/>
      <c r="AN75" s="570"/>
    </row>
    <row r="76" spans="1:42" s="571" customFormat="1" ht="12.75" customHeight="1">
      <c r="A76" s="573"/>
      <c r="B76" s="575"/>
      <c r="C76" s="575"/>
      <c r="D76" s="585"/>
      <c r="E76" s="1879"/>
      <c r="F76" s="1880"/>
      <c r="G76" s="1880"/>
      <c r="H76" s="1880"/>
      <c r="I76" s="1880"/>
      <c r="J76" s="1880"/>
      <c r="K76" s="1880"/>
      <c r="L76" s="1880"/>
      <c r="M76" s="1880"/>
      <c r="N76" s="1880"/>
      <c r="O76" s="1880"/>
      <c r="P76" s="1880"/>
      <c r="Q76" s="1880"/>
      <c r="R76" s="1880"/>
      <c r="S76" s="1880"/>
      <c r="T76" s="1880"/>
      <c r="U76" s="1880"/>
      <c r="V76" s="1880"/>
      <c r="W76" s="1880"/>
      <c r="X76" s="1880"/>
      <c r="Y76" s="1880"/>
      <c r="Z76" s="1880"/>
      <c r="AA76" s="1880"/>
      <c r="AB76" s="1880"/>
      <c r="AC76" s="1880"/>
      <c r="AD76" s="1880"/>
      <c r="AE76" s="1880"/>
      <c r="AF76" s="1880"/>
      <c r="AG76" s="1880"/>
      <c r="AH76" s="1880"/>
      <c r="AI76" s="1880"/>
      <c r="AJ76" s="1881"/>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05">
        <f>IF(AK56&gt;0,0,AO65)</f>
        <v>10</v>
      </c>
      <c r="AL78" s="1906"/>
      <c r="AM78" s="1907"/>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5" t="s">
        <v>1477</v>
      </c>
      <c r="AF81" s="1885"/>
      <c r="AG81" s="1885"/>
      <c r="AH81" s="1885"/>
      <c r="AI81" s="1885"/>
      <c r="AJ81" s="1885"/>
      <c r="AK81" s="1885"/>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5" t="s">
        <v>554</v>
      </c>
      <c r="C84" s="1875"/>
      <c r="D84" s="582" t="s">
        <v>1487</v>
      </c>
      <c r="E84" s="1886" t="s">
        <v>1497</v>
      </c>
      <c r="F84" s="1887"/>
      <c r="G84" s="1887"/>
      <c r="H84" s="1887"/>
      <c r="I84" s="1887"/>
      <c r="J84" s="1887"/>
      <c r="K84" s="1887"/>
      <c r="L84" s="1887"/>
      <c r="M84" s="1887"/>
      <c r="N84" s="1887"/>
      <c r="O84" s="1887"/>
      <c r="P84" s="1887"/>
      <c r="Q84" s="1887"/>
      <c r="R84" s="1887"/>
      <c r="S84" s="1887"/>
      <c r="T84" s="1887"/>
      <c r="U84" s="1887"/>
      <c r="V84" s="1887"/>
      <c r="W84" s="1887"/>
      <c r="X84" s="1887"/>
      <c r="Y84" s="1887"/>
      <c r="Z84" s="1887"/>
      <c r="AA84" s="1887"/>
      <c r="AB84" s="1887"/>
      <c r="AC84" s="1887"/>
      <c r="AD84" s="1887"/>
      <c r="AE84" s="1887"/>
      <c r="AF84" s="1887"/>
      <c r="AG84" s="1887"/>
      <c r="AH84" s="1887"/>
      <c r="AI84" s="1887"/>
      <c r="AJ84" s="1888"/>
      <c r="AK84" s="578"/>
      <c r="AL84" s="575"/>
      <c r="AM84" s="575"/>
      <c r="AN84" s="570"/>
    </row>
    <row r="85" spans="1:43" s="571" customFormat="1" ht="12.75" customHeight="1">
      <c r="A85" s="573"/>
      <c r="B85" s="574"/>
      <c r="C85" s="574"/>
      <c r="D85" s="574"/>
      <c r="E85" s="1889"/>
      <c r="F85" s="1890"/>
      <c r="G85" s="1890"/>
      <c r="H85" s="1890"/>
      <c r="I85" s="1890"/>
      <c r="J85" s="1890"/>
      <c r="K85" s="1890"/>
      <c r="L85" s="1890"/>
      <c r="M85" s="1890"/>
      <c r="N85" s="1890"/>
      <c r="O85" s="1890"/>
      <c r="P85" s="1890"/>
      <c r="Q85" s="1890"/>
      <c r="R85" s="1890"/>
      <c r="S85" s="1890"/>
      <c r="T85" s="1890"/>
      <c r="U85" s="1890"/>
      <c r="V85" s="1890"/>
      <c r="W85" s="1890"/>
      <c r="X85" s="1890"/>
      <c r="Y85" s="1890"/>
      <c r="Z85" s="1890"/>
      <c r="AA85" s="1890"/>
      <c r="AB85" s="1890"/>
      <c r="AC85" s="1890"/>
      <c r="AD85" s="1890"/>
      <c r="AE85" s="1890"/>
      <c r="AF85" s="1890"/>
      <c r="AG85" s="1890"/>
      <c r="AH85" s="1890"/>
      <c r="AI85" s="1890"/>
      <c r="AJ85" s="1891"/>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69">
        <f>Application!AC739</f>
        <v>0.37027027027027032</v>
      </c>
      <c r="F87" s="1870"/>
      <c r="G87" s="1870"/>
      <c r="H87" s="1870"/>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1">
        <f>0.6-ROUNDUP(E87,2)</f>
        <v>0.21999999999999997</v>
      </c>
      <c r="F88" s="1872"/>
      <c r="G88" s="1872"/>
      <c r="H88" s="1872"/>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899">
        <f>IF(E88*200&gt;20,20,E88*200)</f>
        <v>20</v>
      </c>
      <c r="F89" s="1900"/>
      <c r="G89" s="1900"/>
      <c r="H89" s="1900"/>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20</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5" t="s">
        <v>600</v>
      </c>
      <c r="C92" s="1875"/>
      <c r="D92" s="582" t="s">
        <v>1489</v>
      </c>
      <c r="E92" s="1886" t="s">
        <v>1985</v>
      </c>
      <c r="F92" s="1887"/>
      <c r="G92" s="1887"/>
      <c r="H92" s="1887"/>
      <c r="I92" s="1887"/>
      <c r="J92" s="1887"/>
      <c r="K92" s="1887"/>
      <c r="L92" s="1887"/>
      <c r="M92" s="1887"/>
      <c r="N92" s="1887"/>
      <c r="O92" s="1887"/>
      <c r="P92" s="1887"/>
      <c r="Q92" s="1887"/>
      <c r="R92" s="1887"/>
      <c r="S92" s="1887"/>
      <c r="T92" s="1887"/>
      <c r="U92" s="1887"/>
      <c r="V92" s="1887"/>
      <c r="W92" s="1887"/>
      <c r="X92" s="1887"/>
      <c r="Y92" s="1887"/>
      <c r="Z92" s="1887"/>
      <c r="AA92" s="1887"/>
      <c r="AB92" s="1887"/>
      <c r="AC92" s="1887"/>
      <c r="AD92" s="1887"/>
      <c r="AE92" s="1887"/>
      <c r="AF92" s="1887"/>
      <c r="AG92" s="1887"/>
      <c r="AH92" s="1887"/>
      <c r="AI92" s="1887"/>
      <c r="AJ92" s="1888"/>
      <c r="AK92" s="578"/>
      <c r="AL92" s="575"/>
      <c r="AM92" s="575"/>
      <c r="AN92" s="570"/>
    </row>
    <row r="93" spans="1:43" s="571" customFormat="1" ht="12.75" customHeight="1">
      <c r="A93" s="573"/>
      <c r="B93" s="574"/>
      <c r="C93" s="574"/>
      <c r="D93" s="574"/>
      <c r="E93" s="1889"/>
      <c r="F93" s="1890"/>
      <c r="G93" s="1890"/>
      <c r="H93" s="1890"/>
      <c r="I93" s="1890"/>
      <c r="J93" s="1890"/>
      <c r="K93" s="1890"/>
      <c r="L93" s="1890"/>
      <c r="M93" s="1890"/>
      <c r="N93" s="1890"/>
      <c r="O93" s="1890"/>
      <c r="P93" s="1890"/>
      <c r="Q93" s="1890"/>
      <c r="R93" s="1890"/>
      <c r="S93" s="1890"/>
      <c r="T93" s="1890"/>
      <c r="U93" s="1890"/>
      <c r="V93" s="1890"/>
      <c r="W93" s="1890"/>
      <c r="X93" s="1890"/>
      <c r="Y93" s="1890"/>
      <c r="Z93" s="1890"/>
      <c r="AA93" s="1890"/>
      <c r="AB93" s="1890"/>
      <c r="AC93" s="1890"/>
      <c r="AD93" s="1890"/>
      <c r="AE93" s="1890"/>
      <c r="AF93" s="1890"/>
      <c r="AG93" s="1890"/>
      <c r="AH93" s="1890"/>
      <c r="AI93" s="1890"/>
      <c r="AJ93" s="1891"/>
      <c r="AK93" s="578"/>
      <c r="AL93" s="575"/>
      <c r="AM93" s="575"/>
      <c r="AN93" s="570"/>
    </row>
    <row r="94" spans="1:43" s="571" customFormat="1" ht="12.75" customHeight="1">
      <c r="A94" s="573"/>
      <c r="B94" s="574"/>
      <c r="C94" s="574"/>
      <c r="D94" s="574"/>
      <c r="E94" s="1889"/>
      <c r="F94" s="1890"/>
      <c r="G94" s="1890"/>
      <c r="H94" s="1890"/>
      <c r="I94" s="1890"/>
      <c r="J94" s="1890"/>
      <c r="K94" s="1890"/>
      <c r="L94" s="1890"/>
      <c r="M94" s="1890"/>
      <c r="N94" s="1890"/>
      <c r="O94" s="1890"/>
      <c r="P94" s="1890"/>
      <c r="Q94" s="1890"/>
      <c r="R94" s="1890"/>
      <c r="S94" s="1890"/>
      <c r="T94" s="1890"/>
      <c r="U94" s="1890"/>
      <c r="V94" s="1890"/>
      <c r="W94" s="1890"/>
      <c r="X94" s="1890"/>
      <c r="Y94" s="1890"/>
      <c r="Z94" s="1890"/>
      <c r="AA94" s="1890"/>
      <c r="AB94" s="1890"/>
      <c r="AC94" s="1890"/>
      <c r="AD94" s="1890"/>
      <c r="AE94" s="1890"/>
      <c r="AF94" s="1890"/>
      <c r="AG94" s="1890"/>
      <c r="AH94" s="1890"/>
      <c r="AI94" s="1890"/>
      <c r="AJ94" s="1891"/>
      <c r="AK94" s="578"/>
      <c r="AL94" s="575"/>
      <c r="AM94" s="575"/>
      <c r="AN94" s="570"/>
    </row>
    <row r="95" spans="1:43" s="571" customFormat="1" ht="12.75" customHeight="1">
      <c r="A95" s="573"/>
      <c r="B95" s="574"/>
      <c r="C95" s="574"/>
      <c r="D95" s="574"/>
      <c r="E95" s="1889"/>
      <c r="F95" s="1890"/>
      <c r="G95" s="1890"/>
      <c r="H95" s="1890"/>
      <c r="I95" s="1890"/>
      <c r="J95" s="1890"/>
      <c r="K95" s="1890"/>
      <c r="L95" s="1890"/>
      <c r="M95" s="1890"/>
      <c r="N95" s="1890"/>
      <c r="O95" s="1890"/>
      <c r="P95" s="1890"/>
      <c r="Q95" s="1890"/>
      <c r="R95" s="1890"/>
      <c r="S95" s="1890"/>
      <c r="T95" s="1890"/>
      <c r="U95" s="1890"/>
      <c r="V95" s="1890"/>
      <c r="W95" s="1890"/>
      <c r="X95" s="1890"/>
      <c r="Y95" s="1890"/>
      <c r="Z95" s="1890"/>
      <c r="AA95" s="1890"/>
      <c r="AB95" s="1890"/>
      <c r="AC95" s="1890"/>
      <c r="AD95" s="1890"/>
      <c r="AE95" s="1890"/>
      <c r="AF95" s="1890"/>
      <c r="AG95" s="1890"/>
      <c r="AH95" s="1890"/>
      <c r="AI95" s="1890"/>
      <c r="AJ95" s="1891"/>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69">
        <f>Application!AC739</f>
        <v>0.37027027027027032</v>
      </c>
      <c r="F97" s="1870"/>
      <c r="G97" s="1870"/>
      <c r="H97" s="1870"/>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69">
        <f ca="1">SUMIF(Application!AC714:AG738,0.2,Application!G714:J738)/Application!G739+SUMIF(Application!AC714:AG738,0.25,Application!G714:J738)/Application!G739+SUMIF(Application!AC714:AG738,0.3,Application!G714:J738)/Application!G739</f>
        <v>0.64864864864864868</v>
      </c>
      <c r="F98" s="1870"/>
      <c r="G98" s="1870"/>
      <c r="H98" s="1870"/>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69">
        <f ca="1">SUMIF(Application!AC714:AG738,0.35,Application!G714:J738)/Application!G739+SUMIF(Application!AC714:AG738,0.4,Application!G714:J738)/Application!G739+SUMIF(Application!AC714:AG738,0.45,Application!G714:J738)/Application!G739+SUMIF(Application!AC714:AG738,0.5,Application!G714:J738)/Application!G739</f>
        <v>0.35135135135135137</v>
      </c>
      <c r="F99" s="1870"/>
      <c r="G99" s="1870"/>
      <c r="H99" s="1870"/>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4">
        <f ca="1">IF(AND(E97&lt;=0.6,E98&gt;=0.1,OR(E99&gt;=0.1,E98&gt;=0.2)),20,0)</f>
        <v>20</v>
      </c>
      <c r="F100" s="1925"/>
      <c r="G100" s="1925"/>
      <c r="H100" s="1925"/>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05">
        <f>MAX(AP89,AP100)</f>
        <v>20</v>
      </c>
      <c r="AL103" s="1906"/>
      <c r="AM103" s="1907"/>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5" t="s">
        <v>1486</v>
      </c>
      <c r="AF106" s="1885"/>
      <c r="AG106" s="1885"/>
      <c r="AH106" s="1885"/>
      <c r="AI106" s="1885"/>
      <c r="AJ106" s="1885"/>
      <c r="AK106" s="1885"/>
      <c r="AL106" s="575"/>
      <c r="AM106" s="575"/>
      <c r="AN106" s="570"/>
      <c r="AO106" s="571" t="str">
        <f>Application!B714</f>
        <v>1 Bedroom</v>
      </c>
      <c r="AQ106" s="571">
        <f>Application!O714</f>
        <v>1182</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1182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709.2</v>
      </c>
    </row>
    <row r="109" spans="1:49" s="571" customFormat="1" ht="12.75" customHeight="1">
      <c r="A109" s="575"/>
      <c r="B109" s="1875" t="s">
        <v>554</v>
      </c>
      <c r="C109" s="1875"/>
      <c r="D109" s="582" t="s">
        <v>1487</v>
      </c>
      <c r="E109" s="1886" t="s">
        <v>2120</v>
      </c>
      <c r="F109" s="1887"/>
      <c r="G109" s="1887"/>
      <c r="H109" s="1887"/>
      <c r="I109" s="1887"/>
      <c r="J109" s="1887"/>
      <c r="K109" s="1887"/>
      <c r="L109" s="1887"/>
      <c r="M109" s="1887"/>
      <c r="N109" s="1887"/>
      <c r="O109" s="1887"/>
      <c r="P109" s="1887"/>
      <c r="Q109" s="1887"/>
      <c r="R109" s="1887"/>
      <c r="S109" s="1887"/>
      <c r="T109" s="1887"/>
      <c r="U109" s="1887"/>
      <c r="V109" s="1887"/>
      <c r="W109" s="1887"/>
      <c r="X109" s="1887"/>
      <c r="Y109" s="1887"/>
      <c r="Z109" s="1887"/>
      <c r="AA109" s="1887"/>
      <c r="AB109" s="1887"/>
      <c r="AC109" s="1887"/>
      <c r="AD109" s="1887"/>
      <c r="AE109" s="1887"/>
      <c r="AF109" s="1887"/>
      <c r="AG109" s="1887"/>
      <c r="AH109" s="1887"/>
      <c r="AI109" s="1887"/>
      <c r="AJ109" s="1888"/>
      <c r="AK109" s="575"/>
      <c r="AL109" s="575"/>
      <c r="AM109" s="575"/>
      <c r="AN109" s="570"/>
      <c r="AO109" s="571" t="str">
        <f>Application!B717</f>
        <v>1 Bedroom</v>
      </c>
      <c r="AQ109" s="571">
        <f>Application!O717</f>
        <v>709.2</v>
      </c>
      <c r="AU109" s="571" t="s">
        <v>2102</v>
      </c>
      <c r="AV109" s="630" t="s">
        <v>2103</v>
      </c>
      <c r="AW109" s="571" t="s">
        <v>2104</v>
      </c>
    </row>
    <row r="110" spans="1:49" s="571" customFormat="1" ht="12.75" customHeight="1">
      <c r="A110" s="575"/>
      <c r="B110" s="574"/>
      <c r="C110" s="574"/>
      <c r="D110" s="574"/>
      <c r="E110" s="1889"/>
      <c r="F110" s="1890"/>
      <c r="G110" s="1890"/>
      <c r="H110" s="1890"/>
      <c r="I110" s="1890"/>
      <c r="J110" s="1890"/>
      <c r="K110" s="1890"/>
      <c r="L110" s="1890"/>
      <c r="M110" s="1890"/>
      <c r="N110" s="1890"/>
      <c r="O110" s="1890"/>
      <c r="P110" s="1890"/>
      <c r="Q110" s="1890"/>
      <c r="R110" s="1890"/>
      <c r="S110" s="1890"/>
      <c r="T110" s="1890"/>
      <c r="U110" s="1890"/>
      <c r="V110" s="1890"/>
      <c r="W110" s="1890"/>
      <c r="X110" s="1890"/>
      <c r="Y110" s="1890"/>
      <c r="Z110" s="1890"/>
      <c r="AA110" s="1890"/>
      <c r="AB110" s="1890"/>
      <c r="AC110" s="1890"/>
      <c r="AD110" s="1890"/>
      <c r="AE110" s="1890"/>
      <c r="AF110" s="1890"/>
      <c r="AG110" s="1890"/>
      <c r="AH110" s="1890"/>
      <c r="AI110" s="1890"/>
      <c r="AJ110" s="1891"/>
      <c r="AK110" s="575"/>
      <c r="AL110" s="575"/>
      <c r="AM110" s="575"/>
      <c r="AN110" s="570"/>
      <c r="AO110" s="571" t="str">
        <f>Application!B718</f>
        <v>SRO/Studio</v>
      </c>
      <c r="AQ110" s="571">
        <f>Application!O718</f>
        <v>661.8</v>
      </c>
      <c r="AU110" s="892" t="str">
        <f>E118</f>
        <v>Studio/SRO</v>
      </c>
      <c r="AV110" s="571">
        <f t="array" ref="AV110">SUM(IF(Application!B714:F738="SRO/Studio",Application!G714:J738))</f>
        <v>11</v>
      </c>
      <c r="AW110" s="1048">
        <f>AV110/AV116</f>
        <v>0.29729729729729731</v>
      </c>
    </row>
    <row r="111" spans="1:49" s="571" customFormat="1" ht="12.75" customHeight="1">
      <c r="A111" s="575"/>
      <c r="B111" s="574"/>
      <c r="C111" s="574"/>
      <c r="D111" s="574"/>
      <c r="E111" s="1889"/>
      <c r="F111" s="1890"/>
      <c r="G111" s="1890"/>
      <c r="H111" s="1890"/>
      <c r="I111" s="1890"/>
      <c r="J111" s="1890"/>
      <c r="K111" s="1890"/>
      <c r="L111" s="1890"/>
      <c r="M111" s="1890"/>
      <c r="N111" s="1890"/>
      <c r="O111" s="1890"/>
      <c r="P111" s="1890"/>
      <c r="Q111" s="1890"/>
      <c r="R111" s="1890"/>
      <c r="S111" s="1890"/>
      <c r="T111" s="1890"/>
      <c r="U111" s="1890"/>
      <c r="V111" s="1890"/>
      <c r="W111" s="1890"/>
      <c r="X111" s="1890"/>
      <c r="Y111" s="1890"/>
      <c r="Z111" s="1890"/>
      <c r="AA111" s="1890"/>
      <c r="AB111" s="1890"/>
      <c r="AC111" s="1890"/>
      <c r="AD111" s="1890"/>
      <c r="AE111" s="1890"/>
      <c r="AF111" s="1890"/>
      <c r="AG111" s="1890"/>
      <c r="AH111" s="1890"/>
      <c r="AI111" s="1890"/>
      <c r="AJ111" s="1891"/>
      <c r="AK111" s="575"/>
      <c r="AL111" s="575"/>
      <c r="AM111" s="575"/>
      <c r="AN111" s="570"/>
      <c r="AO111" s="571" t="str">
        <f>Application!B719</f>
        <v>SRO/Studio</v>
      </c>
      <c r="AQ111" s="571">
        <f>Application!O719</f>
        <v>200</v>
      </c>
      <c r="AU111" s="892" t="str">
        <f>J118</f>
        <v>1-bedroom</v>
      </c>
      <c r="AV111" s="571">
        <f t="array" ref="AV111">SUM(IF(Application!B714:F738="1 Bedroom",Application!G714:J738))</f>
        <v>26</v>
      </c>
      <c r="AW111" s="1048">
        <f>AV111/AV116</f>
        <v>0.70270270270270274</v>
      </c>
    </row>
    <row r="112" spans="1:49" s="571" customFormat="1" ht="12.75" customHeight="1">
      <c r="A112" s="575"/>
      <c r="B112" s="574"/>
      <c r="C112" s="574"/>
      <c r="D112" s="574"/>
      <c r="E112" s="1889"/>
      <c r="F112" s="1890"/>
      <c r="G112" s="1890"/>
      <c r="H112" s="1890"/>
      <c r="I112" s="1890"/>
      <c r="J112" s="1890"/>
      <c r="K112" s="1890"/>
      <c r="L112" s="1890"/>
      <c r="M112" s="1890"/>
      <c r="N112" s="1890"/>
      <c r="O112" s="1890"/>
      <c r="P112" s="1890"/>
      <c r="Q112" s="1890"/>
      <c r="R112" s="1890"/>
      <c r="S112" s="1890"/>
      <c r="T112" s="1890"/>
      <c r="U112" s="1890"/>
      <c r="V112" s="1890"/>
      <c r="W112" s="1890"/>
      <c r="X112" s="1890"/>
      <c r="Y112" s="1890"/>
      <c r="Z112" s="1890"/>
      <c r="AA112" s="1890"/>
      <c r="AB112" s="1890"/>
      <c r="AC112" s="1890"/>
      <c r="AD112" s="1890"/>
      <c r="AE112" s="1890"/>
      <c r="AF112" s="1890"/>
      <c r="AG112" s="1890"/>
      <c r="AH112" s="1890"/>
      <c r="AI112" s="1890"/>
      <c r="AJ112" s="1891"/>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89"/>
      <c r="F113" s="1890"/>
      <c r="G113" s="1890"/>
      <c r="H113" s="1890"/>
      <c r="I113" s="1890"/>
      <c r="J113" s="1890"/>
      <c r="K113" s="1890"/>
      <c r="L113" s="1890"/>
      <c r="M113" s="1890"/>
      <c r="N113" s="1890"/>
      <c r="O113" s="1890"/>
      <c r="P113" s="1890"/>
      <c r="Q113" s="1890"/>
      <c r="R113" s="1890"/>
      <c r="S113" s="1890"/>
      <c r="T113" s="1890"/>
      <c r="U113" s="1890"/>
      <c r="V113" s="1890"/>
      <c r="W113" s="1890"/>
      <c r="X113" s="1890"/>
      <c r="Y113" s="1890"/>
      <c r="Z113" s="1890"/>
      <c r="AA113" s="1890"/>
      <c r="AB113" s="1890"/>
      <c r="AC113" s="1890"/>
      <c r="AD113" s="1890"/>
      <c r="AE113" s="1890"/>
      <c r="AF113" s="1890"/>
      <c r="AG113" s="1890"/>
      <c r="AH113" s="1890"/>
      <c r="AI113" s="1890"/>
      <c r="AJ113" s="1891"/>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89"/>
      <c r="F114" s="1890"/>
      <c r="G114" s="1890"/>
      <c r="H114" s="1890"/>
      <c r="I114" s="1890"/>
      <c r="J114" s="1890"/>
      <c r="K114" s="1890"/>
      <c r="L114" s="1890"/>
      <c r="M114" s="1890"/>
      <c r="N114" s="1890"/>
      <c r="O114" s="1890"/>
      <c r="P114" s="1890"/>
      <c r="Q114" s="1890"/>
      <c r="R114" s="1890"/>
      <c r="S114" s="1890"/>
      <c r="T114" s="1890"/>
      <c r="U114" s="1890"/>
      <c r="V114" s="1890"/>
      <c r="W114" s="1890"/>
      <c r="X114" s="1890"/>
      <c r="Y114" s="1890"/>
      <c r="Z114" s="1890"/>
      <c r="AA114" s="1890"/>
      <c r="AB114" s="1890"/>
      <c r="AC114" s="1890"/>
      <c r="AD114" s="1890"/>
      <c r="AE114" s="1890"/>
      <c r="AF114" s="1890"/>
      <c r="AG114" s="1890"/>
      <c r="AH114" s="1890"/>
      <c r="AI114" s="1890"/>
      <c r="AJ114" s="1891"/>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89"/>
      <c r="F115" s="1890"/>
      <c r="G115" s="1890"/>
      <c r="H115" s="1890"/>
      <c r="I115" s="1890"/>
      <c r="J115" s="1890"/>
      <c r="K115" s="1890"/>
      <c r="L115" s="1890"/>
      <c r="M115" s="1890"/>
      <c r="N115" s="1890"/>
      <c r="O115" s="1890"/>
      <c r="P115" s="1890"/>
      <c r="Q115" s="1890"/>
      <c r="R115" s="1890"/>
      <c r="S115" s="1890"/>
      <c r="T115" s="1890"/>
      <c r="U115" s="1890"/>
      <c r="V115" s="1890"/>
      <c r="W115" s="1890"/>
      <c r="X115" s="1890"/>
      <c r="Y115" s="1890"/>
      <c r="Z115" s="1890"/>
      <c r="AA115" s="1890"/>
      <c r="AB115" s="1890"/>
      <c r="AC115" s="1890"/>
      <c r="AD115" s="1890"/>
      <c r="AE115" s="1890"/>
      <c r="AF115" s="1890"/>
      <c r="AG115" s="1890"/>
      <c r="AH115" s="1890"/>
      <c r="AI115" s="1890"/>
      <c r="AJ115" s="1891"/>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89"/>
      <c r="F116" s="1890"/>
      <c r="G116" s="1890"/>
      <c r="H116" s="1890"/>
      <c r="I116" s="1890"/>
      <c r="J116" s="1890"/>
      <c r="K116" s="1890"/>
      <c r="L116" s="1890"/>
      <c r="M116" s="1890"/>
      <c r="N116" s="1890"/>
      <c r="O116" s="1890"/>
      <c r="P116" s="1890"/>
      <c r="Q116" s="1890"/>
      <c r="R116" s="1890"/>
      <c r="S116" s="1890"/>
      <c r="T116" s="1890"/>
      <c r="U116" s="1890"/>
      <c r="V116" s="1890"/>
      <c r="W116" s="1890"/>
      <c r="X116" s="1890"/>
      <c r="Y116" s="1890"/>
      <c r="Z116" s="1890"/>
      <c r="AA116" s="1890"/>
      <c r="AB116" s="1890"/>
      <c r="AC116" s="1890"/>
      <c r="AD116" s="1890"/>
      <c r="AE116" s="1890"/>
      <c r="AF116" s="1890"/>
      <c r="AG116" s="1890"/>
      <c r="AH116" s="1890"/>
      <c r="AI116" s="1890"/>
      <c r="AJ116" s="1891"/>
      <c r="AK116" s="575"/>
      <c r="AL116" s="575"/>
      <c r="AM116" s="575"/>
      <c r="AN116" s="570"/>
      <c r="AO116" s="571">
        <f>Application!B724</f>
        <v>0</v>
      </c>
      <c r="AQ116" s="571">
        <f>Application!O724</f>
        <v>0</v>
      </c>
      <c r="AV116" s="571">
        <f>SUM(AV110:AV115)</f>
        <v>37</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69" t="s">
        <v>1765</v>
      </c>
      <c r="F118" s="1870"/>
      <c r="G118" s="1870"/>
      <c r="H118" s="1870"/>
      <c r="I118" s="612"/>
      <c r="J118" s="1870" t="s">
        <v>1810</v>
      </c>
      <c r="K118" s="1870"/>
      <c r="L118" s="1870"/>
      <c r="M118" s="1870"/>
      <c r="N118" s="612"/>
      <c r="O118" s="1870" t="s">
        <v>1811</v>
      </c>
      <c r="P118" s="1870"/>
      <c r="Q118" s="1870"/>
      <c r="R118" s="1870"/>
      <c r="S118" s="612"/>
      <c r="T118" s="1870" t="s">
        <v>1506</v>
      </c>
      <c r="U118" s="1870"/>
      <c r="V118" s="1870"/>
      <c r="W118" s="1870"/>
      <c r="X118" s="612"/>
      <c r="Y118" s="1870" t="s">
        <v>1812</v>
      </c>
      <c r="Z118" s="1870"/>
      <c r="AA118" s="1870"/>
      <c r="AB118" s="1870"/>
      <c r="AC118" s="612"/>
      <c r="AD118" s="1870" t="s">
        <v>1813</v>
      </c>
      <c r="AE118" s="1870"/>
      <c r="AF118" s="1870"/>
      <c r="AG118" s="1870"/>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26">
        <v>2767</v>
      </c>
      <c r="F121" s="1927"/>
      <c r="G121" s="1927"/>
      <c r="H121" s="1927"/>
      <c r="I121" s="900"/>
      <c r="J121" s="1927">
        <v>3313</v>
      </c>
      <c r="K121" s="1927"/>
      <c r="L121" s="1927"/>
      <c r="M121" s="1927"/>
      <c r="N121" s="900"/>
      <c r="O121" s="1927"/>
      <c r="P121" s="1927"/>
      <c r="Q121" s="1927"/>
      <c r="R121" s="1927"/>
      <c r="S121" s="900"/>
      <c r="T121" s="1927"/>
      <c r="U121" s="1927"/>
      <c r="V121" s="1927"/>
      <c r="W121" s="1927"/>
      <c r="X121" s="900"/>
      <c r="Y121" s="1927"/>
      <c r="Z121" s="1927"/>
      <c r="AA121" s="1927"/>
      <c r="AB121" s="1927"/>
      <c r="AC121" s="900"/>
      <c r="AD121" s="1927"/>
      <c r="AE121" s="1927"/>
      <c r="AF121" s="1927"/>
      <c r="AG121" s="1927"/>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19">
        <f>Application!DX649</f>
        <v>241.98181818181817</v>
      </c>
      <c r="F124" s="1920"/>
      <c r="G124" s="1920"/>
      <c r="H124" s="1920"/>
      <c r="I124" s="900"/>
      <c r="J124" s="1920">
        <f>Application!EC649</f>
        <v>945.6</v>
      </c>
      <c r="K124" s="1920"/>
      <c r="L124" s="1920"/>
      <c r="M124" s="1920"/>
      <c r="N124" s="900"/>
      <c r="O124" s="1920">
        <f>Application!EH649</f>
        <v>0</v>
      </c>
      <c r="P124" s="1920"/>
      <c r="Q124" s="1920"/>
      <c r="R124" s="1920"/>
      <c r="S124" s="904"/>
      <c r="T124" s="1920">
        <f>Application!EM649</f>
        <v>0</v>
      </c>
      <c r="U124" s="1920"/>
      <c r="V124" s="1920"/>
      <c r="W124" s="1920"/>
      <c r="X124" s="904"/>
      <c r="Y124" s="1920">
        <f>Application!ER649</f>
        <v>0</v>
      </c>
      <c r="Z124" s="1920"/>
      <c r="AA124" s="1920"/>
      <c r="AB124" s="1920"/>
      <c r="AC124" s="904"/>
      <c r="AD124" s="1920">
        <f>Application!EW649</f>
        <v>0</v>
      </c>
      <c r="AE124" s="1920"/>
      <c r="AF124" s="1920"/>
      <c r="AG124" s="1920"/>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2">
        <f>(E121-E124)/E121</f>
        <v>0.91254722870190885</v>
      </c>
      <c r="F127" s="1872"/>
      <c r="G127" s="1872"/>
      <c r="H127" s="2113"/>
      <c r="I127" s="612"/>
      <c r="J127" s="2112">
        <f>(J121-J124)/J121</f>
        <v>0.71457893148204044</v>
      </c>
      <c r="K127" s="1872"/>
      <c r="L127" s="1872"/>
      <c r="M127" s="2113"/>
      <c r="N127" s="612"/>
      <c r="O127" s="2112" t="e">
        <f>(O121-O124)/O121</f>
        <v>#DIV/0!</v>
      </c>
      <c r="P127" s="1872"/>
      <c r="Q127" s="1872"/>
      <c r="R127" s="2113"/>
      <c r="S127" s="612"/>
      <c r="T127" s="2112" t="e">
        <f>(T121-T124)/T121</f>
        <v>#DIV/0!</v>
      </c>
      <c r="U127" s="1872"/>
      <c r="V127" s="1872"/>
      <c r="W127" s="2113"/>
      <c r="X127" s="612"/>
      <c r="Y127" s="2112" t="e">
        <f>(Y121-Y124)/Y121</f>
        <v>#DIV/0!</v>
      </c>
      <c r="Z127" s="1872"/>
      <c r="AA127" s="1872"/>
      <c r="AB127" s="2113"/>
      <c r="AC127" s="612"/>
      <c r="AD127" s="2112" t="e">
        <f>(AD121-AD124)/AD121</f>
        <v>#DIV/0!</v>
      </c>
      <c r="AE127" s="1872"/>
      <c r="AF127" s="1872"/>
      <c r="AG127" s="2113"/>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1">
        <f>IF(((E127-0.1)*AW110)&gt;0,((E127-0.1)*AW110),0)</f>
        <v>0.24156809501948642</v>
      </c>
      <c r="F130" s="1922"/>
      <c r="G130" s="1922"/>
      <c r="H130" s="1923"/>
      <c r="I130" s="612"/>
      <c r="J130" s="1921">
        <f>IF(((J127-0.1)*AW111)&gt;0,((J127-0.1)*AW111),0)</f>
        <v>0.43186627617656898</v>
      </c>
      <c r="K130" s="1922"/>
      <c r="L130" s="1922"/>
      <c r="M130" s="1923"/>
      <c r="N130" s="612"/>
      <c r="O130" s="1921" t="e">
        <f>IF(((O127-0.1)*AW112)&gt;0,((O127-0.1)*AW112),0)</f>
        <v>#DIV/0!</v>
      </c>
      <c r="P130" s="1922"/>
      <c r="Q130" s="1922"/>
      <c r="R130" s="1923"/>
      <c r="S130" s="612"/>
      <c r="T130" s="1921" t="e">
        <f>IF(((T127-0.1)*AW113)&gt;0,((T127-0.1)*AW113),0)</f>
        <v>#DIV/0!</v>
      </c>
      <c r="U130" s="1922"/>
      <c r="V130" s="1922"/>
      <c r="W130" s="1923"/>
      <c r="X130" s="612"/>
      <c r="Y130" s="1921" t="e">
        <f>IF(((Y127-0.1)*AW114)&gt;0,((Y127-0.1)*AW114),0)</f>
        <v>#DIV/0!</v>
      </c>
      <c r="Z130" s="1922"/>
      <c r="AA130" s="1922"/>
      <c r="AB130" s="1923"/>
      <c r="AC130" s="612"/>
      <c r="AD130" s="1921" t="e">
        <f>IF(((AD127-0.1)*AW115)&gt;0,((AD127-0.1)*AW115),0)</f>
        <v>#DIV/0!</v>
      </c>
      <c r="AE130" s="1922"/>
      <c r="AF130" s="1922"/>
      <c r="AG130" s="1923"/>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2">
        <f>ROUNDDOWN(SUMIF(E130:AG130,"&gt;0"),2)</f>
        <v>0.67</v>
      </c>
      <c r="F132" s="1872"/>
      <c r="G132" s="1872"/>
      <c r="H132" s="2113"/>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5">
        <f>IF((E132*100)&gt;10,10,E132*100)</f>
        <v>10</v>
      </c>
      <c r="F133" s="1906"/>
      <c r="G133" s="1906"/>
      <c r="H133" s="1907"/>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05">
        <f>E133</f>
        <v>10</v>
      </c>
      <c r="AL137" s="1906"/>
      <c r="AM137" s="1907"/>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85" t="s">
        <v>1486</v>
      </c>
      <c r="AF140" s="1885"/>
      <c r="AG140" s="1885"/>
      <c r="AH140" s="1885"/>
      <c r="AI140" s="1885"/>
      <c r="AJ140" s="1885"/>
      <c r="AK140" s="1885"/>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17" t="s">
        <v>1510</v>
      </c>
      <c r="AG142" s="1917"/>
      <c r="AH142" s="1917"/>
      <c r="AI142" s="1917"/>
      <c r="AJ142" s="1917"/>
      <c r="AK142" s="1917"/>
      <c r="AL142" s="191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18" t="s">
        <v>2636</v>
      </c>
      <c r="C144" s="1918"/>
      <c r="D144" s="1918"/>
      <c r="E144" s="1918"/>
      <c r="F144" s="1918"/>
      <c r="G144" s="1918"/>
      <c r="H144" s="1918"/>
      <c r="I144" s="1918"/>
      <c r="J144" s="1918"/>
      <c r="K144" s="1918"/>
      <c r="L144" s="1918"/>
      <c r="M144" s="1918"/>
      <c r="N144" s="1918"/>
      <c r="O144" s="1918"/>
      <c r="P144" s="1918"/>
      <c r="Q144" s="1918"/>
      <c r="R144" s="1918"/>
      <c r="S144" s="1918"/>
      <c r="T144" s="1918"/>
      <c r="U144" s="1918"/>
      <c r="V144" s="1918"/>
      <c r="W144" s="1918"/>
      <c r="X144" s="1918"/>
      <c r="Y144" s="1918"/>
      <c r="Z144" s="1918"/>
      <c r="AA144" s="1918"/>
      <c r="AB144" s="1918"/>
      <c r="AC144" s="1918"/>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3" t="s">
        <v>1513</v>
      </c>
      <c r="C147" s="1943"/>
      <c r="D147" s="1943"/>
      <c r="E147" s="1943"/>
      <c r="F147" s="1943"/>
      <c r="G147" s="1943"/>
      <c r="H147" s="1943"/>
      <c r="I147" s="1943"/>
      <c r="J147" s="1943"/>
      <c r="K147" s="1943"/>
      <c r="L147" s="1943"/>
      <c r="M147" s="1943"/>
      <c r="N147" s="1943"/>
      <c r="O147" s="1943"/>
      <c r="P147" s="1943"/>
      <c r="Q147" s="1943"/>
      <c r="R147" s="1943"/>
      <c r="S147" s="1943"/>
      <c r="T147" s="1943"/>
      <c r="U147" s="1943"/>
      <c r="V147" s="1943"/>
      <c r="W147" s="1943"/>
      <c r="X147" s="1943"/>
      <c r="Y147" s="1943"/>
      <c r="Z147" s="1943"/>
      <c r="AA147" s="1943"/>
      <c r="AB147" s="1943"/>
      <c r="AC147" s="1943"/>
      <c r="AD147" s="1943"/>
      <c r="AE147" s="1943"/>
      <c r="AF147" s="1943"/>
      <c r="AG147" s="1943"/>
      <c r="AH147" s="1943"/>
      <c r="AI147" s="1943"/>
      <c r="AM147" s="574"/>
      <c r="AN147" s="570"/>
      <c r="AO147" s="511" t="s">
        <v>1513</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2412</v>
      </c>
      <c r="AP148" s="524">
        <v>7</v>
      </c>
    </row>
    <row r="149" spans="1:42" s="571" customFormat="1" ht="12.75" customHeight="1">
      <c r="A149" s="573"/>
      <c r="B149" s="574" t="s">
        <v>1514</v>
      </c>
      <c r="AB149" s="1944" t="s">
        <v>600</v>
      </c>
      <c r="AC149" s="1944"/>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3" t="s">
        <v>1515</v>
      </c>
      <c r="C152" s="1943"/>
      <c r="D152" s="1943"/>
      <c r="E152" s="1943"/>
      <c r="F152" s="1943"/>
      <c r="G152" s="1943"/>
      <c r="H152" s="1943"/>
      <c r="I152" s="1943"/>
      <c r="J152" s="1943"/>
      <c r="K152" s="1943"/>
      <c r="L152" s="1943"/>
      <c r="M152" s="1943"/>
      <c r="N152" s="1943"/>
      <c r="O152" s="1943"/>
      <c r="P152" s="1943"/>
      <c r="Q152" s="1943"/>
      <c r="R152" s="1943"/>
      <c r="S152" s="1943"/>
      <c r="T152" s="1943"/>
      <c r="U152" s="1943"/>
      <c r="V152" s="1943"/>
      <c r="W152" s="1943"/>
      <c r="X152" s="1943"/>
      <c r="Y152" s="1943"/>
      <c r="Z152" s="1943"/>
      <c r="AA152" s="1943"/>
      <c r="AB152" s="1943"/>
      <c r="AC152" s="1943"/>
      <c r="AD152" s="1943"/>
      <c r="AE152" s="1943"/>
      <c r="AF152" s="1943"/>
      <c r="AG152" s="1943"/>
      <c r="AH152" s="1943"/>
      <c r="AI152" s="1943"/>
      <c r="AJ152" s="1943"/>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46">
        <f>IF($AB$149="N/A",VLOOKUP($B$147,$AO$145:$AP$148,2,FALSE),VLOOKUP($B$152,$AO$150:$AP$153,2,FALSE))</f>
        <v>7</v>
      </c>
      <c r="AK155" s="1946"/>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17" t="s">
        <v>1524</v>
      </c>
      <c r="AG157" s="1917"/>
      <c r="AH157" s="1917"/>
      <c r="AI157" s="1917"/>
      <c r="AJ157" s="1917"/>
      <c r="AK157" s="1917"/>
      <c r="AL157" s="1917"/>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3" t="s">
        <v>1522</v>
      </c>
      <c r="D159" s="1943"/>
      <c r="E159" s="1943"/>
      <c r="F159" s="1943"/>
      <c r="G159" s="1943"/>
      <c r="H159" s="1943"/>
      <c r="I159" s="1943"/>
      <c r="J159" s="1943"/>
      <c r="K159" s="1943"/>
      <c r="L159" s="1943"/>
      <c r="M159" s="1943"/>
      <c r="N159" s="1943"/>
      <c r="O159" s="1943"/>
      <c r="P159" s="1943"/>
      <c r="Q159" s="1943"/>
      <c r="R159" s="1943"/>
      <c r="S159" s="1943"/>
      <c r="T159" s="1943"/>
      <c r="U159" s="1943"/>
      <c r="V159" s="1943"/>
      <c r="W159" s="1943"/>
      <c r="X159" s="1943"/>
      <c r="Y159" s="1943"/>
      <c r="Z159" s="1943"/>
      <c r="AA159" s="1943"/>
      <c r="AB159" s="1943"/>
      <c r="AC159" s="1943"/>
      <c r="AD159" s="1943"/>
      <c r="AE159" s="1943"/>
      <c r="AF159" s="1943"/>
      <c r="AG159" s="1943"/>
      <c r="AH159" s="1943"/>
      <c r="AI159" s="1943"/>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4" t="s">
        <v>600</v>
      </c>
      <c r="AD161" s="1944"/>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3" t="s">
        <v>1528</v>
      </c>
      <c r="D163" s="1943"/>
      <c r="E163" s="1943"/>
      <c r="F163" s="1943"/>
      <c r="G163" s="1943"/>
      <c r="H163" s="1943"/>
      <c r="I163" s="1943"/>
      <c r="J163" s="1943"/>
      <c r="K163" s="1943"/>
      <c r="L163" s="1943"/>
      <c r="M163" s="1943"/>
      <c r="N163" s="1943"/>
      <c r="O163" s="1943"/>
      <c r="P163" s="1943"/>
      <c r="Q163" s="1943"/>
      <c r="R163" s="1943"/>
      <c r="S163" s="1943"/>
      <c r="T163" s="1943"/>
      <c r="U163" s="1943"/>
      <c r="V163" s="1943"/>
      <c r="W163" s="1943"/>
      <c r="X163" s="1943"/>
      <c r="Y163" s="1943"/>
      <c r="Z163" s="1943"/>
      <c r="AA163" s="1943"/>
      <c r="AB163" s="1943"/>
      <c r="AC163" s="1943"/>
      <c r="AD163" s="1943"/>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18" t="s">
        <v>2638</v>
      </c>
      <c r="D167" s="1918"/>
      <c r="E167" s="1918"/>
      <c r="F167" s="1918"/>
      <c r="G167" s="1918"/>
      <c r="H167" s="1918"/>
      <c r="I167" s="1918"/>
      <c r="J167" s="1918"/>
      <c r="K167" s="1918"/>
      <c r="L167" s="1918"/>
      <c r="M167" s="1918"/>
      <c r="N167" s="1918"/>
      <c r="O167" s="1918"/>
      <c r="P167" s="1918"/>
      <c r="Q167" s="1918"/>
      <c r="R167" s="1918"/>
      <c r="S167" s="1918"/>
      <c r="T167" s="1918"/>
      <c r="U167" s="1918"/>
      <c r="V167" s="1918"/>
      <c r="W167" s="1918"/>
      <c r="X167" s="1918"/>
      <c r="Y167" s="1918"/>
      <c r="Z167" s="1918"/>
      <c r="AA167" s="1918"/>
      <c r="AB167" s="1918"/>
      <c r="AC167" s="1918"/>
      <c r="AD167" s="1918"/>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45">
        <f>IF($AC$161="N/A",VLOOKUP($C$159,$AO$159:$AP$162,2,FALSE),VLOOKUP($C$163,$AO$166:$AP$168,2,FALSE))</f>
        <v>3</v>
      </c>
      <c r="AK169" s="1945"/>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05">
        <f>$AJ$155+$AJ$169</f>
        <v>10</v>
      </c>
      <c r="AL172" s="1906"/>
      <c r="AM172" s="1907"/>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5" t="s">
        <v>1486</v>
      </c>
      <c r="AF175" s="1885"/>
      <c r="AG175" s="1885"/>
      <c r="AH175" s="1885"/>
      <c r="AI175" s="1885"/>
      <c r="AJ175" s="1885"/>
      <c r="AK175" s="1885"/>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1" t="s">
        <v>1104</v>
      </c>
      <c r="C177" s="1941"/>
      <c r="D177" s="1941"/>
      <c r="E177" s="1941"/>
      <c r="F177" s="1941"/>
      <c r="G177" s="1941"/>
      <c r="H177" s="1941"/>
      <c r="I177" s="1941"/>
      <c r="J177" s="1941"/>
      <c r="K177" s="1941"/>
      <c r="L177" s="1941"/>
      <c r="M177" s="1941"/>
      <c r="N177" s="1941"/>
      <c r="O177" s="1941"/>
      <c r="P177" s="1941"/>
      <c r="Q177" s="1941"/>
      <c r="R177" s="1941"/>
      <c r="S177" s="1941"/>
      <c r="T177" s="1941"/>
      <c r="U177" s="1941"/>
      <c r="V177" s="1941"/>
      <c r="W177" s="1941"/>
      <c r="X177" s="1941"/>
      <c r="Y177" s="1941"/>
      <c r="Z177" s="1941"/>
      <c r="AA177" s="1941"/>
      <c r="AB177" s="1941"/>
      <c r="AC177" s="1941"/>
      <c r="AD177" s="571"/>
      <c r="AE177" s="571"/>
      <c r="AF177" s="1917" t="s">
        <v>1535</v>
      </c>
      <c r="AG177" s="1917"/>
      <c r="AH177" s="1917"/>
      <c r="AI177" s="1917"/>
      <c r="AJ177" s="1917"/>
      <c r="AK177" s="1917"/>
      <c r="AL177" s="1917"/>
      <c r="AN177" s="632"/>
      <c r="AP177" s="585" t="s">
        <v>1104</v>
      </c>
      <c r="AQ177" s="585">
        <v>10</v>
      </c>
    </row>
    <row r="178" spans="1:45" s="585" customFormat="1" ht="12.75" customHeight="1">
      <c r="A178" s="571"/>
      <c r="B178" s="1942" t="s">
        <v>1986</v>
      </c>
      <c r="C178" s="1942"/>
      <c r="D178" s="1942"/>
      <c r="E178" s="1942"/>
      <c r="F178" s="1942"/>
      <c r="G178" s="1942"/>
      <c r="H178" s="1942"/>
      <c r="I178" s="1942"/>
      <c r="J178" s="1942"/>
      <c r="K178" s="1942"/>
      <c r="L178" s="1942"/>
      <c r="M178" s="1942"/>
      <c r="N178" s="1942"/>
      <c r="O178" s="1942"/>
      <c r="P178" s="1942"/>
      <c r="Q178" s="1942"/>
      <c r="R178" s="1942"/>
      <c r="S178" s="1942"/>
      <c r="T178" s="1918" t="s">
        <v>600</v>
      </c>
      <c r="U178" s="1918"/>
      <c r="V178" s="1918"/>
      <c r="W178" s="1918"/>
      <c r="X178" s="1918"/>
      <c r="Y178" s="1918"/>
      <c r="Z178" s="1918"/>
      <c r="AA178" s="1918"/>
      <c r="AB178" s="1918"/>
      <c r="AC178" s="1918"/>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0">
        <f>IF(AK78&gt;0,VLOOKUP($B$177,AP174:AQ180,2,FALSE),0)</f>
        <v>10</v>
      </c>
      <c r="AL180" s="1951"/>
      <c r="AM180" s="1952"/>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5" t="s">
        <v>1544</v>
      </c>
      <c r="AF183" s="1885"/>
      <c r="AG183" s="1885"/>
      <c r="AH183" s="1885"/>
      <c r="AI183" s="1885"/>
      <c r="AJ183" s="1885"/>
      <c r="AK183" s="1885"/>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29" t="str">
        <f>Application!C623</f>
        <v>Tunnel to Towers Foundation</v>
      </c>
      <c r="C188" s="1929"/>
      <c r="D188" s="1929"/>
      <c r="E188" s="1929"/>
      <c r="F188" s="1929"/>
      <c r="G188" s="1929"/>
      <c r="H188" s="1929"/>
      <c r="I188" s="1929"/>
      <c r="J188" s="1929"/>
      <c r="K188" s="1929"/>
      <c r="L188" s="1929"/>
      <c r="M188" s="1929"/>
      <c r="N188" s="1929"/>
      <c r="O188" s="1929"/>
      <c r="P188" s="1929"/>
      <c r="Q188" s="1929"/>
      <c r="R188" s="1929"/>
      <c r="S188" s="1929"/>
      <c r="T188" s="1929"/>
      <c r="U188" s="1929"/>
      <c r="V188" s="1929"/>
      <c r="W188" s="1929"/>
      <c r="X188" s="1929"/>
      <c r="Y188" s="1929"/>
      <c r="Z188" s="1929"/>
      <c r="AA188" s="1929"/>
      <c r="AB188" s="1929"/>
      <c r="AC188" s="882"/>
      <c r="AD188" s="1930">
        <f>Application!AO623</f>
        <v>5750000</v>
      </c>
      <c r="AE188" s="1930"/>
      <c r="AF188" s="1930"/>
      <c r="AG188" s="1930"/>
      <c r="AH188" s="1930"/>
      <c r="AI188" s="1930"/>
      <c r="AJ188" s="1930"/>
      <c r="AK188" s="645"/>
    </row>
    <row r="189" spans="1:45">
      <c r="A189" s="640"/>
      <c r="B189" s="1929" t="str">
        <f>Application!C624</f>
        <v>Home Depot Foundation</v>
      </c>
      <c r="C189" s="1929"/>
      <c r="D189" s="1929"/>
      <c r="E189" s="1929"/>
      <c r="F189" s="1929"/>
      <c r="G189" s="1929"/>
      <c r="H189" s="1929"/>
      <c r="I189" s="1929"/>
      <c r="J189" s="1929"/>
      <c r="K189" s="1929"/>
      <c r="L189" s="1929"/>
      <c r="M189" s="1929"/>
      <c r="N189" s="1929"/>
      <c r="O189" s="1929"/>
      <c r="P189" s="1929"/>
      <c r="Q189" s="1929"/>
      <c r="R189" s="1929"/>
      <c r="S189" s="1929"/>
      <c r="T189" s="1929"/>
      <c r="U189" s="1929"/>
      <c r="V189" s="1929"/>
      <c r="W189" s="1929"/>
      <c r="X189" s="1929"/>
      <c r="Y189" s="1929"/>
      <c r="Z189" s="1929"/>
      <c r="AA189" s="1929"/>
      <c r="AB189" s="1929"/>
      <c r="AC189" s="882"/>
      <c r="AD189" s="1930">
        <f>Application!AO624</f>
        <v>3000000</v>
      </c>
      <c r="AE189" s="1930"/>
      <c r="AF189" s="1930"/>
      <c r="AG189" s="1930"/>
      <c r="AH189" s="1930"/>
      <c r="AI189" s="1930"/>
      <c r="AJ189" s="1930"/>
      <c r="AK189" s="645"/>
    </row>
    <row r="190" spans="1:45">
      <c r="A190" s="640"/>
      <c r="B190" s="1929"/>
      <c r="C190" s="1929"/>
      <c r="D190" s="1929"/>
      <c r="E190" s="1929"/>
      <c r="F190" s="1929"/>
      <c r="G190" s="1929"/>
      <c r="H190" s="1929"/>
      <c r="I190" s="1929"/>
      <c r="J190" s="1929"/>
      <c r="K190" s="1929"/>
      <c r="L190" s="1929"/>
      <c r="M190" s="1929"/>
      <c r="N190" s="1929"/>
      <c r="O190" s="1929"/>
      <c r="P190" s="1929"/>
      <c r="Q190" s="1929"/>
      <c r="R190" s="1929"/>
      <c r="S190" s="1929"/>
      <c r="T190" s="1929"/>
      <c r="U190" s="1929"/>
      <c r="V190" s="1929"/>
      <c r="W190" s="1929"/>
      <c r="X190" s="1929"/>
      <c r="Y190" s="1929"/>
      <c r="Z190" s="1929"/>
      <c r="AA190" s="1929"/>
      <c r="AB190" s="1929"/>
      <c r="AC190" s="882"/>
      <c r="AD190" s="1930"/>
      <c r="AE190" s="1930"/>
      <c r="AF190" s="1930"/>
      <c r="AG190" s="1930"/>
      <c r="AH190" s="1930"/>
      <c r="AI190" s="1930"/>
      <c r="AJ190" s="1930"/>
      <c r="AK190" s="645"/>
    </row>
    <row r="191" spans="1:45">
      <c r="A191" s="640"/>
      <c r="B191" s="1929"/>
      <c r="C191" s="1929"/>
      <c r="D191" s="1929"/>
      <c r="E191" s="1929"/>
      <c r="F191" s="1929"/>
      <c r="G191" s="1929"/>
      <c r="H191" s="1929"/>
      <c r="I191" s="1929"/>
      <c r="J191" s="1929"/>
      <c r="K191" s="1929"/>
      <c r="L191" s="1929"/>
      <c r="M191" s="1929"/>
      <c r="N191" s="1929"/>
      <c r="O191" s="1929"/>
      <c r="P191" s="1929"/>
      <c r="Q191" s="1929"/>
      <c r="R191" s="1929"/>
      <c r="S191" s="1929"/>
      <c r="T191" s="1929"/>
      <c r="U191" s="1929"/>
      <c r="V191" s="1929"/>
      <c r="W191" s="1929"/>
      <c r="X191" s="1929"/>
      <c r="Y191" s="1929"/>
      <c r="Z191" s="1929"/>
      <c r="AA191" s="1929"/>
      <c r="AB191" s="1929"/>
      <c r="AC191" s="882"/>
      <c r="AD191" s="1930"/>
      <c r="AE191" s="1930"/>
      <c r="AF191" s="1930"/>
      <c r="AG191" s="1930"/>
      <c r="AH191" s="1930"/>
      <c r="AI191" s="1930"/>
      <c r="AJ191" s="1930"/>
      <c r="AK191" s="645"/>
    </row>
    <row r="192" spans="1:45">
      <c r="A192" s="640"/>
      <c r="B192" s="1929"/>
      <c r="C192" s="1929"/>
      <c r="D192" s="1929"/>
      <c r="E192" s="1929"/>
      <c r="F192" s="1929"/>
      <c r="G192" s="1929"/>
      <c r="H192" s="1929"/>
      <c r="I192" s="1929"/>
      <c r="J192" s="1929"/>
      <c r="K192" s="1929"/>
      <c r="L192" s="1929"/>
      <c r="M192" s="1929"/>
      <c r="N192" s="1929"/>
      <c r="O192" s="1929"/>
      <c r="P192" s="1929"/>
      <c r="Q192" s="1929"/>
      <c r="R192" s="1929"/>
      <c r="S192" s="1929"/>
      <c r="T192" s="1929"/>
      <c r="U192" s="1929"/>
      <c r="V192" s="1929"/>
      <c r="W192" s="1929"/>
      <c r="X192" s="1929"/>
      <c r="Y192" s="1929"/>
      <c r="Z192" s="1929"/>
      <c r="AA192" s="1929"/>
      <c r="AB192" s="1929"/>
      <c r="AC192" s="882"/>
      <c r="AD192" s="1930"/>
      <c r="AE192" s="1930"/>
      <c r="AF192" s="1930"/>
      <c r="AG192" s="1930"/>
      <c r="AH192" s="1930"/>
      <c r="AI192" s="1930"/>
      <c r="AJ192" s="1930"/>
      <c r="AK192" s="645"/>
    </row>
    <row r="193" spans="1:37">
      <c r="A193" s="640"/>
      <c r="B193" s="1929"/>
      <c r="C193" s="1929"/>
      <c r="D193" s="1929"/>
      <c r="E193" s="1929"/>
      <c r="F193" s="1929"/>
      <c r="G193" s="1929"/>
      <c r="H193" s="1929"/>
      <c r="I193" s="1929"/>
      <c r="J193" s="1929"/>
      <c r="K193" s="1929"/>
      <c r="L193" s="1929"/>
      <c r="M193" s="1929"/>
      <c r="N193" s="1929"/>
      <c r="O193" s="1929"/>
      <c r="P193" s="1929"/>
      <c r="Q193" s="1929"/>
      <c r="R193" s="1929"/>
      <c r="S193" s="1929"/>
      <c r="T193" s="1929"/>
      <c r="U193" s="1929"/>
      <c r="V193" s="1929"/>
      <c r="W193" s="1929"/>
      <c r="X193" s="1929"/>
      <c r="Y193" s="1929"/>
      <c r="Z193" s="1929"/>
      <c r="AA193" s="1929"/>
      <c r="AB193" s="1929"/>
      <c r="AC193" s="882"/>
      <c r="AD193" s="1930"/>
      <c r="AE193" s="1930"/>
      <c r="AF193" s="1930"/>
      <c r="AG193" s="1930"/>
      <c r="AH193" s="1930"/>
      <c r="AI193" s="1930"/>
      <c r="AJ193" s="1930"/>
      <c r="AK193" s="645"/>
    </row>
    <row r="194" spans="1:37">
      <c r="A194" s="640"/>
      <c r="B194" s="1929"/>
      <c r="C194" s="1929"/>
      <c r="D194" s="1929"/>
      <c r="E194" s="1929"/>
      <c r="F194" s="1929"/>
      <c r="G194" s="1929"/>
      <c r="H194" s="1929"/>
      <c r="I194" s="1929"/>
      <c r="J194" s="1929"/>
      <c r="K194" s="1929"/>
      <c r="L194" s="1929"/>
      <c r="M194" s="1929"/>
      <c r="N194" s="1929"/>
      <c r="O194" s="1929"/>
      <c r="P194" s="1929"/>
      <c r="Q194" s="1929"/>
      <c r="R194" s="1929"/>
      <c r="S194" s="1929"/>
      <c r="T194" s="1929"/>
      <c r="U194" s="1929"/>
      <c r="V194" s="1929"/>
      <c r="W194" s="1929"/>
      <c r="X194" s="1929"/>
      <c r="Y194" s="1929"/>
      <c r="Z194" s="1929"/>
      <c r="AA194" s="1929"/>
      <c r="AB194" s="1929"/>
      <c r="AC194" s="882"/>
      <c r="AD194" s="1930"/>
      <c r="AE194" s="1930"/>
      <c r="AF194" s="1930"/>
      <c r="AG194" s="1930"/>
      <c r="AH194" s="1930"/>
      <c r="AI194" s="1930"/>
      <c r="AJ194" s="1930"/>
      <c r="AK194" s="645"/>
    </row>
    <row r="195" spans="1:37">
      <c r="A195" s="640"/>
      <c r="B195" s="1929"/>
      <c r="C195" s="1929"/>
      <c r="D195" s="1929"/>
      <c r="E195" s="1929"/>
      <c r="F195" s="1929"/>
      <c r="G195" s="1929"/>
      <c r="H195" s="1929"/>
      <c r="I195" s="1929"/>
      <c r="J195" s="1929"/>
      <c r="K195" s="1929"/>
      <c r="L195" s="1929"/>
      <c r="M195" s="1929"/>
      <c r="N195" s="1929"/>
      <c r="O195" s="1929"/>
      <c r="P195" s="1929"/>
      <c r="Q195" s="1929"/>
      <c r="R195" s="1929"/>
      <c r="S195" s="1929"/>
      <c r="T195" s="1929"/>
      <c r="U195" s="1929"/>
      <c r="V195" s="1929"/>
      <c r="W195" s="1929"/>
      <c r="X195" s="1929"/>
      <c r="Y195" s="1929"/>
      <c r="Z195" s="1929"/>
      <c r="AA195" s="1929"/>
      <c r="AB195" s="1929"/>
      <c r="AC195" s="882"/>
      <c r="AD195" s="1930"/>
      <c r="AE195" s="1930"/>
      <c r="AF195" s="1930"/>
      <c r="AG195" s="1930"/>
      <c r="AH195" s="1930"/>
      <c r="AI195" s="1930"/>
      <c r="AJ195" s="1930"/>
      <c r="AK195" s="645"/>
    </row>
    <row r="196" spans="1:37">
      <c r="A196" s="640"/>
      <c r="B196" s="1929"/>
      <c r="C196" s="1929"/>
      <c r="D196" s="1929"/>
      <c r="E196" s="1929"/>
      <c r="F196" s="1929"/>
      <c r="G196" s="1929"/>
      <c r="H196" s="1929"/>
      <c r="I196" s="1929"/>
      <c r="J196" s="1929"/>
      <c r="K196" s="1929"/>
      <c r="L196" s="1929"/>
      <c r="M196" s="1929"/>
      <c r="N196" s="1929"/>
      <c r="O196" s="1929"/>
      <c r="P196" s="1929"/>
      <c r="Q196" s="1929"/>
      <c r="R196" s="1929"/>
      <c r="S196" s="1929"/>
      <c r="T196" s="1929"/>
      <c r="U196" s="1929"/>
      <c r="V196" s="1929"/>
      <c r="W196" s="1929"/>
      <c r="X196" s="1929"/>
      <c r="Y196" s="1929"/>
      <c r="Z196" s="1929"/>
      <c r="AA196" s="1929"/>
      <c r="AB196" s="1929"/>
      <c r="AC196" s="882"/>
      <c r="AD196" s="1930"/>
      <c r="AE196" s="1930"/>
      <c r="AF196" s="1930"/>
      <c r="AG196" s="1930"/>
      <c r="AH196" s="1930"/>
      <c r="AI196" s="1930"/>
      <c r="AJ196" s="1930"/>
      <c r="AK196" s="645"/>
    </row>
    <row r="197" spans="1:37">
      <c r="A197" s="640"/>
      <c r="B197" s="1929"/>
      <c r="C197" s="1929"/>
      <c r="D197" s="1929"/>
      <c r="E197" s="1929"/>
      <c r="F197" s="1929"/>
      <c r="G197" s="1929"/>
      <c r="H197" s="1929"/>
      <c r="I197" s="1929"/>
      <c r="J197" s="1929"/>
      <c r="K197" s="1929"/>
      <c r="L197" s="1929"/>
      <c r="M197" s="1929"/>
      <c r="N197" s="1929"/>
      <c r="O197" s="1929"/>
      <c r="P197" s="1929"/>
      <c r="Q197" s="1929"/>
      <c r="R197" s="1929"/>
      <c r="S197" s="1929"/>
      <c r="T197" s="1929"/>
      <c r="U197" s="1929"/>
      <c r="V197" s="1929"/>
      <c r="W197" s="1929"/>
      <c r="X197" s="1929"/>
      <c r="Y197" s="1929"/>
      <c r="Z197" s="1929"/>
      <c r="AA197" s="1929"/>
      <c r="AB197" s="1929"/>
      <c r="AC197" s="882"/>
      <c r="AD197" s="1930"/>
      <c r="AE197" s="1930"/>
      <c r="AF197" s="1930"/>
      <c r="AG197" s="1930"/>
      <c r="AH197" s="1930"/>
      <c r="AI197" s="1930"/>
      <c r="AJ197" s="1930"/>
      <c r="AK197" s="645"/>
    </row>
    <row r="198" spans="1:37">
      <c r="A198" s="640"/>
      <c r="B198" s="2089" t="s">
        <v>1804</v>
      </c>
      <c r="C198" s="2089"/>
      <c r="D198" s="2089"/>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C198" s="571"/>
      <c r="AD198" s="1957">
        <f>AB249</f>
        <v>3136546.0176740694</v>
      </c>
      <c r="AE198" s="1957"/>
      <c r="AF198" s="1957"/>
      <c r="AG198" s="1957"/>
      <c r="AH198" s="1957"/>
      <c r="AI198" s="1957"/>
      <c r="AJ198" s="1957"/>
      <c r="AK198" s="645"/>
    </row>
    <row r="199" spans="1:37">
      <c r="A199" s="640"/>
      <c r="B199" s="2087" t="s">
        <v>1767</v>
      </c>
      <c r="C199" s="2087"/>
      <c r="D199" s="2087"/>
      <c r="E199" s="2087"/>
      <c r="F199" s="2087"/>
      <c r="G199" s="2087"/>
      <c r="H199" s="2087"/>
      <c r="I199" s="2087"/>
      <c r="J199" s="2087"/>
      <c r="K199" s="2087"/>
      <c r="L199" s="2087"/>
      <c r="M199" s="2087"/>
      <c r="N199" s="2087"/>
      <c r="O199" s="2087"/>
      <c r="P199" s="2087"/>
      <c r="Q199" s="2087"/>
      <c r="R199" s="2087"/>
      <c r="S199" s="2087"/>
      <c r="T199" s="2087"/>
      <c r="U199" s="2087"/>
      <c r="V199" s="2087"/>
      <c r="W199" s="2087"/>
      <c r="X199" s="2087"/>
      <c r="Y199" s="2087"/>
      <c r="Z199" s="2087"/>
      <c r="AA199" s="2087"/>
      <c r="AB199" s="2087"/>
      <c r="AC199" s="882"/>
      <c r="AD199" s="1958">
        <f>'Sources and Uses Budget'!B15</f>
        <v>0</v>
      </c>
      <c r="AE199" s="1958"/>
      <c r="AF199" s="1958"/>
      <c r="AG199" s="1958"/>
      <c r="AH199" s="1958"/>
      <c r="AI199" s="1958"/>
      <c r="AJ199" s="195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2">
        <f>SUM(AD188:AJ198)-AD199</f>
        <v>11886546.01767407</v>
      </c>
      <c r="AE200" s="1962"/>
      <c r="AF200" s="1962"/>
      <c r="AG200" s="1962"/>
      <c r="AH200" s="1962"/>
      <c r="AI200" s="1962"/>
      <c r="AJ200" s="1962"/>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2419</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3" t="s">
        <v>1784</v>
      </c>
      <c r="J211" s="1933"/>
      <c r="K211" s="1933"/>
      <c r="L211" s="571"/>
      <c r="M211" s="571"/>
      <c r="N211" s="571"/>
      <c r="O211" s="571"/>
      <c r="P211" s="571"/>
      <c r="Q211" s="571"/>
      <c r="R211" s="571"/>
      <c r="S211" s="571"/>
      <c r="T211" s="2115" t="s">
        <v>1778</v>
      </c>
      <c r="U211" s="2115"/>
      <c r="V211" s="2115"/>
      <c r="W211" s="2115"/>
      <c r="X211" s="2115"/>
      <c r="Y211" s="2115"/>
      <c r="Z211" s="885"/>
      <c r="AA211" s="524"/>
      <c r="AB211" s="1928" t="s">
        <v>1779</v>
      </c>
      <c r="AC211" s="1928"/>
      <c r="AD211" s="1928"/>
      <c r="AE211" s="1928"/>
      <c r="AF211" s="1928"/>
      <c r="AG211" s="1928"/>
      <c r="AH211" s="863"/>
      <c r="AI211" s="863"/>
      <c r="AJ211" s="863"/>
      <c r="AK211" s="645"/>
    </row>
    <row r="212" spans="1:37">
      <c r="A212" s="640"/>
      <c r="B212" s="1931" t="s">
        <v>1764</v>
      </c>
      <c r="C212" s="1931"/>
      <c r="D212" s="1931"/>
      <c r="E212" s="1931"/>
      <c r="F212" s="1931"/>
      <c r="G212" s="1931"/>
      <c r="I212" s="1932" t="s">
        <v>1785</v>
      </c>
      <c r="J212" s="1932"/>
      <c r="K212" s="1932"/>
      <c r="L212" s="1045"/>
      <c r="N212" s="1938" t="s">
        <v>1780</v>
      </c>
      <c r="O212" s="1938"/>
      <c r="P212" s="1938"/>
      <c r="Q212" s="1938"/>
      <c r="R212" s="1938"/>
      <c r="T212" s="1938" t="s">
        <v>1781</v>
      </c>
      <c r="U212" s="1938"/>
      <c r="V212" s="1938"/>
      <c r="W212" s="1938"/>
      <c r="X212" s="1938"/>
      <c r="Y212" s="1938"/>
      <c r="Z212" s="886"/>
      <c r="AA212" s="524"/>
      <c r="AB212" s="2090" t="s">
        <v>1782</v>
      </c>
      <c r="AC212" s="2090"/>
      <c r="AD212" s="2090"/>
      <c r="AE212" s="2090"/>
      <c r="AF212" s="2090"/>
      <c r="AG212" s="2090"/>
      <c r="AH212" s="863"/>
      <c r="AI212" s="863"/>
      <c r="AJ212" s="863"/>
      <c r="AK212" s="645"/>
    </row>
    <row r="213" spans="1:37">
      <c r="A213" s="640"/>
      <c r="B213" s="1935" t="s">
        <v>2688</v>
      </c>
      <c r="C213" s="1935"/>
      <c r="D213" s="1935"/>
      <c r="E213" s="1935"/>
      <c r="F213" s="1935"/>
      <c r="G213" s="1935"/>
      <c r="H213" s="888"/>
      <c r="I213" s="1934">
        <v>11</v>
      </c>
      <c r="J213" s="1934"/>
      <c r="K213" s="1934"/>
      <c r="L213" s="1045"/>
      <c r="N213" s="1939">
        <v>1182</v>
      </c>
      <c r="O213" s="1939"/>
      <c r="P213" s="1939"/>
      <c r="Q213" s="1939"/>
      <c r="R213" s="1939"/>
      <c r="T213" s="2088">
        <f>'Subsidy Contract Calculation'!F5</f>
        <v>2096</v>
      </c>
      <c r="U213" s="2088"/>
      <c r="V213" s="2088"/>
      <c r="W213" s="2088"/>
      <c r="X213" s="2088"/>
      <c r="Y213" s="2088"/>
      <c r="Z213" s="887"/>
      <c r="AA213" s="887"/>
      <c r="AB213" s="1936">
        <f t="shared" ref="AB213:AB222" si="0">MAX(($T213-$N213)*$I213*12,0)</f>
        <v>120648</v>
      </c>
      <c r="AC213" s="1936"/>
      <c r="AD213" s="1936"/>
      <c r="AE213" s="1936"/>
      <c r="AF213" s="1936"/>
      <c r="AG213" s="1936"/>
      <c r="AH213" s="863"/>
      <c r="AI213" s="863"/>
      <c r="AJ213" s="863"/>
      <c r="AK213" s="645"/>
    </row>
    <row r="214" spans="1:37">
      <c r="A214" s="640"/>
      <c r="B214" s="1935" t="s">
        <v>2688</v>
      </c>
      <c r="C214" s="1935"/>
      <c r="D214" s="1935"/>
      <c r="E214" s="1935"/>
      <c r="F214" s="1935"/>
      <c r="G214" s="1935"/>
      <c r="I214" s="1934">
        <v>13</v>
      </c>
      <c r="J214" s="1934"/>
      <c r="K214" s="1934"/>
      <c r="L214" s="1045"/>
      <c r="N214" s="1939">
        <v>709</v>
      </c>
      <c r="O214" s="1939"/>
      <c r="P214" s="1939"/>
      <c r="Q214" s="1939"/>
      <c r="R214" s="1939"/>
      <c r="T214" s="2088">
        <f>'Subsidy Contract Calculation'!F5</f>
        <v>2096</v>
      </c>
      <c r="U214" s="2088"/>
      <c r="V214" s="2088"/>
      <c r="W214" s="2088"/>
      <c r="X214" s="2088"/>
      <c r="Y214" s="2088"/>
      <c r="Z214" s="887"/>
      <c r="AA214" s="887"/>
      <c r="AB214" s="1936">
        <f t="shared" si="0"/>
        <v>216372</v>
      </c>
      <c r="AC214" s="1936"/>
      <c r="AD214" s="1936"/>
      <c r="AE214" s="1936"/>
      <c r="AF214" s="1936"/>
      <c r="AG214" s="1936"/>
      <c r="AH214" s="863"/>
      <c r="AI214" s="863"/>
      <c r="AJ214" s="863"/>
      <c r="AK214" s="645"/>
    </row>
    <row r="215" spans="1:37">
      <c r="A215" s="640"/>
      <c r="B215" s="1935" t="s">
        <v>1327</v>
      </c>
      <c r="C215" s="1935"/>
      <c r="D215" s="1935"/>
      <c r="E215" s="1935"/>
      <c r="F215" s="1935"/>
      <c r="G215" s="1935"/>
      <c r="I215" s="1934"/>
      <c r="J215" s="1934"/>
      <c r="K215" s="1934"/>
      <c r="L215" s="1045"/>
      <c r="N215" s="1939"/>
      <c r="O215" s="1939"/>
      <c r="P215" s="1939"/>
      <c r="Q215" s="1939"/>
      <c r="R215" s="1939"/>
      <c r="T215" s="2088"/>
      <c r="U215" s="2088"/>
      <c r="V215" s="2088"/>
      <c r="W215" s="2088"/>
      <c r="X215" s="2088"/>
      <c r="Y215" s="2088"/>
      <c r="Z215" s="887"/>
      <c r="AA215" s="887"/>
      <c r="AB215" s="1936">
        <f t="shared" si="0"/>
        <v>0</v>
      </c>
      <c r="AC215" s="1936"/>
      <c r="AD215" s="1936"/>
      <c r="AE215" s="1936"/>
      <c r="AF215" s="1936"/>
      <c r="AG215" s="1936"/>
      <c r="AH215" s="863"/>
      <c r="AI215" s="863"/>
      <c r="AJ215" s="863"/>
      <c r="AK215" s="645"/>
    </row>
    <row r="216" spans="1:37">
      <c r="A216" s="640"/>
      <c r="B216" s="1935" t="s">
        <v>1327</v>
      </c>
      <c r="C216" s="1935"/>
      <c r="D216" s="1935"/>
      <c r="E216" s="1935"/>
      <c r="F216" s="1935"/>
      <c r="G216" s="1935"/>
      <c r="I216" s="1934"/>
      <c r="J216" s="1934"/>
      <c r="K216" s="1934"/>
      <c r="L216" s="1045"/>
      <c r="N216" s="1939"/>
      <c r="O216" s="1939"/>
      <c r="P216" s="1939"/>
      <c r="Q216" s="1939"/>
      <c r="R216" s="1939"/>
      <c r="T216" s="2088"/>
      <c r="U216" s="2088"/>
      <c r="V216" s="2088"/>
      <c r="W216" s="2088"/>
      <c r="X216" s="2088"/>
      <c r="Y216" s="2088"/>
      <c r="Z216" s="887"/>
      <c r="AA216" s="887"/>
      <c r="AB216" s="1936">
        <f t="shared" si="0"/>
        <v>0</v>
      </c>
      <c r="AC216" s="1936"/>
      <c r="AD216" s="1936"/>
      <c r="AE216" s="1936"/>
      <c r="AF216" s="1936"/>
      <c r="AG216" s="1936"/>
      <c r="AH216" s="863"/>
      <c r="AI216" s="863"/>
      <c r="AJ216" s="863"/>
      <c r="AK216" s="645"/>
    </row>
    <row r="217" spans="1:37">
      <c r="A217" s="640"/>
      <c r="B217" s="1935" t="s">
        <v>1327</v>
      </c>
      <c r="C217" s="1935"/>
      <c r="D217" s="1935"/>
      <c r="E217" s="1935"/>
      <c r="F217" s="1935"/>
      <c r="G217" s="1935"/>
      <c r="I217" s="1934"/>
      <c r="J217" s="1934"/>
      <c r="K217" s="1934"/>
      <c r="L217" s="1052"/>
      <c r="N217" s="1939"/>
      <c r="O217" s="1939"/>
      <c r="P217" s="1939"/>
      <c r="Q217" s="1939"/>
      <c r="R217" s="1939"/>
      <c r="T217" s="2088"/>
      <c r="U217" s="2088"/>
      <c r="V217" s="2088"/>
      <c r="W217" s="2088"/>
      <c r="X217" s="2088"/>
      <c r="Y217" s="2088"/>
      <c r="Z217" s="887"/>
      <c r="AA217" s="887"/>
      <c r="AB217" s="1936">
        <f t="shared" si="0"/>
        <v>0</v>
      </c>
      <c r="AC217" s="1936"/>
      <c r="AD217" s="1936"/>
      <c r="AE217" s="1936"/>
      <c r="AF217" s="1936"/>
      <c r="AG217" s="1936"/>
      <c r="AH217" s="863"/>
      <c r="AI217" s="863"/>
      <c r="AJ217" s="863"/>
      <c r="AK217" s="645"/>
    </row>
    <row r="218" spans="1:37">
      <c r="A218" s="640"/>
      <c r="B218" s="1935" t="s">
        <v>1327</v>
      </c>
      <c r="C218" s="1935"/>
      <c r="D218" s="1935"/>
      <c r="E218" s="1935"/>
      <c r="F218" s="1935"/>
      <c r="G218" s="1935"/>
      <c r="I218" s="1934"/>
      <c r="J218" s="1934"/>
      <c r="K218" s="1934"/>
      <c r="L218" s="1052"/>
      <c r="N218" s="1939"/>
      <c r="O218" s="1939"/>
      <c r="P218" s="1939"/>
      <c r="Q218" s="1939"/>
      <c r="R218" s="1939"/>
      <c r="T218" s="2088"/>
      <c r="U218" s="2088"/>
      <c r="V218" s="2088"/>
      <c r="W218" s="2088"/>
      <c r="X218" s="2088"/>
      <c r="Y218" s="2088"/>
      <c r="Z218" s="887"/>
      <c r="AA218" s="887"/>
      <c r="AB218" s="1936">
        <f t="shared" si="0"/>
        <v>0</v>
      </c>
      <c r="AC218" s="1936"/>
      <c r="AD218" s="1936"/>
      <c r="AE218" s="1936"/>
      <c r="AF218" s="1936"/>
      <c r="AG218" s="1936"/>
      <c r="AH218" s="863"/>
      <c r="AI218" s="863"/>
      <c r="AJ218" s="863"/>
      <c r="AK218" s="645"/>
    </row>
    <row r="219" spans="1:37">
      <c r="A219" s="640"/>
      <c r="B219" s="1935" t="s">
        <v>1327</v>
      </c>
      <c r="C219" s="1935"/>
      <c r="D219" s="1935"/>
      <c r="E219" s="1935"/>
      <c r="F219" s="1935"/>
      <c r="G219" s="1935"/>
      <c r="I219" s="1934"/>
      <c r="J219" s="1934"/>
      <c r="K219" s="1934"/>
      <c r="L219" s="1052"/>
      <c r="N219" s="1939"/>
      <c r="O219" s="1939"/>
      <c r="P219" s="1939"/>
      <c r="Q219" s="1939"/>
      <c r="R219" s="1939"/>
      <c r="T219" s="2088"/>
      <c r="U219" s="2088"/>
      <c r="V219" s="2088"/>
      <c r="W219" s="2088"/>
      <c r="X219" s="2088"/>
      <c r="Y219" s="2088"/>
      <c r="Z219" s="887"/>
      <c r="AA219" s="887"/>
      <c r="AB219" s="1936">
        <f t="shared" si="0"/>
        <v>0</v>
      </c>
      <c r="AC219" s="1936"/>
      <c r="AD219" s="1936"/>
      <c r="AE219" s="1936"/>
      <c r="AF219" s="1936"/>
      <c r="AG219" s="1936"/>
      <c r="AH219" s="863"/>
      <c r="AI219" s="863"/>
      <c r="AJ219" s="863"/>
      <c r="AK219" s="645"/>
    </row>
    <row r="220" spans="1:37">
      <c r="A220" s="640"/>
      <c r="B220" s="1935" t="s">
        <v>1327</v>
      </c>
      <c r="C220" s="1935"/>
      <c r="D220" s="1935"/>
      <c r="E220" s="1935"/>
      <c r="F220" s="1935"/>
      <c r="G220" s="1935"/>
      <c r="I220" s="1934"/>
      <c r="J220" s="1934"/>
      <c r="K220" s="1934"/>
      <c r="L220" s="1052"/>
      <c r="N220" s="1939"/>
      <c r="O220" s="1939"/>
      <c r="P220" s="1939"/>
      <c r="Q220" s="1939"/>
      <c r="R220" s="1939"/>
      <c r="T220" s="2088"/>
      <c r="U220" s="2088"/>
      <c r="V220" s="2088"/>
      <c r="W220" s="2088"/>
      <c r="X220" s="2088"/>
      <c r="Y220" s="2088"/>
      <c r="Z220" s="887"/>
      <c r="AA220" s="887"/>
      <c r="AB220" s="1936">
        <f t="shared" si="0"/>
        <v>0</v>
      </c>
      <c r="AC220" s="1936"/>
      <c r="AD220" s="1936"/>
      <c r="AE220" s="1936"/>
      <c r="AF220" s="1936"/>
      <c r="AG220" s="1936"/>
      <c r="AH220" s="863"/>
      <c r="AI220" s="863"/>
      <c r="AJ220" s="863"/>
      <c r="AK220" s="645"/>
    </row>
    <row r="221" spans="1:37">
      <c r="A221" s="640"/>
      <c r="B221" s="1935" t="s">
        <v>1327</v>
      </c>
      <c r="C221" s="1935"/>
      <c r="D221" s="1935"/>
      <c r="E221" s="1935"/>
      <c r="F221" s="1935"/>
      <c r="G221" s="1935"/>
      <c r="I221" s="1934"/>
      <c r="J221" s="1934"/>
      <c r="K221" s="1934"/>
      <c r="L221" s="1052"/>
      <c r="N221" s="1939"/>
      <c r="O221" s="1939"/>
      <c r="P221" s="1939"/>
      <c r="Q221" s="1939"/>
      <c r="R221" s="1939"/>
      <c r="T221" s="2088"/>
      <c r="U221" s="2088"/>
      <c r="V221" s="2088"/>
      <c r="W221" s="2088"/>
      <c r="X221" s="2088"/>
      <c r="Y221" s="2088"/>
      <c r="Z221" s="887"/>
      <c r="AA221" s="887"/>
      <c r="AB221" s="1936">
        <f t="shared" si="0"/>
        <v>0</v>
      </c>
      <c r="AC221" s="1936"/>
      <c r="AD221" s="1936"/>
      <c r="AE221" s="1936"/>
      <c r="AF221" s="1936"/>
      <c r="AG221" s="1936"/>
      <c r="AH221" s="863"/>
      <c r="AI221" s="863"/>
      <c r="AJ221" s="863"/>
      <c r="AK221" s="645"/>
    </row>
    <row r="222" spans="1:37">
      <c r="A222" s="640"/>
      <c r="B222" s="1935" t="s">
        <v>1327</v>
      </c>
      <c r="C222" s="1935"/>
      <c r="D222" s="1935"/>
      <c r="E222" s="1935"/>
      <c r="F222" s="1935"/>
      <c r="G222" s="1935"/>
      <c r="I222" s="1937"/>
      <c r="J222" s="1937"/>
      <c r="K222" s="1937"/>
      <c r="L222" s="1052"/>
      <c r="N222" s="1939"/>
      <c r="O222" s="1939"/>
      <c r="P222" s="1939"/>
      <c r="Q222" s="1939"/>
      <c r="R222" s="1939"/>
      <c r="T222" s="2088"/>
      <c r="U222" s="2088"/>
      <c r="V222" s="2088"/>
      <c r="W222" s="2088"/>
      <c r="X222" s="2088"/>
      <c r="Y222" s="2088"/>
      <c r="Z222" s="887"/>
      <c r="AA222" s="887"/>
      <c r="AB222" s="2086">
        <f t="shared" si="0"/>
        <v>0</v>
      </c>
      <c r="AC222" s="2086"/>
      <c r="AD222" s="2086"/>
      <c r="AE222" s="2086"/>
      <c r="AF222" s="2086"/>
      <c r="AG222" s="2086"/>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36">
        <f>SUM(AB213:AB222)</f>
        <v>337020</v>
      </c>
      <c r="AC223" s="1936"/>
      <c r="AD223" s="1936"/>
      <c r="AE223" s="1936"/>
      <c r="AF223" s="1936"/>
      <c r="AG223" s="1936"/>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1"/>
      <c r="AC229" s="2091"/>
      <c r="AD229" s="2091"/>
      <c r="AE229" s="2091"/>
      <c r="AF229" s="2091"/>
      <c r="AG229" s="2091"/>
      <c r="AH229" s="645"/>
      <c r="AI229" s="645"/>
      <c r="AJ229" s="645"/>
      <c r="AK229" s="645"/>
    </row>
    <row r="230" spans="1:37">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1"/>
      <c r="AC232" s="2091"/>
      <c r="AD232" s="2091"/>
      <c r="AE232" s="2091"/>
      <c r="AF232" s="2091"/>
      <c r="AG232" s="2091"/>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4"/>
      <c r="AC233" s="2114"/>
      <c r="AD233" s="2114"/>
      <c r="AE233" s="2114"/>
      <c r="AF233" s="2114"/>
      <c r="AG233" s="2114"/>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097">
        <f>IFERROR(AB232/AB233,0)</f>
        <v>0</v>
      </c>
      <c r="AC234" s="2097"/>
      <c r="AD234" s="2097"/>
      <c r="AE234" s="2097"/>
      <c r="AF234" s="2097"/>
      <c r="AG234" s="2097"/>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86">
        <f>MAX(AB229,AB234)</f>
        <v>0</v>
      </c>
      <c r="AC236" s="2086"/>
      <c r="AD236" s="2086"/>
      <c r="AE236" s="2086"/>
      <c r="AF236" s="2086"/>
      <c r="AG236" s="2086"/>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36">
        <f>AB223+AB236</f>
        <v>337020</v>
      </c>
      <c r="AC239" s="1936"/>
      <c r="AD239" s="1936"/>
      <c r="AE239" s="1936"/>
      <c r="AF239" s="1936"/>
      <c r="AG239" s="1936"/>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66">
        <v>0.05</v>
      </c>
      <c r="AC240" s="1966"/>
      <c r="AD240" s="1966"/>
      <c r="AE240" s="1966"/>
      <c r="AF240" s="1966"/>
      <c r="AG240" s="1966"/>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67">
        <f>AB239-(AB239*AB240)</f>
        <v>320169</v>
      </c>
      <c r="AC241" s="1967"/>
      <c r="AD241" s="1967"/>
      <c r="AE241" s="1967"/>
      <c r="AF241" s="1967"/>
      <c r="AG241" s="1967"/>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36">
        <f>AB241/AB247</f>
        <v>278407.82608695654</v>
      </c>
      <c r="AC243" s="1936"/>
      <c r="AD243" s="1936"/>
      <c r="AE243" s="1936"/>
      <c r="AF243" s="1936"/>
      <c r="AG243" s="1936"/>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28">
        <v>15</v>
      </c>
      <c r="AC245" s="1928"/>
      <c r="AD245" s="1928"/>
      <c r="AE245" s="1928"/>
      <c r="AF245" s="1928"/>
      <c r="AG245" s="1928"/>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68">
        <v>0.04</v>
      </c>
      <c r="AC246" s="1968"/>
      <c r="AD246" s="1968"/>
      <c r="AE246" s="1968"/>
      <c r="AF246" s="1968"/>
      <c r="AG246" s="1968"/>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0">
        <v>1.1499999999999999</v>
      </c>
      <c r="AC247" s="1940"/>
      <c r="AD247" s="1940"/>
      <c r="AE247" s="1940"/>
      <c r="AF247" s="1940"/>
      <c r="AG247" s="1940"/>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59">
        <f>PV(AB246/12,AB245*12,-AB243/12, ,0)</f>
        <v>3136546.0176740694</v>
      </c>
      <c r="AC249" s="1960"/>
      <c r="AD249" s="1960"/>
      <c r="AE249" s="1960"/>
      <c r="AF249" s="1960"/>
      <c r="AG249" s="1961"/>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3">
        <f>IFERROR(('Sources and Uses Budget'!D105/'Sources and Uses Budget'!B105),0)</f>
        <v>0</v>
      </c>
      <c r="AC255" s="1964"/>
      <c r="AD255" s="1964"/>
      <c r="AE255" s="1964"/>
      <c r="AF255" s="1964"/>
      <c r="AG255" s="1965"/>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3">
        <f>AD200*(1-AB255)</f>
        <v>11886546.01767407</v>
      </c>
      <c r="AH257" s="1953"/>
      <c r="AI257" s="1953"/>
      <c r="AJ257" s="1953"/>
      <c r="AK257" s="1953"/>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3">
        <f>'Sources and Uses Budget'!C105</f>
        <v>33128970</v>
      </c>
      <c r="AH258" s="1953"/>
      <c r="AI258" s="1953"/>
      <c r="AJ258" s="1953"/>
      <c r="AK258" s="1953"/>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4">
        <f>ROUNDDOWN(IF(AND(C281="Yes",AK78=10),((AG257*2)/AG258),AG257/AG258),2)</f>
        <v>0.71</v>
      </c>
      <c r="AH259" s="1954"/>
      <c r="AI259" s="1954"/>
      <c r="AJ259" s="1954"/>
      <c r="AK259" s="1954"/>
    </row>
    <row r="260" spans="1:52">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55">
        <f>IFERROR(IF(AG259=0,0,IF((AG259*100)&gt;8,8,(AG259*100))),0)</f>
        <v>8</v>
      </c>
      <c r="AL262" s="1955"/>
      <c r="AM262" s="195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47" t="s">
        <v>554</v>
      </c>
      <c r="D267" s="1947"/>
      <c r="E267" s="582"/>
      <c r="F267" s="2100" t="s">
        <v>2420</v>
      </c>
      <c r="G267" s="2101"/>
      <c r="H267" s="2101"/>
      <c r="I267" s="2101"/>
      <c r="J267" s="2101"/>
      <c r="K267" s="2101"/>
      <c r="L267" s="2101"/>
      <c r="M267" s="2101"/>
      <c r="N267" s="2101"/>
      <c r="O267" s="2101"/>
      <c r="P267" s="2101"/>
      <c r="Q267" s="2101"/>
      <c r="R267" s="2101"/>
      <c r="S267" s="2101"/>
      <c r="T267" s="2101"/>
      <c r="U267" s="2101"/>
      <c r="V267" s="2101"/>
      <c r="W267" s="2101"/>
      <c r="X267" s="2101"/>
      <c r="Y267" s="2101"/>
      <c r="Z267" s="2101"/>
      <c r="AA267" s="2101"/>
      <c r="AB267" s="2101"/>
      <c r="AC267" s="2101"/>
      <c r="AD267" s="2102"/>
      <c r="AE267" s="585"/>
      <c r="AF267" s="670"/>
      <c r="AG267" s="1948" t="s">
        <v>1535</v>
      </c>
      <c r="AH267" s="1948"/>
      <c r="AI267" s="1948"/>
      <c r="AJ267" s="1948"/>
      <c r="AK267" s="585"/>
      <c r="AL267" s="585"/>
      <c r="AM267" s="585"/>
      <c r="AO267" s="585"/>
    </row>
    <row r="268" spans="1:52" ht="13.7" customHeight="1">
      <c r="A268" s="585"/>
      <c r="B268" s="631"/>
      <c r="C268" s="671"/>
      <c r="D268" s="585"/>
      <c r="E268" s="582"/>
      <c r="F268" s="2103"/>
      <c r="G268" s="2104"/>
      <c r="H268" s="2104"/>
      <c r="I268" s="2104"/>
      <c r="J268" s="2104"/>
      <c r="K268" s="2104"/>
      <c r="L268" s="2104"/>
      <c r="M268" s="2104"/>
      <c r="N268" s="2104"/>
      <c r="O268" s="2104"/>
      <c r="P268" s="2104"/>
      <c r="Q268" s="2104"/>
      <c r="R268" s="2104"/>
      <c r="S268" s="2104"/>
      <c r="T268" s="2104"/>
      <c r="U268" s="2104"/>
      <c r="V268" s="2104"/>
      <c r="W268" s="2104"/>
      <c r="X268" s="2104"/>
      <c r="Y268" s="2104"/>
      <c r="Z268" s="2104"/>
      <c r="AA268" s="2104"/>
      <c r="AB268" s="2104"/>
      <c r="AC268" s="2104"/>
      <c r="AD268" s="2105"/>
      <c r="AE268" s="585"/>
      <c r="AF268" s="670"/>
      <c r="AG268" s="670"/>
      <c r="AH268" s="670"/>
      <c r="AI268" s="670"/>
      <c r="AJ268" s="585"/>
      <c r="AK268" s="585"/>
      <c r="AL268" s="585"/>
      <c r="AM268" s="585"/>
      <c r="AO268" s="585"/>
    </row>
    <row r="269" spans="1:52">
      <c r="A269" s="585"/>
      <c r="B269" s="631"/>
      <c r="C269" s="671"/>
      <c r="D269" s="585"/>
      <c r="E269" s="582"/>
      <c r="F269" s="2103"/>
      <c r="G269" s="2104"/>
      <c r="H269" s="2104"/>
      <c r="I269" s="2104"/>
      <c r="J269" s="2104"/>
      <c r="K269" s="2104"/>
      <c r="L269" s="2104"/>
      <c r="M269" s="2104"/>
      <c r="N269" s="2104"/>
      <c r="O269" s="2104"/>
      <c r="P269" s="2104"/>
      <c r="Q269" s="2104"/>
      <c r="R269" s="2104"/>
      <c r="S269" s="2104"/>
      <c r="T269" s="2104"/>
      <c r="U269" s="2104"/>
      <c r="V269" s="2104"/>
      <c r="W269" s="2104"/>
      <c r="X269" s="2104"/>
      <c r="Y269" s="2104"/>
      <c r="Z269" s="2104"/>
      <c r="AA269" s="2104"/>
      <c r="AB269" s="2104"/>
      <c r="AC269" s="2104"/>
      <c r="AD269" s="2105"/>
      <c r="AE269" s="585"/>
      <c r="AF269" s="670"/>
      <c r="AG269" s="670"/>
      <c r="AH269" s="670"/>
      <c r="AI269" s="670"/>
      <c r="AJ269" s="585"/>
      <c r="AK269" s="585"/>
      <c r="AL269" s="585"/>
      <c r="AM269" s="585"/>
      <c r="AO269" s="585"/>
      <c r="AP269" s="672"/>
    </row>
    <row r="270" spans="1:52">
      <c r="A270" s="585"/>
      <c r="B270" s="631"/>
      <c r="C270" s="671"/>
      <c r="D270" s="585"/>
      <c r="E270" s="582"/>
      <c r="F270" s="2103"/>
      <c r="G270" s="2104"/>
      <c r="H270" s="2104"/>
      <c r="I270" s="2104"/>
      <c r="J270" s="2104"/>
      <c r="K270" s="2104"/>
      <c r="L270" s="2104"/>
      <c r="M270" s="2104"/>
      <c r="N270" s="2104"/>
      <c r="O270" s="2104"/>
      <c r="P270" s="2104"/>
      <c r="Q270" s="2104"/>
      <c r="R270" s="2104"/>
      <c r="S270" s="2104"/>
      <c r="T270" s="2104"/>
      <c r="U270" s="2104"/>
      <c r="V270" s="2104"/>
      <c r="W270" s="2104"/>
      <c r="X270" s="2104"/>
      <c r="Y270" s="2104"/>
      <c r="Z270" s="2104"/>
      <c r="AA270" s="2104"/>
      <c r="AB270" s="2104"/>
      <c r="AC270" s="2104"/>
      <c r="AD270" s="2105"/>
      <c r="AE270" s="585"/>
      <c r="AF270" s="670"/>
      <c r="AG270" s="670"/>
      <c r="AH270" s="670"/>
      <c r="AI270" s="670"/>
      <c r="AJ270" s="585"/>
      <c r="AK270" s="585"/>
      <c r="AL270" s="585"/>
      <c r="AM270" s="585"/>
      <c r="AO270" s="585"/>
      <c r="AP270" s="672"/>
    </row>
    <row r="271" spans="1:52" ht="13.7" customHeight="1">
      <c r="A271" s="585"/>
      <c r="B271" s="631"/>
      <c r="C271" s="1949"/>
      <c r="D271" s="1949"/>
      <c r="E271" s="582"/>
      <c r="F271" s="2106"/>
      <c r="G271" s="2107"/>
      <c r="H271" s="2107"/>
      <c r="I271" s="2107"/>
      <c r="J271" s="2107"/>
      <c r="K271" s="2107"/>
      <c r="L271" s="2107"/>
      <c r="M271" s="2107"/>
      <c r="N271" s="2107"/>
      <c r="O271" s="2107"/>
      <c r="P271" s="2107"/>
      <c r="Q271" s="2107"/>
      <c r="R271" s="2107"/>
      <c r="S271" s="2107"/>
      <c r="T271" s="2107"/>
      <c r="U271" s="2107"/>
      <c r="V271" s="2107"/>
      <c r="W271" s="2107"/>
      <c r="X271" s="2107"/>
      <c r="Y271" s="2107"/>
      <c r="Z271" s="2107"/>
      <c r="AA271" s="2107"/>
      <c r="AB271" s="2107"/>
      <c r="AC271" s="2107"/>
      <c r="AD271" s="2108"/>
      <c r="AE271" s="585"/>
      <c r="AF271" s="670"/>
      <c r="AG271" s="1948"/>
      <c r="AH271" s="1948"/>
      <c r="AI271" s="1948"/>
      <c r="AJ271" s="1948"/>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55">
        <f>IF($C$267="yes",10,0)</f>
        <v>10</v>
      </c>
      <c r="AL274" s="1955"/>
      <c r="AM274" s="195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1552</v>
      </c>
      <c r="B277" s="573" t="s">
        <v>2116</v>
      </c>
      <c r="AH277" s="626" t="s">
        <v>1486</v>
      </c>
    </row>
    <row r="278" spans="1:49" ht="15" customHeight="1">
      <c r="B278" s="574"/>
    </row>
    <row r="279" spans="1:49" ht="15" customHeight="1">
      <c r="B279" s="574" t="s">
        <v>1988</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1554</v>
      </c>
      <c r="B281" s="1646"/>
      <c r="C281" s="1944" t="s">
        <v>554</v>
      </c>
      <c r="D281" s="1947"/>
      <c r="E281" s="582"/>
      <c r="F281" s="1975" t="s">
        <v>1555</v>
      </c>
      <c r="G281" s="1976"/>
      <c r="H281" s="1976"/>
      <c r="I281" s="1976"/>
      <c r="J281" s="1976"/>
      <c r="K281" s="1976"/>
      <c r="L281" s="1976"/>
      <c r="M281" s="1976"/>
      <c r="N281" s="1976"/>
      <c r="O281" s="1976"/>
      <c r="P281" s="1976"/>
      <c r="Q281" s="1976"/>
      <c r="R281" s="1976"/>
      <c r="S281" s="1976"/>
      <c r="T281" s="1976"/>
      <c r="U281" s="1976"/>
      <c r="V281" s="1976"/>
      <c r="W281" s="1976"/>
      <c r="X281" s="1976"/>
      <c r="Y281" s="1976"/>
      <c r="Z281" s="1976"/>
      <c r="AA281" s="1976"/>
      <c r="AB281" s="1976"/>
      <c r="AC281" s="1976"/>
      <c r="AD281" s="1977"/>
      <c r="AE281" s="677"/>
      <c r="AF281" s="585"/>
      <c r="AG281" s="1978" t="s">
        <v>2413</v>
      </c>
      <c r="AH281" s="1978"/>
      <c r="AI281" s="1978"/>
      <c r="AJ281" s="1978"/>
      <c r="AK281" s="1978"/>
      <c r="AL281" s="585"/>
      <c r="AM281" s="585"/>
      <c r="AN281" s="73"/>
      <c r="AO281" s="14"/>
      <c r="AP281" s="30"/>
      <c r="AS281" s="605"/>
      <c r="AT281" s="605"/>
      <c r="AU281" s="605"/>
      <c r="AV281" s="32"/>
      <c r="AW281" s="32"/>
    </row>
    <row r="282" spans="1:49">
      <c r="A282" s="675"/>
      <c r="B282" s="631"/>
      <c r="F282" s="1969"/>
      <c r="G282" s="1970"/>
      <c r="H282" s="1970"/>
      <c r="I282" s="1970"/>
      <c r="J282" s="1970"/>
      <c r="K282" s="1970"/>
      <c r="L282" s="1970"/>
      <c r="M282" s="1970"/>
      <c r="N282" s="1970"/>
      <c r="O282" s="1970"/>
      <c r="P282" s="1970"/>
      <c r="Q282" s="1970"/>
      <c r="R282" s="1970"/>
      <c r="S282" s="1970"/>
      <c r="T282" s="1970"/>
      <c r="U282" s="1970"/>
      <c r="V282" s="1970"/>
      <c r="W282" s="1970"/>
      <c r="X282" s="1970"/>
      <c r="Y282" s="1970"/>
      <c r="Z282" s="1970"/>
      <c r="AA282" s="1970"/>
      <c r="AB282" s="1970"/>
      <c r="AC282" s="1970"/>
      <c r="AD282" s="1971"/>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969"/>
      <c r="G283" s="1970"/>
      <c r="H283" s="1970"/>
      <c r="I283" s="1970"/>
      <c r="J283" s="1970"/>
      <c r="K283" s="1970"/>
      <c r="L283" s="1970"/>
      <c r="M283" s="1970"/>
      <c r="N283" s="1970"/>
      <c r="O283" s="1970"/>
      <c r="P283" s="1970"/>
      <c r="Q283" s="1970"/>
      <c r="R283" s="1970"/>
      <c r="S283" s="1970"/>
      <c r="T283" s="1970"/>
      <c r="U283" s="1970"/>
      <c r="V283" s="1970"/>
      <c r="W283" s="1970"/>
      <c r="X283" s="1970"/>
      <c r="Y283" s="1970"/>
      <c r="Z283" s="1970"/>
      <c r="AA283" s="1970"/>
      <c r="AB283" s="1970"/>
      <c r="AC283" s="1970"/>
      <c r="AD283" s="1971"/>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969" t="s">
        <v>2421</v>
      </c>
      <c r="G284" s="1970"/>
      <c r="H284" s="1970"/>
      <c r="I284" s="1970"/>
      <c r="J284" s="1970"/>
      <c r="K284" s="1970"/>
      <c r="L284" s="1970"/>
      <c r="M284" s="1970"/>
      <c r="N284" s="1970"/>
      <c r="O284" s="1970"/>
      <c r="P284" s="1970"/>
      <c r="Q284" s="1970"/>
      <c r="R284" s="1970"/>
      <c r="S284" s="1970"/>
      <c r="T284" s="1970"/>
      <c r="U284" s="1970"/>
      <c r="V284" s="1970"/>
      <c r="W284" s="1970"/>
      <c r="X284" s="1970"/>
      <c r="Y284" s="1970"/>
      <c r="Z284" s="1970"/>
      <c r="AA284" s="1970"/>
      <c r="AB284" s="1970"/>
      <c r="AC284" s="1970"/>
      <c r="AD284" s="1971"/>
      <c r="AE284" s="677"/>
      <c r="AF284" s="586"/>
      <c r="AH284" s="586"/>
      <c r="AI284" s="586"/>
      <c r="AJ284" s="585"/>
      <c r="AK284" s="585"/>
      <c r="AL284" s="585"/>
      <c r="AM284" s="585"/>
      <c r="AN284" s="73"/>
      <c r="AO284" s="14"/>
      <c r="AP284" s="646">
        <f>MAX(AP282,AP283)</f>
        <v>10</v>
      </c>
      <c r="AQ284" s="609" t="s">
        <v>1488</v>
      </c>
      <c r="AS284" s="605"/>
      <c r="AT284" s="605"/>
      <c r="AU284" s="605"/>
      <c r="AV284" s="32"/>
      <c r="AW284" s="32"/>
    </row>
    <row r="285" spans="1:49">
      <c r="A285" s="675"/>
      <c r="B285" s="631"/>
      <c r="F285" s="1969"/>
      <c r="G285" s="1970"/>
      <c r="H285" s="1970"/>
      <c r="I285" s="1970"/>
      <c r="J285" s="1970"/>
      <c r="K285" s="1970"/>
      <c r="L285" s="1970"/>
      <c r="M285" s="1970"/>
      <c r="N285" s="1970"/>
      <c r="O285" s="1970"/>
      <c r="P285" s="1970"/>
      <c r="Q285" s="1970"/>
      <c r="R285" s="1970"/>
      <c r="S285" s="1970"/>
      <c r="T285" s="1970"/>
      <c r="U285" s="1970"/>
      <c r="V285" s="1970"/>
      <c r="W285" s="1970"/>
      <c r="X285" s="1970"/>
      <c r="Y285" s="1970"/>
      <c r="Z285" s="1970"/>
      <c r="AA285" s="1970"/>
      <c r="AB285" s="1970"/>
      <c r="AC285" s="1970"/>
      <c r="AD285" s="1971"/>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69" t="s">
        <v>1556</v>
      </c>
      <c r="G286" s="1970"/>
      <c r="H286" s="1970"/>
      <c r="I286" s="1970"/>
      <c r="J286" s="1970"/>
      <c r="K286" s="1970"/>
      <c r="L286" s="1970"/>
      <c r="M286" s="1970"/>
      <c r="N286" s="1970"/>
      <c r="O286" s="1970"/>
      <c r="P286" s="1970"/>
      <c r="Q286" s="1970"/>
      <c r="R286" s="1970"/>
      <c r="S286" s="1970"/>
      <c r="T286" s="1970"/>
      <c r="U286" s="1970"/>
      <c r="V286" s="1970"/>
      <c r="W286" s="1970"/>
      <c r="X286" s="1970"/>
      <c r="Y286" s="1970"/>
      <c r="Z286" s="1970"/>
      <c r="AA286" s="1970"/>
      <c r="AB286" s="1970"/>
      <c r="AC286" s="1970"/>
      <c r="AD286" s="1971"/>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69"/>
      <c r="G287" s="1970"/>
      <c r="H287" s="1970"/>
      <c r="I287" s="1970"/>
      <c r="J287" s="1970"/>
      <c r="K287" s="1970"/>
      <c r="L287" s="1970"/>
      <c r="M287" s="1970"/>
      <c r="N287" s="1970"/>
      <c r="O287" s="1970"/>
      <c r="P287" s="1970"/>
      <c r="Q287" s="1970"/>
      <c r="R287" s="1970"/>
      <c r="S287" s="1970"/>
      <c r="T287" s="1970"/>
      <c r="U287" s="1970"/>
      <c r="V287" s="1970"/>
      <c r="W287" s="1970"/>
      <c r="X287" s="1970"/>
      <c r="Y287" s="1970"/>
      <c r="Z287" s="1970"/>
      <c r="AA287" s="1970"/>
      <c r="AB287" s="1970"/>
      <c r="AC287" s="1970"/>
      <c r="AD287" s="1971"/>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69" t="s">
        <v>1557</v>
      </c>
      <c r="G288" s="1970"/>
      <c r="H288" s="1970"/>
      <c r="I288" s="1970"/>
      <c r="J288" s="1970"/>
      <c r="K288" s="1970"/>
      <c r="L288" s="1970"/>
      <c r="M288" s="1970"/>
      <c r="N288" s="1970"/>
      <c r="O288" s="1970"/>
      <c r="P288" s="1970"/>
      <c r="Q288" s="1970"/>
      <c r="R288" s="1970"/>
      <c r="S288" s="1970"/>
      <c r="T288" s="1970"/>
      <c r="U288" s="1970"/>
      <c r="V288" s="1970"/>
      <c r="W288" s="1970"/>
      <c r="X288" s="1970"/>
      <c r="Y288" s="1970"/>
      <c r="Z288" s="1970"/>
      <c r="AA288" s="1970"/>
      <c r="AB288" s="1970"/>
      <c r="AC288" s="1970"/>
      <c r="AD288" s="1971"/>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2"/>
      <c r="G289" s="1973"/>
      <c r="H289" s="1973"/>
      <c r="I289" s="1973"/>
      <c r="J289" s="1973"/>
      <c r="K289" s="1973"/>
      <c r="L289" s="1973"/>
      <c r="M289" s="1973"/>
      <c r="N289" s="1973"/>
      <c r="O289" s="1973"/>
      <c r="P289" s="1973"/>
      <c r="Q289" s="1973"/>
      <c r="R289" s="1973"/>
      <c r="S289" s="1973"/>
      <c r="T289" s="1973"/>
      <c r="U289" s="1973"/>
      <c r="V289" s="1973"/>
      <c r="W289" s="1973"/>
      <c r="X289" s="1973"/>
      <c r="Y289" s="1973"/>
      <c r="Z289" s="1973"/>
      <c r="AA289" s="1973"/>
      <c r="AB289" s="1973"/>
      <c r="AC289" s="1973"/>
      <c r="AD289" s="197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1558</v>
      </c>
      <c r="B291" s="1646"/>
      <c r="C291" s="1947" t="s">
        <v>600</v>
      </c>
      <c r="D291" s="1947"/>
      <c r="E291" s="582"/>
      <c r="F291" s="679" t="s">
        <v>2414</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2" t="s">
        <v>2415</v>
      </c>
      <c r="G292" s="1883"/>
      <c r="H292" s="1883"/>
      <c r="I292" s="1883"/>
      <c r="J292" s="1883"/>
      <c r="K292" s="1883"/>
      <c r="L292" s="1883"/>
      <c r="M292" s="1883"/>
      <c r="N292" s="1883"/>
      <c r="O292" s="1883"/>
      <c r="P292" s="1883"/>
      <c r="Q292" s="1883"/>
      <c r="R292" s="1883"/>
      <c r="S292" s="1883"/>
      <c r="T292" s="1883"/>
      <c r="U292" s="1883"/>
      <c r="V292" s="1883"/>
      <c r="W292" s="1883"/>
      <c r="X292" s="1883"/>
      <c r="Y292" s="1883"/>
      <c r="Z292" s="1883"/>
      <c r="AA292" s="1883"/>
      <c r="AB292" s="1883"/>
      <c r="AC292" s="1883"/>
      <c r="AD292" s="1884"/>
      <c r="AE292" s="586"/>
      <c r="AF292" s="586"/>
      <c r="AG292" s="586"/>
      <c r="AH292" s="586"/>
      <c r="AI292" s="586"/>
      <c r="AJ292" s="585"/>
      <c r="AK292" s="585"/>
      <c r="AL292" s="585"/>
      <c r="AM292" s="585"/>
      <c r="AR292" s="683"/>
    </row>
    <row r="293" spans="1:49" ht="15" customHeight="1">
      <c r="A293" s="585"/>
      <c r="B293" s="586"/>
      <c r="C293" s="585"/>
      <c r="D293" s="586"/>
      <c r="E293" s="585"/>
      <c r="F293" s="1882"/>
      <c r="G293" s="1883"/>
      <c r="H293" s="1883"/>
      <c r="I293" s="1883"/>
      <c r="J293" s="1883"/>
      <c r="K293" s="1883"/>
      <c r="L293" s="1883"/>
      <c r="M293" s="1883"/>
      <c r="N293" s="1883"/>
      <c r="O293" s="1883"/>
      <c r="P293" s="1883"/>
      <c r="Q293" s="1883"/>
      <c r="R293" s="1883"/>
      <c r="S293" s="1883"/>
      <c r="T293" s="1883"/>
      <c r="U293" s="1883"/>
      <c r="V293" s="1883"/>
      <c r="W293" s="1883"/>
      <c r="X293" s="1883"/>
      <c r="Y293" s="1883"/>
      <c r="Z293" s="1883"/>
      <c r="AA293" s="1883"/>
      <c r="AB293" s="1883"/>
      <c r="AC293" s="1883"/>
      <c r="AD293" s="1884"/>
      <c r="AE293" s="586"/>
      <c r="AF293" s="586"/>
      <c r="AG293" s="586"/>
      <c r="AH293" s="586"/>
      <c r="AI293" s="586"/>
      <c r="AJ293" s="585"/>
      <c r="AK293" s="585"/>
      <c r="AL293" s="585"/>
      <c r="AM293" s="585"/>
      <c r="AR293" s="683"/>
    </row>
    <row r="294" spans="1:49">
      <c r="A294" s="585"/>
      <c r="B294" s="586"/>
      <c r="C294" s="585"/>
      <c r="D294" s="586"/>
      <c r="E294" s="585"/>
      <c r="F294" s="1882"/>
      <c r="G294" s="1883"/>
      <c r="H294" s="1883"/>
      <c r="I294" s="1883"/>
      <c r="J294" s="1883"/>
      <c r="K294" s="1883"/>
      <c r="L294" s="1883"/>
      <c r="M294" s="1883"/>
      <c r="N294" s="1883"/>
      <c r="O294" s="1883"/>
      <c r="P294" s="1883"/>
      <c r="Q294" s="1883"/>
      <c r="R294" s="1883"/>
      <c r="S294" s="1883"/>
      <c r="T294" s="1883"/>
      <c r="U294" s="1883"/>
      <c r="V294" s="1883"/>
      <c r="W294" s="1883"/>
      <c r="X294" s="1883"/>
      <c r="Y294" s="1883"/>
      <c r="Z294" s="1883"/>
      <c r="AA294" s="1883"/>
      <c r="AB294" s="1883"/>
      <c r="AC294" s="1883"/>
      <c r="AD294" s="1884"/>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79"/>
      <c r="G295" s="1880"/>
      <c r="H295" s="1880"/>
      <c r="I295" s="1880"/>
      <c r="J295" s="1880"/>
      <c r="K295" s="1880"/>
      <c r="L295" s="1880"/>
      <c r="M295" s="1880"/>
      <c r="N295" s="1880"/>
      <c r="O295" s="1880"/>
      <c r="P295" s="1880"/>
      <c r="Q295" s="1880"/>
      <c r="R295" s="1880"/>
      <c r="S295" s="1880"/>
      <c r="T295" s="1880"/>
      <c r="U295" s="1880"/>
      <c r="V295" s="1880"/>
      <c r="W295" s="1880"/>
      <c r="X295" s="1880"/>
      <c r="Y295" s="1880"/>
      <c r="Z295" s="1880"/>
      <c r="AA295" s="1880"/>
      <c r="AB295" s="1880"/>
      <c r="AC295" s="1880"/>
      <c r="AD295" s="1881"/>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46" t="s">
        <v>1561</v>
      </c>
      <c r="B299" s="1646"/>
      <c r="C299" s="1947" t="s">
        <v>600</v>
      </c>
      <c r="D299" s="1947"/>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idden="1">
      <c r="A300" s="89"/>
      <c r="B300" s="89"/>
      <c r="C300" s="765"/>
      <c r="D300" s="765"/>
      <c r="E300" s="582"/>
      <c r="F300" s="1969" t="s">
        <v>2422</v>
      </c>
      <c r="G300" s="1970"/>
      <c r="H300" s="1970"/>
      <c r="I300" s="1970"/>
      <c r="J300" s="1970"/>
      <c r="K300" s="1970"/>
      <c r="L300" s="1970"/>
      <c r="M300" s="1970"/>
      <c r="N300" s="1970"/>
      <c r="O300" s="1970"/>
      <c r="P300" s="1970"/>
      <c r="Q300" s="1970"/>
      <c r="R300" s="1970"/>
      <c r="S300" s="1970"/>
      <c r="T300" s="1970"/>
      <c r="U300" s="1970"/>
      <c r="V300" s="1970"/>
      <c r="W300" s="1970"/>
      <c r="X300" s="1970"/>
      <c r="Y300" s="1970"/>
      <c r="Z300" s="1970"/>
      <c r="AA300" s="1970"/>
      <c r="AB300" s="1970"/>
      <c r="AC300" s="1970"/>
      <c r="AD300" s="1971"/>
      <c r="AE300" s="586"/>
      <c r="AF300" s="586"/>
      <c r="AG300" s="574"/>
      <c r="AH300" s="586"/>
      <c r="AI300" s="586"/>
      <c r="AJ300" s="585"/>
      <c r="AK300" s="585"/>
      <c r="AL300" s="585"/>
      <c r="AM300" s="585"/>
      <c r="AN300" s="73"/>
      <c r="AO300" s="14"/>
      <c r="AP300" s="592" t="s">
        <v>1327</v>
      </c>
    </row>
    <row r="301" spans="1:49" hidden="1">
      <c r="F301" s="1969"/>
      <c r="G301" s="1970"/>
      <c r="H301" s="1970"/>
      <c r="I301" s="1970"/>
      <c r="J301" s="1970"/>
      <c r="K301" s="1970"/>
      <c r="L301" s="1970"/>
      <c r="M301" s="1970"/>
      <c r="N301" s="1970"/>
      <c r="O301" s="1970"/>
      <c r="P301" s="1970"/>
      <c r="Q301" s="1970"/>
      <c r="R301" s="1970"/>
      <c r="S301" s="1970"/>
      <c r="T301" s="1970"/>
      <c r="U301" s="1970"/>
      <c r="V301" s="1970"/>
      <c r="W301" s="1970"/>
      <c r="X301" s="1970"/>
      <c r="Y301" s="1970"/>
      <c r="Z301" s="1970"/>
      <c r="AA301" s="1970"/>
      <c r="AB301" s="1970"/>
      <c r="AC301" s="1970"/>
      <c r="AD301" s="1971"/>
      <c r="AE301" s="586"/>
      <c r="AF301" s="586"/>
      <c r="AH301" s="586"/>
      <c r="AI301" s="586"/>
      <c r="AJ301" s="585"/>
      <c r="AK301" s="585"/>
      <c r="AL301" s="585"/>
      <c r="AM301" s="585"/>
      <c r="AN301" s="73"/>
      <c r="AO301" s="14"/>
      <c r="AP301" s="592" t="s">
        <v>1990</v>
      </c>
    </row>
    <row r="302" spans="1:49"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79" t="s">
        <v>1327</v>
      </c>
      <c r="G305" s="1980"/>
      <c r="H305" s="1980"/>
      <c r="I305" s="1980"/>
      <c r="J305" s="1980"/>
      <c r="K305" s="1980"/>
      <c r="L305" s="1980"/>
      <c r="M305" s="1980"/>
      <c r="N305" s="1980"/>
      <c r="O305" s="1980"/>
      <c r="P305" s="1980"/>
      <c r="Q305" s="1980"/>
      <c r="R305" s="1980"/>
      <c r="S305" s="1980"/>
      <c r="T305" s="1980"/>
      <c r="U305" s="1980"/>
      <c r="V305" s="1980"/>
      <c r="W305" s="1980"/>
      <c r="X305" s="1980"/>
      <c r="Y305" s="1980"/>
      <c r="Z305" s="1980"/>
      <c r="AA305" s="1980"/>
      <c r="AB305" s="1980"/>
      <c r="AC305" s="1980"/>
      <c r="AD305" s="1981"/>
      <c r="AE305" s="677"/>
      <c r="AF305" s="677"/>
      <c r="AG305" s="677"/>
      <c r="AH305" s="677"/>
      <c r="AI305" s="677"/>
      <c r="AJ305" s="677"/>
      <c r="AK305" s="677"/>
      <c r="AL305" s="585"/>
      <c r="AM305" s="585"/>
      <c r="AN305" s="73"/>
      <c r="AO305" s="14"/>
      <c r="AP305" s="30"/>
    </row>
    <row r="306" spans="1:42" hidden="1">
      <c r="A306" s="585"/>
      <c r="B306" s="586"/>
      <c r="C306" s="765"/>
      <c r="D306" s="765"/>
      <c r="E306" s="582"/>
      <c r="F306" s="1979"/>
      <c r="G306" s="1980"/>
      <c r="H306" s="1980"/>
      <c r="I306" s="1980"/>
      <c r="J306" s="1980"/>
      <c r="K306" s="1980"/>
      <c r="L306" s="1980"/>
      <c r="M306" s="1980"/>
      <c r="N306" s="1980"/>
      <c r="O306" s="1980"/>
      <c r="P306" s="1980"/>
      <c r="Q306" s="1980"/>
      <c r="R306" s="1980"/>
      <c r="S306" s="1980"/>
      <c r="T306" s="1980"/>
      <c r="U306" s="1980"/>
      <c r="V306" s="1980"/>
      <c r="W306" s="1980"/>
      <c r="X306" s="1980"/>
      <c r="Y306" s="1980"/>
      <c r="Z306" s="1980"/>
      <c r="AA306" s="1980"/>
      <c r="AB306" s="1980"/>
      <c r="AC306" s="1980"/>
      <c r="AD306" s="1981"/>
      <c r="AE306" s="586"/>
      <c r="AF306" s="586"/>
      <c r="AG306" s="574"/>
      <c r="AH306" s="586"/>
      <c r="AI306" s="586"/>
      <c r="AJ306" s="585"/>
      <c r="AK306" s="585"/>
      <c r="AL306" s="585"/>
      <c r="AM306" s="585"/>
      <c r="AN306" s="73"/>
      <c r="AO306" s="14"/>
      <c r="AP306" s="30"/>
    </row>
    <row r="307" spans="1:42" hidden="1">
      <c r="A307" s="585"/>
      <c r="B307" s="586"/>
      <c r="C307" s="765"/>
      <c r="D307" s="765"/>
      <c r="E307" s="582"/>
      <c r="F307" s="1979"/>
      <c r="G307" s="1980"/>
      <c r="H307" s="1980"/>
      <c r="I307" s="1980"/>
      <c r="J307" s="1980"/>
      <c r="K307" s="1980"/>
      <c r="L307" s="1980"/>
      <c r="M307" s="1980"/>
      <c r="N307" s="1980"/>
      <c r="O307" s="1980"/>
      <c r="P307" s="1980"/>
      <c r="Q307" s="1980"/>
      <c r="R307" s="1980"/>
      <c r="S307" s="1980"/>
      <c r="T307" s="1980"/>
      <c r="U307" s="1980"/>
      <c r="V307" s="1980"/>
      <c r="W307" s="1980"/>
      <c r="X307" s="1980"/>
      <c r="Y307" s="1980"/>
      <c r="Z307" s="1980"/>
      <c r="AA307" s="1980"/>
      <c r="AB307" s="1980"/>
      <c r="AC307" s="1980"/>
      <c r="AD307" s="1981"/>
      <c r="AE307" s="586"/>
      <c r="AF307" s="586"/>
      <c r="AG307" s="574"/>
      <c r="AH307" s="586"/>
      <c r="AI307" s="586"/>
      <c r="AJ307" s="585"/>
      <c r="AK307" s="585"/>
      <c r="AL307" s="585"/>
      <c r="AM307" s="585"/>
      <c r="AN307" s="73"/>
      <c r="AO307" s="14"/>
      <c r="AP307" s="30"/>
    </row>
    <row r="308" spans="1:42" hidden="1">
      <c r="A308" s="585"/>
      <c r="B308" s="586"/>
      <c r="C308" s="765"/>
      <c r="D308" s="765"/>
      <c r="E308" s="582"/>
      <c r="F308" s="1979"/>
      <c r="G308" s="1980"/>
      <c r="H308" s="1980"/>
      <c r="I308" s="1980"/>
      <c r="J308" s="1980"/>
      <c r="K308" s="1980"/>
      <c r="L308" s="1980"/>
      <c r="M308" s="1980"/>
      <c r="N308" s="1980"/>
      <c r="O308" s="1980"/>
      <c r="P308" s="1980"/>
      <c r="Q308" s="1980"/>
      <c r="R308" s="1980"/>
      <c r="S308" s="1980"/>
      <c r="T308" s="1980"/>
      <c r="U308" s="1980"/>
      <c r="V308" s="1980"/>
      <c r="W308" s="1980"/>
      <c r="X308" s="1980"/>
      <c r="Y308" s="1980"/>
      <c r="Z308" s="1980"/>
      <c r="AA308" s="1980"/>
      <c r="AB308" s="1980"/>
      <c r="AC308" s="1980"/>
      <c r="AD308" s="1981"/>
      <c r="AE308" s="586"/>
      <c r="AF308" s="586"/>
      <c r="AG308" s="574"/>
      <c r="AH308" s="586"/>
      <c r="AI308" s="586"/>
      <c r="AJ308" s="585"/>
      <c r="AK308" s="585"/>
      <c r="AL308" s="585"/>
      <c r="AM308" s="585"/>
      <c r="AN308" s="73"/>
      <c r="AO308" s="14"/>
      <c r="AP308" s="30"/>
    </row>
    <row r="309" spans="1:42" hidden="1">
      <c r="A309" s="585"/>
      <c r="B309" s="586"/>
      <c r="C309" s="765"/>
      <c r="D309" s="765"/>
      <c r="E309" s="582"/>
      <c r="F309" s="1982"/>
      <c r="G309" s="1983"/>
      <c r="H309" s="1983"/>
      <c r="I309" s="1983"/>
      <c r="J309" s="1983"/>
      <c r="K309" s="1983"/>
      <c r="L309" s="1983"/>
      <c r="M309" s="1983"/>
      <c r="N309" s="1983"/>
      <c r="O309" s="1983"/>
      <c r="P309" s="1983"/>
      <c r="Q309" s="1983"/>
      <c r="R309" s="1983"/>
      <c r="S309" s="1983"/>
      <c r="T309" s="1983"/>
      <c r="U309" s="1983"/>
      <c r="V309" s="1983"/>
      <c r="W309" s="1983"/>
      <c r="X309" s="1983"/>
      <c r="Y309" s="1983"/>
      <c r="Z309" s="1983"/>
      <c r="AA309" s="1983"/>
      <c r="AB309" s="1983"/>
      <c r="AC309" s="1983"/>
      <c r="AD309" s="1984"/>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85" t="s">
        <v>1327</v>
      </c>
      <c r="J313" s="1985"/>
      <c r="K313" s="1985"/>
      <c r="L313" s="1985"/>
      <c r="M313" s="1985"/>
      <c r="N313" s="1985"/>
      <c r="O313" s="1985"/>
      <c r="P313" s="1985"/>
      <c r="Q313" s="1985"/>
      <c r="R313" s="1985"/>
      <c r="S313" s="1985"/>
      <c r="T313" s="1985"/>
      <c r="U313" s="1985"/>
      <c r="V313" s="1985"/>
      <c r="W313" s="1985"/>
      <c r="X313" s="1985"/>
      <c r="Y313" s="1985"/>
      <c r="Z313" s="1985"/>
      <c r="AA313" s="1985"/>
      <c r="AB313" s="1985"/>
      <c r="AC313" s="1985"/>
      <c r="AD313" s="1986"/>
      <c r="AE313" s="586"/>
      <c r="AF313" s="586"/>
      <c r="AG313" s="574"/>
      <c r="AH313" s="586"/>
      <c r="AI313" s="586"/>
      <c r="AJ313" s="585"/>
      <c r="AK313" s="585"/>
      <c r="AL313" s="585"/>
      <c r="AM313" s="585"/>
      <c r="AN313" s="73"/>
      <c r="AO313" s="14"/>
      <c r="AP313" s="592" t="s">
        <v>1817</v>
      </c>
    </row>
    <row r="314" spans="1:42" hidden="1">
      <c r="A314" s="585"/>
      <c r="B314" s="586"/>
      <c r="C314" s="765"/>
      <c r="D314" s="765"/>
      <c r="E314" s="582"/>
      <c r="F314" s="691"/>
      <c r="G314" s="610"/>
      <c r="H314" s="610"/>
      <c r="I314" s="1985"/>
      <c r="J314" s="1985"/>
      <c r="K314" s="1985"/>
      <c r="L314" s="1985"/>
      <c r="M314" s="1985"/>
      <c r="N314" s="1985"/>
      <c r="O314" s="1985"/>
      <c r="P314" s="1985"/>
      <c r="Q314" s="1985"/>
      <c r="R314" s="1985"/>
      <c r="S314" s="1985"/>
      <c r="T314" s="1985"/>
      <c r="U314" s="1985"/>
      <c r="V314" s="1985"/>
      <c r="W314" s="1985"/>
      <c r="X314" s="1985"/>
      <c r="Y314" s="1985"/>
      <c r="Z314" s="1985"/>
      <c r="AA314" s="1985"/>
      <c r="AB314" s="1985"/>
      <c r="AC314" s="1985"/>
      <c r="AD314" s="1986"/>
      <c r="AE314" s="586"/>
      <c r="AF314" s="586"/>
      <c r="AG314" s="574"/>
      <c r="AH314" s="586"/>
      <c r="AI314" s="586"/>
      <c r="AJ314" s="585"/>
      <c r="AK314" s="585"/>
      <c r="AL314" s="585"/>
      <c r="AM314" s="585"/>
      <c r="AN314" s="73"/>
      <c r="AO314" s="14"/>
      <c r="AP314" s="592" t="s">
        <v>1993</v>
      </c>
    </row>
    <row r="315" spans="1:42" hidden="1">
      <c r="A315" s="585"/>
      <c r="B315" s="586"/>
      <c r="C315" s="686"/>
      <c r="D315" s="686"/>
      <c r="E315" s="582"/>
      <c r="F315" s="691"/>
      <c r="G315" s="610"/>
      <c r="H315" s="610"/>
      <c r="I315" s="1985"/>
      <c r="J315" s="1985"/>
      <c r="K315" s="1985"/>
      <c r="L315" s="1985"/>
      <c r="M315" s="1985"/>
      <c r="N315" s="1985"/>
      <c r="O315" s="1985"/>
      <c r="P315" s="1985"/>
      <c r="Q315" s="1985"/>
      <c r="R315" s="1985"/>
      <c r="S315" s="1985"/>
      <c r="T315" s="1985"/>
      <c r="U315" s="1985"/>
      <c r="V315" s="1985"/>
      <c r="W315" s="1985"/>
      <c r="X315" s="1985"/>
      <c r="Y315" s="1985"/>
      <c r="Z315" s="1985"/>
      <c r="AA315" s="1985"/>
      <c r="AB315" s="1985"/>
      <c r="AC315" s="1985"/>
      <c r="AD315" s="1986"/>
      <c r="AE315" s="586"/>
      <c r="AF315" s="586"/>
      <c r="AG315" s="574"/>
      <c r="AH315" s="586"/>
      <c r="AI315" s="586"/>
      <c r="AJ315" s="585"/>
      <c r="AK315" s="585"/>
      <c r="AL315" s="585"/>
      <c r="AM315" s="585"/>
      <c r="AN315" s="73"/>
      <c r="AO315" s="14"/>
      <c r="AP315" s="592" t="s">
        <v>1995</v>
      </c>
    </row>
    <row r="316" spans="1:42" hidden="1">
      <c r="A316" s="585"/>
      <c r="B316" s="586"/>
      <c r="C316" s="686"/>
      <c r="D316" s="686"/>
      <c r="E316" s="582"/>
      <c r="F316" s="689"/>
      <c r="G316" s="586"/>
      <c r="H316" s="586"/>
      <c r="I316" s="1987"/>
      <c r="J316" s="1987"/>
      <c r="K316" s="1987"/>
      <c r="L316" s="1987"/>
      <c r="M316" s="1987"/>
      <c r="N316" s="1987"/>
      <c r="O316" s="1987"/>
      <c r="P316" s="1987"/>
      <c r="Q316" s="1987"/>
      <c r="R316" s="1987"/>
      <c r="S316" s="1987"/>
      <c r="T316" s="1987"/>
      <c r="U316" s="1987"/>
      <c r="V316" s="1987"/>
      <c r="W316" s="1987"/>
      <c r="X316" s="1987"/>
      <c r="Y316" s="1987"/>
      <c r="Z316" s="1987"/>
      <c r="AA316" s="1987"/>
      <c r="AB316" s="1987"/>
      <c r="AC316" s="1987"/>
      <c r="AD316" s="1988"/>
      <c r="AE316" s="586"/>
      <c r="AF316" s="586"/>
      <c r="AG316" s="574"/>
      <c r="AH316" s="586"/>
      <c r="AI316" s="586"/>
      <c r="AJ316" s="585"/>
      <c r="AK316" s="585"/>
      <c r="AL316" s="585"/>
      <c r="AM316" s="585"/>
      <c r="AN316" s="73"/>
      <c r="AO316" s="14"/>
      <c r="AP316" s="592" t="s">
        <v>1994</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1985" t="s">
        <v>1327</v>
      </c>
      <c r="J318" s="1985"/>
      <c r="K318" s="1985"/>
      <c r="L318" s="1985"/>
      <c r="M318" s="1985"/>
      <c r="N318" s="1985"/>
      <c r="O318" s="1985"/>
      <c r="P318" s="1985"/>
      <c r="Q318" s="1985"/>
      <c r="R318" s="1985"/>
      <c r="S318" s="1985"/>
      <c r="T318" s="1985"/>
      <c r="U318" s="1985"/>
      <c r="V318" s="1985"/>
      <c r="W318" s="1985"/>
      <c r="X318" s="1985"/>
      <c r="Y318" s="1985"/>
      <c r="Z318" s="1985"/>
      <c r="AA318" s="1985"/>
      <c r="AB318" s="1985"/>
      <c r="AC318" s="1985"/>
      <c r="AD318" s="1986"/>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1985"/>
      <c r="J319" s="1985"/>
      <c r="K319" s="1985"/>
      <c r="L319" s="1985"/>
      <c r="M319" s="1985"/>
      <c r="N319" s="1985"/>
      <c r="O319" s="1985"/>
      <c r="P319" s="1985"/>
      <c r="Q319" s="1985"/>
      <c r="R319" s="1985"/>
      <c r="S319" s="1985"/>
      <c r="T319" s="1985"/>
      <c r="U319" s="1985"/>
      <c r="V319" s="1985"/>
      <c r="W319" s="1985"/>
      <c r="X319" s="1985"/>
      <c r="Y319" s="1985"/>
      <c r="Z319" s="1985"/>
      <c r="AA319" s="1985"/>
      <c r="AB319" s="1985"/>
      <c r="AC319" s="1985"/>
      <c r="AD319" s="1986"/>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1987"/>
      <c r="J320" s="1987"/>
      <c r="K320" s="1987"/>
      <c r="L320" s="1987"/>
      <c r="M320" s="1987"/>
      <c r="N320" s="1987"/>
      <c r="O320" s="1987"/>
      <c r="P320" s="1987"/>
      <c r="Q320" s="1987"/>
      <c r="R320" s="1987"/>
      <c r="S320" s="1987"/>
      <c r="T320" s="1987"/>
      <c r="U320" s="1987"/>
      <c r="V320" s="1987"/>
      <c r="W320" s="1987"/>
      <c r="X320" s="1987"/>
      <c r="Y320" s="1987"/>
      <c r="Z320" s="1987"/>
      <c r="AA320" s="1987"/>
      <c r="AB320" s="1987"/>
      <c r="AC320" s="1987"/>
      <c r="AD320" s="1988"/>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6" t="s">
        <v>1564</v>
      </c>
      <c r="B322" s="1646"/>
      <c r="C322" s="1947" t="s">
        <v>600</v>
      </c>
      <c r="D322" s="1947"/>
      <c r="E322" s="582"/>
      <c r="F322" s="1876" t="s">
        <v>2423</v>
      </c>
      <c r="G322" s="1877"/>
      <c r="H322" s="1877"/>
      <c r="I322" s="1877"/>
      <c r="J322" s="1877"/>
      <c r="K322" s="1877"/>
      <c r="L322" s="1877"/>
      <c r="M322" s="1877"/>
      <c r="N322" s="1877"/>
      <c r="O322" s="1877"/>
      <c r="P322" s="1877"/>
      <c r="Q322" s="1877"/>
      <c r="R322" s="1877"/>
      <c r="S322" s="1877"/>
      <c r="T322" s="1877"/>
      <c r="U322" s="1877"/>
      <c r="V322" s="1877"/>
      <c r="W322" s="1877"/>
      <c r="X322" s="1877"/>
      <c r="Y322" s="1877"/>
      <c r="Z322" s="1877"/>
      <c r="AA322" s="1877"/>
      <c r="AB322" s="1877"/>
      <c r="AC322" s="1877"/>
      <c r="AD322" s="1878"/>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2"/>
      <c r="G323" s="1883"/>
      <c r="H323" s="1883"/>
      <c r="I323" s="1883"/>
      <c r="J323" s="1883"/>
      <c r="K323" s="1883"/>
      <c r="L323" s="1883"/>
      <c r="M323" s="1883"/>
      <c r="N323" s="1883"/>
      <c r="O323" s="1883"/>
      <c r="P323" s="1883"/>
      <c r="Q323" s="1883"/>
      <c r="R323" s="1883"/>
      <c r="S323" s="1883"/>
      <c r="T323" s="1883"/>
      <c r="U323" s="1883"/>
      <c r="V323" s="1883"/>
      <c r="W323" s="1883"/>
      <c r="X323" s="1883"/>
      <c r="Y323" s="1883"/>
      <c r="Z323" s="1883"/>
      <c r="AA323" s="1883"/>
      <c r="AB323" s="1883"/>
      <c r="AC323" s="1883"/>
      <c r="AD323" s="1884"/>
      <c r="AE323" s="586"/>
      <c r="AF323" s="586"/>
      <c r="AG323" s="586"/>
      <c r="AH323" s="586"/>
      <c r="AI323" s="586"/>
      <c r="AJ323" s="585"/>
      <c r="AK323" s="585"/>
      <c r="AL323" s="585"/>
      <c r="AM323" s="585"/>
      <c r="AN323" s="73"/>
      <c r="AO323" s="14"/>
    </row>
    <row r="324" spans="1:44" ht="15" hidden="1" customHeight="1">
      <c r="A324" s="585"/>
      <c r="B324" s="586"/>
      <c r="C324" s="586"/>
      <c r="D324" s="586"/>
      <c r="E324" s="586"/>
      <c r="F324" s="1882"/>
      <c r="G324" s="1883"/>
      <c r="H324" s="1883"/>
      <c r="I324" s="1883"/>
      <c r="J324" s="1883"/>
      <c r="K324" s="1883"/>
      <c r="L324" s="1883"/>
      <c r="M324" s="1883"/>
      <c r="N324" s="1883"/>
      <c r="O324" s="1883"/>
      <c r="P324" s="1883"/>
      <c r="Q324" s="1883"/>
      <c r="R324" s="1883"/>
      <c r="S324" s="1883"/>
      <c r="T324" s="1883"/>
      <c r="U324" s="1883"/>
      <c r="V324" s="1883"/>
      <c r="W324" s="1883"/>
      <c r="X324" s="1883"/>
      <c r="Y324" s="1883"/>
      <c r="Z324" s="1883"/>
      <c r="AA324" s="1883"/>
      <c r="AB324" s="1883"/>
      <c r="AC324" s="1883"/>
      <c r="AD324" s="1884"/>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0">
        <f>IF(NOT(OR(Application!M354="Yes",Application!M355="Yes")),0,AP284)</f>
        <v>10</v>
      </c>
      <c r="AL327" s="1951"/>
      <c r="AM327" s="1952"/>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85" t="s">
        <v>1486</v>
      </c>
      <c r="AF330" s="1885"/>
      <c r="AG330" s="1885"/>
      <c r="AH330" s="1885"/>
      <c r="AI330" s="1885"/>
      <c r="AJ330" s="1885"/>
      <c r="AK330" s="1885"/>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89" t="s">
        <v>1626</v>
      </c>
      <c r="D332" s="1989"/>
      <c r="E332" s="1989"/>
      <c r="F332" s="1989"/>
      <c r="G332" s="1989"/>
      <c r="H332" s="1989"/>
      <c r="I332" s="1989"/>
      <c r="J332" s="1989"/>
      <c r="K332" s="1989"/>
      <c r="L332" s="1989"/>
      <c r="M332" s="1989"/>
      <c r="N332" s="1989"/>
      <c r="O332" s="1989"/>
      <c r="P332" s="1989"/>
      <c r="Q332" s="1989"/>
      <c r="R332" s="1989"/>
      <c r="S332" s="1989"/>
      <c r="T332" s="1989"/>
      <c r="U332" s="1989"/>
      <c r="V332" s="1989"/>
      <c r="W332" s="1989"/>
      <c r="X332" s="1989"/>
      <c r="Y332" s="1989"/>
      <c r="Z332" s="1989"/>
      <c r="AA332" s="1989"/>
      <c r="AB332" s="1989"/>
      <c r="AC332" s="1989"/>
      <c r="AD332" s="1989"/>
      <c r="AE332" s="1989"/>
      <c r="AF332" s="1989"/>
      <c r="AG332" s="1989"/>
      <c r="AH332" s="1989"/>
      <c r="AI332" s="1989"/>
      <c r="AJ332" s="1989"/>
      <c r="AK332" s="638"/>
      <c r="AL332" s="638"/>
      <c r="AM332" s="638"/>
      <c r="AN332" s="632"/>
    </row>
    <row r="333" spans="1:44" s="585" customFormat="1" ht="12.75" customHeight="1">
      <c r="A333" s="638"/>
      <c r="B333" s="646"/>
      <c r="C333" s="1989"/>
      <c r="D333" s="1989"/>
      <c r="E333" s="1989"/>
      <c r="F333" s="1989"/>
      <c r="G333" s="1989"/>
      <c r="H333" s="1989"/>
      <c r="I333" s="1989"/>
      <c r="J333" s="1989"/>
      <c r="K333" s="1989"/>
      <c r="L333" s="1989"/>
      <c r="M333" s="1989"/>
      <c r="N333" s="1989"/>
      <c r="O333" s="1989"/>
      <c r="P333" s="1989"/>
      <c r="Q333" s="1989"/>
      <c r="R333" s="1989"/>
      <c r="S333" s="1989"/>
      <c r="T333" s="1989"/>
      <c r="U333" s="1989"/>
      <c r="V333" s="1989"/>
      <c r="W333" s="1989"/>
      <c r="X333" s="1989"/>
      <c r="Y333" s="1989"/>
      <c r="Z333" s="1989"/>
      <c r="AA333" s="1989"/>
      <c r="AB333" s="1989"/>
      <c r="AC333" s="1989"/>
      <c r="AD333" s="1989"/>
      <c r="AE333" s="1989"/>
      <c r="AF333" s="1989"/>
      <c r="AG333" s="1989"/>
      <c r="AH333" s="1989"/>
      <c r="AI333" s="1989"/>
      <c r="AJ333" s="1989"/>
      <c r="AK333" s="638"/>
      <c r="AL333" s="638"/>
      <c r="AM333" s="638"/>
      <c r="AN333" s="632"/>
    </row>
    <row r="334" spans="1:44" s="585" customFormat="1" ht="12.75" customHeight="1">
      <c r="A334" s="638"/>
      <c r="B334" s="646"/>
      <c r="C334" s="1989"/>
      <c r="D334" s="1989"/>
      <c r="E334" s="1989"/>
      <c r="F334" s="1989"/>
      <c r="G334" s="1989"/>
      <c r="H334" s="1989"/>
      <c r="I334" s="1989"/>
      <c r="J334" s="1989"/>
      <c r="K334" s="1989"/>
      <c r="L334" s="1989"/>
      <c r="M334" s="1989"/>
      <c r="N334" s="1989"/>
      <c r="O334" s="1989"/>
      <c r="P334" s="1989"/>
      <c r="Q334" s="1989"/>
      <c r="R334" s="1989"/>
      <c r="S334" s="1989"/>
      <c r="T334" s="1989"/>
      <c r="U334" s="1989"/>
      <c r="V334" s="1989"/>
      <c r="W334" s="1989"/>
      <c r="X334" s="1989"/>
      <c r="Y334" s="1989"/>
      <c r="Z334" s="1989"/>
      <c r="AA334" s="1989"/>
      <c r="AB334" s="1989"/>
      <c r="AC334" s="1989"/>
      <c r="AD334" s="1989"/>
      <c r="AE334" s="1989"/>
      <c r="AF334" s="1989"/>
      <c r="AG334" s="1989"/>
      <c r="AH334" s="1989"/>
      <c r="AI334" s="1989"/>
      <c r="AJ334" s="1989"/>
      <c r="AK334" s="638"/>
      <c r="AL334" s="638"/>
      <c r="AM334" s="638"/>
      <c r="AN334" s="632"/>
      <c r="AQ334" s="605"/>
    </row>
    <row r="335" spans="1:44" s="585" customFormat="1" ht="12.75" customHeight="1">
      <c r="A335" s="638"/>
      <c r="B335" s="646"/>
      <c r="C335" s="1989"/>
      <c r="D335" s="1989"/>
      <c r="E335" s="1989"/>
      <c r="F335" s="1989"/>
      <c r="G335" s="1989"/>
      <c r="H335" s="1989"/>
      <c r="I335" s="1989"/>
      <c r="J335" s="1989"/>
      <c r="K335" s="1989"/>
      <c r="L335" s="1989"/>
      <c r="M335" s="1989"/>
      <c r="N335" s="1989"/>
      <c r="O335" s="1989"/>
      <c r="P335" s="1989"/>
      <c r="Q335" s="1989"/>
      <c r="R335" s="1989"/>
      <c r="S335" s="1989"/>
      <c r="T335" s="1989"/>
      <c r="U335" s="1989"/>
      <c r="V335" s="1989"/>
      <c r="W335" s="1989"/>
      <c r="X335" s="1989"/>
      <c r="Y335" s="1989"/>
      <c r="Z335" s="1989"/>
      <c r="AA335" s="1989"/>
      <c r="AB335" s="1989"/>
      <c r="AC335" s="1989"/>
      <c r="AD335" s="1989"/>
      <c r="AE335" s="1989"/>
      <c r="AF335" s="1989"/>
      <c r="AG335" s="1989"/>
      <c r="AH335" s="1989"/>
      <c r="AI335" s="1989"/>
      <c r="AJ335" s="1989"/>
      <c r="AK335" s="638"/>
      <c r="AL335" s="638"/>
      <c r="AM335" s="638"/>
      <c r="AN335" s="632"/>
      <c r="AQ335" s="605"/>
    </row>
    <row r="336" spans="1:44" s="585" customFormat="1" ht="12.4" customHeight="1">
      <c r="A336" s="638"/>
      <c r="B336" s="646"/>
      <c r="C336" s="1989"/>
      <c r="D336" s="1989"/>
      <c r="E336" s="1989"/>
      <c r="F336" s="1989"/>
      <c r="G336" s="1989"/>
      <c r="H336" s="1989"/>
      <c r="I336" s="1989"/>
      <c r="J336" s="1989"/>
      <c r="K336" s="1989"/>
      <c r="L336" s="1989"/>
      <c r="M336" s="1989"/>
      <c r="N336" s="1989"/>
      <c r="O336" s="1989"/>
      <c r="P336" s="1989"/>
      <c r="Q336" s="1989"/>
      <c r="R336" s="1989"/>
      <c r="S336" s="1989"/>
      <c r="T336" s="1989"/>
      <c r="U336" s="1989"/>
      <c r="V336" s="1989"/>
      <c r="W336" s="1989"/>
      <c r="X336" s="1989"/>
      <c r="Y336" s="1989"/>
      <c r="Z336" s="1989"/>
      <c r="AA336" s="1989"/>
      <c r="AB336" s="1989"/>
      <c r="AC336" s="1989"/>
      <c r="AD336" s="1989"/>
      <c r="AE336" s="1989"/>
      <c r="AF336" s="1989"/>
      <c r="AG336" s="1989"/>
      <c r="AH336" s="1989"/>
      <c r="AI336" s="1989"/>
      <c r="AJ336" s="1989"/>
      <c r="AK336" s="638"/>
      <c r="AL336" s="638"/>
      <c r="AM336" s="638"/>
      <c r="AN336" s="632"/>
      <c r="AQ336" s="605"/>
      <c r="AR336" s="605"/>
    </row>
    <row r="337" spans="1:46" s="585" customFormat="1" ht="45.75" customHeight="1">
      <c r="A337" s="638"/>
      <c r="B337" s="646"/>
      <c r="C337" s="1989" t="s">
        <v>2510</v>
      </c>
      <c r="D337" s="1989"/>
      <c r="E337" s="1989"/>
      <c r="F337" s="1989"/>
      <c r="G337" s="1989"/>
      <c r="H337" s="1989"/>
      <c r="I337" s="1989"/>
      <c r="J337" s="1989"/>
      <c r="K337" s="1989"/>
      <c r="L337" s="1989"/>
      <c r="M337" s="1989"/>
      <c r="N337" s="1989"/>
      <c r="O337" s="1989"/>
      <c r="P337" s="1989"/>
      <c r="Q337" s="1989"/>
      <c r="R337" s="1989"/>
      <c r="S337" s="1989"/>
      <c r="T337" s="1989"/>
      <c r="U337" s="1989"/>
      <c r="V337" s="1989"/>
      <c r="W337" s="1989"/>
      <c r="X337" s="1989"/>
      <c r="Y337" s="1989"/>
      <c r="Z337" s="1989"/>
      <c r="AA337" s="1989"/>
      <c r="AB337" s="1989"/>
      <c r="AC337" s="1989"/>
      <c r="AD337" s="1989"/>
      <c r="AE337" s="1989"/>
      <c r="AF337" s="1989"/>
      <c r="AG337" s="1989"/>
      <c r="AH337" s="1989"/>
      <c r="AI337" s="1989"/>
      <c r="AJ337" s="1989"/>
      <c r="AK337" s="638"/>
      <c r="AL337" s="638"/>
      <c r="AM337" s="638"/>
      <c r="AN337" s="632"/>
      <c r="AQ337" s="605"/>
      <c r="AR337" s="605"/>
    </row>
    <row r="338" spans="1:46" s="585" customFormat="1" ht="12.4"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89" t="s">
        <v>2127</v>
      </c>
      <c r="D339" s="1989"/>
      <c r="E339" s="1989"/>
      <c r="F339" s="1989"/>
      <c r="G339" s="1989"/>
      <c r="H339" s="1989"/>
      <c r="I339" s="1989"/>
      <c r="J339" s="1989"/>
      <c r="K339" s="1989"/>
      <c r="L339" s="1989"/>
      <c r="M339" s="1989"/>
      <c r="N339" s="1989"/>
      <c r="O339" s="1989"/>
      <c r="P339" s="1989"/>
      <c r="Q339" s="1989"/>
      <c r="R339" s="1989"/>
      <c r="S339" s="1989"/>
      <c r="T339" s="1989"/>
      <c r="U339" s="1989"/>
      <c r="V339" s="1989"/>
      <c r="W339" s="1989"/>
      <c r="X339" s="1989"/>
      <c r="Y339" s="1989"/>
      <c r="Z339" s="1989"/>
      <c r="AA339" s="1989"/>
      <c r="AB339" s="1989"/>
      <c r="AC339" s="1989"/>
      <c r="AD339" s="1989"/>
      <c r="AE339" s="1989"/>
      <c r="AF339" s="1989"/>
      <c r="AG339" s="1989"/>
      <c r="AH339" s="1989"/>
      <c r="AI339" s="1989"/>
      <c r="AJ339" s="1989"/>
      <c r="AK339" s="638"/>
      <c r="AL339" s="638"/>
      <c r="AM339" s="638"/>
      <c r="AN339" s="632"/>
      <c r="AQ339" s="605"/>
      <c r="AR339" s="605"/>
    </row>
    <row r="340" spans="1:46" s="585" customFormat="1" ht="30" customHeight="1">
      <c r="A340" s="638"/>
      <c r="B340" s="646"/>
      <c r="C340" s="1989"/>
      <c r="D340" s="1989"/>
      <c r="E340" s="1989"/>
      <c r="F340" s="1989"/>
      <c r="G340" s="1989"/>
      <c r="H340" s="1989"/>
      <c r="I340" s="1989"/>
      <c r="J340" s="1989"/>
      <c r="K340" s="1989"/>
      <c r="L340" s="1989"/>
      <c r="M340" s="1989"/>
      <c r="N340" s="1989"/>
      <c r="O340" s="1989"/>
      <c r="P340" s="1989"/>
      <c r="Q340" s="1989"/>
      <c r="R340" s="1989"/>
      <c r="S340" s="1989"/>
      <c r="T340" s="1989"/>
      <c r="U340" s="1989"/>
      <c r="V340" s="1989"/>
      <c r="W340" s="1989"/>
      <c r="X340" s="1989"/>
      <c r="Y340" s="1989"/>
      <c r="Z340" s="1989"/>
      <c r="AA340" s="1989"/>
      <c r="AB340" s="1989"/>
      <c r="AC340" s="1989"/>
      <c r="AD340" s="1989"/>
      <c r="AE340" s="1989"/>
      <c r="AF340" s="1989"/>
      <c r="AG340" s="1989"/>
      <c r="AH340" s="1989"/>
      <c r="AI340" s="1989"/>
      <c r="AJ340" s="1989"/>
      <c r="AK340" s="638"/>
      <c r="AL340" s="638"/>
      <c r="AM340" s="638"/>
      <c r="AN340" s="632"/>
      <c r="AR340" s="605"/>
    </row>
    <row r="341" spans="1:46" s="585" customFormat="1" ht="12.75" customHeight="1">
      <c r="A341" s="638"/>
      <c r="B341" s="646"/>
      <c r="C341" s="1989"/>
      <c r="D341" s="1989"/>
      <c r="E341" s="1989"/>
      <c r="F341" s="1989"/>
      <c r="G341" s="1989"/>
      <c r="H341" s="1989"/>
      <c r="I341" s="1989"/>
      <c r="J341" s="1989"/>
      <c r="K341" s="1989"/>
      <c r="L341" s="1989"/>
      <c r="M341" s="1989"/>
      <c r="N341" s="1989"/>
      <c r="O341" s="1989"/>
      <c r="P341" s="1989"/>
      <c r="Q341" s="1989"/>
      <c r="R341" s="1989"/>
      <c r="S341" s="1989"/>
      <c r="T341" s="1989"/>
      <c r="U341" s="1989"/>
      <c r="V341" s="1989"/>
      <c r="W341" s="1989"/>
      <c r="X341" s="1989"/>
      <c r="Y341" s="1989"/>
      <c r="Z341" s="1989"/>
      <c r="AA341" s="1989"/>
      <c r="AB341" s="1989"/>
      <c r="AC341" s="1989"/>
      <c r="AD341" s="1989"/>
      <c r="AE341" s="1989"/>
      <c r="AF341" s="1989"/>
      <c r="AG341" s="1989"/>
      <c r="AH341" s="1989"/>
      <c r="AI341" s="1989"/>
      <c r="AJ341" s="1989"/>
      <c r="AK341" s="638"/>
      <c r="AL341" s="638"/>
      <c r="AM341" s="638"/>
      <c r="AN341" s="632"/>
      <c r="AR341" s="605"/>
    </row>
    <row r="342" spans="1:46" s="585" customFormat="1" ht="12.75" customHeight="1">
      <c r="A342" s="638"/>
      <c r="B342" s="646"/>
      <c r="C342" s="1989" t="s">
        <v>1627</v>
      </c>
      <c r="D342" s="1989"/>
      <c r="E342" s="1989"/>
      <c r="F342" s="1989"/>
      <c r="G342" s="1989"/>
      <c r="H342" s="1989"/>
      <c r="I342" s="1989"/>
      <c r="J342" s="1989"/>
      <c r="K342" s="1989"/>
      <c r="L342" s="1989"/>
      <c r="M342" s="1989"/>
      <c r="N342" s="1989"/>
      <c r="O342" s="1989"/>
      <c r="P342" s="1989"/>
      <c r="Q342" s="1989"/>
      <c r="R342" s="1989"/>
      <c r="S342" s="1989"/>
      <c r="T342" s="1989"/>
      <c r="U342" s="1989"/>
      <c r="V342" s="1989"/>
      <c r="W342" s="1989"/>
      <c r="X342" s="1989"/>
      <c r="Y342" s="1989"/>
      <c r="Z342" s="1989"/>
      <c r="AA342" s="1989"/>
      <c r="AB342" s="1989"/>
      <c r="AC342" s="1989"/>
      <c r="AD342" s="1989"/>
      <c r="AE342" s="1989"/>
      <c r="AF342" s="1989"/>
      <c r="AG342" s="1989"/>
      <c r="AH342" s="1989"/>
      <c r="AI342" s="1989"/>
      <c r="AJ342" s="1989"/>
      <c r="AK342" s="638"/>
      <c r="AL342" s="638"/>
      <c r="AM342" s="638"/>
      <c r="AN342" s="632"/>
      <c r="AQ342" s="605"/>
      <c r="AR342" s="605"/>
    </row>
    <row r="343" spans="1:46" s="585" customFormat="1" ht="12.75" customHeight="1">
      <c r="A343" s="638"/>
      <c r="B343" s="646"/>
      <c r="C343" s="1989"/>
      <c r="D343" s="1989"/>
      <c r="E343" s="1989"/>
      <c r="F343" s="1989"/>
      <c r="G343" s="1989"/>
      <c r="H343" s="1989"/>
      <c r="I343" s="1989"/>
      <c r="J343" s="1989"/>
      <c r="K343" s="1989"/>
      <c r="L343" s="1989"/>
      <c r="M343" s="1989"/>
      <c r="N343" s="1989"/>
      <c r="O343" s="1989"/>
      <c r="P343" s="1989"/>
      <c r="Q343" s="1989"/>
      <c r="R343" s="1989"/>
      <c r="S343" s="1989"/>
      <c r="T343" s="1989"/>
      <c r="U343" s="1989"/>
      <c r="V343" s="1989"/>
      <c r="W343" s="1989"/>
      <c r="X343" s="1989"/>
      <c r="Y343" s="1989"/>
      <c r="Z343" s="1989"/>
      <c r="AA343" s="1989"/>
      <c r="AB343" s="1989"/>
      <c r="AC343" s="1989"/>
      <c r="AD343" s="1989"/>
      <c r="AE343" s="1989"/>
      <c r="AF343" s="1989"/>
      <c r="AG343" s="1989"/>
      <c r="AH343" s="1989"/>
      <c r="AI343" s="1989"/>
      <c r="AJ343" s="1989"/>
      <c r="AK343" s="638"/>
      <c r="AL343" s="638"/>
      <c r="AM343" s="638"/>
      <c r="AN343" s="632"/>
      <c r="AQ343" s="605"/>
      <c r="AR343" s="605"/>
    </row>
    <row r="344" spans="1:46" s="585" customFormat="1" ht="13.15" customHeight="1">
      <c r="A344" s="638"/>
      <c r="B344" s="646"/>
      <c r="C344" s="1989"/>
      <c r="D344" s="1989"/>
      <c r="E344" s="1989"/>
      <c r="F344" s="1989"/>
      <c r="G344" s="1989"/>
      <c r="H344" s="1989"/>
      <c r="I344" s="1989"/>
      <c r="J344" s="1989"/>
      <c r="K344" s="1989"/>
      <c r="L344" s="1989"/>
      <c r="M344" s="1989"/>
      <c r="N344" s="1989"/>
      <c r="O344" s="1989"/>
      <c r="P344" s="1989"/>
      <c r="Q344" s="1989"/>
      <c r="R344" s="1989"/>
      <c r="S344" s="1989"/>
      <c r="T344" s="1989"/>
      <c r="U344" s="1989"/>
      <c r="V344" s="1989"/>
      <c r="W344" s="1989"/>
      <c r="X344" s="1989"/>
      <c r="Y344" s="1989"/>
      <c r="Z344" s="1989"/>
      <c r="AA344" s="1989"/>
      <c r="AB344" s="1989"/>
      <c r="AC344" s="1989"/>
      <c r="AD344" s="1989"/>
      <c r="AE344" s="1989"/>
      <c r="AF344" s="1989"/>
      <c r="AG344" s="1989"/>
      <c r="AH344" s="1989"/>
      <c r="AI344" s="1989"/>
      <c r="AJ344" s="1989"/>
      <c r="AK344" s="638"/>
      <c r="AL344" s="638"/>
      <c r="AM344" s="638"/>
      <c r="AN344" s="632"/>
      <c r="AQ344" s="605"/>
      <c r="AR344" s="605"/>
    </row>
    <row r="345" spans="1:46" s="585" customFormat="1" ht="12.75" customHeight="1">
      <c r="A345" s="638"/>
      <c r="B345" s="646"/>
      <c r="C345" s="1989"/>
      <c r="D345" s="1989"/>
      <c r="E345" s="1989"/>
      <c r="F345" s="1989"/>
      <c r="G345" s="1989"/>
      <c r="H345" s="1989"/>
      <c r="I345" s="1989"/>
      <c r="J345" s="1989"/>
      <c r="K345" s="1989"/>
      <c r="L345" s="1989"/>
      <c r="M345" s="1989"/>
      <c r="N345" s="1989"/>
      <c r="O345" s="1989"/>
      <c r="P345" s="1989"/>
      <c r="Q345" s="1989"/>
      <c r="R345" s="1989"/>
      <c r="S345" s="1989"/>
      <c r="T345" s="1989"/>
      <c r="U345" s="1989"/>
      <c r="V345" s="1989"/>
      <c r="W345" s="1989"/>
      <c r="X345" s="1989"/>
      <c r="Y345" s="1989"/>
      <c r="Z345" s="1989"/>
      <c r="AA345" s="1989"/>
      <c r="AB345" s="1989"/>
      <c r="AC345" s="1989"/>
      <c r="AD345" s="1989"/>
      <c r="AE345" s="1989"/>
      <c r="AF345" s="1989"/>
      <c r="AG345" s="1989"/>
      <c r="AH345" s="1989"/>
      <c r="AI345" s="1989"/>
      <c r="AJ345" s="1989"/>
      <c r="AK345" s="638"/>
      <c r="AL345" s="638"/>
      <c r="AM345" s="638"/>
      <c r="AN345" s="632"/>
      <c r="AO345" s="729"/>
      <c r="AP345" s="729"/>
      <c r="AQ345" s="605"/>
    </row>
    <row r="346" spans="1:46" s="585" customFormat="1" ht="11.85" customHeight="1">
      <c r="A346" s="638"/>
      <c r="B346" s="646"/>
      <c r="C346" s="1989"/>
      <c r="D346" s="1989"/>
      <c r="E346" s="1989"/>
      <c r="F346" s="1989"/>
      <c r="G346" s="1989"/>
      <c r="H346" s="1989"/>
      <c r="I346" s="1989"/>
      <c r="J346" s="1989"/>
      <c r="K346" s="1989"/>
      <c r="L346" s="1989"/>
      <c r="M346" s="1989"/>
      <c r="N346" s="1989"/>
      <c r="O346" s="1989"/>
      <c r="P346" s="1989"/>
      <c r="Q346" s="1989"/>
      <c r="R346" s="1989"/>
      <c r="S346" s="1989"/>
      <c r="T346" s="1989"/>
      <c r="U346" s="1989"/>
      <c r="V346" s="1989"/>
      <c r="W346" s="1989"/>
      <c r="X346" s="1989"/>
      <c r="Y346" s="1989"/>
      <c r="Z346" s="1989"/>
      <c r="AA346" s="1989"/>
      <c r="AB346" s="1989"/>
      <c r="AC346" s="1989"/>
      <c r="AD346" s="1989"/>
      <c r="AE346" s="1989"/>
      <c r="AF346" s="1989"/>
      <c r="AG346" s="1989"/>
      <c r="AH346" s="1989"/>
      <c r="AI346" s="1989"/>
      <c r="AJ346" s="1989"/>
      <c r="AK346" s="638"/>
      <c r="AL346" s="638"/>
      <c r="AM346" s="638"/>
      <c r="AN346" s="632"/>
      <c r="AO346" s="730" t="s">
        <v>113</v>
      </c>
      <c r="AP346" s="731">
        <f>IF(C370="Yes",5,0)</f>
        <v>0</v>
      </c>
      <c r="AS346" s="574" t="s">
        <v>1628</v>
      </c>
    </row>
    <row r="347" spans="1:46" s="585" customFormat="1" ht="12.75" customHeight="1">
      <c r="A347" s="638"/>
      <c r="B347" s="646"/>
      <c r="C347" s="1989"/>
      <c r="D347" s="1989"/>
      <c r="E347" s="1989"/>
      <c r="F347" s="1989"/>
      <c r="G347" s="1989"/>
      <c r="H347" s="1989"/>
      <c r="I347" s="1989"/>
      <c r="J347" s="1989"/>
      <c r="K347" s="1989"/>
      <c r="L347" s="1989"/>
      <c r="M347" s="1989"/>
      <c r="N347" s="1989"/>
      <c r="O347" s="1989"/>
      <c r="P347" s="1989"/>
      <c r="Q347" s="1989"/>
      <c r="R347" s="1989"/>
      <c r="S347" s="1989"/>
      <c r="T347" s="1989"/>
      <c r="U347" s="1989"/>
      <c r="V347" s="1989"/>
      <c r="W347" s="1989"/>
      <c r="X347" s="1989"/>
      <c r="Y347" s="1989"/>
      <c r="Z347" s="1989"/>
      <c r="AA347" s="1989"/>
      <c r="AB347" s="1989"/>
      <c r="AC347" s="1989"/>
      <c r="AD347" s="1989"/>
      <c r="AE347" s="1989"/>
      <c r="AF347" s="1989"/>
      <c r="AG347" s="1989"/>
      <c r="AH347" s="1989"/>
      <c r="AI347" s="1989"/>
      <c r="AJ347" s="1989"/>
      <c r="AK347" s="638"/>
      <c r="AL347" s="638"/>
      <c r="AM347" s="638"/>
      <c r="AN347" s="632"/>
      <c r="AO347" s="730" t="s">
        <v>114</v>
      </c>
      <c r="AP347" s="731">
        <f>IF(C378="Yes",5,0)</f>
        <v>0</v>
      </c>
      <c r="AS347" s="2006">
        <f>IF(Application!D210="Non-Targeted",(SUM(AQ355+AQ364)),AS351)</f>
        <v>10</v>
      </c>
      <c r="AT347" s="2006"/>
    </row>
    <row r="348" spans="1:46" s="585" customFormat="1" ht="12.75" customHeight="1">
      <c r="A348" s="638"/>
      <c r="B348" s="646"/>
      <c r="C348" s="1989"/>
      <c r="D348" s="1989"/>
      <c r="E348" s="1989"/>
      <c r="F348" s="1989"/>
      <c r="G348" s="1989"/>
      <c r="H348" s="1989"/>
      <c r="I348" s="1989"/>
      <c r="J348" s="1989"/>
      <c r="K348" s="1989"/>
      <c r="L348" s="1989"/>
      <c r="M348" s="1989"/>
      <c r="N348" s="1989"/>
      <c r="O348" s="1989"/>
      <c r="P348" s="1989"/>
      <c r="Q348" s="1989"/>
      <c r="R348" s="1989"/>
      <c r="S348" s="1989"/>
      <c r="T348" s="1989"/>
      <c r="U348" s="1989"/>
      <c r="V348" s="1989"/>
      <c r="W348" s="1989"/>
      <c r="X348" s="1989"/>
      <c r="Y348" s="1989"/>
      <c r="Z348" s="1989"/>
      <c r="AA348" s="1989"/>
      <c r="AB348" s="1989"/>
      <c r="AC348" s="1989"/>
      <c r="AD348" s="1989"/>
      <c r="AE348" s="1989"/>
      <c r="AF348" s="1989"/>
      <c r="AG348" s="1989"/>
      <c r="AH348" s="1989"/>
      <c r="AI348" s="1989"/>
      <c r="AJ348" s="1989"/>
      <c r="AK348" s="638"/>
      <c r="AL348" s="638"/>
      <c r="AM348" s="638"/>
      <c r="AN348" s="632"/>
      <c r="AO348" s="730" t="s">
        <v>120</v>
      </c>
      <c r="AP348" s="731">
        <f>IF(C386="Yes",7,0)</f>
        <v>0</v>
      </c>
      <c r="AS348" s="574" t="s">
        <v>1629</v>
      </c>
    </row>
    <row r="349" spans="1:46" s="585" customFormat="1" ht="12.75" customHeight="1">
      <c r="A349" s="638"/>
      <c r="B349" s="646"/>
      <c r="C349" s="1989"/>
      <c r="D349" s="1989"/>
      <c r="E349" s="1989"/>
      <c r="F349" s="1989"/>
      <c r="G349" s="1989"/>
      <c r="H349" s="1989"/>
      <c r="I349" s="1989"/>
      <c r="J349" s="1989"/>
      <c r="K349" s="1989"/>
      <c r="L349" s="1989"/>
      <c r="M349" s="1989"/>
      <c r="N349" s="1989"/>
      <c r="O349" s="1989"/>
      <c r="P349" s="1989"/>
      <c r="Q349" s="1989"/>
      <c r="R349" s="1989"/>
      <c r="S349" s="1989"/>
      <c r="T349" s="1989"/>
      <c r="U349" s="1989"/>
      <c r="V349" s="1989"/>
      <c r="W349" s="1989"/>
      <c r="X349" s="1989"/>
      <c r="Y349" s="1989"/>
      <c r="Z349" s="1989"/>
      <c r="AA349" s="1989"/>
      <c r="AB349" s="1989"/>
      <c r="AC349" s="1989"/>
      <c r="AD349" s="1989"/>
      <c r="AE349" s="1989"/>
      <c r="AF349" s="1989"/>
      <c r="AG349" s="1989"/>
      <c r="AH349" s="1989"/>
      <c r="AI349" s="1989"/>
      <c r="AJ349" s="1989"/>
      <c r="AK349" s="638"/>
      <c r="AL349" s="638"/>
      <c r="AM349" s="638"/>
      <c r="AN349" s="632"/>
      <c r="AO349" s="632"/>
      <c r="AP349" s="731">
        <f>IF(C388="Yes",5,0)</f>
        <v>0</v>
      </c>
      <c r="AS349" s="2006">
        <f>IF(AND(AQ355&gt;0,AQ364&gt;0),(AQ355+AQ364)/2,0)</f>
        <v>0</v>
      </c>
      <c r="AT349" s="2006"/>
    </row>
    <row r="350" spans="1:46" s="585" customFormat="1" ht="12.75" customHeight="1">
      <c r="A350" s="638"/>
      <c r="B350" s="646"/>
      <c r="C350" s="1989"/>
      <c r="D350" s="1989"/>
      <c r="E350" s="1989"/>
      <c r="F350" s="1989"/>
      <c r="G350" s="1989"/>
      <c r="H350" s="1989"/>
      <c r="I350" s="1989"/>
      <c r="J350" s="1989"/>
      <c r="K350" s="1989"/>
      <c r="L350" s="1989"/>
      <c r="M350" s="1989"/>
      <c r="N350" s="1989"/>
      <c r="O350" s="1989"/>
      <c r="P350" s="1989"/>
      <c r="Q350" s="1989"/>
      <c r="R350" s="1989"/>
      <c r="S350" s="1989"/>
      <c r="T350" s="1989"/>
      <c r="U350" s="1989"/>
      <c r="V350" s="1989"/>
      <c r="W350" s="1989"/>
      <c r="X350" s="1989"/>
      <c r="Y350" s="1989"/>
      <c r="Z350" s="1989"/>
      <c r="AA350" s="1989"/>
      <c r="AB350" s="1989"/>
      <c r="AC350" s="1989"/>
      <c r="AD350" s="1989"/>
      <c r="AE350" s="1989"/>
      <c r="AF350" s="1989"/>
      <c r="AG350" s="1989"/>
      <c r="AH350" s="1989"/>
      <c r="AI350" s="1989"/>
      <c r="AJ350" s="1989"/>
      <c r="AK350" s="638"/>
      <c r="AL350" s="638"/>
      <c r="AM350" s="638"/>
      <c r="AN350" s="632"/>
      <c r="AO350" s="730" t="s">
        <v>590</v>
      </c>
      <c r="AP350" s="731">
        <f>IF(C396="Yes",5,0)</f>
        <v>0</v>
      </c>
      <c r="AS350" s="574" t="s">
        <v>2144</v>
      </c>
    </row>
    <row r="351" spans="1:46" s="585" customFormat="1" ht="12.75" customHeight="1">
      <c r="A351" s="638"/>
      <c r="B351" s="646"/>
      <c r="C351" s="2007" t="s">
        <v>1630</v>
      </c>
      <c r="D351" s="2007"/>
      <c r="E351" s="2007"/>
      <c r="F351" s="2007"/>
      <c r="G351" s="2007"/>
      <c r="H351" s="2007"/>
      <c r="I351" s="2007"/>
      <c r="J351" s="2007"/>
      <c r="K351" s="2007"/>
      <c r="L351" s="2007"/>
      <c r="M351" s="2007"/>
      <c r="N351" s="2007"/>
      <c r="O351" s="2007"/>
      <c r="P351" s="2007"/>
      <c r="Q351" s="2007"/>
      <c r="R351" s="2007"/>
      <c r="S351" s="2007"/>
      <c r="T351" s="2007"/>
      <c r="U351" s="2007"/>
      <c r="V351" s="2007"/>
      <c r="W351" s="2007"/>
      <c r="X351" s="2007"/>
      <c r="Y351" s="2007"/>
      <c r="Z351" s="2007"/>
      <c r="AA351" s="2007"/>
      <c r="AB351" s="2007"/>
      <c r="AC351" s="2007"/>
      <c r="AD351" s="2007"/>
      <c r="AE351" s="2007"/>
      <c r="AF351" s="2007"/>
      <c r="AG351" s="2007"/>
      <c r="AH351" s="2007"/>
      <c r="AI351" s="2007"/>
      <c r="AJ351" s="2007"/>
      <c r="AK351" s="638"/>
      <c r="AL351" s="638"/>
      <c r="AM351" s="638"/>
      <c r="AN351" s="632"/>
      <c r="AO351" s="632"/>
      <c r="AP351" s="731">
        <f>IF(C398="Yes",3,0)</f>
        <v>0</v>
      </c>
      <c r="AS351" s="2006">
        <f>IF(AQ355=0,AQ364,AQ355)</f>
        <v>10</v>
      </c>
      <c r="AT351" s="2006"/>
    </row>
    <row r="352" spans="1:46" s="585" customFormat="1" ht="12.75" customHeight="1">
      <c r="A352" s="638"/>
      <c r="B352" s="646"/>
      <c r="C352" s="2007"/>
      <c r="D352" s="2007"/>
      <c r="E352" s="2007"/>
      <c r="F352" s="2007"/>
      <c r="G352" s="2007"/>
      <c r="H352" s="2007"/>
      <c r="I352" s="2007"/>
      <c r="J352" s="2007"/>
      <c r="K352" s="2007"/>
      <c r="L352" s="2007"/>
      <c r="M352" s="2007"/>
      <c r="N352" s="2007"/>
      <c r="O352" s="2007"/>
      <c r="P352" s="2007"/>
      <c r="Q352" s="2007"/>
      <c r="R352" s="2007"/>
      <c r="S352" s="2007"/>
      <c r="T352" s="2007"/>
      <c r="U352" s="2007"/>
      <c r="V352" s="2007"/>
      <c r="W352" s="2007"/>
      <c r="X352" s="2007"/>
      <c r="Y352" s="2007"/>
      <c r="Z352" s="2007"/>
      <c r="AA352" s="2007"/>
      <c r="AB352" s="2007"/>
      <c r="AC352" s="2007"/>
      <c r="AD352" s="2007"/>
      <c r="AE352" s="2007"/>
      <c r="AF352" s="2007"/>
      <c r="AG352" s="2007"/>
      <c r="AH352" s="2007"/>
      <c r="AI352" s="2007"/>
      <c r="AJ352" s="2007"/>
      <c r="AK352" s="638"/>
      <c r="AL352" s="638"/>
      <c r="AM352" s="638"/>
      <c r="AN352" s="632"/>
      <c r="AO352" s="730" t="s">
        <v>787</v>
      </c>
      <c r="AP352" s="731">
        <f>IF(C401="Yes",5,0)</f>
        <v>0</v>
      </c>
    </row>
    <row r="353" spans="1:81" s="585" customFormat="1" ht="12.75" customHeight="1">
      <c r="A353" s="638"/>
      <c r="B353" s="646"/>
      <c r="C353" s="2007"/>
      <c r="D353" s="2007"/>
      <c r="E353" s="2007"/>
      <c r="F353" s="2007"/>
      <c r="G353" s="2007"/>
      <c r="H353" s="2007"/>
      <c r="I353" s="2007"/>
      <c r="J353" s="2007"/>
      <c r="K353" s="2007"/>
      <c r="L353" s="2007"/>
      <c r="M353" s="2007"/>
      <c r="N353" s="2007"/>
      <c r="O353" s="2007"/>
      <c r="P353" s="2007"/>
      <c r="Q353" s="2007"/>
      <c r="R353" s="2007"/>
      <c r="S353" s="2007"/>
      <c r="T353" s="2007"/>
      <c r="U353" s="2007"/>
      <c r="V353" s="2007"/>
      <c r="W353" s="2007"/>
      <c r="X353" s="2007"/>
      <c r="Y353" s="2007"/>
      <c r="Z353" s="2007"/>
      <c r="AA353" s="2007"/>
      <c r="AB353" s="2007"/>
      <c r="AC353" s="2007"/>
      <c r="AD353" s="2007"/>
      <c r="AE353" s="2007"/>
      <c r="AF353" s="2007"/>
      <c r="AG353" s="2007"/>
      <c r="AH353" s="2007"/>
      <c r="AI353" s="2007"/>
      <c r="AJ353" s="2007"/>
      <c r="AK353" s="638"/>
      <c r="AL353" s="638"/>
      <c r="AM353" s="638"/>
      <c r="AN353" s="632"/>
      <c r="AO353" s="730" t="s">
        <v>593</v>
      </c>
      <c r="AP353" s="731">
        <f>IF(C410="Yes",5,0)</f>
        <v>0</v>
      </c>
    </row>
    <row r="354" spans="1:81" s="585" customFormat="1" ht="11.85" customHeight="1">
      <c r="A354" s="638"/>
      <c r="B354" s="646"/>
      <c r="C354" s="2007"/>
      <c r="D354" s="2007"/>
      <c r="E354" s="2007"/>
      <c r="F354" s="2007"/>
      <c r="G354" s="2007"/>
      <c r="H354" s="2007"/>
      <c r="I354" s="2007"/>
      <c r="J354" s="2007"/>
      <c r="K354" s="2007"/>
      <c r="L354" s="2007"/>
      <c r="M354" s="2007"/>
      <c r="N354" s="2007"/>
      <c r="O354" s="2007"/>
      <c r="P354" s="2007"/>
      <c r="Q354" s="2007"/>
      <c r="R354" s="2007"/>
      <c r="S354" s="2007"/>
      <c r="T354" s="2007"/>
      <c r="U354" s="2007"/>
      <c r="V354" s="2007"/>
      <c r="W354" s="2007"/>
      <c r="X354" s="2007"/>
      <c r="Y354" s="2007"/>
      <c r="Z354" s="2007"/>
      <c r="AA354" s="2007"/>
      <c r="AB354" s="2007"/>
      <c r="AC354" s="2007"/>
      <c r="AD354" s="2007"/>
      <c r="AE354" s="2007"/>
      <c r="AF354" s="2007"/>
      <c r="AG354" s="2007"/>
      <c r="AH354" s="2007"/>
      <c r="AI354" s="2007"/>
      <c r="AJ354" s="2007"/>
      <c r="AK354" s="638"/>
      <c r="AL354" s="638"/>
      <c r="AM354" s="638"/>
      <c r="AN354" s="632"/>
      <c r="AO354" s="732"/>
      <c r="AP354" s="733">
        <f>IF(C412="Yes",3,0)</f>
        <v>0</v>
      </c>
    </row>
    <row r="355" spans="1:81" s="585" customFormat="1" ht="12.4" customHeight="1">
      <c r="A355" s="638"/>
      <c r="B355" s="646"/>
      <c r="C355" s="2007"/>
      <c r="D355" s="2007"/>
      <c r="E355" s="2007"/>
      <c r="F355" s="2007"/>
      <c r="G355" s="2007"/>
      <c r="H355" s="2007"/>
      <c r="I355" s="2007"/>
      <c r="J355" s="2007"/>
      <c r="K355" s="2007"/>
      <c r="L355" s="2007"/>
      <c r="M355" s="2007"/>
      <c r="N355" s="2007"/>
      <c r="O355" s="2007"/>
      <c r="P355" s="2007"/>
      <c r="Q355" s="2007"/>
      <c r="R355" s="2007"/>
      <c r="S355" s="2007"/>
      <c r="T355" s="2007"/>
      <c r="U355" s="2007"/>
      <c r="V355" s="2007"/>
      <c r="W355" s="2007"/>
      <c r="X355" s="2007"/>
      <c r="Y355" s="2007"/>
      <c r="Z355" s="2007"/>
      <c r="AA355" s="2007"/>
      <c r="AB355" s="2007"/>
      <c r="AC355" s="2007"/>
      <c r="AD355" s="2007"/>
      <c r="AE355" s="2007"/>
      <c r="AF355" s="2007"/>
      <c r="AG355" s="2007"/>
      <c r="AH355" s="2007"/>
      <c r="AI355" s="2007"/>
      <c r="AJ355" s="2007"/>
      <c r="AK355" s="638"/>
      <c r="AL355" s="638"/>
      <c r="AM355" s="638"/>
      <c r="AN355" s="632"/>
      <c r="AO355" s="734" t="s">
        <v>229</v>
      </c>
      <c r="AP355" s="735">
        <f>SUM(AP346:AP354)</f>
        <v>0</v>
      </c>
      <c r="AQ355" s="2008">
        <f>IF(AP355&gt;0,AP355,0)</f>
        <v>0</v>
      </c>
      <c r="AR355" s="2008"/>
    </row>
    <row r="356" spans="1:81" s="585" customFormat="1" ht="12.75" customHeight="1">
      <c r="A356" s="638"/>
      <c r="B356" s="646"/>
      <c r="C356" s="2007"/>
      <c r="D356" s="2007"/>
      <c r="E356" s="2007"/>
      <c r="F356" s="2007"/>
      <c r="G356" s="2007"/>
      <c r="H356" s="2007"/>
      <c r="I356" s="2007"/>
      <c r="J356" s="2007"/>
      <c r="K356" s="2007"/>
      <c r="L356" s="2007"/>
      <c r="M356" s="2007"/>
      <c r="N356" s="2007"/>
      <c r="O356" s="2007"/>
      <c r="P356" s="2007"/>
      <c r="Q356" s="2007"/>
      <c r="R356" s="2007"/>
      <c r="S356" s="2007"/>
      <c r="T356" s="2007"/>
      <c r="U356" s="2007"/>
      <c r="V356" s="2007"/>
      <c r="W356" s="2007"/>
      <c r="X356" s="2007"/>
      <c r="Y356" s="2007"/>
      <c r="Z356" s="2007"/>
      <c r="AA356" s="2007"/>
      <c r="AB356" s="2007"/>
      <c r="AC356" s="2007"/>
      <c r="AD356" s="2007"/>
      <c r="AE356" s="2007"/>
      <c r="AF356" s="2007"/>
      <c r="AG356" s="2007"/>
      <c r="AH356" s="2007"/>
      <c r="AI356" s="2007"/>
      <c r="AJ356" s="2007"/>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89" t="s">
        <v>1631</v>
      </c>
      <c r="D358" s="1989"/>
      <c r="E358" s="1989"/>
      <c r="F358" s="1989"/>
      <c r="G358" s="1989"/>
      <c r="H358" s="1989"/>
      <c r="I358" s="1989"/>
      <c r="J358" s="1989"/>
      <c r="K358" s="1989"/>
      <c r="L358" s="1989"/>
      <c r="M358" s="1989"/>
      <c r="N358" s="1989"/>
      <c r="O358" s="1989"/>
      <c r="P358" s="1989"/>
      <c r="Q358" s="1989"/>
      <c r="R358" s="1989"/>
      <c r="S358" s="1989"/>
      <c r="T358" s="1989"/>
      <c r="U358" s="1989"/>
      <c r="V358" s="1989"/>
      <c r="W358" s="1989"/>
      <c r="X358" s="1989"/>
      <c r="Y358" s="1989"/>
      <c r="Z358" s="1989"/>
      <c r="AA358" s="1989"/>
      <c r="AB358" s="1989"/>
      <c r="AC358" s="1989"/>
      <c r="AD358" s="1989"/>
      <c r="AE358" s="1989"/>
      <c r="AF358" s="1989"/>
      <c r="AG358" s="1989"/>
      <c r="AH358" s="1989"/>
      <c r="AI358" s="1989"/>
      <c r="AJ358" s="1989"/>
      <c r="AK358" s="638"/>
      <c r="AL358" s="638"/>
      <c r="AM358" s="638"/>
      <c r="AN358" s="632"/>
      <c r="AO358" s="730" t="s">
        <v>465</v>
      </c>
      <c r="AP358" s="731">
        <f>IF(C431="Yes",5,0)</f>
        <v>5</v>
      </c>
    </row>
    <row r="359" spans="1:81" s="585" customFormat="1" ht="12.75" customHeight="1">
      <c r="A359" s="638"/>
      <c r="B359" s="646"/>
      <c r="C359" s="1989"/>
      <c r="D359" s="1989"/>
      <c r="E359" s="1989"/>
      <c r="F359" s="1989"/>
      <c r="G359" s="1989"/>
      <c r="H359" s="1989"/>
      <c r="I359" s="1989"/>
      <c r="J359" s="1989"/>
      <c r="K359" s="1989"/>
      <c r="L359" s="1989"/>
      <c r="M359" s="1989"/>
      <c r="N359" s="1989"/>
      <c r="O359" s="1989"/>
      <c r="P359" s="1989"/>
      <c r="Q359" s="1989"/>
      <c r="R359" s="1989"/>
      <c r="S359" s="1989"/>
      <c r="T359" s="1989"/>
      <c r="U359" s="1989"/>
      <c r="V359" s="1989"/>
      <c r="W359" s="1989"/>
      <c r="X359" s="1989"/>
      <c r="Y359" s="1989"/>
      <c r="Z359" s="1989"/>
      <c r="AA359" s="1989"/>
      <c r="AB359" s="1989"/>
      <c r="AC359" s="1989"/>
      <c r="AD359" s="1989"/>
      <c r="AE359" s="1989"/>
      <c r="AF359" s="1989"/>
      <c r="AG359" s="1989"/>
      <c r="AH359" s="1989"/>
      <c r="AI359" s="1989"/>
      <c r="AJ359" s="1989"/>
      <c r="AK359" s="638"/>
      <c r="AL359" s="638"/>
      <c r="AM359" s="638"/>
      <c r="AN359" s="632"/>
      <c r="AO359" s="730" t="s">
        <v>470</v>
      </c>
      <c r="AP359" s="731">
        <f>IF(C438="Yes",5,0)</f>
        <v>5</v>
      </c>
    </row>
    <row r="360" spans="1:81" s="585" customFormat="1" ht="68.099999999999994" customHeight="1">
      <c r="A360" s="638"/>
      <c r="B360" s="646"/>
      <c r="C360" s="1989"/>
      <c r="D360" s="1989"/>
      <c r="E360" s="1989"/>
      <c r="F360" s="1989"/>
      <c r="G360" s="1989"/>
      <c r="H360" s="1989"/>
      <c r="I360" s="1989"/>
      <c r="J360" s="1989"/>
      <c r="K360" s="1989"/>
      <c r="L360" s="1989"/>
      <c r="M360" s="1989"/>
      <c r="N360" s="1989"/>
      <c r="O360" s="1989"/>
      <c r="P360" s="1989"/>
      <c r="Q360" s="1989"/>
      <c r="R360" s="1989"/>
      <c r="S360" s="1989"/>
      <c r="T360" s="1989"/>
      <c r="U360" s="1989"/>
      <c r="V360" s="1989"/>
      <c r="W360" s="1989"/>
      <c r="X360" s="1989"/>
      <c r="Y360" s="1989"/>
      <c r="Z360" s="1989"/>
      <c r="AA360" s="1989"/>
      <c r="AB360" s="1989"/>
      <c r="AC360" s="1989"/>
      <c r="AD360" s="1989"/>
      <c r="AE360" s="1989"/>
      <c r="AF360" s="1989"/>
      <c r="AG360" s="1989"/>
      <c r="AH360" s="1989"/>
      <c r="AI360" s="1989"/>
      <c r="AJ360" s="1989"/>
      <c r="AK360" s="638"/>
      <c r="AL360" s="638"/>
      <c r="AM360" s="638"/>
      <c r="AN360" s="632"/>
      <c r="AO360" s="730" t="s">
        <v>655</v>
      </c>
      <c r="AP360" s="736">
        <f>IF(C442="Yes",5,0)</f>
        <v>0</v>
      </c>
    </row>
    <row r="361" spans="1:81" s="585" customFormat="1" ht="12.4" customHeight="1">
      <c r="A361" s="638"/>
      <c r="B361" s="646"/>
      <c r="C361" s="585" t="s">
        <v>1632</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4">
        <f>Application!CS649-U363</f>
        <v>0</v>
      </c>
      <c r="V362" s="2094"/>
      <c r="W362" s="2094"/>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095">
        <f>Application!AG742</f>
        <v>37</v>
      </c>
      <c r="V363" s="2095"/>
      <c r="W363" s="2095"/>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10</v>
      </c>
      <c r="AQ364" s="2008">
        <f>IF(AP364&gt;0,AP364,0)</f>
        <v>10</v>
      </c>
      <c r="AR364" s="2008"/>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3" t="s">
        <v>1636</v>
      </c>
      <c r="G366" s="1993"/>
      <c r="H366" s="1993"/>
      <c r="I366" s="1993"/>
      <c r="J366" s="1993"/>
      <c r="K366" s="1993"/>
      <c r="L366" s="1993"/>
      <c r="M366" s="1993"/>
      <c r="N366" s="1993"/>
      <c r="O366" s="1993"/>
      <c r="P366" s="1993"/>
      <c r="Q366" s="1993"/>
      <c r="R366" s="1993"/>
      <c r="S366" s="1993"/>
      <c r="T366" s="1993"/>
      <c r="U366" s="1993"/>
      <c r="V366" s="1993"/>
      <c r="W366" s="1993"/>
      <c r="X366" s="1993"/>
      <c r="Y366" s="1993"/>
      <c r="Z366" s="1993"/>
      <c r="AA366" s="1993"/>
      <c r="AB366" s="1993"/>
      <c r="AC366" s="1993"/>
      <c r="AD366" s="1993"/>
      <c r="AE366" s="1993"/>
      <c r="AF366" s="1993"/>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4"/>
      <c r="G367" s="1994"/>
      <c r="H367" s="1994"/>
      <c r="I367" s="1994"/>
      <c r="J367" s="1994"/>
      <c r="K367" s="1994"/>
      <c r="L367" s="1994"/>
      <c r="M367" s="1994"/>
      <c r="N367" s="1994"/>
      <c r="O367" s="1994"/>
      <c r="P367" s="1994"/>
      <c r="Q367" s="1994"/>
      <c r="R367" s="1994"/>
      <c r="S367" s="1994"/>
      <c r="T367" s="1994"/>
      <c r="U367" s="1994"/>
      <c r="V367" s="1994"/>
      <c r="W367" s="1994"/>
      <c r="X367" s="1994"/>
      <c r="Y367" s="1994"/>
      <c r="Z367" s="1994"/>
      <c r="AA367" s="1994"/>
      <c r="AB367" s="1994"/>
      <c r="AC367" s="1994"/>
      <c r="AD367" s="1994"/>
      <c r="AE367" s="1994"/>
      <c r="AF367" s="1994"/>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4"/>
      <c r="G368" s="1994"/>
      <c r="H368" s="1994"/>
      <c r="I368" s="1994"/>
      <c r="J368" s="1994"/>
      <c r="K368" s="1994"/>
      <c r="L368" s="1994"/>
      <c r="M368" s="1994"/>
      <c r="N368" s="1994"/>
      <c r="O368" s="1994"/>
      <c r="P368" s="1994"/>
      <c r="Q368" s="1994"/>
      <c r="R368" s="1994"/>
      <c r="S368" s="1994"/>
      <c r="T368" s="1994"/>
      <c r="U368" s="1994"/>
      <c r="V368" s="1994"/>
      <c r="W368" s="1994"/>
      <c r="X368" s="1994"/>
      <c r="Y368" s="1994"/>
      <c r="Z368" s="1994"/>
      <c r="AA368" s="1994"/>
      <c r="AB368" s="1994"/>
      <c r="AC368" s="1994"/>
      <c r="AD368" s="1994"/>
      <c r="AE368" s="1994"/>
      <c r="AF368" s="1994"/>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4"/>
      <c r="G369" s="1994"/>
      <c r="H369" s="1994"/>
      <c r="I369" s="1994"/>
      <c r="J369" s="1994"/>
      <c r="K369" s="1994"/>
      <c r="L369" s="1994"/>
      <c r="M369" s="1994"/>
      <c r="N369" s="1994"/>
      <c r="O369" s="1994"/>
      <c r="P369" s="1994"/>
      <c r="Q369" s="1994"/>
      <c r="R369" s="1994"/>
      <c r="S369" s="1994"/>
      <c r="T369" s="1994"/>
      <c r="U369" s="1994"/>
      <c r="V369" s="1994"/>
      <c r="W369" s="1994"/>
      <c r="X369" s="1994"/>
      <c r="Y369" s="1994"/>
      <c r="Z369" s="1994"/>
      <c r="AA369" s="1994"/>
      <c r="AB369" s="1994"/>
      <c r="AC369" s="1994"/>
      <c r="AD369" s="1994"/>
      <c r="AE369" s="1994"/>
      <c r="AF369" s="1994"/>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0" t="s">
        <v>600</v>
      </c>
      <c r="D370" s="1947"/>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1" t="s">
        <v>1638</v>
      </c>
      <c r="AG370" s="1991"/>
      <c r="AH370" s="1991"/>
      <c r="AI370" s="1991"/>
      <c r="AJ370" s="1991"/>
      <c r="AK370" s="1991"/>
      <c r="AL370" s="1992"/>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3" t="s">
        <v>1639</v>
      </c>
      <c r="G373" s="1993"/>
      <c r="H373" s="1993"/>
      <c r="I373" s="1993"/>
      <c r="J373" s="1993"/>
      <c r="K373" s="1993"/>
      <c r="L373" s="1993"/>
      <c r="M373" s="1993"/>
      <c r="N373" s="1993"/>
      <c r="O373" s="1993"/>
      <c r="P373" s="1993"/>
      <c r="Q373" s="1993"/>
      <c r="R373" s="1993"/>
      <c r="S373" s="1993"/>
      <c r="T373" s="1993"/>
      <c r="U373" s="1993"/>
      <c r="V373" s="1993"/>
      <c r="W373" s="1993"/>
      <c r="X373" s="1993"/>
      <c r="Y373" s="1993"/>
      <c r="Z373" s="1993"/>
      <c r="AA373" s="1993"/>
      <c r="AB373" s="1993"/>
      <c r="AC373" s="1993"/>
      <c r="AD373" s="1993"/>
      <c r="AE373" s="1993"/>
      <c r="AF373" s="1993"/>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4"/>
      <c r="G374" s="1994"/>
      <c r="H374" s="1994"/>
      <c r="I374" s="1994"/>
      <c r="J374" s="1994"/>
      <c r="K374" s="1994"/>
      <c r="L374" s="1994"/>
      <c r="M374" s="1994"/>
      <c r="N374" s="1994"/>
      <c r="O374" s="1994"/>
      <c r="P374" s="1994"/>
      <c r="Q374" s="1994"/>
      <c r="R374" s="1994"/>
      <c r="S374" s="1994"/>
      <c r="T374" s="1994"/>
      <c r="U374" s="1994"/>
      <c r="V374" s="1994"/>
      <c r="W374" s="1994"/>
      <c r="X374" s="1994"/>
      <c r="Y374" s="1994"/>
      <c r="Z374" s="1994"/>
      <c r="AA374" s="1994"/>
      <c r="AB374" s="1994"/>
      <c r="AC374" s="1994"/>
      <c r="AD374" s="1994"/>
      <c r="AE374" s="1994"/>
      <c r="AF374" s="1994"/>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4"/>
      <c r="G375" s="1994"/>
      <c r="H375" s="1994"/>
      <c r="I375" s="1994"/>
      <c r="J375" s="1994"/>
      <c r="K375" s="1994"/>
      <c r="L375" s="1994"/>
      <c r="M375" s="1994"/>
      <c r="N375" s="1994"/>
      <c r="O375" s="1994"/>
      <c r="P375" s="1994"/>
      <c r="Q375" s="1994"/>
      <c r="R375" s="1994"/>
      <c r="S375" s="1994"/>
      <c r="T375" s="1994"/>
      <c r="U375" s="1994"/>
      <c r="V375" s="1994"/>
      <c r="W375" s="1994"/>
      <c r="X375" s="1994"/>
      <c r="Y375" s="1994"/>
      <c r="Z375" s="1994"/>
      <c r="AA375" s="1994"/>
      <c r="AB375" s="1994"/>
      <c r="AC375" s="1994"/>
      <c r="AD375" s="1994"/>
      <c r="AE375" s="1994"/>
      <c r="AF375" s="1994"/>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4"/>
      <c r="G376" s="1994"/>
      <c r="H376" s="1994"/>
      <c r="I376" s="1994"/>
      <c r="J376" s="1994"/>
      <c r="K376" s="1994"/>
      <c r="L376" s="1994"/>
      <c r="M376" s="1994"/>
      <c r="N376" s="1994"/>
      <c r="O376" s="1994"/>
      <c r="P376" s="1994"/>
      <c r="Q376" s="1994"/>
      <c r="R376" s="1994"/>
      <c r="S376" s="1994"/>
      <c r="T376" s="1994"/>
      <c r="U376" s="1994"/>
      <c r="V376" s="1994"/>
      <c r="W376" s="1994"/>
      <c r="X376" s="1994"/>
      <c r="Y376" s="1994"/>
      <c r="Z376" s="1994"/>
      <c r="AA376" s="1994"/>
      <c r="AB376" s="1994"/>
      <c r="AC376" s="1994"/>
      <c r="AD376" s="1994"/>
      <c r="AE376" s="1994"/>
      <c r="AF376" s="1994"/>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4"/>
      <c r="G377" s="1994"/>
      <c r="H377" s="1994"/>
      <c r="I377" s="1994"/>
      <c r="J377" s="1994"/>
      <c r="K377" s="1994"/>
      <c r="L377" s="1994"/>
      <c r="M377" s="1994"/>
      <c r="N377" s="1994"/>
      <c r="O377" s="1994"/>
      <c r="P377" s="1994"/>
      <c r="Q377" s="1994"/>
      <c r="R377" s="1994"/>
      <c r="S377" s="1994"/>
      <c r="T377" s="1994"/>
      <c r="U377" s="1994"/>
      <c r="V377" s="1994"/>
      <c r="W377" s="1994"/>
      <c r="X377" s="1994"/>
      <c r="Y377" s="1994"/>
      <c r="Z377" s="1994"/>
      <c r="AA377" s="1994"/>
      <c r="AB377" s="1994"/>
      <c r="AC377" s="1994"/>
      <c r="AD377" s="1994"/>
      <c r="AE377" s="1994"/>
      <c r="AF377" s="1994"/>
      <c r="AL377" s="767"/>
      <c r="AN377" s="632"/>
      <c r="BS377" s="30"/>
      <c r="BT377" s="30"/>
      <c r="BU377" s="14"/>
      <c r="BV377" s="14"/>
      <c r="BW377" s="14"/>
      <c r="BX377" s="14"/>
      <c r="BY377" s="14"/>
      <c r="BZ377" s="14"/>
      <c r="CA377" s="14"/>
      <c r="CB377" s="14"/>
      <c r="CC377" s="14"/>
    </row>
    <row r="378" spans="1:81" s="585" customFormat="1" ht="12.75" customHeight="1">
      <c r="A378" s="571"/>
      <c r="B378" s="14"/>
      <c r="C378" s="1990" t="s">
        <v>600</v>
      </c>
      <c r="D378" s="1947"/>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1" t="s">
        <v>1638</v>
      </c>
      <c r="AG378" s="1991"/>
      <c r="AH378" s="1991"/>
      <c r="AI378" s="1991"/>
      <c r="AJ378" s="1991"/>
      <c r="AK378" s="1991"/>
      <c r="AL378" s="1992"/>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3" t="s">
        <v>1641</v>
      </c>
      <c r="G381" s="1993"/>
      <c r="H381" s="1993"/>
      <c r="I381" s="1993"/>
      <c r="J381" s="1993"/>
      <c r="K381" s="1993"/>
      <c r="L381" s="1993"/>
      <c r="M381" s="1993"/>
      <c r="N381" s="1993"/>
      <c r="O381" s="1993"/>
      <c r="P381" s="1993"/>
      <c r="Q381" s="1993"/>
      <c r="R381" s="1993"/>
      <c r="S381" s="1993"/>
      <c r="T381" s="1993"/>
      <c r="U381" s="1993"/>
      <c r="V381" s="1993"/>
      <c r="W381" s="1993"/>
      <c r="X381" s="1993"/>
      <c r="Y381" s="1993"/>
      <c r="Z381" s="1993"/>
      <c r="AA381" s="1993"/>
      <c r="AB381" s="1993"/>
      <c r="AC381" s="1993"/>
      <c r="AD381" s="1993"/>
      <c r="AE381" s="1993"/>
      <c r="AF381" s="1993"/>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4"/>
      <c r="G382" s="1994"/>
      <c r="H382" s="1994"/>
      <c r="I382" s="1994"/>
      <c r="J382" s="1994"/>
      <c r="K382" s="1994"/>
      <c r="L382" s="1994"/>
      <c r="M382" s="1994"/>
      <c r="N382" s="1994"/>
      <c r="O382" s="1994"/>
      <c r="P382" s="1994"/>
      <c r="Q382" s="1994"/>
      <c r="R382" s="1994"/>
      <c r="S382" s="1994"/>
      <c r="T382" s="1994"/>
      <c r="U382" s="1994"/>
      <c r="V382" s="1994"/>
      <c r="W382" s="1994"/>
      <c r="X382" s="1994"/>
      <c r="Y382" s="1994"/>
      <c r="Z382" s="1994"/>
      <c r="AA382" s="1994"/>
      <c r="AB382" s="1994"/>
      <c r="AC382" s="1994"/>
      <c r="AD382" s="1994"/>
      <c r="AE382" s="1994"/>
      <c r="AF382" s="1994"/>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4"/>
      <c r="G383" s="1994"/>
      <c r="H383" s="1994"/>
      <c r="I383" s="1994"/>
      <c r="J383" s="1994"/>
      <c r="K383" s="1994"/>
      <c r="L383" s="1994"/>
      <c r="M383" s="1994"/>
      <c r="N383" s="1994"/>
      <c r="O383" s="1994"/>
      <c r="P383" s="1994"/>
      <c r="Q383" s="1994"/>
      <c r="R383" s="1994"/>
      <c r="S383" s="1994"/>
      <c r="T383" s="1994"/>
      <c r="U383" s="1994"/>
      <c r="V383" s="1994"/>
      <c r="W383" s="1994"/>
      <c r="X383" s="1994"/>
      <c r="Y383" s="1994"/>
      <c r="Z383" s="1994"/>
      <c r="AA383" s="1994"/>
      <c r="AB383" s="1994"/>
      <c r="AC383" s="1994"/>
      <c r="AD383" s="1994"/>
      <c r="AE383" s="1994"/>
      <c r="AF383" s="1994"/>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4"/>
      <c r="G384" s="1994"/>
      <c r="H384" s="1994"/>
      <c r="I384" s="1994"/>
      <c r="J384" s="1994"/>
      <c r="K384" s="1994"/>
      <c r="L384" s="1994"/>
      <c r="M384" s="1994"/>
      <c r="N384" s="1994"/>
      <c r="O384" s="1994"/>
      <c r="P384" s="1994"/>
      <c r="Q384" s="1994"/>
      <c r="R384" s="1994"/>
      <c r="S384" s="1994"/>
      <c r="T384" s="1994"/>
      <c r="U384" s="1994"/>
      <c r="V384" s="1994"/>
      <c r="W384" s="1994"/>
      <c r="X384" s="1994"/>
      <c r="Y384" s="1994"/>
      <c r="Z384" s="1994"/>
      <c r="AA384" s="1994"/>
      <c r="AB384" s="1994"/>
      <c r="AC384" s="1994"/>
      <c r="AD384" s="1994"/>
      <c r="AE384" s="1994"/>
      <c r="AF384" s="1994"/>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4"/>
      <c r="G385" s="1994"/>
      <c r="H385" s="1994"/>
      <c r="I385" s="1994"/>
      <c r="J385" s="1994"/>
      <c r="K385" s="1994"/>
      <c r="L385" s="1994"/>
      <c r="M385" s="1994"/>
      <c r="N385" s="1994"/>
      <c r="O385" s="1994"/>
      <c r="P385" s="1994"/>
      <c r="Q385" s="1994"/>
      <c r="R385" s="1994"/>
      <c r="S385" s="1994"/>
      <c r="T385" s="1994"/>
      <c r="U385" s="1994"/>
      <c r="V385" s="1994"/>
      <c r="W385" s="1994"/>
      <c r="X385" s="1994"/>
      <c r="Y385" s="1994"/>
      <c r="Z385" s="1994"/>
      <c r="AA385" s="1994"/>
      <c r="AB385" s="1994"/>
      <c r="AC385" s="1994"/>
      <c r="AD385" s="1994"/>
      <c r="AE385" s="1994"/>
      <c r="AF385" s="1994"/>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0" t="s">
        <v>600</v>
      </c>
      <c r="D386" s="1947"/>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1" t="s">
        <v>1643</v>
      </c>
      <c r="AG386" s="1991"/>
      <c r="AH386" s="1991"/>
      <c r="AI386" s="1991"/>
      <c r="AJ386" s="1991"/>
      <c r="AK386" s="1991"/>
      <c r="AL386" s="1992"/>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0" t="s">
        <v>600</v>
      </c>
      <c r="D388" s="1947"/>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1" t="s">
        <v>1638</v>
      </c>
      <c r="AG388" s="1991"/>
      <c r="AH388" s="1991"/>
      <c r="AI388" s="1991"/>
      <c r="AJ388" s="1991"/>
      <c r="AK388" s="1991"/>
      <c r="AL388" s="1992"/>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3" t="s">
        <v>1647</v>
      </c>
      <c r="G392" s="1993"/>
      <c r="H392" s="1993"/>
      <c r="I392" s="1993"/>
      <c r="J392" s="1993"/>
      <c r="K392" s="1993"/>
      <c r="L392" s="1993"/>
      <c r="M392" s="1993"/>
      <c r="N392" s="1993"/>
      <c r="O392" s="1993"/>
      <c r="P392" s="1993"/>
      <c r="Q392" s="1993"/>
      <c r="R392" s="1993"/>
      <c r="S392" s="1993"/>
      <c r="T392" s="1993"/>
      <c r="U392" s="1993"/>
      <c r="V392" s="1993"/>
      <c r="W392" s="1993"/>
      <c r="X392" s="1993"/>
      <c r="Y392" s="1993"/>
      <c r="Z392" s="1993"/>
      <c r="AA392" s="1993"/>
      <c r="AB392" s="1993"/>
      <c r="AC392" s="1993"/>
      <c r="AD392" s="1993"/>
      <c r="AE392" s="1993"/>
      <c r="AF392" s="1993"/>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4"/>
      <c r="G393" s="1994"/>
      <c r="H393" s="1994"/>
      <c r="I393" s="1994"/>
      <c r="J393" s="1994"/>
      <c r="K393" s="1994"/>
      <c r="L393" s="1994"/>
      <c r="M393" s="1994"/>
      <c r="N393" s="1994"/>
      <c r="O393" s="1994"/>
      <c r="P393" s="1994"/>
      <c r="Q393" s="1994"/>
      <c r="R393" s="1994"/>
      <c r="S393" s="1994"/>
      <c r="T393" s="1994"/>
      <c r="U393" s="1994"/>
      <c r="V393" s="1994"/>
      <c r="W393" s="1994"/>
      <c r="X393" s="1994"/>
      <c r="Y393" s="1994"/>
      <c r="Z393" s="1994"/>
      <c r="AA393" s="1994"/>
      <c r="AB393" s="1994"/>
      <c r="AC393" s="1994"/>
      <c r="AD393" s="1994"/>
      <c r="AE393" s="1994"/>
      <c r="AF393" s="1994"/>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94"/>
      <c r="G394" s="1994"/>
      <c r="H394" s="1994"/>
      <c r="I394" s="1994"/>
      <c r="J394" s="1994"/>
      <c r="K394" s="1994"/>
      <c r="L394" s="1994"/>
      <c r="M394" s="1994"/>
      <c r="N394" s="1994"/>
      <c r="O394" s="1994"/>
      <c r="P394" s="1994"/>
      <c r="Q394" s="1994"/>
      <c r="R394" s="1994"/>
      <c r="S394" s="1994"/>
      <c r="T394" s="1994"/>
      <c r="U394" s="1994"/>
      <c r="V394" s="1994"/>
      <c r="W394" s="1994"/>
      <c r="X394" s="1994"/>
      <c r="Y394" s="1994"/>
      <c r="Z394" s="1994"/>
      <c r="AA394" s="1994"/>
      <c r="AB394" s="1994"/>
      <c r="AC394" s="1994"/>
      <c r="AD394" s="1994"/>
      <c r="AE394" s="1994"/>
      <c r="AF394" s="1994"/>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4"/>
      <c r="G395" s="1994"/>
      <c r="H395" s="1994"/>
      <c r="I395" s="1994"/>
      <c r="J395" s="1994"/>
      <c r="K395" s="1994"/>
      <c r="L395" s="1994"/>
      <c r="M395" s="1994"/>
      <c r="N395" s="1994"/>
      <c r="O395" s="1994"/>
      <c r="P395" s="1994"/>
      <c r="Q395" s="1994"/>
      <c r="R395" s="1994"/>
      <c r="S395" s="1994"/>
      <c r="T395" s="1994"/>
      <c r="U395" s="1994"/>
      <c r="V395" s="1994"/>
      <c r="W395" s="1994"/>
      <c r="X395" s="1994"/>
      <c r="Y395" s="1994"/>
      <c r="Z395" s="1994"/>
      <c r="AA395" s="1994"/>
      <c r="AB395" s="1994"/>
      <c r="AC395" s="1994"/>
      <c r="AD395" s="1994"/>
      <c r="AE395" s="1994"/>
      <c r="AF395" s="1994"/>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0" t="s">
        <v>600</v>
      </c>
      <c r="D396" s="1947"/>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1" t="s">
        <v>1638</v>
      </c>
      <c r="AG396" s="1991"/>
      <c r="AH396" s="1991"/>
      <c r="AI396" s="1991"/>
      <c r="AJ396" s="1991"/>
      <c r="AK396" s="1991"/>
      <c r="AL396" s="1992"/>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0" t="s">
        <v>600</v>
      </c>
      <c r="D398" s="1947"/>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1" t="s">
        <v>1650</v>
      </c>
      <c r="AG398" s="1991"/>
      <c r="AH398" s="1991"/>
      <c r="AI398" s="1991"/>
      <c r="AJ398" s="1991"/>
      <c r="AK398" s="1991"/>
      <c r="AL398" s="1992"/>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0" t="s">
        <v>600</v>
      </c>
      <c r="D401" s="1947"/>
      <c r="E401" s="750" t="s">
        <v>1651</v>
      </c>
      <c r="F401" s="1993" t="s">
        <v>1652</v>
      </c>
      <c r="G401" s="1993"/>
      <c r="H401" s="1993"/>
      <c r="I401" s="1993"/>
      <c r="J401" s="1993"/>
      <c r="K401" s="1993"/>
      <c r="L401" s="1993"/>
      <c r="M401" s="1993"/>
      <c r="N401" s="1993"/>
      <c r="O401" s="1993"/>
      <c r="P401" s="1993"/>
      <c r="Q401" s="1993"/>
      <c r="R401" s="1993"/>
      <c r="S401" s="1993"/>
      <c r="T401" s="1993"/>
      <c r="U401" s="1993"/>
      <c r="V401" s="1993"/>
      <c r="W401" s="1993"/>
      <c r="X401" s="1993"/>
      <c r="Y401" s="1993"/>
      <c r="Z401" s="1993"/>
      <c r="AA401" s="1993"/>
      <c r="AB401" s="1993"/>
      <c r="AC401" s="1993"/>
      <c r="AD401" s="1993"/>
      <c r="AE401" s="1993"/>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4"/>
      <c r="G402" s="1994"/>
      <c r="H402" s="1994"/>
      <c r="I402" s="1994"/>
      <c r="J402" s="1994"/>
      <c r="K402" s="1994"/>
      <c r="L402" s="1994"/>
      <c r="M402" s="1994"/>
      <c r="N402" s="1994"/>
      <c r="O402" s="1994"/>
      <c r="P402" s="1994"/>
      <c r="Q402" s="1994"/>
      <c r="R402" s="1994"/>
      <c r="S402" s="1994"/>
      <c r="T402" s="1994"/>
      <c r="U402" s="1994"/>
      <c r="V402" s="1994"/>
      <c r="W402" s="1994"/>
      <c r="X402" s="1994"/>
      <c r="Y402" s="1994"/>
      <c r="Z402" s="1994"/>
      <c r="AA402" s="1994"/>
      <c r="AB402" s="1994"/>
      <c r="AC402" s="1994"/>
      <c r="AD402" s="1994"/>
      <c r="AE402" s="1994"/>
      <c r="AF402" s="1917" t="s">
        <v>1638</v>
      </c>
      <c r="AG402" s="1917"/>
      <c r="AH402" s="1917"/>
      <c r="AI402" s="1917"/>
      <c r="AJ402" s="1917"/>
      <c r="AK402" s="1917"/>
      <c r="AL402" s="1995"/>
      <c r="AM402" s="605"/>
      <c r="AN402" s="632"/>
      <c r="BS402" s="605"/>
      <c r="BT402" s="605"/>
      <c r="BY402" s="605"/>
      <c r="BZ402" s="605"/>
      <c r="CA402" s="605"/>
      <c r="CB402" s="605"/>
      <c r="CC402" s="605"/>
    </row>
    <row r="403" spans="1:81" s="585" customFormat="1" ht="12.75" customHeight="1">
      <c r="A403" s="571"/>
      <c r="B403" s="14"/>
      <c r="C403" s="766"/>
      <c r="D403" s="14"/>
      <c r="E403" s="726"/>
      <c r="F403" s="1994"/>
      <c r="G403" s="1994"/>
      <c r="H403" s="1994"/>
      <c r="I403" s="1994"/>
      <c r="J403" s="1994"/>
      <c r="K403" s="1994"/>
      <c r="L403" s="1994"/>
      <c r="M403" s="1994"/>
      <c r="N403" s="1994"/>
      <c r="O403" s="1994"/>
      <c r="P403" s="1994"/>
      <c r="Q403" s="1994"/>
      <c r="R403" s="1994"/>
      <c r="S403" s="1994"/>
      <c r="T403" s="1994"/>
      <c r="U403" s="1994"/>
      <c r="V403" s="1994"/>
      <c r="W403" s="1994"/>
      <c r="X403" s="1994"/>
      <c r="Y403" s="1994"/>
      <c r="Z403" s="1994"/>
      <c r="AA403" s="1994"/>
      <c r="AB403" s="1994"/>
      <c r="AC403" s="1994"/>
      <c r="AD403" s="1994"/>
      <c r="AE403" s="1994"/>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3" t="s">
        <v>1654</v>
      </c>
      <c r="G406" s="1993"/>
      <c r="H406" s="1993"/>
      <c r="I406" s="1993"/>
      <c r="J406" s="1993"/>
      <c r="K406" s="1993"/>
      <c r="L406" s="1993"/>
      <c r="M406" s="1993"/>
      <c r="N406" s="1993"/>
      <c r="O406" s="1993"/>
      <c r="P406" s="1993"/>
      <c r="Q406" s="1993"/>
      <c r="R406" s="1993"/>
      <c r="S406" s="1993"/>
      <c r="T406" s="1993"/>
      <c r="U406" s="1993"/>
      <c r="V406" s="1993"/>
      <c r="W406" s="1993"/>
      <c r="X406" s="1993"/>
      <c r="Y406" s="1993"/>
      <c r="Z406" s="1993"/>
      <c r="AA406" s="1993"/>
      <c r="AB406" s="1993"/>
      <c r="AC406" s="1993"/>
      <c r="AD406" s="1993"/>
      <c r="AE406" s="1993"/>
      <c r="AF406" s="782"/>
      <c r="AG406" s="782"/>
      <c r="AH406" s="782"/>
      <c r="AI406" s="782"/>
      <c r="AJ406" s="782"/>
      <c r="AK406" s="782"/>
      <c r="AL406" s="783"/>
      <c r="AM406" s="605"/>
    </row>
    <row r="407" spans="1:81">
      <c r="A407" s="571"/>
      <c r="C407" s="766"/>
      <c r="E407" s="726"/>
      <c r="F407" s="1994"/>
      <c r="G407" s="1994"/>
      <c r="H407" s="1994"/>
      <c r="I407" s="1994"/>
      <c r="J407" s="1994"/>
      <c r="K407" s="1994"/>
      <c r="L407" s="1994"/>
      <c r="M407" s="1994"/>
      <c r="N407" s="1994"/>
      <c r="O407" s="1994"/>
      <c r="P407" s="1994"/>
      <c r="Q407" s="1994"/>
      <c r="R407" s="1994"/>
      <c r="S407" s="1994"/>
      <c r="T407" s="1994"/>
      <c r="U407" s="1994"/>
      <c r="V407" s="1994"/>
      <c r="W407" s="1994"/>
      <c r="X407" s="1994"/>
      <c r="Y407" s="1994"/>
      <c r="Z407" s="1994"/>
      <c r="AA407" s="1994"/>
      <c r="AB407" s="1994"/>
      <c r="AC407" s="1994"/>
      <c r="AD407" s="1994"/>
      <c r="AE407" s="1994"/>
      <c r="AF407" s="574"/>
      <c r="AG407" s="571"/>
      <c r="AH407" s="585"/>
      <c r="AI407" s="585"/>
      <c r="AJ407" s="585"/>
      <c r="AK407" s="585"/>
      <c r="AL407" s="767"/>
      <c r="AM407" s="605"/>
    </row>
    <row r="408" spans="1:81" s="585" customFormat="1" ht="12.75" customHeight="1">
      <c r="A408" s="571"/>
      <c r="B408" s="14"/>
      <c r="C408" s="766"/>
      <c r="D408" s="14"/>
      <c r="E408" s="726"/>
      <c r="F408" s="1994"/>
      <c r="G408" s="1994"/>
      <c r="H408" s="1994"/>
      <c r="I408" s="1994"/>
      <c r="J408" s="1994"/>
      <c r="K408" s="1994"/>
      <c r="L408" s="1994"/>
      <c r="M408" s="1994"/>
      <c r="N408" s="1994"/>
      <c r="O408" s="1994"/>
      <c r="P408" s="1994"/>
      <c r="Q408" s="1994"/>
      <c r="R408" s="1994"/>
      <c r="S408" s="1994"/>
      <c r="T408" s="1994"/>
      <c r="U408" s="1994"/>
      <c r="V408" s="1994"/>
      <c r="W408" s="1994"/>
      <c r="X408" s="1994"/>
      <c r="Y408" s="1994"/>
      <c r="Z408" s="1994"/>
      <c r="AA408" s="1994"/>
      <c r="AB408" s="1994"/>
      <c r="AC408" s="1994"/>
      <c r="AD408" s="1994"/>
      <c r="AE408" s="1994"/>
      <c r="AL408" s="767"/>
      <c r="AM408" s="605"/>
      <c r="AN408" s="632"/>
    </row>
    <row r="409" spans="1:81" s="585" customFormat="1" ht="12.75" customHeight="1">
      <c r="A409" s="571"/>
      <c r="B409" s="14"/>
      <c r="C409" s="774"/>
      <c r="F409" s="1994"/>
      <c r="G409" s="1994"/>
      <c r="H409" s="1994"/>
      <c r="I409" s="1994"/>
      <c r="J409" s="1994"/>
      <c r="K409" s="1994"/>
      <c r="L409" s="1994"/>
      <c r="M409" s="1994"/>
      <c r="N409" s="1994"/>
      <c r="O409" s="1994"/>
      <c r="P409" s="1994"/>
      <c r="Q409" s="1994"/>
      <c r="R409" s="1994"/>
      <c r="S409" s="1994"/>
      <c r="T409" s="1994"/>
      <c r="U409" s="1994"/>
      <c r="V409" s="1994"/>
      <c r="W409" s="1994"/>
      <c r="X409" s="1994"/>
      <c r="Y409" s="1994"/>
      <c r="Z409" s="1994"/>
      <c r="AA409" s="1994"/>
      <c r="AB409" s="1994"/>
      <c r="AC409" s="1994"/>
      <c r="AD409" s="1994"/>
      <c r="AE409" s="1994"/>
      <c r="AL409" s="767"/>
      <c r="AM409" s="605"/>
      <c r="AN409" s="632"/>
    </row>
    <row r="410" spans="1:81" s="585" customFormat="1" ht="12.75" customHeight="1">
      <c r="A410" s="571"/>
      <c r="B410" s="14"/>
      <c r="C410" s="1990" t="s">
        <v>600</v>
      </c>
      <c r="D410" s="1947"/>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17" t="s">
        <v>1638</v>
      </c>
      <c r="AG410" s="1917"/>
      <c r="AH410" s="1917"/>
      <c r="AI410" s="1917"/>
      <c r="AJ410" s="1917"/>
      <c r="AK410" s="1917"/>
      <c r="AL410" s="1995"/>
      <c r="AM410" s="605"/>
      <c r="AN410" s="632"/>
    </row>
    <row r="411" spans="1:81" s="585" customFormat="1" ht="12.75" customHeight="1">
      <c r="A411" s="571"/>
      <c r="B411" s="14"/>
      <c r="C411" s="774"/>
      <c r="AL411" s="767"/>
      <c r="AM411" s="605"/>
      <c r="AN411" s="632"/>
    </row>
    <row r="412" spans="1:81" s="585" customFormat="1" ht="12.75" customHeight="1">
      <c r="A412" s="571"/>
      <c r="B412" s="14"/>
      <c r="C412" s="1990" t="s">
        <v>600</v>
      </c>
      <c r="D412" s="1947"/>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17" t="s">
        <v>1650</v>
      </c>
      <c r="AG412" s="1917"/>
      <c r="AH412" s="1917"/>
      <c r="AI412" s="1917"/>
      <c r="AJ412" s="1917"/>
      <c r="AK412" s="1917"/>
      <c r="AL412" s="1995"/>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3" t="s">
        <v>1659</v>
      </c>
      <c r="G416" s="1993"/>
      <c r="H416" s="1993"/>
      <c r="I416" s="1993"/>
      <c r="J416" s="1993"/>
      <c r="K416" s="1993"/>
      <c r="L416" s="1993"/>
      <c r="M416" s="1993"/>
      <c r="N416" s="1993"/>
      <c r="O416" s="1993"/>
      <c r="P416" s="1993"/>
      <c r="Q416" s="1993"/>
      <c r="R416" s="1993"/>
      <c r="S416" s="1993"/>
      <c r="T416" s="1993"/>
      <c r="U416" s="1993"/>
      <c r="V416" s="1993"/>
      <c r="W416" s="1993"/>
      <c r="X416" s="1993"/>
      <c r="Y416" s="1993"/>
      <c r="Z416" s="1993"/>
      <c r="AA416" s="1993"/>
      <c r="AB416" s="1993"/>
      <c r="AC416" s="1993"/>
      <c r="AD416" s="1993"/>
      <c r="AE416" s="1993"/>
      <c r="AF416" s="749"/>
      <c r="AG416" s="749"/>
      <c r="AH416" s="749"/>
      <c r="AI416" s="749"/>
      <c r="AJ416" s="749"/>
      <c r="AK416" s="749"/>
      <c r="AL416" s="780"/>
      <c r="AM416" s="605"/>
      <c r="AN416" s="632"/>
    </row>
    <row r="417" spans="1:60" s="585" customFormat="1" ht="12.75" customHeight="1">
      <c r="A417" s="571"/>
      <c r="B417" s="14"/>
      <c r="C417" s="766"/>
      <c r="D417" s="14"/>
      <c r="E417" s="726"/>
      <c r="F417" s="1994"/>
      <c r="G417" s="1994"/>
      <c r="H417" s="1994"/>
      <c r="I417" s="1994"/>
      <c r="J417" s="1994"/>
      <c r="K417" s="1994"/>
      <c r="L417" s="1994"/>
      <c r="M417" s="1994"/>
      <c r="N417" s="1994"/>
      <c r="O417" s="1994"/>
      <c r="P417" s="1994"/>
      <c r="Q417" s="1994"/>
      <c r="R417" s="1994"/>
      <c r="S417" s="1994"/>
      <c r="T417" s="1994"/>
      <c r="U417" s="1994"/>
      <c r="V417" s="1994"/>
      <c r="W417" s="1994"/>
      <c r="X417" s="1994"/>
      <c r="Y417" s="1994"/>
      <c r="Z417" s="1994"/>
      <c r="AA417" s="1994"/>
      <c r="AB417" s="1994"/>
      <c r="AC417" s="1994"/>
      <c r="AD417" s="1994"/>
      <c r="AE417" s="1994"/>
      <c r="AF417" s="574"/>
      <c r="AG417" s="571"/>
      <c r="AL417" s="767"/>
      <c r="AM417" s="605"/>
      <c r="AN417" s="632"/>
    </row>
    <row r="418" spans="1:60" s="585" customFormat="1" ht="12.4" customHeight="1">
      <c r="A418" s="571"/>
      <c r="B418" s="14"/>
      <c r="C418" s="766"/>
      <c r="D418" s="14"/>
      <c r="E418" s="726"/>
      <c r="F418" s="1994"/>
      <c r="G418" s="1994"/>
      <c r="H418" s="1994"/>
      <c r="I418" s="1994"/>
      <c r="J418" s="1994"/>
      <c r="K418" s="1994"/>
      <c r="L418" s="1994"/>
      <c r="M418" s="1994"/>
      <c r="N418" s="1994"/>
      <c r="O418" s="1994"/>
      <c r="P418" s="1994"/>
      <c r="Q418" s="1994"/>
      <c r="R418" s="1994"/>
      <c r="S418" s="1994"/>
      <c r="T418" s="1994"/>
      <c r="U418" s="1994"/>
      <c r="V418" s="1994"/>
      <c r="W418" s="1994"/>
      <c r="X418" s="1994"/>
      <c r="Y418" s="1994"/>
      <c r="Z418" s="1994"/>
      <c r="AA418" s="1994"/>
      <c r="AB418" s="1994"/>
      <c r="AC418" s="1994"/>
      <c r="AD418" s="1994"/>
      <c r="AE418" s="1994"/>
      <c r="AL418" s="767"/>
      <c r="AM418" s="605"/>
      <c r="AN418" s="632"/>
    </row>
    <row r="419" spans="1:60" s="585" customFormat="1" ht="12.75" customHeight="1">
      <c r="A419" s="571"/>
      <c r="B419" s="14"/>
      <c r="C419" s="1990" t="s">
        <v>600</v>
      </c>
      <c r="D419" s="1947"/>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17" t="s">
        <v>1638</v>
      </c>
      <c r="AG419" s="1917"/>
      <c r="AH419" s="1917"/>
      <c r="AI419" s="1917"/>
      <c r="AJ419" s="1917"/>
      <c r="AK419" s="1917"/>
      <c r="AL419" s="1995"/>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5" customHeight="1">
      <c r="A422" s="571"/>
      <c r="C422" s="781"/>
      <c r="D422" s="782"/>
      <c r="E422" s="750" t="s">
        <v>1661</v>
      </c>
      <c r="F422" s="1993" t="s">
        <v>1662</v>
      </c>
      <c r="G422" s="1993"/>
      <c r="H422" s="1993"/>
      <c r="I422" s="1993"/>
      <c r="J422" s="1993"/>
      <c r="K422" s="1993"/>
      <c r="L422" s="1993"/>
      <c r="M422" s="1993"/>
      <c r="N422" s="1993"/>
      <c r="O422" s="1993"/>
      <c r="P422" s="1993"/>
      <c r="Q422" s="1993"/>
      <c r="R422" s="1993"/>
      <c r="S422" s="1993"/>
      <c r="T422" s="1993"/>
      <c r="U422" s="1993"/>
      <c r="V422" s="1993"/>
      <c r="W422" s="1993"/>
      <c r="X422" s="1993"/>
      <c r="Y422" s="1993"/>
      <c r="Z422" s="1993"/>
      <c r="AA422" s="1993"/>
      <c r="AB422" s="1993"/>
      <c r="AC422" s="1993"/>
      <c r="AD422" s="1993"/>
      <c r="AE422" s="1993"/>
      <c r="AF422" s="782"/>
      <c r="AG422" s="782"/>
      <c r="AH422" s="782"/>
      <c r="AI422" s="782"/>
      <c r="AJ422" s="782"/>
      <c r="AK422" s="782"/>
      <c r="AL422" s="783"/>
      <c r="AM422" s="605"/>
      <c r="AO422" s="585"/>
      <c r="AP422" s="585"/>
      <c r="BD422" s="14"/>
      <c r="BE422" s="14"/>
      <c r="BF422" s="14"/>
      <c r="BG422" s="14"/>
      <c r="BH422" s="14"/>
    </row>
    <row r="423" spans="1:60">
      <c r="A423" s="571"/>
      <c r="C423" s="766"/>
      <c r="E423" s="726"/>
      <c r="F423" s="1994"/>
      <c r="G423" s="1994"/>
      <c r="H423" s="1994"/>
      <c r="I423" s="1994"/>
      <c r="J423" s="1994"/>
      <c r="K423" s="1994"/>
      <c r="L423" s="1994"/>
      <c r="M423" s="1994"/>
      <c r="N423" s="1994"/>
      <c r="O423" s="1994"/>
      <c r="P423" s="1994"/>
      <c r="Q423" s="1994"/>
      <c r="R423" s="1994"/>
      <c r="S423" s="1994"/>
      <c r="T423" s="1994"/>
      <c r="U423" s="1994"/>
      <c r="V423" s="1994"/>
      <c r="W423" s="1994"/>
      <c r="X423" s="1994"/>
      <c r="Y423" s="1994"/>
      <c r="Z423" s="1994"/>
      <c r="AA423" s="1994"/>
      <c r="AB423" s="1994"/>
      <c r="AC423" s="1994"/>
      <c r="AD423" s="1994"/>
      <c r="AE423" s="1994"/>
      <c r="AF423" s="629"/>
      <c r="AG423" s="629"/>
      <c r="AH423" s="629"/>
      <c r="AI423" s="629"/>
      <c r="AJ423" s="629"/>
      <c r="AK423" s="629"/>
      <c r="AL423" s="786"/>
      <c r="AM423" s="605"/>
      <c r="AO423" s="585"/>
      <c r="AP423" s="585"/>
    </row>
    <row r="424" spans="1:60" s="585" customFormat="1" ht="12.75" customHeight="1">
      <c r="A424" s="571"/>
      <c r="B424" s="14"/>
      <c r="C424" s="766"/>
      <c r="D424" s="14"/>
      <c r="E424" s="726"/>
      <c r="F424" s="1994"/>
      <c r="G424" s="1994"/>
      <c r="H424" s="1994"/>
      <c r="I424" s="1994"/>
      <c r="J424" s="1994"/>
      <c r="K424" s="1994"/>
      <c r="L424" s="1994"/>
      <c r="M424" s="1994"/>
      <c r="N424" s="1994"/>
      <c r="O424" s="1994"/>
      <c r="P424" s="1994"/>
      <c r="Q424" s="1994"/>
      <c r="R424" s="1994"/>
      <c r="S424" s="1994"/>
      <c r="T424" s="1994"/>
      <c r="U424" s="1994"/>
      <c r="V424" s="1994"/>
      <c r="W424" s="1994"/>
      <c r="X424" s="1994"/>
      <c r="Y424" s="1994"/>
      <c r="Z424" s="1994"/>
      <c r="AA424" s="1994"/>
      <c r="AB424" s="1994"/>
      <c r="AC424" s="1994"/>
      <c r="AD424" s="1994"/>
      <c r="AE424" s="1994"/>
      <c r="AF424" s="629"/>
      <c r="AG424" s="629"/>
      <c r="AH424" s="629"/>
      <c r="AI424" s="629"/>
      <c r="AJ424" s="629"/>
      <c r="AK424" s="629"/>
      <c r="AL424" s="786"/>
      <c r="AM424" s="605"/>
      <c r="AN424" s="632"/>
    </row>
    <row r="425" spans="1:60" s="585" customFormat="1" ht="12.75" customHeight="1">
      <c r="A425" s="571"/>
      <c r="B425" s="14"/>
      <c r="C425" s="787"/>
      <c r="D425" s="765"/>
      <c r="E425" s="754"/>
      <c r="F425" s="1994"/>
      <c r="G425" s="1994"/>
      <c r="H425" s="1994"/>
      <c r="I425" s="1994"/>
      <c r="J425" s="1994"/>
      <c r="K425" s="1994"/>
      <c r="L425" s="1994"/>
      <c r="M425" s="1994"/>
      <c r="N425" s="1994"/>
      <c r="O425" s="1994"/>
      <c r="P425" s="1994"/>
      <c r="Q425" s="1994"/>
      <c r="R425" s="1994"/>
      <c r="S425" s="1994"/>
      <c r="T425" s="1994"/>
      <c r="U425" s="1994"/>
      <c r="V425" s="1994"/>
      <c r="W425" s="1994"/>
      <c r="X425" s="1994"/>
      <c r="Y425" s="1994"/>
      <c r="Z425" s="1994"/>
      <c r="AA425" s="1994"/>
      <c r="AB425" s="1994"/>
      <c r="AC425" s="1994"/>
      <c r="AD425" s="1994"/>
      <c r="AE425" s="1994"/>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4"/>
      <c r="G426" s="1994"/>
      <c r="H426" s="1994"/>
      <c r="I426" s="1994"/>
      <c r="J426" s="1994"/>
      <c r="K426" s="1994"/>
      <c r="L426" s="1994"/>
      <c r="M426" s="1994"/>
      <c r="N426" s="1994"/>
      <c r="O426" s="1994"/>
      <c r="P426" s="1994"/>
      <c r="Q426" s="1994"/>
      <c r="R426" s="1994"/>
      <c r="S426" s="1994"/>
      <c r="T426" s="1994"/>
      <c r="U426" s="1994"/>
      <c r="V426" s="1994"/>
      <c r="W426" s="1994"/>
      <c r="X426" s="1994"/>
      <c r="Y426" s="1994"/>
      <c r="Z426" s="1994"/>
      <c r="AA426" s="1994"/>
      <c r="AB426" s="1994"/>
      <c r="AC426" s="1994"/>
      <c r="AD426" s="1994"/>
      <c r="AE426" s="1994"/>
      <c r="AF426" s="629"/>
      <c r="AG426" s="629"/>
      <c r="AH426" s="629"/>
      <c r="AI426" s="629"/>
      <c r="AJ426" s="629"/>
      <c r="AK426" s="629"/>
      <c r="AL426" s="786"/>
      <c r="AM426" s="605"/>
      <c r="AN426" s="632"/>
    </row>
    <row r="427" spans="1:60" s="585" customFormat="1" ht="12.75" customHeight="1">
      <c r="A427" s="571"/>
      <c r="B427" s="14"/>
      <c r="C427" s="787"/>
      <c r="D427" s="765"/>
      <c r="E427" s="754"/>
      <c r="F427" s="1994"/>
      <c r="G427" s="1994"/>
      <c r="H427" s="1994"/>
      <c r="I427" s="1994"/>
      <c r="J427" s="1994"/>
      <c r="K427" s="1994"/>
      <c r="L427" s="1994"/>
      <c r="M427" s="1994"/>
      <c r="N427" s="1994"/>
      <c r="O427" s="1994"/>
      <c r="P427" s="1994"/>
      <c r="Q427" s="1994"/>
      <c r="R427" s="1994"/>
      <c r="S427" s="1994"/>
      <c r="T427" s="1994"/>
      <c r="U427" s="1994"/>
      <c r="V427" s="1994"/>
      <c r="W427" s="1994"/>
      <c r="X427" s="1994"/>
      <c r="Y427" s="1994"/>
      <c r="Z427" s="1994"/>
      <c r="AA427" s="1994"/>
      <c r="AB427" s="1994"/>
      <c r="AC427" s="1994"/>
      <c r="AD427" s="1994"/>
      <c r="AE427" s="1994"/>
      <c r="AF427" s="629"/>
      <c r="AG427" s="629"/>
      <c r="AH427" s="629"/>
      <c r="AI427" s="629"/>
      <c r="AJ427" s="629"/>
      <c r="AK427" s="629"/>
      <c r="AL427" s="786"/>
      <c r="AM427" s="605"/>
      <c r="AN427" s="632"/>
    </row>
    <row r="428" spans="1:60" s="585" customFormat="1" ht="12.75" customHeight="1">
      <c r="A428" s="571"/>
      <c r="B428" s="14"/>
      <c r="C428" s="787"/>
      <c r="D428" s="765"/>
      <c r="E428" s="754"/>
      <c r="F428" s="1994"/>
      <c r="G428" s="1994"/>
      <c r="H428" s="1994"/>
      <c r="I428" s="1994"/>
      <c r="J428" s="1994"/>
      <c r="K428" s="1994"/>
      <c r="L428" s="1994"/>
      <c r="M428" s="1994"/>
      <c r="N428" s="1994"/>
      <c r="O428" s="1994"/>
      <c r="P428" s="1994"/>
      <c r="Q428" s="1994"/>
      <c r="R428" s="1994"/>
      <c r="S428" s="1994"/>
      <c r="T428" s="1994"/>
      <c r="U428" s="1994"/>
      <c r="V428" s="1994"/>
      <c r="W428" s="1994"/>
      <c r="X428" s="1994"/>
      <c r="Y428" s="1994"/>
      <c r="Z428" s="1994"/>
      <c r="AA428" s="1994"/>
      <c r="AB428" s="1994"/>
      <c r="AC428" s="1994"/>
      <c r="AD428" s="1994"/>
      <c r="AE428" s="1994"/>
      <c r="AF428" s="629"/>
      <c r="AG428" s="629"/>
      <c r="AH428" s="629"/>
      <c r="AI428" s="629"/>
      <c r="AJ428" s="629"/>
      <c r="AK428" s="629"/>
      <c r="AL428" s="786"/>
      <c r="AM428" s="605"/>
      <c r="AN428" s="632"/>
    </row>
    <row r="429" spans="1:60" s="585" customFormat="1" ht="12.75" customHeight="1">
      <c r="A429" s="571"/>
      <c r="B429" s="14"/>
      <c r="C429" s="787"/>
      <c r="D429" s="765"/>
      <c r="E429" s="754"/>
      <c r="F429" s="1994"/>
      <c r="G429" s="1994"/>
      <c r="H429" s="1994"/>
      <c r="I429" s="1994"/>
      <c r="J429" s="1994"/>
      <c r="K429" s="1994"/>
      <c r="L429" s="1994"/>
      <c r="M429" s="1994"/>
      <c r="N429" s="1994"/>
      <c r="O429" s="1994"/>
      <c r="P429" s="1994"/>
      <c r="Q429" s="1994"/>
      <c r="R429" s="1994"/>
      <c r="S429" s="1994"/>
      <c r="T429" s="1994"/>
      <c r="U429" s="1994"/>
      <c r="V429" s="1994"/>
      <c r="W429" s="1994"/>
      <c r="X429" s="1994"/>
      <c r="Y429" s="1994"/>
      <c r="Z429" s="1994"/>
      <c r="AA429" s="1994"/>
      <c r="AB429" s="1994"/>
      <c r="AC429" s="1994"/>
      <c r="AD429" s="1994"/>
      <c r="AE429" s="1994"/>
      <c r="AF429" s="629"/>
      <c r="AG429" s="629"/>
      <c r="AH429" s="629"/>
      <c r="AI429" s="629"/>
      <c r="AJ429" s="629"/>
      <c r="AK429" s="629"/>
      <c r="AL429" s="786"/>
      <c r="AM429" s="605"/>
      <c r="AN429" s="632"/>
    </row>
    <row r="430" spans="1:60" s="585" customFormat="1" ht="17.25" customHeight="1">
      <c r="A430" s="571"/>
      <c r="B430" s="14"/>
      <c r="C430" s="787"/>
      <c r="D430" s="765"/>
      <c r="E430" s="754"/>
      <c r="F430" s="1994"/>
      <c r="G430" s="1994"/>
      <c r="H430" s="1994"/>
      <c r="I430" s="1994"/>
      <c r="J430" s="1994"/>
      <c r="K430" s="1994"/>
      <c r="L430" s="1994"/>
      <c r="M430" s="1994"/>
      <c r="N430" s="1994"/>
      <c r="O430" s="1994"/>
      <c r="P430" s="1994"/>
      <c r="Q430" s="1994"/>
      <c r="R430" s="1994"/>
      <c r="S430" s="1994"/>
      <c r="T430" s="1994"/>
      <c r="U430" s="1994"/>
      <c r="V430" s="1994"/>
      <c r="W430" s="1994"/>
      <c r="X430" s="1994"/>
      <c r="Y430" s="1994"/>
      <c r="Z430" s="1994"/>
      <c r="AA430" s="1994"/>
      <c r="AB430" s="1994"/>
      <c r="AC430" s="1994"/>
      <c r="AD430" s="1994"/>
      <c r="AE430" s="1994"/>
      <c r="AL430" s="767"/>
      <c r="AM430" s="605"/>
      <c r="AN430" s="632"/>
    </row>
    <row r="431" spans="1:60" s="585" customFormat="1" ht="12.75" customHeight="1">
      <c r="A431" s="571"/>
      <c r="B431" s="14"/>
      <c r="C431" s="1990" t="s">
        <v>554</v>
      </c>
      <c r="D431" s="1947"/>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17" t="s">
        <v>1638</v>
      </c>
      <c r="AG431" s="1917"/>
      <c r="AH431" s="1917"/>
      <c r="AI431" s="1917"/>
      <c r="AJ431" s="1917"/>
      <c r="AK431" s="1917"/>
      <c r="AL431" s="1995"/>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3" t="s">
        <v>1665</v>
      </c>
      <c r="G434" s="1993"/>
      <c r="H434" s="1993"/>
      <c r="I434" s="1993"/>
      <c r="J434" s="1993"/>
      <c r="K434" s="1993"/>
      <c r="L434" s="1993"/>
      <c r="M434" s="1993"/>
      <c r="N434" s="1993"/>
      <c r="O434" s="1993"/>
      <c r="P434" s="1993"/>
      <c r="Q434" s="1993"/>
      <c r="R434" s="1993"/>
      <c r="S434" s="1993"/>
      <c r="T434" s="1993"/>
      <c r="U434" s="1993"/>
      <c r="V434" s="1993"/>
      <c r="W434" s="1993"/>
      <c r="X434" s="1993"/>
      <c r="Y434" s="1993"/>
      <c r="Z434" s="1993"/>
      <c r="AA434" s="1993"/>
      <c r="AB434" s="1993"/>
      <c r="AC434" s="1993"/>
      <c r="AD434" s="1993"/>
      <c r="AE434" s="1993"/>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4"/>
      <c r="G435" s="1994"/>
      <c r="H435" s="1994"/>
      <c r="I435" s="1994"/>
      <c r="J435" s="1994"/>
      <c r="K435" s="1994"/>
      <c r="L435" s="1994"/>
      <c r="M435" s="1994"/>
      <c r="N435" s="1994"/>
      <c r="O435" s="1994"/>
      <c r="P435" s="1994"/>
      <c r="Q435" s="1994"/>
      <c r="R435" s="1994"/>
      <c r="S435" s="1994"/>
      <c r="T435" s="1994"/>
      <c r="U435" s="1994"/>
      <c r="V435" s="1994"/>
      <c r="W435" s="1994"/>
      <c r="X435" s="1994"/>
      <c r="Y435" s="1994"/>
      <c r="Z435" s="1994"/>
      <c r="AA435" s="1994"/>
      <c r="AB435" s="1994"/>
      <c r="AC435" s="1994"/>
      <c r="AD435" s="1994"/>
      <c r="AE435" s="1994"/>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4"/>
      <c r="G436" s="1994"/>
      <c r="H436" s="1994"/>
      <c r="I436" s="1994"/>
      <c r="J436" s="1994"/>
      <c r="K436" s="1994"/>
      <c r="L436" s="1994"/>
      <c r="M436" s="1994"/>
      <c r="N436" s="1994"/>
      <c r="O436" s="1994"/>
      <c r="P436" s="1994"/>
      <c r="Q436" s="1994"/>
      <c r="R436" s="1994"/>
      <c r="S436" s="1994"/>
      <c r="T436" s="1994"/>
      <c r="U436" s="1994"/>
      <c r="V436" s="1994"/>
      <c r="W436" s="1994"/>
      <c r="X436" s="1994"/>
      <c r="Y436" s="1994"/>
      <c r="Z436" s="1994"/>
      <c r="AA436" s="1994"/>
      <c r="AB436" s="1994"/>
      <c r="AC436" s="1994"/>
      <c r="AD436" s="1994"/>
      <c r="AE436" s="1994"/>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4"/>
      <c r="G437" s="1994"/>
      <c r="H437" s="1994"/>
      <c r="I437" s="1994"/>
      <c r="J437" s="1994"/>
      <c r="K437" s="1994"/>
      <c r="L437" s="1994"/>
      <c r="M437" s="1994"/>
      <c r="N437" s="1994"/>
      <c r="O437" s="1994"/>
      <c r="P437" s="1994"/>
      <c r="Q437" s="1994"/>
      <c r="R437" s="1994"/>
      <c r="S437" s="1994"/>
      <c r="T437" s="1994"/>
      <c r="U437" s="1994"/>
      <c r="V437" s="1994"/>
      <c r="W437" s="1994"/>
      <c r="X437" s="1994"/>
      <c r="Y437" s="1994"/>
      <c r="Z437" s="1994"/>
      <c r="AA437" s="1994"/>
      <c r="AB437" s="1994"/>
      <c r="AC437" s="1994"/>
      <c r="AD437" s="1994"/>
      <c r="AE437" s="1994"/>
      <c r="AL437" s="767"/>
      <c r="AM437" s="605"/>
      <c r="AN437" s="632"/>
      <c r="AO437" s="585" t="s">
        <v>1668</v>
      </c>
      <c r="AP437" s="585">
        <v>5</v>
      </c>
      <c r="AQ437" s="571"/>
    </row>
    <row r="438" spans="1:54" s="585" customFormat="1" ht="12.75" customHeight="1">
      <c r="A438" s="571"/>
      <c r="B438" s="14"/>
      <c r="C438" s="1990" t="s">
        <v>554</v>
      </c>
      <c r="D438" s="1947"/>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17" t="s">
        <v>1638</v>
      </c>
      <c r="AG438" s="1917"/>
      <c r="AH438" s="1917"/>
      <c r="AI438" s="1917"/>
      <c r="AJ438" s="1917"/>
      <c r="AK438" s="1917"/>
      <c r="AL438" s="1995"/>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1996" t="s">
        <v>600</v>
      </c>
      <c r="D442" s="1997"/>
      <c r="E442" s="750" t="s">
        <v>1674</v>
      </c>
      <c r="F442" s="1993" t="s">
        <v>1675</v>
      </c>
      <c r="G442" s="1993"/>
      <c r="H442" s="1993"/>
      <c r="I442" s="1993"/>
      <c r="J442" s="1993"/>
      <c r="K442" s="1993"/>
      <c r="L442" s="1993"/>
      <c r="M442" s="1993"/>
      <c r="N442" s="1993"/>
      <c r="O442" s="1993"/>
      <c r="P442" s="1993"/>
      <c r="Q442" s="1993"/>
      <c r="R442" s="1993"/>
      <c r="S442" s="1993"/>
      <c r="T442" s="1993"/>
      <c r="U442" s="1993"/>
      <c r="V442" s="1993"/>
      <c r="W442" s="1993"/>
      <c r="X442" s="1993"/>
      <c r="Y442" s="1993"/>
      <c r="Z442" s="1993"/>
      <c r="AA442" s="1993"/>
      <c r="AB442" s="1993"/>
      <c r="AC442" s="1993"/>
      <c r="AD442" s="1993"/>
      <c r="AE442" s="1993"/>
      <c r="AF442" s="2010" t="s">
        <v>1638</v>
      </c>
      <c r="AG442" s="2010"/>
      <c r="AH442" s="2010"/>
      <c r="AI442" s="2010"/>
      <c r="AJ442" s="2010"/>
      <c r="AK442" s="2010"/>
      <c r="AL442" s="2011"/>
      <c r="AM442" s="605"/>
      <c r="AN442" s="789"/>
      <c r="AO442" s="585" t="s">
        <v>1676</v>
      </c>
      <c r="AP442" s="585">
        <v>1</v>
      </c>
    </row>
    <row r="443" spans="1:54" s="585" customFormat="1" ht="12.75" customHeight="1">
      <c r="A443" s="571"/>
      <c r="B443" s="14"/>
      <c r="C443" s="787"/>
      <c r="D443" s="765"/>
      <c r="E443" s="754"/>
      <c r="F443" s="1994"/>
      <c r="G443" s="1994"/>
      <c r="H443" s="1994"/>
      <c r="I443" s="1994"/>
      <c r="J443" s="1994"/>
      <c r="K443" s="1994"/>
      <c r="L443" s="1994"/>
      <c r="M443" s="1994"/>
      <c r="N443" s="1994"/>
      <c r="O443" s="1994"/>
      <c r="P443" s="1994"/>
      <c r="Q443" s="1994"/>
      <c r="R443" s="1994"/>
      <c r="S443" s="1994"/>
      <c r="T443" s="1994"/>
      <c r="U443" s="1994"/>
      <c r="V443" s="1994"/>
      <c r="W443" s="1994"/>
      <c r="X443" s="1994"/>
      <c r="Y443" s="1994"/>
      <c r="Z443" s="1994"/>
      <c r="AA443" s="1994"/>
      <c r="AB443" s="1994"/>
      <c r="AC443" s="1994"/>
      <c r="AD443" s="1994"/>
      <c r="AE443" s="1994"/>
      <c r="AF443" s="626"/>
      <c r="AG443" s="626"/>
      <c r="AH443" s="626"/>
      <c r="AI443" s="626"/>
      <c r="AJ443" s="626"/>
      <c r="AK443" s="626"/>
      <c r="AL443" s="755"/>
      <c r="AM443" s="605"/>
      <c r="AN443" s="790"/>
      <c r="AS443" s="791"/>
      <c r="AW443" s="791" t="s">
        <v>1677</v>
      </c>
      <c r="BA443" s="791" t="s">
        <v>1678</v>
      </c>
    </row>
    <row r="444" spans="1:54" s="585" customFormat="1" ht="17.649999999999999" customHeight="1">
      <c r="A444" s="571"/>
      <c r="B444" s="14"/>
      <c r="C444" s="792"/>
      <c r="D444" s="758"/>
      <c r="E444" s="759"/>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0" t="s">
        <v>600</v>
      </c>
      <c r="D446" s="1947"/>
      <c r="E446" s="750" t="s">
        <v>1680</v>
      </c>
      <c r="F446" s="1993" t="s">
        <v>1681</v>
      </c>
      <c r="G446" s="1993"/>
      <c r="H446" s="1993"/>
      <c r="I446" s="1993"/>
      <c r="J446" s="1993"/>
      <c r="K446" s="1993"/>
      <c r="L446" s="1993"/>
      <c r="M446" s="1993"/>
      <c r="N446" s="1993"/>
      <c r="O446" s="1993"/>
      <c r="P446" s="1993"/>
      <c r="Q446" s="1993"/>
      <c r="R446" s="1993"/>
      <c r="S446" s="1993"/>
      <c r="T446" s="1993"/>
      <c r="U446" s="1993"/>
      <c r="V446" s="1993"/>
      <c r="W446" s="1993"/>
      <c r="X446" s="1993"/>
      <c r="Y446" s="1993"/>
      <c r="Z446" s="1993"/>
      <c r="AA446" s="1993"/>
      <c r="AB446" s="1993"/>
      <c r="AC446" s="1993"/>
      <c r="AD446" s="1993"/>
      <c r="AE446" s="1993"/>
      <c r="AF446" s="2010" t="s">
        <v>1638</v>
      </c>
      <c r="AG446" s="2010"/>
      <c r="AH446" s="2010"/>
      <c r="AI446" s="2010"/>
      <c r="AJ446" s="2010"/>
      <c r="AK446" s="2010"/>
      <c r="AL446" s="2011"/>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4"/>
      <c r="G447" s="1994"/>
      <c r="H447" s="1994"/>
      <c r="I447" s="1994"/>
      <c r="J447" s="1994"/>
      <c r="K447" s="1994"/>
      <c r="L447" s="1994"/>
      <c r="M447" s="1994"/>
      <c r="N447" s="1994"/>
      <c r="O447" s="1994"/>
      <c r="P447" s="1994"/>
      <c r="Q447" s="1994"/>
      <c r="R447" s="1994"/>
      <c r="S447" s="1994"/>
      <c r="T447" s="1994"/>
      <c r="U447" s="1994"/>
      <c r="V447" s="1994"/>
      <c r="W447" s="1994"/>
      <c r="X447" s="1994"/>
      <c r="Y447" s="1994"/>
      <c r="Z447" s="1994"/>
      <c r="AA447" s="1994"/>
      <c r="AB447" s="1994"/>
      <c r="AC447" s="1994"/>
      <c r="AD447" s="1994"/>
      <c r="AE447" s="1994"/>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4"/>
      <c r="G448" s="1994"/>
      <c r="H448" s="1994"/>
      <c r="I448" s="1994"/>
      <c r="J448" s="1994"/>
      <c r="K448" s="1994"/>
      <c r="L448" s="1994"/>
      <c r="M448" s="1994"/>
      <c r="N448" s="1994"/>
      <c r="O448" s="1994"/>
      <c r="P448" s="1994"/>
      <c r="Q448" s="1994"/>
      <c r="R448" s="1994"/>
      <c r="S448" s="1994"/>
      <c r="T448" s="1994"/>
      <c r="U448" s="1994"/>
      <c r="V448" s="1994"/>
      <c r="W448" s="1994"/>
      <c r="X448" s="1994"/>
      <c r="Y448" s="1994"/>
      <c r="Z448" s="1994"/>
      <c r="AA448" s="1994"/>
      <c r="AB448" s="1994"/>
      <c r="AC448" s="1994"/>
      <c r="AD448" s="1994"/>
      <c r="AE448" s="1994"/>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3" t="s">
        <v>1684</v>
      </c>
      <c r="G451" s="1993"/>
      <c r="H451" s="1993"/>
      <c r="I451" s="1993"/>
      <c r="J451" s="1993"/>
      <c r="K451" s="1993"/>
      <c r="L451" s="1993"/>
      <c r="M451" s="1993"/>
      <c r="N451" s="1993"/>
      <c r="O451" s="1993"/>
      <c r="P451" s="1993"/>
      <c r="Q451" s="1993"/>
      <c r="R451" s="1993"/>
      <c r="S451" s="1993"/>
      <c r="T451" s="1993"/>
      <c r="U451" s="1993"/>
      <c r="V451" s="1993"/>
      <c r="W451" s="1993"/>
      <c r="X451" s="1993"/>
      <c r="Y451" s="1993"/>
      <c r="Z451" s="1993"/>
      <c r="AA451" s="1993"/>
      <c r="AB451" s="1993"/>
      <c r="AC451" s="1993"/>
      <c r="AD451" s="1993"/>
      <c r="AE451" s="1993"/>
      <c r="AF451" s="1993"/>
      <c r="AG451" s="779"/>
      <c r="AH451" s="749"/>
      <c r="AI451" s="749"/>
      <c r="AJ451" s="749"/>
      <c r="AK451" s="749"/>
      <c r="AL451" s="780"/>
      <c r="AM451" s="605"/>
      <c r="AN451" s="632"/>
    </row>
    <row r="452" spans="1:49" s="585" customFormat="1" ht="12.75" customHeight="1">
      <c r="A452" s="571"/>
      <c r="B452" s="14"/>
      <c r="C452" s="766"/>
      <c r="D452" s="14"/>
      <c r="E452" s="726"/>
      <c r="F452" s="1994"/>
      <c r="G452" s="1994"/>
      <c r="H452" s="1994"/>
      <c r="I452" s="1994"/>
      <c r="J452" s="1994"/>
      <c r="K452" s="1994"/>
      <c r="L452" s="1994"/>
      <c r="M452" s="1994"/>
      <c r="N452" s="1994"/>
      <c r="O452" s="1994"/>
      <c r="P452" s="1994"/>
      <c r="Q452" s="1994"/>
      <c r="R452" s="1994"/>
      <c r="S452" s="1994"/>
      <c r="T452" s="1994"/>
      <c r="U452" s="1994"/>
      <c r="V452" s="1994"/>
      <c r="W452" s="1994"/>
      <c r="X452" s="1994"/>
      <c r="Y452" s="1994"/>
      <c r="Z452" s="1994"/>
      <c r="AA452" s="1994"/>
      <c r="AB452" s="1994"/>
      <c r="AC452" s="1994"/>
      <c r="AD452" s="1994"/>
      <c r="AE452" s="1994"/>
      <c r="AF452" s="1994"/>
      <c r="AL452" s="767"/>
      <c r="AM452" s="605"/>
      <c r="AN452" s="632"/>
    </row>
    <row r="453" spans="1:49" s="585" customFormat="1" ht="12.75" customHeight="1">
      <c r="A453" s="571"/>
      <c r="B453" s="14"/>
      <c r="C453" s="774"/>
      <c r="F453" s="1994"/>
      <c r="G453" s="1994"/>
      <c r="H453" s="1994"/>
      <c r="I453" s="1994"/>
      <c r="J453" s="1994"/>
      <c r="K453" s="1994"/>
      <c r="L453" s="1994"/>
      <c r="M453" s="1994"/>
      <c r="N453" s="1994"/>
      <c r="O453" s="1994"/>
      <c r="P453" s="1994"/>
      <c r="Q453" s="1994"/>
      <c r="R453" s="1994"/>
      <c r="S453" s="1994"/>
      <c r="T453" s="1994"/>
      <c r="U453" s="1994"/>
      <c r="V453" s="1994"/>
      <c r="W453" s="1994"/>
      <c r="X453" s="1994"/>
      <c r="Y453" s="1994"/>
      <c r="Z453" s="1994"/>
      <c r="AA453" s="1994"/>
      <c r="AB453" s="1994"/>
      <c r="AC453" s="1994"/>
      <c r="AD453" s="1994"/>
      <c r="AE453" s="1994"/>
      <c r="AF453" s="1994"/>
      <c r="AL453" s="767"/>
      <c r="AM453" s="605"/>
      <c r="AN453" s="632"/>
    </row>
    <row r="454" spans="1:49" s="585" customFormat="1" ht="12.75" customHeight="1">
      <c r="A454" s="571"/>
      <c r="B454" s="14"/>
      <c r="C454" s="774"/>
      <c r="F454" s="1994"/>
      <c r="G454" s="1994"/>
      <c r="H454" s="1994"/>
      <c r="I454" s="1994"/>
      <c r="J454" s="1994"/>
      <c r="K454" s="1994"/>
      <c r="L454" s="1994"/>
      <c r="M454" s="1994"/>
      <c r="N454" s="1994"/>
      <c r="O454" s="1994"/>
      <c r="P454" s="1994"/>
      <c r="Q454" s="1994"/>
      <c r="R454" s="1994"/>
      <c r="S454" s="1994"/>
      <c r="T454" s="1994"/>
      <c r="U454" s="1994"/>
      <c r="V454" s="1994"/>
      <c r="W454" s="1994"/>
      <c r="X454" s="1994"/>
      <c r="Y454" s="1994"/>
      <c r="Z454" s="1994"/>
      <c r="AA454" s="1994"/>
      <c r="AB454" s="1994"/>
      <c r="AC454" s="1994"/>
      <c r="AD454" s="1994"/>
      <c r="AE454" s="1994"/>
      <c r="AF454" s="1994"/>
      <c r="AL454" s="767"/>
      <c r="AM454" s="605"/>
      <c r="AN454" s="632"/>
    </row>
    <row r="455" spans="1:49" s="585" customFormat="1" ht="12.75" customHeight="1">
      <c r="A455" s="571"/>
      <c r="B455" s="14"/>
      <c r="C455" s="1990" t="s">
        <v>600</v>
      </c>
      <c r="D455" s="1947"/>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1" t="s">
        <v>1638</v>
      </c>
      <c r="AG455" s="1991"/>
      <c r="AH455" s="1991"/>
      <c r="AI455" s="1991"/>
      <c r="AJ455" s="1991"/>
      <c r="AK455" s="1991"/>
      <c r="AL455" s="1992"/>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0">
        <f>IF(Application!D213="N/A",AS347,AS349)</f>
        <v>10</v>
      </c>
      <c r="AL458" s="1951"/>
      <c r="AM458" s="1952"/>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1" t="s">
        <v>1688</v>
      </c>
      <c r="AF461" s="1991"/>
      <c r="AG461" s="1991"/>
      <c r="AH461" s="1991"/>
      <c r="AI461" s="1991"/>
      <c r="AJ461" s="1991"/>
      <c r="AK461" s="1991"/>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2" t="s">
        <v>600</v>
      </c>
      <c r="D467" s="2013"/>
      <c r="E467" s="797" t="s">
        <v>516</v>
      </c>
      <c r="F467" s="2014" t="s">
        <v>1694</v>
      </c>
      <c r="G467" s="2014"/>
      <c r="H467" s="2014"/>
      <c r="I467" s="2014"/>
      <c r="J467" s="2014"/>
      <c r="K467" s="2014"/>
      <c r="L467" s="2014"/>
      <c r="M467" s="2014"/>
      <c r="N467" s="2014"/>
      <c r="O467" s="2014"/>
      <c r="P467" s="2014"/>
      <c r="Q467" s="2014"/>
      <c r="R467" s="2014"/>
      <c r="S467" s="2014"/>
      <c r="T467" s="2014"/>
      <c r="U467" s="2014"/>
      <c r="V467" s="2014"/>
      <c r="W467" s="2014"/>
      <c r="X467" s="2014"/>
      <c r="Y467" s="2014"/>
      <c r="Z467" s="2014"/>
      <c r="AA467" s="2014"/>
      <c r="AB467" s="2014"/>
      <c r="AC467" s="2014"/>
      <c r="AD467" s="2014"/>
      <c r="AE467" s="2014"/>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15"/>
      <c r="G468" s="2015"/>
      <c r="H468" s="2015"/>
      <c r="I468" s="2015"/>
      <c r="J468" s="2015"/>
      <c r="K468" s="2015"/>
      <c r="L468" s="2015"/>
      <c r="M468" s="2015"/>
      <c r="N468" s="2015"/>
      <c r="O468" s="2015"/>
      <c r="P468" s="2015"/>
      <c r="Q468" s="2015"/>
      <c r="R468" s="2015"/>
      <c r="S468" s="2015"/>
      <c r="T468" s="2015"/>
      <c r="U468" s="2015"/>
      <c r="V468" s="2015"/>
      <c r="W468" s="2015"/>
      <c r="X468" s="2015"/>
      <c r="Y468" s="2015"/>
      <c r="Z468" s="2015"/>
      <c r="AA468" s="2015"/>
      <c r="AB468" s="2015"/>
      <c r="AC468" s="2015"/>
      <c r="AD468" s="2015"/>
      <c r="AE468" s="2015"/>
      <c r="AG468" s="586"/>
      <c r="AH468" s="586"/>
      <c r="AI468" s="586"/>
      <c r="AJ468" s="586"/>
      <c r="AK468" s="767"/>
      <c r="AN468" s="632"/>
      <c r="AO468" s="585" t="s">
        <v>1676</v>
      </c>
      <c r="AP468" s="585">
        <v>1</v>
      </c>
    </row>
    <row r="469" spans="1:50" s="585" customFormat="1" ht="12.75" hidden="1" customHeight="1">
      <c r="C469" s="800"/>
      <c r="D469" s="762"/>
      <c r="E469" s="801"/>
      <c r="F469" s="2016" t="s">
        <v>600</v>
      </c>
      <c r="G469" s="2016"/>
      <c r="H469" s="2016"/>
      <c r="I469" s="2016"/>
      <c r="J469" s="2016"/>
      <c r="K469" s="2016"/>
      <c r="L469" s="2016"/>
      <c r="M469" s="2016"/>
      <c r="N469" s="2016"/>
      <c r="O469" s="2016"/>
      <c r="P469" s="2016"/>
      <c r="Q469" s="2016"/>
      <c r="R469" s="2016"/>
      <c r="S469" s="2016"/>
      <c r="T469" s="2016"/>
      <c r="U469" s="2016"/>
      <c r="V469" s="2016"/>
      <c r="W469" s="2016"/>
      <c r="X469" s="2016"/>
      <c r="Y469" s="2016"/>
      <c r="Z469" s="2016"/>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17" t="s">
        <v>554</v>
      </c>
      <c r="D471" s="2018"/>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4" t="s">
        <v>600</v>
      </c>
      <c r="W474" s="2024"/>
      <c r="X474" s="2024"/>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4" t="s">
        <v>600</v>
      </c>
      <c r="W476" s="2024"/>
      <c r="X476" s="2024"/>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4" t="s">
        <v>600</v>
      </c>
      <c r="W481" s="2024"/>
      <c r="X481" s="2024"/>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3"/>
      <c r="E484" s="2023"/>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4" t="s">
        <v>600</v>
      </c>
      <c r="W485" s="2024"/>
      <c r="X485" s="2024"/>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4" t="s">
        <v>600</v>
      </c>
      <c r="W487" s="2024"/>
      <c r="X487" s="2024"/>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2" t="s">
        <v>600</v>
      </c>
      <c r="D490" s="2013"/>
      <c r="E490" s="797" t="s">
        <v>516</v>
      </c>
      <c r="F490" s="2014" t="s">
        <v>1694</v>
      </c>
      <c r="G490" s="2014"/>
      <c r="H490" s="2014"/>
      <c r="I490" s="2014"/>
      <c r="J490" s="2014"/>
      <c r="K490" s="2014"/>
      <c r="L490" s="2014"/>
      <c r="M490" s="2014"/>
      <c r="N490" s="2014"/>
      <c r="O490" s="2014"/>
      <c r="P490" s="2014"/>
      <c r="Q490" s="2014"/>
      <c r="R490" s="2014"/>
      <c r="S490" s="2014"/>
      <c r="T490" s="2014"/>
      <c r="U490" s="2014"/>
      <c r="V490" s="2014"/>
      <c r="W490" s="2014"/>
      <c r="X490" s="2014"/>
      <c r="Y490" s="2014"/>
      <c r="Z490" s="2014"/>
      <c r="AA490" s="2014"/>
      <c r="AB490" s="2014"/>
      <c r="AC490" s="2014"/>
      <c r="AD490" s="2014"/>
      <c r="AE490" s="2014"/>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5"/>
      <c r="G491" s="2015"/>
      <c r="H491" s="2015"/>
      <c r="I491" s="2015"/>
      <c r="J491" s="2015"/>
      <c r="K491" s="2015"/>
      <c r="L491" s="2015"/>
      <c r="M491" s="2015"/>
      <c r="N491" s="2015"/>
      <c r="O491" s="2015"/>
      <c r="P491" s="2015"/>
      <c r="Q491" s="2015"/>
      <c r="R491" s="2015"/>
      <c r="S491" s="2015"/>
      <c r="T491" s="2015"/>
      <c r="U491" s="2015"/>
      <c r="V491" s="2015"/>
      <c r="W491" s="2015"/>
      <c r="X491" s="2015"/>
      <c r="Y491" s="2015"/>
      <c r="Z491" s="2015"/>
      <c r="AA491" s="2015"/>
      <c r="AB491" s="2015"/>
      <c r="AC491" s="2015"/>
      <c r="AD491" s="2015"/>
      <c r="AE491" s="2015"/>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19" t="s">
        <v>600</v>
      </c>
      <c r="G492" s="2019"/>
      <c r="H492" s="2019"/>
      <c r="I492" s="2019"/>
      <c r="J492" s="2019"/>
      <c r="K492" s="2019"/>
      <c r="L492" s="2019"/>
      <c r="M492" s="2019"/>
      <c r="N492" s="2019"/>
      <c r="O492" s="2019"/>
      <c r="P492" s="2019"/>
      <c r="Q492" s="2019"/>
      <c r="R492" s="2019"/>
      <c r="S492" s="2019"/>
      <c r="T492" s="2019"/>
      <c r="U492" s="2019"/>
      <c r="V492" s="2019"/>
      <c r="W492" s="2019"/>
      <c r="X492" s="2019"/>
      <c r="Y492" s="2019"/>
      <c r="Z492" s="2019"/>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2" t="s">
        <v>600</v>
      </c>
      <c r="D494" s="2013"/>
      <c r="E494" s="797" t="s">
        <v>769</v>
      </c>
      <c r="F494" s="2020" t="s">
        <v>1716</v>
      </c>
      <c r="G494" s="2020"/>
      <c r="H494" s="2020"/>
      <c r="I494" s="2020"/>
      <c r="J494" s="2020"/>
      <c r="K494" s="2020"/>
      <c r="L494" s="2020"/>
      <c r="M494" s="2020"/>
      <c r="N494" s="2020"/>
      <c r="O494" s="2020"/>
      <c r="P494" s="2020"/>
      <c r="Q494" s="2020"/>
      <c r="R494" s="2020"/>
      <c r="S494" s="2020"/>
      <c r="T494" s="2020"/>
      <c r="U494" s="2020"/>
      <c r="V494" s="2020"/>
      <c r="W494" s="2020"/>
      <c r="X494" s="2020"/>
      <c r="Y494" s="2020"/>
      <c r="Z494" s="2020"/>
      <c r="AA494" s="2020"/>
      <c r="AB494" s="2020"/>
      <c r="AC494" s="2020"/>
      <c r="AD494" s="2020"/>
      <c r="AE494" s="202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1"/>
      <c r="G495" s="2021"/>
      <c r="H495" s="2021"/>
      <c r="I495" s="2021"/>
      <c r="J495" s="2021"/>
      <c r="K495" s="2021"/>
      <c r="L495" s="2021"/>
      <c r="M495" s="2021"/>
      <c r="N495" s="2021"/>
      <c r="O495" s="2021"/>
      <c r="P495" s="2021"/>
      <c r="Q495" s="2021"/>
      <c r="R495" s="2021"/>
      <c r="S495" s="2021"/>
      <c r="T495" s="2021"/>
      <c r="U495" s="2021"/>
      <c r="V495" s="2021"/>
      <c r="W495" s="2021"/>
      <c r="X495" s="2021"/>
      <c r="Y495" s="2021"/>
      <c r="Z495" s="2021"/>
      <c r="AA495" s="2021"/>
      <c r="AB495" s="2021"/>
      <c r="AC495" s="2021"/>
      <c r="AD495" s="2021"/>
      <c r="AE495" s="202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2" t="s">
        <v>600</v>
      </c>
      <c r="G497" s="2022"/>
      <c r="H497" s="202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2" t="s">
        <v>600</v>
      </c>
      <c r="D499" s="2013"/>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5"/>
      <c r="D501" s="2023"/>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2036" t="s">
        <v>600</v>
      </c>
      <c r="H502" s="2036"/>
      <c r="I502" s="2036"/>
      <c r="J502" s="2036"/>
      <c r="K502" s="2036"/>
      <c r="L502" s="2036"/>
      <c r="M502" s="2036"/>
      <c r="N502" s="2036"/>
      <c r="O502" s="2036"/>
      <c r="P502" s="2036"/>
      <c r="Q502" s="2036"/>
      <c r="R502" s="2036"/>
      <c r="S502" s="2036"/>
      <c r="T502" s="2036"/>
      <c r="U502" s="2036"/>
      <c r="V502" s="2036"/>
      <c r="W502" s="2036"/>
      <c r="X502" s="2036"/>
      <c r="Y502" s="2036"/>
      <c r="Z502" s="2036"/>
      <c r="AA502" s="2036"/>
      <c r="AB502" s="2036"/>
      <c r="AC502" s="2036"/>
      <c r="AD502" s="2036"/>
      <c r="AE502" s="2036"/>
      <c r="AF502" s="2036"/>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37" t="s">
        <v>600</v>
      </c>
      <c r="D504" s="2038"/>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37" t="s">
        <v>600</v>
      </c>
      <c r="D508" s="2038"/>
      <c r="F508" s="831" t="s">
        <v>1724</v>
      </c>
      <c r="G508" s="1994" t="s">
        <v>1725</v>
      </c>
      <c r="H508" s="1994"/>
      <c r="I508" s="1994"/>
      <c r="J508" s="1994"/>
      <c r="K508" s="1994"/>
      <c r="L508" s="1994"/>
      <c r="M508" s="1994"/>
      <c r="N508" s="1994"/>
      <c r="O508" s="1994"/>
      <c r="P508" s="1994"/>
      <c r="Q508" s="1994"/>
      <c r="R508" s="1994"/>
      <c r="S508" s="1994"/>
      <c r="T508" s="1994"/>
      <c r="U508" s="1994"/>
      <c r="V508" s="1994"/>
      <c r="W508" s="1994"/>
      <c r="X508" s="1994"/>
      <c r="Y508" s="1994"/>
      <c r="Z508" s="1994"/>
      <c r="AA508" s="1994"/>
      <c r="AB508" s="1994"/>
      <c r="AC508" s="1994"/>
      <c r="AD508" s="1994"/>
      <c r="AE508" s="1994"/>
      <c r="AF508" s="1994"/>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5" t="s">
        <v>600</v>
      </c>
      <c r="D512" s="2026"/>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27" t="s">
        <v>600</v>
      </c>
      <c r="G513" s="2027"/>
      <c r="H513" s="2027"/>
      <c r="I513" s="2027"/>
      <c r="J513" s="2027"/>
      <c r="K513" s="2027"/>
      <c r="L513" s="2027"/>
      <c r="M513" s="2027"/>
      <c r="N513" s="2027"/>
      <c r="O513" s="2027"/>
      <c r="P513" s="2027"/>
      <c r="Q513" s="2027"/>
      <c r="R513" s="2027"/>
      <c r="S513" s="2027"/>
      <c r="T513" s="2027"/>
      <c r="U513" s="2027"/>
      <c r="V513" s="2027"/>
      <c r="W513" s="2027"/>
      <c r="X513" s="2027"/>
      <c r="Y513" s="2027"/>
      <c r="Z513" s="2027"/>
      <c r="AA513" s="2027"/>
      <c r="AB513" s="2027"/>
      <c r="AC513" s="2027"/>
      <c r="AD513" s="2027"/>
      <c r="AE513" s="2027"/>
      <c r="AF513" s="2027"/>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28"/>
      <c r="G514" s="2028"/>
      <c r="H514" s="2028"/>
      <c r="I514" s="2028"/>
      <c r="J514" s="2028"/>
      <c r="K514" s="2028"/>
      <c r="L514" s="2028"/>
      <c r="M514" s="2028"/>
      <c r="N514" s="2028"/>
      <c r="O514" s="2028"/>
      <c r="P514" s="2028"/>
      <c r="Q514" s="2028"/>
      <c r="R514" s="2028"/>
      <c r="S514" s="2028"/>
      <c r="T514" s="2028"/>
      <c r="U514" s="2028"/>
      <c r="V514" s="2028"/>
      <c r="W514" s="2028"/>
      <c r="X514" s="2028"/>
      <c r="Y514" s="2028"/>
      <c r="Z514" s="2028"/>
      <c r="AA514" s="2028"/>
      <c r="AB514" s="2028"/>
      <c r="AC514" s="2028"/>
      <c r="AD514" s="2028"/>
      <c r="AE514" s="2028"/>
      <c r="AF514" s="2028"/>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2424</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2425</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0">
        <f>SUM(AG468:AG513)</f>
        <v>0</v>
      </c>
      <c r="AL524" s="1951"/>
      <c r="AM524" s="1952"/>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5" t="s">
        <v>1737</v>
      </c>
      <c r="AF527" s="1885"/>
      <c r="AG527" s="1885"/>
      <c r="AH527" s="1885"/>
      <c r="AI527" s="1885"/>
      <c r="AJ527" s="1885"/>
      <c r="AK527" s="1885"/>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47" t="s">
        <v>554</v>
      </c>
      <c r="D530" s="1947"/>
      <c r="E530" s="586"/>
      <c r="F530" s="2029" t="s">
        <v>1738</v>
      </c>
      <c r="G530" s="2030"/>
      <c r="H530" s="2030"/>
      <c r="I530" s="2030"/>
      <c r="J530" s="2030"/>
      <c r="K530" s="2030"/>
      <c r="L530" s="2030"/>
      <c r="M530" s="2030"/>
      <c r="N530" s="2030"/>
      <c r="O530" s="2030"/>
      <c r="P530" s="2030"/>
      <c r="Q530" s="2030"/>
      <c r="R530" s="2030"/>
      <c r="S530" s="2030"/>
      <c r="T530" s="2030"/>
      <c r="U530" s="2030"/>
      <c r="V530" s="2030"/>
      <c r="W530" s="2030"/>
      <c r="X530" s="2030"/>
      <c r="Y530" s="2030"/>
      <c r="Z530" s="2030"/>
      <c r="AA530" s="2030"/>
      <c r="AB530" s="2030"/>
      <c r="AC530" s="2030"/>
      <c r="AD530" s="2030"/>
      <c r="AE530" s="2030"/>
      <c r="AF530" s="2030"/>
      <c r="AG530" s="2030"/>
      <c r="AH530" s="2030"/>
      <c r="AI530" s="2030"/>
      <c r="AJ530" s="2030"/>
      <c r="AK530" s="2030"/>
      <c r="AL530" s="2031"/>
      <c r="AM530" s="630"/>
      <c r="AN530" s="632"/>
    </row>
    <row r="531" spans="1:49" s="585" customFormat="1" ht="12.75" customHeight="1">
      <c r="A531" s="574"/>
      <c r="B531" s="574"/>
      <c r="C531" s="586"/>
      <c r="D531" s="586"/>
      <c r="E531" s="586"/>
      <c r="F531" s="2032"/>
      <c r="G531" s="2033"/>
      <c r="H531" s="2033"/>
      <c r="I531" s="2033"/>
      <c r="J531" s="2033"/>
      <c r="K531" s="2033"/>
      <c r="L531" s="2033"/>
      <c r="M531" s="2033"/>
      <c r="N531" s="2033"/>
      <c r="O531" s="2033"/>
      <c r="P531" s="2033"/>
      <c r="Q531" s="2033"/>
      <c r="R531" s="2033"/>
      <c r="S531" s="2033"/>
      <c r="T531" s="2033"/>
      <c r="U531" s="2033"/>
      <c r="V531" s="2033"/>
      <c r="W531" s="2033"/>
      <c r="X531" s="2033"/>
      <c r="Y531" s="2033"/>
      <c r="Z531" s="2033"/>
      <c r="AA531" s="2033"/>
      <c r="AB531" s="2033"/>
      <c r="AC531" s="2033"/>
      <c r="AD531" s="2033"/>
      <c r="AE531" s="2033"/>
      <c r="AF531" s="2033"/>
      <c r="AG531" s="2033"/>
      <c r="AH531" s="2033"/>
      <c r="AI531" s="2033"/>
      <c r="AJ531" s="2033"/>
      <c r="AK531" s="2033"/>
      <c r="AL531" s="2034"/>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47" t="s">
        <v>600</v>
      </c>
      <c r="D533" s="1947"/>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69" t="s">
        <v>1740</v>
      </c>
      <c r="G534" s="1970"/>
      <c r="H534" s="1970"/>
      <c r="I534" s="1970"/>
      <c r="J534" s="1970"/>
      <c r="K534" s="1970"/>
      <c r="L534" s="1970"/>
      <c r="M534" s="1970"/>
      <c r="N534" s="1970"/>
      <c r="O534" s="1970"/>
      <c r="P534" s="1970"/>
      <c r="Q534" s="1970"/>
      <c r="R534" s="1970"/>
      <c r="S534" s="1970"/>
      <c r="T534" s="1970"/>
      <c r="U534" s="1970"/>
      <c r="V534" s="1970"/>
      <c r="W534" s="1970"/>
      <c r="X534" s="1970"/>
      <c r="Y534" s="1970"/>
      <c r="Z534" s="1970"/>
      <c r="AA534" s="1970"/>
      <c r="AB534" s="1970"/>
      <c r="AC534" s="1970"/>
      <c r="AD534" s="1970"/>
      <c r="AE534" s="1970"/>
      <c r="AF534" s="1970"/>
      <c r="AG534" s="1970"/>
      <c r="AH534" s="1970"/>
      <c r="AI534" s="1970"/>
      <c r="AJ534" s="1970"/>
      <c r="AK534" s="1970"/>
      <c r="AL534" s="1971"/>
      <c r="AM534" s="630"/>
      <c r="AN534" s="632"/>
      <c r="AS534" s="906"/>
      <c r="AT534" s="906"/>
      <c r="AU534" s="906"/>
      <c r="AV534" s="906"/>
      <c r="AW534" s="906"/>
    </row>
    <row r="535" spans="1:49" s="585" customFormat="1" ht="12.75" customHeight="1">
      <c r="B535" s="842"/>
      <c r="C535" s="842"/>
      <c r="D535" s="842"/>
      <c r="E535" s="842"/>
      <c r="F535" s="1969"/>
      <c r="G535" s="1970"/>
      <c r="H535" s="1970"/>
      <c r="I535" s="1970"/>
      <c r="J535" s="1970"/>
      <c r="K535" s="1970"/>
      <c r="L535" s="1970"/>
      <c r="M535" s="1970"/>
      <c r="N535" s="1970"/>
      <c r="O535" s="1970"/>
      <c r="P535" s="1970"/>
      <c r="Q535" s="1970"/>
      <c r="R535" s="1970"/>
      <c r="S535" s="1970"/>
      <c r="T535" s="1970"/>
      <c r="U535" s="1970"/>
      <c r="V535" s="1970"/>
      <c r="W535" s="1970"/>
      <c r="X535" s="1970"/>
      <c r="Y535" s="1970"/>
      <c r="Z535" s="1970"/>
      <c r="AA535" s="1970"/>
      <c r="AB535" s="1970"/>
      <c r="AC535" s="1970"/>
      <c r="AD535" s="1970"/>
      <c r="AE535" s="1970"/>
      <c r="AF535" s="1970"/>
      <c r="AG535" s="1970"/>
      <c r="AH535" s="1970"/>
      <c r="AI535" s="1970"/>
      <c r="AJ535" s="1970"/>
      <c r="AK535" s="1970"/>
      <c r="AL535" s="1971"/>
      <c r="AM535" s="630"/>
      <c r="AN535" s="632"/>
    </row>
    <row r="536" spans="1:49" s="585" customFormat="1" ht="12.75" customHeight="1">
      <c r="B536" s="842"/>
      <c r="C536" s="842"/>
      <c r="D536" s="842"/>
      <c r="E536" s="842"/>
      <c r="F536" s="847" t="s">
        <v>2426</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69" t="s">
        <v>1741</v>
      </c>
      <c r="G537" s="1970"/>
      <c r="H537" s="1970"/>
      <c r="I537" s="1970"/>
      <c r="J537" s="1970"/>
      <c r="K537" s="1970"/>
      <c r="L537" s="1970"/>
      <c r="M537" s="1970"/>
      <c r="N537" s="1970"/>
      <c r="O537" s="1970"/>
      <c r="P537" s="1970"/>
      <c r="Q537" s="1970"/>
      <c r="R537" s="1970"/>
      <c r="S537" s="1970"/>
      <c r="T537" s="1970"/>
      <c r="U537" s="1970"/>
      <c r="V537" s="1970"/>
      <c r="W537" s="1970"/>
      <c r="X537" s="1970"/>
      <c r="Y537" s="1970"/>
      <c r="Z537" s="1970"/>
      <c r="AA537" s="1970"/>
      <c r="AB537" s="1970"/>
      <c r="AC537" s="1970"/>
      <c r="AD537" s="1970"/>
      <c r="AE537" s="1970"/>
      <c r="AF537" s="1970"/>
      <c r="AG537" s="1970"/>
      <c r="AH537" s="1970"/>
      <c r="AI537" s="1970"/>
      <c r="AJ537" s="1970"/>
      <c r="AK537" s="1970"/>
      <c r="AL537" s="849"/>
      <c r="AM537" s="630"/>
      <c r="AN537" s="632"/>
    </row>
    <row r="538" spans="1:49" s="585" customFormat="1" ht="12.75" customHeight="1">
      <c r="B538" s="842"/>
      <c r="C538" s="842"/>
      <c r="D538" s="842"/>
      <c r="E538" s="842"/>
      <c r="F538" s="1972"/>
      <c r="G538" s="1973"/>
      <c r="H538" s="1973"/>
      <c r="I538" s="1973"/>
      <c r="J538" s="1973"/>
      <c r="K538" s="1973"/>
      <c r="L538" s="1973"/>
      <c r="M538" s="1973"/>
      <c r="N538" s="1973"/>
      <c r="O538" s="1973"/>
      <c r="P538" s="1973"/>
      <c r="Q538" s="1973"/>
      <c r="R538" s="1973"/>
      <c r="S538" s="1973"/>
      <c r="T538" s="1973"/>
      <c r="U538" s="1973"/>
      <c r="V538" s="1973"/>
      <c r="W538" s="1973"/>
      <c r="X538" s="1973"/>
      <c r="Y538" s="1973"/>
      <c r="Z538" s="1973"/>
      <c r="AA538" s="1973"/>
      <c r="AB538" s="1973"/>
      <c r="AC538" s="1973"/>
      <c r="AD538" s="1973"/>
      <c r="AE538" s="1973"/>
      <c r="AF538" s="1973"/>
      <c r="AG538" s="1973"/>
      <c r="AH538" s="1973"/>
      <c r="AI538" s="1973"/>
      <c r="AJ538" s="1973"/>
      <c r="AK538" s="1973"/>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3">
        <f>Application!AJ961</f>
        <v>18374794</v>
      </c>
      <c r="AQ539" s="2093"/>
      <c r="AR539" s="2093"/>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3">
        <f>'Sources and Uses Budget'!S107+'Sources and Uses Budget'!T107</f>
        <v>25708918</v>
      </c>
      <c r="AG540" s="1953"/>
      <c r="AH540" s="1953"/>
      <c r="AI540" s="1953"/>
      <c r="AJ540" s="1953"/>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098">
        <f>IFERROR(AP548,0)</f>
        <v>41343286.200000003</v>
      </c>
      <c r="AG541" s="2098"/>
      <c r="AH541" s="2098"/>
      <c r="AI541" s="2098"/>
      <c r="AJ541" s="2098"/>
      <c r="AK541" s="630"/>
      <c r="AL541" s="630"/>
      <c r="AM541" s="630"/>
      <c r="AN541" s="632"/>
      <c r="AP541" s="2093">
        <f>Application!AJ1010</f>
        <v>6431177.8999999994</v>
      </c>
      <c r="AQ541" s="2093"/>
      <c r="AR541" s="2093"/>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099">
        <f>IFERROR(ROUNDDOWN(IF(C533="YES",((1-(AF540/AF541))*2),(1-(AF540/AF541))),2),0)</f>
        <v>0.37</v>
      </c>
      <c r="AG542" s="2099"/>
      <c r="AH542" s="2099"/>
      <c r="AI542" s="2099"/>
      <c r="AJ542" s="2099"/>
      <c r="AK542" s="630"/>
      <c r="AL542" s="630"/>
      <c r="AM542" s="630"/>
      <c r="AN542" s="632"/>
      <c r="AP542" s="2096">
        <f>Application!AJ1014</f>
        <v>23519736.32</v>
      </c>
      <c r="AQ542" s="2096"/>
      <c r="AR542" s="2096"/>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2">
        <f>IF(((AP541+AP542)/AP539)&gt;0.8,0.8,((AP541+AP542)/AP539))</f>
        <v>0.8</v>
      </c>
      <c r="AQ543" s="2092"/>
      <c r="AR543" s="2092"/>
    </row>
    <row r="544" spans="1:49" s="585" customFormat="1" ht="12.75" customHeight="1">
      <c r="A544" s="659"/>
      <c r="B544" s="2045" t="s">
        <v>2427</v>
      </c>
      <c r="C544" s="2046"/>
      <c r="D544" s="2046"/>
      <c r="E544" s="2046"/>
      <c r="F544" s="2046"/>
      <c r="G544" s="2046"/>
      <c r="H544" s="2046"/>
      <c r="I544" s="2046"/>
      <c r="J544" s="2046"/>
      <c r="K544" s="2046"/>
      <c r="L544" s="2046"/>
      <c r="M544" s="2046"/>
      <c r="N544" s="2046"/>
      <c r="O544" s="2046"/>
      <c r="P544" s="2046"/>
      <c r="Q544" s="2046"/>
      <c r="R544" s="2046"/>
      <c r="S544" s="2046"/>
      <c r="T544" s="2046"/>
      <c r="U544" s="2046"/>
      <c r="V544" s="2046"/>
      <c r="W544" s="2046"/>
      <c r="X544" s="2046"/>
      <c r="Y544" s="2046"/>
      <c r="Z544" s="2046"/>
      <c r="AA544" s="2046"/>
      <c r="AB544" s="2046"/>
      <c r="AC544" s="2046"/>
      <c r="AD544" s="2046"/>
      <c r="AE544" s="2046"/>
      <c r="AF544" s="2046"/>
      <c r="AG544" s="2046"/>
      <c r="AH544" s="2046"/>
      <c r="AI544" s="2046"/>
      <c r="AJ544" s="2047"/>
      <c r="AK544" s="630"/>
      <c r="AL544" s="630"/>
      <c r="AM544" s="630"/>
      <c r="AN544" s="632"/>
    </row>
    <row r="545" spans="1:44" s="585" customFormat="1" ht="12.75" customHeight="1">
      <c r="A545" s="659"/>
      <c r="B545" s="2048"/>
      <c r="C545" s="2049"/>
      <c r="D545" s="2049"/>
      <c r="E545" s="2049"/>
      <c r="F545" s="2049"/>
      <c r="G545" s="2049"/>
      <c r="H545" s="2049"/>
      <c r="I545" s="2049"/>
      <c r="J545" s="2049"/>
      <c r="K545" s="2049"/>
      <c r="L545" s="2049"/>
      <c r="M545" s="2049"/>
      <c r="N545" s="2049"/>
      <c r="O545" s="2049"/>
      <c r="P545" s="2049"/>
      <c r="Q545" s="2049"/>
      <c r="R545" s="2049"/>
      <c r="S545" s="2049"/>
      <c r="T545" s="2049"/>
      <c r="U545" s="2049"/>
      <c r="V545" s="2049"/>
      <c r="W545" s="2049"/>
      <c r="X545" s="2049"/>
      <c r="Y545" s="2049"/>
      <c r="Z545" s="2049"/>
      <c r="AA545" s="2049"/>
      <c r="AB545" s="2049"/>
      <c r="AC545" s="2049"/>
      <c r="AD545" s="2049"/>
      <c r="AE545" s="2049"/>
      <c r="AF545" s="2049"/>
      <c r="AG545" s="2049"/>
      <c r="AH545" s="2049"/>
      <c r="AI545" s="2049"/>
      <c r="AJ545" s="2050"/>
      <c r="AK545" s="630"/>
      <c r="AL545" s="630"/>
      <c r="AM545" s="630"/>
      <c r="AN545" s="632"/>
      <c r="AP545" s="2093">
        <f>AP546-AP541-AP542</f>
        <v>26643451</v>
      </c>
      <c r="AQ545" s="2002"/>
      <c r="AR545" s="2002"/>
    </row>
    <row r="546" spans="1:44" s="585" customFormat="1" ht="12.75" customHeight="1">
      <c r="A546" s="659"/>
      <c r="B546" s="2051"/>
      <c r="C546" s="2052"/>
      <c r="D546" s="2052"/>
      <c r="E546" s="2052"/>
      <c r="F546" s="2052"/>
      <c r="G546" s="2052"/>
      <c r="H546" s="2052"/>
      <c r="I546" s="2052"/>
      <c r="J546" s="2052"/>
      <c r="K546" s="2052"/>
      <c r="L546" s="2052"/>
      <c r="M546" s="2052"/>
      <c r="N546" s="2052"/>
      <c r="O546" s="2052"/>
      <c r="P546" s="2052"/>
      <c r="Q546" s="2052"/>
      <c r="R546" s="2052"/>
      <c r="S546" s="2052"/>
      <c r="T546" s="2052"/>
      <c r="U546" s="2052"/>
      <c r="V546" s="2052"/>
      <c r="W546" s="2052"/>
      <c r="X546" s="2052"/>
      <c r="Y546" s="2052"/>
      <c r="Z546" s="2052"/>
      <c r="AA546" s="2052"/>
      <c r="AB546" s="2052"/>
      <c r="AC546" s="2052"/>
      <c r="AD546" s="2052"/>
      <c r="AE546" s="2052"/>
      <c r="AF546" s="2052"/>
      <c r="AG546" s="2052"/>
      <c r="AH546" s="2052"/>
      <c r="AI546" s="2052"/>
      <c r="AJ546" s="2053"/>
      <c r="AK546" s="630"/>
      <c r="AL546" s="630"/>
      <c r="AM546" s="630"/>
      <c r="AN546" s="632"/>
      <c r="AP546" s="2093">
        <f>Application!AJ1018</f>
        <v>56594365.219999999</v>
      </c>
      <c r="AQ546" s="2093"/>
      <c r="AR546" s="2093"/>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4">
        <f>IFERROR(IF(AND(C530="N/A",C533="N/A"),0,IF(AF542=0,0,IF((AF542*100)&gt;12,12,(AF542*100)))),0)</f>
        <v>12</v>
      </c>
      <c r="AL548" s="2054"/>
      <c r="AM548" s="2055"/>
      <c r="AN548" s="632"/>
      <c r="AP548" s="2109">
        <f>AP545+(AP539*AP543)</f>
        <v>41343286.200000003</v>
      </c>
      <c r="AQ548" s="2110"/>
      <c r="AR548" s="2111"/>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2417</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5" t="s">
        <v>1486</v>
      </c>
      <c r="AF551" s="1885"/>
      <c r="AG551" s="1885"/>
      <c r="AH551" s="1885"/>
      <c r="AI551" s="1885"/>
      <c r="AJ551" s="1885"/>
      <c r="AK551" s="1885"/>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0" t="s">
        <v>2418</v>
      </c>
      <c r="C553" s="1970"/>
      <c r="D553" s="1970"/>
      <c r="E553" s="1970"/>
      <c r="F553" s="1970"/>
      <c r="G553" s="1970"/>
      <c r="H553" s="1970"/>
      <c r="I553" s="1970"/>
      <c r="J553" s="1970"/>
      <c r="K553" s="1970"/>
      <c r="L553" s="1970"/>
      <c r="M553" s="1970"/>
      <c r="N553" s="1970"/>
      <c r="O553" s="1970"/>
      <c r="P553" s="1970"/>
      <c r="Q553" s="1970"/>
      <c r="R553" s="1970"/>
      <c r="S553" s="1970"/>
      <c r="T553" s="1970"/>
      <c r="U553" s="1970"/>
      <c r="V553" s="1970"/>
      <c r="W553" s="1970"/>
      <c r="X553" s="1970"/>
      <c r="Y553" s="1970"/>
      <c r="Z553" s="1970"/>
      <c r="AA553" s="1970"/>
      <c r="AB553" s="1970"/>
      <c r="AC553" s="1970"/>
      <c r="AD553" s="1970"/>
      <c r="AE553" s="1970"/>
      <c r="AF553" s="1970"/>
      <c r="AG553" s="1970"/>
      <c r="AH553" s="1970"/>
      <c r="AI553" s="1970"/>
      <c r="AJ553" s="1970"/>
      <c r="AK553" s="677"/>
      <c r="AL553" s="608"/>
      <c r="AM553" s="638"/>
      <c r="AN553" s="632"/>
    </row>
    <row r="554" spans="1:44" s="585" customFormat="1" ht="12.75" customHeight="1">
      <c r="A554" s="638"/>
      <c r="B554" s="1970"/>
      <c r="C554" s="1970"/>
      <c r="D554" s="1970"/>
      <c r="E554" s="1970"/>
      <c r="F554" s="1970"/>
      <c r="G554" s="1970"/>
      <c r="H554" s="1970"/>
      <c r="I554" s="1970"/>
      <c r="J554" s="1970"/>
      <c r="K554" s="1970"/>
      <c r="L554" s="1970"/>
      <c r="M554" s="1970"/>
      <c r="N554" s="1970"/>
      <c r="O554" s="1970"/>
      <c r="P554" s="1970"/>
      <c r="Q554" s="1970"/>
      <c r="R554" s="1970"/>
      <c r="S554" s="1970"/>
      <c r="T554" s="1970"/>
      <c r="U554" s="1970"/>
      <c r="V554" s="1970"/>
      <c r="W554" s="1970"/>
      <c r="X554" s="1970"/>
      <c r="Y554" s="1970"/>
      <c r="Z554" s="1970"/>
      <c r="AA554" s="1970"/>
      <c r="AB554" s="1970"/>
      <c r="AC554" s="1970"/>
      <c r="AD554" s="1970"/>
      <c r="AE554" s="1970"/>
      <c r="AF554" s="1970"/>
      <c r="AG554" s="1970"/>
      <c r="AH554" s="1970"/>
      <c r="AI554" s="1970"/>
      <c r="AJ554" s="1970"/>
      <c r="AK554" s="677"/>
      <c r="AL554" s="608"/>
      <c r="AM554" s="638"/>
      <c r="AN554" s="632"/>
    </row>
    <row r="555" spans="1:44" s="585" customFormat="1" ht="12.75" customHeight="1">
      <c r="A555" s="638"/>
      <c r="B555" s="1970"/>
      <c r="C555" s="1970"/>
      <c r="D555" s="1970"/>
      <c r="E555" s="1970"/>
      <c r="F555" s="1970"/>
      <c r="G555" s="1970"/>
      <c r="H555" s="1970"/>
      <c r="I555" s="1970"/>
      <c r="J555" s="1970"/>
      <c r="K555" s="1970"/>
      <c r="L555" s="1970"/>
      <c r="M555" s="1970"/>
      <c r="N555" s="1970"/>
      <c r="O555" s="1970"/>
      <c r="P555" s="1970"/>
      <c r="Q555" s="1970"/>
      <c r="R555" s="1970"/>
      <c r="S555" s="1970"/>
      <c r="T555" s="1970"/>
      <c r="U555" s="1970"/>
      <c r="V555" s="1970"/>
      <c r="W555" s="1970"/>
      <c r="X555" s="1970"/>
      <c r="Y555" s="1970"/>
      <c r="Z555" s="1970"/>
      <c r="AA555" s="1970"/>
      <c r="AB555" s="1970"/>
      <c r="AC555" s="1970"/>
      <c r="AD555" s="1970"/>
      <c r="AE555" s="1970"/>
      <c r="AF555" s="1970"/>
      <c r="AG555" s="1970"/>
      <c r="AH555" s="1970"/>
      <c r="AI555" s="1970"/>
      <c r="AJ555" s="1970"/>
      <c r="AK555" s="677"/>
      <c r="AL555" s="608"/>
      <c r="AM555" s="638"/>
      <c r="AN555" s="632"/>
    </row>
    <row r="556" spans="1:44" s="585" customFormat="1" ht="12.75" customHeight="1">
      <c r="A556" s="638"/>
      <c r="B556" s="1970"/>
      <c r="C556" s="1970"/>
      <c r="D556" s="1970"/>
      <c r="E556" s="1970"/>
      <c r="F556" s="1970"/>
      <c r="G556" s="1970"/>
      <c r="H556" s="1970"/>
      <c r="I556" s="1970"/>
      <c r="J556" s="1970"/>
      <c r="K556" s="1970"/>
      <c r="L556" s="1970"/>
      <c r="M556" s="1970"/>
      <c r="N556" s="1970"/>
      <c r="O556" s="1970"/>
      <c r="P556" s="1970"/>
      <c r="Q556" s="1970"/>
      <c r="R556" s="1970"/>
      <c r="S556" s="1970"/>
      <c r="T556" s="1970"/>
      <c r="U556" s="1970"/>
      <c r="V556" s="1970"/>
      <c r="W556" s="1970"/>
      <c r="X556" s="1970"/>
      <c r="Y556" s="1970"/>
      <c r="Z556" s="1970"/>
      <c r="AA556" s="1970"/>
      <c r="AB556" s="1970"/>
      <c r="AC556" s="1970"/>
      <c r="AD556" s="1970"/>
      <c r="AE556" s="1970"/>
      <c r="AF556" s="1970"/>
      <c r="AG556" s="1970"/>
      <c r="AH556" s="1970"/>
      <c r="AI556" s="1970"/>
      <c r="AJ556" s="1970"/>
      <c r="AK556" s="677"/>
      <c r="AL556" s="608"/>
      <c r="AM556" s="638"/>
      <c r="AN556" s="632"/>
    </row>
    <row r="557" spans="1:44" s="585" customFormat="1" ht="12.75" customHeight="1">
      <c r="A557" s="638"/>
      <c r="B557" s="1970"/>
      <c r="C557" s="1970"/>
      <c r="D557" s="1970"/>
      <c r="E557" s="1970"/>
      <c r="F557" s="1970"/>
      <c r="G557" s="1970"/>
      <c r="H557" s="1970"/>
      <c r="I557" s="1970"/>
      <c r="J557" s="1970"/>
      <c r="K557" s="1970"/>
      <c r="L557" s="1970"/>
      <c r="M557" s="1970"/>
      <c r="N557" s="1970"/>
      <c r="O557" s="1970"/>
      <c r="P557" s="1970"/>
      <c r="Q557" s="1970"/>
      <c r="R557" s="1970"/>
      <c r="S557" s="1970"/>
      <c r="T557" s="1970"/>
      <c r="U557" s="1970"/>
      <c r="V557" s="1970"/>
      <c r="W557" s="1970"/>
      <c r="X557" s="1970"/>
      <c r="Y557" s="1970"/>
      <c r="Z557" s="1970"/>
      <c r="AA557" s="1970"/>
      <c r="AB557" s="1970"/>
      <c r="AC557" s="1970"/>
      <c r="AD557" s="1970"/>
      <c r="AE557" s="1970"/>
      <c r="AF557" s="1970"/>
      <c r="AG557" s="1970"/>
      <c r="AH557" s="1970"/>
      <c r="AI557" s="1970"/>
      <c r="AJ557" s="1970"/>
      <c r="AK557" s="677"/>
      <c r="AL557" s="608"/>
      <c r="AM557" s="638"/>
      <c r="AN557" s="632"/>
    </row>
    <row r="558" spans="1:44" s="585" customFormat="1" ht="12.75" customHeight="1">
      <c r="A558" s="638"/>
      <c r="B558" s="1970"/>
      <c r="C558" s="1970"/>
      <c r="D558" s="1970"/>
      <c r="E558" s="1970"/>
      <c r="F558" s="1970"/>
      <c r="G558" s="1970"/>
      <c r="H558" s="1970"/>
      <c r="I558" s="1970"/>
      <c r="J558" s="1970"/>
      <c r="K558" s="1970"/>
      <c r="L558" s="1970"/>
      <c r="M558" s="1970"/>
      <c r="N558" s="1970"/>
      <c r="O558" s="1970"/>
      <c r="P558" s="1970"/>
      <c r="Q558" s="1970"/>
      <c r="R558" s="1970"/>
      <c r="S558" s="1970"/>
      <c r="T558" s="1970"/>
      <c r="U558" s="1970"/>
      <c r="V558" s="1970"/>
      <c r="W558" s="1970"/>
      <c r="X558" s="1970"/>
      <c r="Y558" s="1970"/>
      <c r="Z558" s="1970"/>
      <c r="AA558" s="1970"/>
      <c r="AB558" s="1970"/>
      <c r="AC558" s="1970"/>
      <c r="AD558" s="1970"/>
      <c r="AE558" s="1970"/>
      <c r="AF558" s="1970"/>
      <c r="AG558" s="1970"/>
      <c r="AH558" s="1970"/>
      <c r="AI558" s="1970"/>
      <c r="AJ558" s="1970"/>
      <c r="AK558" s="677"/>
      <c r="AL558" s="608"/>
      <c r="AM558" s="638"/>
      <c r="AN558" s="632"/>
    </row>
    <row r="559" spans="1:44" s="585" customFormat="1" ht="12.75" customHeight="1">
      <c r="A559" s="638"/>
      <c r="B559" s="1970"/>
      <c r="C559" s="1970"/>
      <c r="D559" s="1970"/>
      <c r="E559" s="1970"/>
      <c r="F559" s="1970"/>
      <c r="G559" s="1970"/>
      <c r="H559" s="1970"/>
      <c r="I559" s="1970"/>
      <c r="J559" s="1970"/>
      <c r="K559" s="1970"/>
      <c r="L559" s="1970"/>
      <c r="M559" s="1970"/>
      <c r="N559" s="1970"/>
      <c r="O559" s="1970"/>
      <c r="P559" s="1970"/>
      <c r="Q559" s="1970"/>
      <c r="R559" s="1970"/>
      <c r="S559" s="1970"/>
      <c r="T559" s="1970"/>
      <c r="U559" s="1970"/>
      <c r="V559" s="1970"/>
      <c r="W559" s="1970"/>
      <c r="X559" s="1970"/>
      <c r="Y559" s="1970"/>
      <c r="Z559" s="1970"/>
      <c r="AA559" s="1970"/>
      <c r="AB559" s="1970"/>
      <c r="AC559" s="1970"/>
      <c r="AD559" s="1970"/>
      <c r="AE559" s="1970"/>
      <c r="AF559" s="1970"/>
      <c r="AG559" s="1970"/>
      <c r="AH559" s="1970"/>
      <c r="AI559" s="1970"/>
      <c r="AJ559" s="1970"/>
      <c r="AK559" s="677"/>
      <c r="AL559" s="608"/>
      <c r="AM559" s="638"/>
      <c r="AN559" s="632"/>
    </row>
    <row r="560" spans="1:44" ht="12.75" customHeight="1">
      <c r="A560" s="638"/>
      <c r="B560" s="1970"/>
      <c r="C560" s="1970"/>
      <c r="D560" s="1970"/>
      <c r="E560" s="1970"/>
      <c r="F560" s="1970"/>
      <c r="G560" s="1970"/>
      <c r="H560" s="1970"/>
      <c r="I560" s="1970"/>
      <c r="J560" s="1970"/>
      <c r="K560" s="1970"/>
      <c r="L560" s="1970"/>
      <c r="M560" s="1970"/>
      <c r="N560" s="1970"/>
      <c r="O560" s="1970"/>
      <c r="P560" s="1970"/>
      <c r="Q560" s="1970"/>
      <c r="R560" s="1970"/>
      <c r="S560" s="1970"/>
      <c r="T560" s="1970"/>
      <c r="U560" s="1970"/>
      <c r="V560" s="1970"/>
      <c r="W560" s="1970"/>
      <c r="X560" s="1970"/>
      <c r="Y560" s="1970"/>
      <c r="Z560" s="1970"/>
      <c r="AA560" s="1970"/>
      <c r="AB560" s="1970"/>
      <c r="AC560" s="1970"/>
      <c r="AD560" s="1970"/>
      <c r="AE560" s="1970"/>
      <c r="AF560" s="1970"/>
      <c r="AG560" s="1970"/>
      <c r="AH560" s="1970"/>
      <c r="AI560" s="1970"/>
      <c r="AJ560" s="1970"/>
      <c r="AK560" s="677"/>
      <c r="AL560" s="608"/>
      <c r="AM560" s="638"/>
    </row>
    <row r="561" spans="1:42" s="585" customFormat="1" ht="12.75" customHeight="1">
      <c r="B561" s="1970"/>
      <c r="C561" s="1970"/>
      <c r="D561" s="1970"/>
      <c r="E561" s="1970"/>
      <c r="F561" s="1970"/>
      <c r="G561" s="1970"/>
      <c r="H561" s="1970"/>
      <c r="I561" s="1970"/>
      <c r="J561" s="1970"/>
      <c r="K561" s="1970"/>
      <c r="L561" s="1970"/>
      <c r="M561" s="1970"/>
      <c r="N561" s="1970"/>
      <c r="O561" s="1970"/>
      <c r="P561" s="1970"/>
      <c r="Q561" s="1970"/>
      <c r="R561" s="1970"/>
      <c r="S561" s="1970"/>
      <c r="T561" s="1970"/>
      <c r="U561" s="1970"/>
      <c r="V561" s="1970"/>
      <c r="W561" s="1970"/>
      <c r="X561" s="1970"/>
      <c r="Y561" s="1970"/>
      <c r="Z561" s="1970"/>
      <c r="AA561" s="1970"/>
      <c r="AB561" s="1970"/>
      <c r="AC561" s="1970"/>
      <c r="AD561" s="1970"/>
      <c r="AE561" s="1970"/>
      <c r="AF561" s="1970"/>
      <c r="AG561" s="1970"/>
      <c r="AH561" s="1970"/>
      <c r="AI561" s="1970"/>
      <c r="AJ561" s="1970"/>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17" t="s">
        <v>1510</v>
      </c>
      <c r="AG567" s="1917"/>
      <c r="AH567" s="1917"/>
      <c r="AI567" s="1917"/>
      <c r="AJ567" s="1917"/>
      <c r="AK567" s="1917"/>
      <c r="AL567" s="1917"/>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17" t="s">
        <v>1568</v>
      </c>
      <c r="AG574" s="1917"/>
      <c r="AH574" s="1917"/>
      <c r="AI574" s="1917"/>
      <c r="AJ574" s="1917"/>
      <c r="AK574" s="1917"/>
      <c r="AL574" s="1917"/>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280</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17" t="s">
        <v>1550</v>
      </c>
      <c r="AG580" s="1917"/>
      <c r="AH580" s="1917"/>
      <c r="AI580" s="1917"/>
      <c r="AJ580" s="1917"/>
      <c r="AK580" s="1917"/>
      <c r="AL580" s="1917"/>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17" t="s">
        <v>1571</v>
      </c>
      <c r="AG586" s="1917"/>
      <c r="AH586" s="1917"/>
      <c r="AI586" s="1917"/>
      <c r="AJ586" s="1917"/>
      <c r="AK586" s="1917"/>
      <c r="AL586" s="1917"/>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1" t="s">
        <v>1327</v>
      </c>
      <c r="P590" s="2001"/>
      <c r="Q590" s="2001"/>
      <c r="R590" s="2001"/>
      <c r="S590" s="2001"/>
      <c r="T590" s="2001"/>
      <c r="U590" s="2001"/>
      <c r="V590" s="2001"/>
      <c r="W590" s="2001"/>
      <c r="X590" s="2001"/>
      <c r="Y590" s="2001"/>
      <c r="Z590" s="2001"/>
      <c r="AA590" s="2001"/>
      <c r="AB590" s="2001"/>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17" t="s">
        <v>1524</v>
      </c>
      <c r="AG592" s="1917"/>
      <c r="AH592" s="1917"/>
      <c r="AI592" s="1917"/>
      <c r="AJ592" s="1917"/>
      <c r="AK592" s="1917"/>
      <c r="AL592" s="1917"/>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1999" t="s">
        <v>697</v>
      </c>
      <c r="I595" s="1999"/>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0" t="s">
        <v>600</v>
      </c>
      <c r="J603" s="2000"/>
      <c r="K603" s="2000"/>
      <c r="L603" s="2000"/>
      <c r="M603" s="2000"/>
      <c r="N603" s="2000"/>
      <c r="O603" s="2000"/>
      <c r="P603" s="2000"/>
      <c r="Q603" s="2000"/>
      <c r="R603" s="2000"/>
      <c r="S603" s="2000"/>
      <c r="T603" s="2000"/>
      <c r="U603" s="2000"/>
      <c r="V603" s="2000"/>
      <c r="W603" s="2000"/>
      <c r="X603" s="2000"/>
      <c r="Y603" s="2000"/>
      <c r="Z603" s="2000"/>
      <c r="AA603" s="2000"/>
      <c r="AB603" s="2000"/>
      <c r="AC603" s="2000"/>
      <c r="AD603" s="2000"/>
      <c r="AE603" s="2000"/>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4" t="s">
        <v>600</v>
      </c>
      <c r="C605" s="1944"/>
      <c r="D605" s="677"/>
      <c r="E605" s="1970" t="s">
        <v>1575</v>
      </c>
      <c r="F605" s="1970"/>
      <c r="G605" s="1970"/>
      <c r="H605" s="1970"/>
      <c r="I605" s="1970"/>
      <c r="J605" s="1970"/>
      <c r="K605" s="1970"/>
      <c r="L605" s="1970"/>
      <c r="M605" s="1970"/>
      <c r="N605" s="1970"/>
      <c r="O605" s="1970"/>
      <c r="P605" s="1970"/>
      <c r="Q605" s="1970"/>
      <c r="R605" s="1970"/>
      <c r="S605" s="1970"/>
      <c r="T605" s="1970"/>
      <c r="U605" s="1970"/>
      <c r="V605" s="1970"/>
      <c r="W605" s="1970"/>
      <c r="X605" s="1970"/>
      <c r="Y605" s="1970"/>
      <c r="Z605" s="1970"/>
      <c r="AA605" s="1970"/>
      <c r="AB605" s="1970"/>
      <c r="AC605" s="1970"/>
      <c r="AD605" s="1970"/>
      <c r="AE605" s="1970"/>
      <c r="AF605" s="1970"/>
      <c r="AG605" s="1970"/>
      <c r="AH605" s="677"/>
      <c r="AI605" s="677"/>
      <c r="AJ605" s="677"/>
      <c r="AK605" s="677"/>
      <c r="AL605" s="677"/>
      <c r="AN605" s="632"/>
    </row>
    <row r="606" spans="2:47" s="585" customFormat="1" ht="12.75" customHeight="1">
      <c r="B606" s="571"/>
      <c r="C606" s="970"/>
      <c r="D606" s="677"/>
      <c r="E606" s="1970"/>
      <c r="F606" s="1970"/>
      <c r="G606" s="1970"/>
      <c r="H606" s="1970"/>
      <c r="I606" s="1970"/>
      <c r="J606" s="1970"/>
      <c r="K606" s="1970"/>
      <c r="L606" s="1970"/>
      <c r="M606" s="1970"/>
      <c r="N606" s="1970"/>
      <c r="O606" s="1970"/>
      <c r="P606" s="1970"/>
      <c r="Q606" s="1970"/>
      <c r="R606" s="1970"/>
      <c r="S606" s="1970"/>
      <c r="T606" s="1970"/>
      <c r="U606" s="1970"/>
      <c r="V606" s="1970"/>
      <c r="W606" s="1970"/>
      <c r="X606" s="1970"/>
      <c r="Y606" s="1970"/>
      <c r="Z606" s="1970"/>
      <c r="AA606" s="1970"/>
      <c r="AB606" s="1970"/>
      <c r="AC606" s="1970"/>
      <c r="AD606" s="1970"/>
      <c r="AE606" s="1970"/>
      <c r="AF606" s="1970"/>
      <c r="AG606" s="1970"/>
      <c r="AH606" s="677"/>
      <c r="AI606" s="677"/>
      <c r="AJ606" s="677"/>
      <c r="AK606" s="677"/>
      <c r="AL606" s="677"/>
      <c r="AN606" s="632"/>
    </row>
    <row r="607" spans="2:47" s="585" customFormat="1" ht="12.75" customHeight="1">
      <c r="B607" s="571"/>
      <c r="C607" s="970"/>
      <c r="D607" s="677"/>
      <c r="E607" s="1970"/>
      <c r="F607" s="1970"/>
      <c r="G607" s="1970"/>
      <c r="H607" s="1970"/>
      <c r="I607" s="1970"/>
      <c r="J607" s="1970"/>
      <c r="K607" s="1970"/>
      <c r="L607" s="1970"/>
      <c r="M607" s="1970"/>
      <c r="N607" s="1970"/>
      <c r="O607" s="1970"/>
      <c r="P607" s="1970"/>
      <c r="Q607" s="1970"/>
      <c r="R607" s="1970"/>
      <c r="S607" s="1970"/>
      <c r="T607" s="1970"/>
      <c r="U607" s="1970"/>
      <c r="V607" s="1970"/>
      <c r="W607" s="1970"/>
      <c r="X607" s="1970"/>
      <c r="Y607" s="1970"/>
      <c r="Z607" s="1970"/>
      <c r="AA607" s="1970"/>
      <c r="AB607" s="1970"/>
      <c r="AC607" s="1970"/>
      <c r="AD607" s="1970"/>
      <c r="AE607" s="1970"/>
      <c r="AF607" s="1970"/>
      <c r="AG607" s="1970"/>
      <c r="AH607" s="677"/>
      <c r="AI607" s="677"/>
      <c r="AJ607" s="677"/>
      <c r="AK607" s="677"/>
      <c r="AL607" s="677"/>
      <c r="AN607" s="632"/>
    </row>
    <row r="608" spans="2:47" s="585" customFormat="1" ht="12.75" customHeight="1">
      <c r="B608" s="571"/>
      <c r="C608" s="970"/>
      <c r="D608" s="677"/>
      <c r="E608" s="1970"/>
      <c r="F608" s="1970"/>
      <c r="G608" s="1970"/>
      <c r="H608" s="1970"/>
      <c r="I608" s="1970"/>
      <c r="J608" s="1970"/>
      <c r="K608" s="1970"/>
      <c r="L608" s="1970"/>
      <c r="M608" s="1970"/>
      <c r="N608" s="1970"/>
      <c r="O608" s="1970"/>
      <c r="P608" s="1970"/>
      <c r="Q608" s="1970"/>
      <c r="R608" s="1970"/>
      <c r="S608" s="1970"/>
      <c r="T608" s="1970"/>
      <c r="U608" s="1970"/>
      <c r="V608" s="1970"/>
      <c r="W608" s="1970"/>
      <c r="X608" s="1970"/>
      <c r="Y608" s="1970"/>
      <c r="Z608" s="1970"/>
      <c r="AA608" s="1970"/>
      <c r="AB608" s="1970"/>
      <c r="AC608" s="1970"/>
      <c r="AD608" s="1970"/>
      <c r="AE608" s="1970"/>
      <c r="AF608" s="1970"/>
      <c r="AG608" s="1970"/>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0">
        <f>VLOOKUP($H$595,$AO$575:$AP$580,2,FALSE)+VLOOKUP($I$603,$AO$602:$AP$604,2,FALSE)</f>
        <v>7</v>
      </c>
      <c r="AK610" s="1952"/>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1998" t="s">
        <v>1954</v>
      </c>
      <c r="F614" s="1998"/>
      <c r="G614" s="1998"/>
      <c r="H614" s="1998"/>
      <c r="I614" s="1998"/>
      <c r="J614" s="1998"/>
      <c r="K614" s="1998"/>
      <c r="L614" s="1998"/>
      <c r="M614" s="1998"/>
      <c r="N614" s="1998"/>
      <c r="O614" s="1998"/>
      <c r="P614" s="1998"/>
      <c r="Q614" s="1998"/>
      <c r="R614" s="1998"/>
      <c r="S614" s="1998"/>
      <c r="T614" s="1998"/>
      <c r="U614" s="1998"/>
      <c r="V614" s="1998"/>
      <c r="W614" s="1998"/>
      <c r="X614" s="1998"/>
      <c r="Y614" s="1998"/>
      <c r="Z614" s="1998"/>
      <c r="AA614" s="1998"/>
      <c r="AB614" s="1998"/>
      <c r="AC614" s="1998"/>
      <c r="AD614" s="1998"/>
      <c r="AE614" s="574"/>
      <c r="AF614" s="1917" t="s">
        <v>1524</v>
      </c>
      <c r="AG614" s="1917"/>
      <c r="AH614" s="1917"/>
      <c r="AI614" s="1917"/>
      <c r="AJ614" s="1917"/>
      <c r="AK614" s="1917"/>
      <c r="AL614" s="1917"/>
      <c r="AM614" s="585"/>
      <c r="AN614" s="713"/>
    </row>
    <row r="615" spans="1:42" s="585" customFormat="1" ht="12.75" customHeight="1">
      <c r="A615" s="714"/>
      <c r="B615" s="571"/>
      <c r="C615" s="970"/>
      <c r="D615" s="698"/>
      <c r="E615" s="1998"/>
      <c r="F615" s="1998"/>
      <c r="G615" s="1998"/>
      <c r="H615" s="1998"/>
      <c r="I615" s="1998"/>
      <c r="J615" s="1998"/>
      <c r="K615" s="1998"/>
      <c r="L615" s="1998"/>
      <c r="M615" s="1998"/>
      <c r="N615" s="1998"/>
      <c r="O615" s="1998"/>
      <c r="P615" s="1998"/>
      <c r="Q615" s="1998"/>
      <c r="R615" s="1998"/>
      <c r="S615" s="1998"/>
      <c r="T615" s="1998"/>
      <c r="U615" s="1998"/>
      <c r="V615" s="1998"/>
      <c r="W615" s="1998"/>
      <c r="X615" s="1998"/>
      <c r="Y615" s="1998"/>
      <c r="Z615" s="1998"/>
      <c r="AA615" s="1998"/>
      <c r="AB615" s="1998"/>
      <c r="AC615" s="1998"/>
      <c r="AD615" s="1998"/>
      <c r="AE615" s="571"/>
      <c r="AF615" s="571"/>
      <c r="AG615" s="571"/>
      <c r="AH615" s="571"/>
      <c r="AI615" s="571"/>
      <c r="AJ615" s="571"/>
      <c r="AK615" s="571"/>
      <c r="AL615" s="571"/>
      <c r="AN615" s="632"/>
    </row>
    <row r="616" spans="1:42" s="585" customFormat="1" ht="12.75" customHeight="1">
      <c r="B616" s="571"/>
      <c r="C616" s="968"/>
      <c r="D616" s="698"/>
      <c r="E616" s="1998"/>
      <c r="F616" s="1998"/>
      <c r="G616" s="1998"/>
      <c r="H616" s="1998"/>
      <c r="I616" s="1998"/>
      <c r="J616" s="1998"/>
      <c r="K616" s="1998"/>
      <c r="L616" s="1998"/>
      <c r="M616" s="1998"/>
      <c r="N616" s="1998"/>
      <c r="O616" s="1998"/>
      <c r="P616" s="1998"/>
      <c r="Q616" s="1998"/>
      <c r="R616" s="1998"/>
      <c r="S616" s="1998"/>
      <c r="T616" s="1998"/>
      <c r="U616" s="1998"/>
      <c r="V616" s="1998"/>
      <c r="W616" s="1998"/>
      <c r="X616" s="1998"/>
      <c r="Y616" s="1998"/>
      <c r="Z616" s="1998"/>
      <c r="AA616" s="1998"/>
      <c r="AB616" s="1998"/>
      <c r="AC616" s="1998"/>
      <c r="AD616" s="1998"/>
      <c r="AE616" s="571"/>
      <c r="AF616" s="571"/>
      <c r="AG616" s="571"/>
      <c r="AH616" s="571"/>
      <c r="AI616" s="571"/>
      <c r="AJ616" s="571"/>
      <c r="AK616" s="571"/>
      <c r="AL616" s="571"/>
      <c r="AN616" s="632"/>
    </row>
    <row r="617" spans="1:42" s="585" customFormat="1" ht="12.75" customHeight="1">
      <c r="B617" s="571"/>
      <c r="C617" s="968"/>
      <c r="D617" s="698"/>
      <c r="E617" s="1998"/>
      <c r="F617" s="1998"/>
      <c r="G617" s="1998"/>
      <c r="H617" s="1998"/>
      <c r="I617" s="1998"/>
      <c r="J617" s="1998"/>
      <c r="K617" s="1998"/>
      <c r="L617" s="1998"/>
      <c r="M617" s="1998"/>
      <c r="N617" s="1998"/>
      <c r="O617" s="1998"/>
      <c r="P617" s="1998"/>
      <c r="Q617" s="1998"/>
      <c r="R617" s="1998"/>
      <c r="S617" s="1998"/>
      <c r="T617" s="1998"/>
      <c r="U617" s="1998"/>
      <c r="V617" s="1998"/>
      <c r="W617" s="1998"/>
      <c r="X617" s="1998"/>
      <c r="Y617" s="1998"/>
      <c r="Z617" s="1998"/>
      <c r="AA617" s="1998"/>
      <c r="AB617" s="1998"/>
      <c r="AC617" s="1998"/>
      <c r="AD617" s="1998"/>
      <c r="AE617" s="571"/>
      <c r="AF617" s="571"/>
      <c r="AG617" s="571"/>
      <c r="AH617" s="571"/>
      <c r="AI617" s="571"/>
      <c r="AJ617" s="571"/>
      <c r="AK617" s="571"/>
      <c r="AL617" s="571"/>
      <c r="AN617" s="632"/>
    </row>
    <row r="618" spans="1:42" s="585" customFormat="1" ht="12.75" customHeight="1">
      <c r="B618" s="571"/>
      <c r="C618" s="968"/>
      <c r="D618" s="698"/>
      <c r="E618" s="1998"/>
      <c r="F618" s="1998"/>
      <c r="G618" s="1998"/>
      <c r="H618" s="1998"/>
      <c r="I618" s="1998"/>
      <c r="J618" s="1998"/>
      <c r="K618" s="1998"/>
      <c r="L618" s="1998"/>
      <c r="M618" s="1998"/>
      <c r="N618" s="1998"/>
      <c r="O618" s="1998"/>
      <c r="P618" s="1998"/>
      <c r="Q618" s="1998"/>
      <c r="R618" s="1998"/>
      <c r="S618" s="1998"/>
      <c r="T618" s="1998"/>
      <c r="U618" s="1998"/>
      <c r="V618" s="1998"/>
      <c r="W618" s="1998"/>
      <c r="X618" s="1998"/>
      <c r="Y618" s="1998"/>
      <c r="Z618" s="1998"/>
      <c r="AA618" s="1998"/>
      <c r="AB618" s="1998"/>
      <c r="AC618" s="1998"/>
      <c r="AD618" s="1998"/>
      <c r="AE618" s="571"/>
      <c r="AF618" s="571"/>
      <c r="AG618" s="571"/>
      <c r="AH618" s="571"/>
      <c r="AI618" s="571"/>
      <c r="AJ618" s="571"/>
      <c r="AK618" s="571"/>
      <c r="AL618" s="571"/>
      <c r="AN618" s="632"/>
    </row>
    <row r="619" spans="1:42" s="585" customFormat="1" ht="12.75" customHeight="1">
      <c r="B619" s="571"/>
      <c r="C619" s="968"/>
      <c r="D619" s="698"/>
      <c r="E619" s="1998"/>
      <c r="F619" s="1998"/>
      <c r="G619" s="1998"/>
      <c r="H619" s="1998"/>
      <c r="I619" s="1998"/>
      <c r="J619" s="1998"/>
      <c r="K619" s="1998"/>
      <c r="L619" s="1998"/>
      <c r="M619" s="1998"/>
      <c r="N619" s="1998"/>
      <c r="O619" s="1998"/>
      <c r="P619" s="1998"/>
      <c r="Q619" s="1998"/>
      <c r="R619" s="1998"/>
      <c r="S619" s="1998"/>
      <c r="T619" s="1998"/>
      <c r="U619" s="1998"/>
      <c r="V619" s="1998"/>
      <c r="W619" s="1998"/>
      <c r="X619" s="1998"/>
      <c r="Y619" s="1998"/>
      <c r="Z619" s="1998"/>
      <c r="AA619" s="1998"/>
      <c r="AB619" s="1998"/>
      <c r="AC619" s="1998"/>
      <c r="AD619" s="1998"/>
      <c r="AE619" s="571"/>
      <c r="AF619" s="571"/>
      <c r="AG619" s="571"/>
      <c r="AH619" s="571"/>
      <c r="AI619" s="571"/>
      <c r="AJ619" s="571"/>
      <c r="AK619" s="571"/>
      <c r="AL619" s="571"/>
      <c r="AN619" s="632"/>
    </row>
    <row r="620" spans="1:42" s="585" customFormat="1" ht="12.75" customHeight="1">
      <c r="A620" s="672"/>
      <c r="B620" s="651"/>
      <c r="C620" s="977"/>
      <c r="D620" s="698"/>
      <c r="E620" s="1998"/>
      <c r="F620" s="1998"/>
      <c r="G620" s="1998"/>
      <c r="H620" s="1998"/>
      <c r="I620" s="1998"/>
      <c r="J620" s="1998"/>
      <c r="K620" s="1998"/>
      <c r="L620" s="1998"/>
      <c r="M620" s="1998"/>
      <c r="N620" s="1998"/>
      <c r="O620" s="1998"/>
      <c r="P620" s="1998"/>
      <c r="Q620" s="1998"/>
      <c r="R620" s="1998"/>
      <c r="S620" s="1998"/>
      <c r="T620" s="1998"/>
      <c r="U620" s="1998"/>
      <c r="V620" s="1998"/>
      <c r="W620" s="1998"/>
      <c r="X620" s="1998"/>
      <c r="Y620" s="1998"/>
      <c r="Z620" s="1998"/>
      <c r="AA620" s="1998"/>
      <c r="AB620" s="1998"/>
      <c r="AC620" s="1998"/>
      <c r="AD620" s="1998"/>
      <c r="AE620" s="651"/>
      <c r="AF620" s="651"/>
      <c r="AG620" s="651"/>
      <c r="AH620" s="651"/>
      <c r="AI620" s="651"/>
      <c r="AJ620" s="651"/>
      <c r="AK620" s="571"/>
      <c r="AL620" s="571"/>
      <c r="AN620" s="632"/>
    </row>
    <row r="621" spans="1:42" s="585" customFormat="1" ht="12.75" customHeight="1">
      <c r="B621" s="651"/>
      <c r="C621" s="977"/>
      <c r="D621" s="698"/>
      <c r="E621" s="1998"/>
      <c r="F621" s="1998"/>
      <c r="G621" s="1998"/>
      <c r="H621" s="1998"/>
      <c r="I621" s="1998"/>
      <c r="J621" s="1998"/>
      <c r="K621" s="1998"/>
      <c r="L621" s="1998"/>
      <c r="M621" s="1998"/>
      <c r="N621" s="1998"/>
      <c r="O621" s="1998"/>
      <c r="P621" s="1998"/>
      <c r="Q621" s="1998"/>
      <c r="R621" s="1998"/>
      <c r="S621" s="1998"/>
      <c r="T621" s="1998"/>
      <c r="U621" s="1998"/>
      <c r="V621" s="1998"/>
      <c r="W621" s="1998"/>
      <c r="X621" s="1998"/>
      <c r="Y621" s="1998"/>
      <c r="Z621" s="1998"/>
      <c r="AA621" s="1998"/>
      <c r="AB621" s="1998"/>
      <c r="AC621" s="1998"/>
      <c r="AD621" s="1998"/>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4" t="s">
        <v>600</v>
      </c>
      <c r="Y623" s="1944"/>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17" t="s">
        <v>1580</v>
      </c>
      <c r="AG625" s="1917"/>
      <c r="AH625" s="1917"/>
      <c r="AI625" s="1917"/>
      <c r="AJ625" s="1917"/>
      <c r="AK625" s="1917"/>
      <c r="AL625" s="191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1999" t="s">
        <v>697</v>
      </c>
      <c r="I627" s="1999"/>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0">
        <f>VLOOKUP($H$627,$AO$594:$AP$596,2,FALSE)</f>
        <v>3</v>
      </c>
      <c r="AK629" s="1952"/>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0" t="s">
        <v>2518</v>
      </c>
      <c r="F633" s="1970"/>
      <c r="G633" s="1970"/>
      <c r="H633" s="1970"/>
      <c r="I633" s="1970"/>
      <c r="J633" s="1970"/>
      <c r="K633" s="1970"/>
      <c r="L633" s="1970"/>
      <c r="M633" s="1970"/>
      <c r="N633" s="1970"/>
      <c r="O633" s="1970"/>
      <c r="P633" s="1970"/>
      <c r="Q633" s="1970"/>
      <c r="R633" s="1970"/>
      <c r="S633" s="1970"/>
      <c r="T633" s="1970"/>
      <c r="U633" s="1970"/>
      <c r="V633" s="1970"/>
      <c r="W633" s="1970"/>
      <c r="X633" s="1970"/>
      <c r="Y633" s="1970"/>
      <c r="Z633" s="1970"/>
      <c r="AA633" s="1970"/>
      <c r="AB633" s="1970"/>
      <c r="AC633" s="1970"/>
      <c r="AD633" s="1970"/>
      <c r="AE633" s="571"/>
      <c r="AF633" s="1917" t="s">
        <v>1524</v>
      </c>
      <c r="AG633" s="1917"/>
      <c r="AH633" s="1917"/>
      <c r="AI633" s="1917"/>
      <c r="AJ633" s="1917"/>
      <c r="AK633" s="1917"/>
      <c r="AL633" s="1917"/>
      <c r="AN633" s="632"/>
    </row>
    <row r="634" spans="1:42" s="585" customFormat="1" ht="12.75" customHeight="1">
      <c r="B634" s="571"/>
      <c r="C634" s="571"/>
      <c r="D634" s="698"/>
      <c r="E634" s="1970"/>
      <c r="F634" s="1970"/>
      <c r="G634" s="1970"/>
      <c r="H634" s="1970"/>
      <c r="I634" s="1970"/>
      <c r="J634" s="1970"/>
      <c r="K634" s="1970"/>
      <c r="L634" s="1970"/>
      <c r="M634" s="1970"/>
      <c r="N634" s="1970"/>
      <c r="O634" s="1970"/>
      <c r="P634" s="1970"/>
      <c r="Q634" s="1970"/>
      <c r="R634" s="1970"/>
      <c r="S634" s="1970"/>
      <c r="T634" s="1970"/>
      <c r="U634" s="1970"/>
      <c r="V634" s="1970"/>
      <c r="W634" s="1970"/>
      <c r="X634" s="1970"/>
      <c r="Y634" s="1970"/>
      <c r="Z634" s="1970"/>
      <c r="AA634" s="1970"/>
      <c r="AB634" s="1970"/>
      <c r="AC634" s="1970"/>
      <c r="AD634" s="1970"/>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17" t="s">
        <v>1580</v>
      </c>
      <c r="AG636" s="1917"/>
      <c r="AH636" s="1917"/>
      <c r="AI636" s="1917"/>
      <c r="AJ636" s="1917"/>
      <c r="AK636" s="1917"/>
      <c r="AL636" s="1917"/>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1999" t="s">
        <v>518</v>
      </c>
      <c r="I639" s="1999"/>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0">
        <f>VLOOKUP(H639,AT594:AU596,2,FALSE)</f>
        <v>2</v>
      </c>
      <c r="AK641" s="1952"/>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0" t="s">
        <v>1590</v>
      </c>
      <c r="F646" s="1970"/>
      <c r="G646" s="1970"/>
      <c r="H646" s="1970"/>
      <c r="I646" s="1970"/>
      <c r="J646" s="1970"/>
      <c r="K646" s="1970"/>
      <c r="L646" s="1970"/>
      <c r="M646" s="1970"/>
      <c r="N646" s="1970"/>
      <c r="O646" s="1970"/>
      <c r="P646" s="1970"/>
      <c r="Q646" s="1970"/>
      <c r="R646" s="1970"/>
      <c r="S646" s="1970"/>
      <c r="T646" s="1970"/>
      <c r="U646" s="1970"/>
      <c r="V646" s="1970"/>
      <c r="W646" s="1970"/>
      <c r="X646" s="1970"/>
      <c r="Y646" s="1970"/>
      <c r="Z646" s="1970"/>
      <c r="AA646" s="1970"/>
      <c r="AB646" s="1970"/>
      <c r="AC646" s="1970"/>
      <c r="AD646" s="571"/>
      <c r="AE646" s="571"/>
      <c r="AF646" s="1917" t="s">
        <v>1550</v>
      </c>
      <c r="AG646" s="1917"/>
      <c r="AH646" s="1917"/>
      <c r="AI646" s="1917"/>
      <c r="AJ646" s="1917"/>
      <c r="AK646" s="1917"/>
      <c r="AL646" s="1917"/>
      <c r="AN646" s="632"/>
    </row>
    <row r="647" spans="1:42" s="585" customFormat="1" ht="12.75" customHeight="1">
      <c r="B647" s="571"/>
      <c r="C647" s="574"/>
      <c r="D647" s="571"/>
      <c r="E647" s="1970"/>
      <c r="F647" s="1970"/>
      <c r="G647" s="1970"/>
      <c r="H647" s="1970"/>
      <c r="I647" s="1970"/>
      <c r="J647" s="1970"/>
      <c r="K647" s="1970"/>
      <c r="L647" s="1970"/>
      <c r="M647" s="1970"/>
      <c r="N647" s="1970"/>
      <c r="O647" s="1970"/>
      <c r="P647" s="1970"/>
      <c r="Q647" s="1970"/>
      <c r="R647" s="1970"/>
      <c r="S647" s="1970"/>
      <c r="T647" s="1970"/>
      <c r="U647" s="1970"/>
      <c r="V647" s="1970"/>
      <c r="W647" s="1970"/>
      <c r="X647" s="1970"/>
      <c r="Y647" s="1970"/>
      <c r="Z647" s="1970"/>
      <c r="AA647" s="1970"/>
      <c r="AB647" s="1970"/>
      <c r="AC647" s="1970"/>
      <c r="AD647" s="571"/>
      <c r="AE647" s="571"/>
      <c r="AF647" s="571"/>
      <c r="AG647" s="571"/>
      <c r="AH647" s="571"/>
      <c r="AI647" s="571"/>
      <c r="AJ647" s="571"/>
      <c r="AK647" s="571"/>
      <c r="AL647" s="571"/>
      <c r="AN647" s="632"/>
    </row>
    <row r="648" spans="1:42" s="585" customFormat="1" ht="12.75" customHeight="1">
      <c r="B648" s="571"/>
      <c r="C648" s="574"/>
      <c r="D648" s="698"/>
      <c r="E648" s="1970"/>
      <c r="F648" s="1970"/>
      <c r="G648" s="1970"/>
      <c r="H648" s="1970"/>
      <c r="I648" s="1970"/>
      <c r="J648" s="1970"/>
      <c r="K648" s="1970"/>
      <c r="L648" s="1970"/>
      <c r="M648" s="1970"/>
      <c r="N648" s="1970"/>
      <c r="O648" s="1970"/>
      <c r="P648" s="1970"/>
      <c r="Q648" s="1970"/>
      <c r="R648" s="1970"/>
      <c r="S648" s="1970"/>
      <c r="T648" s="1970"/>
      <c r="U648" s="1970"/>
      <c r="V648" s="1970"/>
      <c r="W648" s="1970"/>
      <c r="X648" s="1970"/>
      <c r="Y648" s="1970"/>
      <c r="Z648" s="1970"/>
      <c r="AA648" s="1970"/>
      <c r="AB648" s="1970"/>
      <c r="AC648" s="1970"/>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0" t="s">
        <v>1591</v>
      </c>
      <c r="F650" s="1970"/>
      <c r="G650" s="1970"/>
      <c r="H650" s="1970"/>
      <c r="I650" s="1970"/>
      <c r="J650" s="1970"/>
      <c r="K650" s="1970"/>
      <c r="L650" s="1970"/>
      <c r="M650" s="1970"/>
      <c r="N650" s="1970"/>
      <c r="O650" s="1970"/>
      <c r="P650" s="1970"/>
      <c r="Q650" s="1970"/>
      <c r="R650" s="1970"/>
      <c r="S650" s="1970"/>
      <c r="T650" s="1970"/>
      <c r="U650" s="1970"/>
      <c r="V650" s="1970"/>
      <c r="W650" s="1970"/>
      <c r="X650" s="1970"/>
      <c r="Y650" s="1970"/>
      <c r="Z650" s="1970"/>
      <c r="AA650" s="1970"/>
      <c r="AB650" s="1970"/>
      <c r="AC650" s="1970"/>
      <c r="AD650" s="571"/>
      <c r="AE650" s="571"/>
      <c r="AF650" s="1917" t="s">
        <v>1571</v>
      </c>
      <c r="AG650" s="1917"/>
      <c r="AH650" s="1917"/>
      <c r="AI650" s="1917"/>
      <c r="AJ650" s="1917"/>
      <c r="AK650" s="1917"/>
      <c r="AL650" s="1917"/>
      <c r="AN650" s="632"/>
    </row>
    <row r="651" spans="1:42" s="585" customFormat="1" ht="12.75" customHeight="1">
      <c r="B651" s="571"/>
      <c r="C651" s="574"/>
      <c r="D651" s="571"/>
      <c r="E651" s="1970"/>
      <c r="F651" s="1970"/>
      <c r="G651" s="1970"/>
      <c r="H651" s="1970"/>
      <c r="I651" s="1970"/>
      <c r="J651" s="1970"/>
      <c r="K651" s="1970"/>
      <c r="L651" s="1970"/>
      <c r="M651" s="1970"/>
      <c r="N651" s="1970"/>
      <c r="O651" s="1970"/>
      <c r="P651" s="1970"/>
      <c r="Q651" s="1970"/>
      <c r="R651" s="1970"/>
      <c r="S651" s="1970"/>
      <c r="T651" s="1970"/>
      <c r="U651" s="1970"/>
      <c r="V651" s="1970"/>
      <c r="W651" s="1970"/>
      <c r="X651" s="1970"/>
      <c r="Y651" s="1970"/>
      <c r="Z651" s="1970"/>
      <c r="AA651" s="1970"/>
      <c r="AB651" s="1970"/>
      <c r="AC651" s="1970"/>
      <c r="AD651" s="571"/>
      <c r="AE651" s="571"/>
      <c r="AF651" s="571"/>
      <c r="AG651" s="571"/>
      <c r="AH651" s="571"/>
      <c r="AI651" s="571"/>
      <c r="AJ651" s="571"/>
      <c r="AK651" s="571"/>
      <c r="AL651" s="571"/>
      <c r="AN651" s="632"/>
    </row>
    <row r="652" spans="1:42" s="585" customFormat="1" ht="15" customHeight="1">
      <c r="B652" s="571"/>
      <c r="C652" s="574"/>
      <c r="D652" s="698"/>
      <c r="E652" s="1970"/>
      <c r="F652" s="1970"/>
      <c r="G652" s="1970"/>
      <c r="H652" s="1970"/>
      <c r="I652" s="1970"/>
      <c r="J652" s="1970"/>
      <c r="K652" s="1970"/>
      <c r="L652" s="1970"/>
      <c r="M652" s="1970"/>
      <c r="N652" s="1970"/>
      <c r="O652" s="1970"/>
      <c r="P652" s="1970"/>
      <c r="Q652" s="1970"/>
      <c r="R652" s="1970"/>
      <c r="S652" s="1970"/>
      <c r="T652" s="1970"/>
      <c r="U652" s="1970"/>
      <c r="V652" s="1970"/>
      <c r="W652" s="1970"/>
      <c r="X652" s="1970"/>
      <c r="Y652" s="1970"/>
      <c r="Z652" s="1970"/>
      <c r="AA652" s="1970"/>
      <c r="AB652" s="1970"/>
      <c r="AC652" s="1970"/>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0" t="s">
        <v>1592</v>
      </c>
      <c r="F654" s="1970"/>
      <c r="G654" s="1970"/>
      <c r="H654" s="1970"/>
      <c r="I654" s="1970"/>
      <c r="J654" s="1970"/>
      <c r="K654" s="1970"/>
      <c r="L654" s="1970"/>
      <c r="M654" s="1970"/>
      <c r="N654" s="1970"/>
      <c r="O654" s="1970"/>
      <c r="P654" s="1970"/>
      <c r="Q654" s="1970"/>
      <c r="R654" s="1970"/>
      <c r="S654" s="1970"/>
      <c r="T654" s="1970"/>
      <c r="U654" s="1970"/>
      <c r="V654" s="1970"/>
      <c r="W654" s="1970"/>
      <c r="X654" s="1970"/>
      <c r="Y654" s="1970"/>
      <c r="Z654" s="1970"/>
      <c r="AA654" s="1970"/>
      <c r="AB654" s="1970"/>
      <c r="AC654" s="1970"/>
      <c r="AD654" s="571"/>
      <c r="AE654" s="571"/>
      <c r="AF654" s="1917" t="s">
        <v>1524</v>
      </c>
      <c r="AG654" s="1917"/>
      <c r="AH654" s="1917"/>
      <c r="AI654" s="1917"/>
      <c r="AJ654" s="1917"/>
      <c r="AK654" s="1917"/>
      <c r="AL654" s="1917"/>
      <c r="AN654" s="632"/>
    </row>
    <row r="655" spans="1:42" s="585" customFormat="1" ht="12.75" customHeight="1">
      <c r="B655" s="571"/>
      <c r="C655" s="968"/>
      <c r="D655" s="571"/>
      <c r="E655" s="1970"/>
      <c r="F655" s="1970"/>
      <c r="G655" s="1970"/>
      <c r="H655" s="1970"/>
      <c r="I655" s="1970"/>
      <c r="J655" s="1970"/>
      <c r="K655" s="1970"/>
      <c r="L655" s="1970"/>
      <c r="M655" s="1970"/>
      <c r="N655" s="1970"/>
      <c r="O655" s="1970"/>
      <c r="P655" s="1970"/>
      <c r="Q655" s="1970"/>
      <c r="R655" s="1970"/>
      <c r="S655" s="1970"/>
      <c r="T655" s="1970"/>
      <c r="U655" s="1970"/>
      <c r="V655" s="1970"/>
      <c r="W655" s="1970"/>
      <c r="X655" s="1970"/>
      <c r="Y655" s="1970"/>
      <c r="Z655" s="1970"/>
      <c r="AA655" s="1970"/>
      <c r="AB655" s="1970"/>
      <c r="AC655" s="1970"/>
      <c r="AD655" s="571"/>
      <c r="AE655" s="1917"/>
      <c r="AF655" s="1917"/>
      <c r="AG655" s="1917"/>
      <c r="AH655" s="1917"/>
      <c r="AI655" s="1917"/>
      <c r="AJ655" s="1917"/>
      <c r="AK655" s="1917"/>
      <c r="AL655" s="629"/>
      <c r="AN655" s="632"/>
      <c r="AO655" s="585" t="s">
        <v>600</v>
      </c>
      <c r="AP655" s="708">
        <v>0</v>
      </c>
    </row>
    <row r="656" spans="1:42" s="585" customFormat="1" ht="12.75" customHeight="1">
      <c r="A656" s="714"/>
      <c r="B656" s="571"/>
      <c r="C656" s="571"/>
      <c r="D656" s="698"/>
      <c r="E656" s="1970"/>
      <c r="F656" s="1970"/>
      <c r="G656" s="1970"/>
      <c r="H656" s="1970"/>
      <c r="I656" s="1970"/>
      <c r="J656" s="1970"/>
      <c r="K656" s="1970"/>
      <c r="L656" s="1970"/>
      <c r="M656" s="1970"/>
      <c r="N656" s="1970"/>
      <c r="O656" s="1970"/>
      <c r="P656" s="1970"/>
      <c r="Q656" s="1970"/>
      <c r="R656" s="1970"/>
      <c r="S656" s="1970"/>
      <c r="T656" s="1970"/>
      <c r="U656" s="1970"/>
      <c r="V656" s="1970"/>
      <c r="W656" s="1970"/>
      <c r="X656" s="1970"/>
      <c r="Y656" s="1970"/>
      <c r="Z656" s="1970"/>
      <c r="AA656" s="1970"/>
      <c r="AB656" s="1970"/>
      <c r="AC656" s="1970"/>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0" t="s">
        <v>1593</v>
      </c>
      <c r="F658" s="1970"/>
      <c r="G658" s="1970"/>
      <c r="H658" s="1970"/>
      <c r="I658" s="1970"/>
      <c r="J658" s="1970"/>
      <c r="K658" s="1970"/>
      <c r="L658" s="1970"/>
      <c r="M658" s="1970"/>
      <c r="N658" s="1970"/>
      <c r="O658" s="1970"/>
      <c r="P658" s="1970"/>
      <c r="Q658" s="1970"/>
      <c r="R658" s="1970"/>
      <c r="S658" s="1970"/>
      <c r="T658" s="1970"/>
      <c r="U658" s="1970"/>
      <c r="V658" s="1970"/>
      <c r="W658" s="1970"/>
      <c r="X658" s="1970"/>
      <c r="Y658" s="1970"/>
      <c r="Z658" s="1970"/>
      <c r="AA658" s="1970"/>
      <c r="AB658" s="1970"/>
      <c r="AC658" s="1970"/>
      <c r="AD658" s="571"/>
      <c r="AE658" s="571"/>
      <c r="AF658" s="1917" t="s">
        <v>1571</v>
      </c>
      <c r="AG658" s="1917"/>
      <c r="AH658" s="1917"/>
      <c r="AI658" s="1917"/>
      <c r="AJ658" s="1917"/>
      <c r="AK658" s="1917"/>
      <c r="AL658" s="1917"/>
      <c r="AN658" s="632"/>
    </row>
    <row r="659" spans="1:42" s="585" customFormat="1" ht="12.75" customHeight="1">
      <c r="A659" s="705"/>
      <c r="B659" s="571"/>
      <c r="C659" s="984"/>
      <c r="D659" s="698"/>
      <c r="E659" s="1970"/>
      <c r="F659" s="1970"/>
      <c r="G659" s="1970"/>
      <c r="H659" s="1970"/>
      <c r="I659" s="1970"/>
      <c r="J659" s="1970"/>
      <c r="K659" s="1970"/>
      <c r="L659" s="1970"/>
      <c r="M659" s="1970"/>
      <c r="N659" s="1970"/>
      <c r="O659" s="1970"/>
      <c r="P659" s="1970"/>
      <c r="Q659" s="1970"/>
      <c r="R659" s="1970"/>
      <c r="S659" s="1970"/>
      <c r="T659" s="1970"/>
      <c r="U659" s="1970"/>
      <c r="V659" s="1970"/>
      <c r="W659" s="1970"/>
      <c r="X659" s="1970"/>
      <c r="Y659" s="1970"/>
      <c r="Z659" s="1970"/>
      <c r="AA659" s="1970"/>
      <c r="AB659" s="1970"/>
      <c r="AC659" s="1970"/>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0"/>
      <c r="F660" s="1970"/>
      <c r="G660" s="1970"/>
      <c r="H660" s="1970"/>
      <c r="I660" s="1970"/>
      <c r="J660" s="1970"/>
      <c r="K660" s="1970"/>
      <c r="L660" s="1970"/>
      <c r="M660" s="1970"/>
      <c r="N660" s="1970"/>
      <c r="O660" s="1970"/>
      <c r="P660" s="1970"/>
      <c r="Q660" s="1970"/>
      <c r="R660" s="1970"/>
      <c r="S660" s="1970"/>
      <c r="T660" s="1970"/>
      <c r="U660" s="1970"/>
      <c r="V660" s="1970"/>
      <c r="W660" s="1970"/>
      <c r="X660" s="1970"/>
      <c r="Y660" s="1970"/>
      <c r="Z660" s="1970"/>
      <c r="AA660" s="1970"/>
      <c r="AB660" s="1970"/>
      <c r="AC660" s="1970"/>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0" t="s">
        <v>1594</v>
      </c>
      <c r="F662" s="1970"/>
      <c r="G662" s="1970"/>
      <c r="H662" s="1970"/>
      <c r="I662" s="1970"/>
      <c r="J662" s="1970"/>
      <c r="K662" s="1970"/>
      <c r="L662" s="1970"/>
      <c r="M662" s="1970"/>
      <c r="N662" s="1970"/>
      <c r="O662" s="1970"/>
      <c r="P662" s="1970"/>
      <c r="Q662" s="1970"/>
      <c r="R662" s="1970"/>
      <c r="S662" s="1970"/>
      <c r="T662" s="1970"/>
      <c r="U662" s="1970"/>
      <c r="V662" s="1970"/>
      <c r="W662" s="1970"/>
      <c r="X662" s="1970"/>
      <c r="Y662" s="1970"/>
      <c r="Z662" s="1970"/>
      <c r="AA662" s="1970"/>
      <c r="AB662" s="1970"/>
      <c r="AC662" s="1970"/>
      <c r="AD662" s="571"/>
      <c r="AE662" s="571"/>
      <c r="AF662" s="1917" t="s">
        <v>1524</v>
      </c>
      <c r="AG662" s="1917"/>
      <c r="AH662" s="1917"/>
      <c r="AI662" s="1917"/>
      <c r="AJ662" s="1917"/>
      <c r="AK662" s="1917"/>
      <c r="AL662" s="1917"/>
      <c r="AM662" s="631"/>
      <c r="AN662" s="632"/>
    </row>
    <row r="663" spans="1:42" s="585" customFormat="1" ht="12.75" customHeight="1">
      <c r="B663" s="571"/>
      <c r="C663" s="968"/>
      <c r="D663" s="698"/>
      <c r="E663" s="1970"/>
      <c r="F663" s="1970"/>
      <c r="G663" s="1970"/>
      <c r="H663" s="1970"/>
      <c r="I663" s="1970"/>
      <c r="J663" s="1970"/>
      <c r="K663" s="1970"/>
      <c r="L663" s="1970"/>
      <c r="M663" s="1970"/>
      <c r="N663" s="1970"/>
      <c r="O663" s="1970"/>
      <c r="P663" s="1970"/>
      <c r="Q663" s="1970"/>
      <c r="R663" s="1970"/>
      <c r="S663" s="1970"/>
      <c r="T663" s="1970"/>
      <c r="U663" s="1970"/>
      <c r="V663" s="1970"/>
      <c r="W663" s="1970"/>
      <c r="X663" s="1970"/>
      <c r="Y663" s="1970"/>
      <c r="Z663" s="1970"/>
      <c r="AA663" s="1970"/>
      <c r="AB663" s="1970"/>
      <c r="AC663" s="1970"/>
      <c r="AD663" s="571"/>
      <c r="AE663" s="571"/>
      <c r="AF663" s="571"/>
      <c r="AG663" s="571"/>
      <c r="AH663" s="571"/>
      <c r="AI663" s="571"/>
      <c r="AJ663" s="571"/>
      <c r="AK663" s="571"/>
      <c r="AL663" s="571"/>
      <c r="AM663" s="631"/>
      <c r="AN663" s="632"/>
    </row>
    <row r="664" spans="1:42" s="585" customFormat="1" ht="12.75" customHeight="1">
      <c r="B664" s="571"/>
      <c r="C664" s="968"/>
      <c r="D664" s="698"/>
      <c r="E664" s="1970"/>
      <c r="F664" s="1970"/>
      <c r="G664" s="1970"/>
      <c r="H664" s="1970"/>
      <c r="I664" s="1970"/>
      <c r="J664" s="1970"/>
      <c r="K664" s="1970"/>
      <c r="L664" s="1970"/>
      <c r="M664" s="1970"/>
      <c r="N664" s="1970"/>
      <c r="O664" s="1970"/>
      <c r="P664" s="1970"/>
      <c r="Q664" s="1970"/>
      <c r="R664" s="1970"/>
      <c r="S664" s="1970"/>
      <c r="T664" s="1970"/>
      <c r="U664" s="1970"/>
      <c r="V664" s="1970"/>
      <c r="W664" s="1970"/>
      <c r="X664" s="1970"/>
      <c r="Y664" s="1970"/>
      <c r="Z664" s="1970"/>
      <c r="AA664" s="1970"/>
      <c r="AB664" s="1970"/>
      <c r="AC664" s="1970"/>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0" t="s">
        <v>1595</v>
      </c>
      <c r="F666" s="1970"/>
      <c r="G666" s="1970"/>
      <c r="H666" s="1970"/>
      <c r="I666" s="1970"/>
      <c r="J666" s="1970"/>
      <c r="K666" s="1970"/>
      <c r="L666" s="1970"/>
      <c r="M666" s="1970"/>
      <c r="N666" s="1970"/>
      <c r="O666" s="1970"/>
      <c r="P666" s="1970"/>
      <c r="Q666" s="1970"/>
      <c r="R666" s="1970"/>
      <c r="S666" s="1970"/>
      <c r="T666" s="1970"/>
      <c r="U666" s="1970"/>
      <c r="V666" s="1970"/>
      <c r="W666" s="1970"/>
      <c r="X666" s="1970"/>
      <c r="Y666" s="1970"/>
      <c r="Z666" s="1970"/>
      <c r="AA666" s="1970"/>
      <c r="AB666" s="1970"/>
      <c r="AC666" s="1970"/>
      <c r="AD666" s="571"/>
      <c r="AE666" s="571"/>
      <c r="AF666" s="1917" t="s">
        <v>1580</v>
      </c>
      <c r="AG666" s="1917"/>
      <c r="AH666" s="1917"/>
      <c r="AI666" s="1917"/>
      <c r="AJ666" s="1917"/>
      <c r="AK666" s="1917"/>
      <c r="AL666" s="1917"/>
      <c r="AM666" s="631"/>
      <c r="AN666" s="632"/>
    </row>
    <row r="667" spans="1:42" s="585" customFormat="1" ht="12.75" customHeight="1">
      <c r="A667" s="714"/>
      <c r="B667" s="571"/>
      <c r="C667" s="968"/>
      <c r="D667" s="698"/>
      <c r="E667" s="1970"/>
      <c r="F667" s="1970"/>
      <c r="G667" s="1970"/>
      <c r="H667" s="1970"/>
      <c r="I667" s="1970"/>
      <c r="J667" s="1970"/>
      <c r="K667" s="1970"/>
      <c r="L667" s="1970"/>
      <c r="M667" s="1970"/>
      <c r="N667" s="1970"/>
      <c r="O667" s="1970"/>
      <c r="P667" s="1970"/>
      <c r="Q667" s="1970"/>
      <c r="R667" s="1970"/>
      <c r="S667" s="1970"/>
      <c r="T667" s="1970"/>
      <c r="U667" s="1970"/>
      <c r="V667" s="1970"/>
      <c r="W667" s="1970"/>
      <c r="X667" s="1970"/>
      <c r="Y667" s="1970"/>
      <c r="Z667" s="1970"/>
      <c r="AA667" s="1970"/>
      <c r="AB667" s="1970"/>
      <c r="AC667" s="1970"/>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0"/>
      <c r="F668" s="1970"/>
      <c r="G668" s="1970"/>
      <c r="H668" s="1970"/>
      <c r="I668" s="1970"/>
      <c r="J668" s="1970"/>
      <c r="K668" s="1970"/>
      <c r="L668" s="1970"/>
      <c r="M668" s="1970"/>
      <c r="N668" s="1970"/>
      <c r="O668" s="1970"/>
      <c r="P668" s="1970"/>
      <c r="Q668" s="1970"/>
      <c r="R668" s="1970"/>
      <c r="S668" s="1970"/>
      <c r="T668" s="1970"/>
      <c r="U668" s="1970"/>
      <c r="V668" s="1970"/>
      <c r="W668" s="1970"/>
      <c r="X668" s="1970"/>
      <c r="Y668" s="1970"/>
      <c r="Z668" s="1970"/>
      <c r="AA668" s="1970"/>
      <c r="AB668" s="1970"/>
      <c r="AC668" s="1970"/>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0" t="s">
        <v>1596</v>
      </c>
      <c r="F670" s="1970"/>
      <c r="G670" s="1970"/>
      <c r="H670" s="1970"/>
      <c r="I670" s="1970"/>
      <c r="J670" s="1970"/>
      <c r="K670" s="1970"/>
      <c r="L670" s="1970"/>
      <c r="M670" s="1970"/>
      <c r="N670" s="1970"/>
      <c r="O670" s="1970"/>
      <c r="P670" s="1970"/>
      <c r="Q670" s="1970"/>
      <c r="R670" s="1970"/>
      <c r="S670" s="1970"/>
      <c r="T670" s="1970"/>
      <c r="U670" s="1970"/>
      <c r="V670" s="1970"/>
      <c r="W670" s="1970"/>
      <c r="X670" s="1970"/>
      <c r="Y670" s="1970"/>
      <c r="Z670" s="1970"/>
      <c r="AA670" s="1970"/>
      <c r="AB670" s="1970"/>
      <c r="AC670" s="1970"/>
      <c r="AD670" s="571"/>
      <c r="AE670" s="571"/>
      <c r="AF670" s="1917" t="s">
        <v>1597</v>
      </c>
      <c r="AG670" s="1917"/>
      <c r="AH670" s="1917"/>
      <c r="AI670" s="1917"/>
      <c r="AJ670" s="1917"/>
      <c r="AK670" s="1917"/>
      <c r="AL670" s="1917"/>
      <c r="AM670" s="631"/>
      <c r="AN670" s="632"/>
      <c r="AO670" s="646" t="s">
        <v>697</v>
      </c>
      <c r="AP670" s="585">
        <v>3</v>
      </c>
    </row>
    <row r="671" spans="1:42" s="585" customFormat="1" ht="12.75" customHeight="1">
      <c r="A671" s="714"/>
      <c r="B671" s="571"/>
      <c r="C671" s="968"/>
      <c r="D671" s="698"/>
      <c r="E671" s="1970"/>
      <c r="F671" s="1970"/>
      <c r="G671" s="1970"/>
      <c r="H671" s="1970"/>
      <c r="I671" s="1970"/>
      <c r="J671" s="1970"/>
      <c r="K671" s="1970"/>
      <c r="L671" s="1970"/>
      <c r="M671" s="1970"/>
      <c r="N671" s="1970"/>
      <c r="O671" s="1970"/>
      <c r="P671" s="1970"/>
      <c r="Q671" s="1970"/>
      <c r="R671" s="1970"/>
      <c r="S671" s="1970"/>
      <c r="T671" s="1970"/>
      <c r="U671" s="1970"/>
      <c r="V671" s="1970"/>
      <c r="W671" s="1970"/>
      <c r="X671" s="1970"/>
      <c r="Y671" s="1970"/>
      <c r="Z671" s="1970"/>
      <c r="AA671" s="1970"/>
      <c r="AB671" s="1970"/>
      <c r="AC671" s="1970"/>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0"/>
      <c r="F672" s="1970"/>
      <c r="G672" s="1970"/>
      <c r="H672" s="1970"/>
      <c r="I672" s="1970"/>
      <c r="J672" s="1970"/>
      <c r="K672" s="1970"/>
      <c r="L672" s="1970"/>
      <c r="M672" s="1970"/>
      <c r="N672" s="1970"/>
      <c r="O672" s="1970"/>
      <c r="P672" s="1970"/>
      <c r="Q672" s="1970"/>
      <c r="R672" s="1970"/>
      <c r="S672" s="1970"/>
      <c r="T672" s="1970"/>
      <c r="U672" s="1970"/>
      <c r="V672" s="1970"/>
      <c r="W672" s="1970"/>
      <c r="X672" s="1970"/>
      <c r="Y672" s="1970"/>
      <c r="Z672" s="1970"/>
      <c r="AA672" s="1970"/>
      <c r="AB672" s="1970"/>
      <c r="AC672" s="1970"/>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1999" t="s">
        <v>600</v>
      </c>
      <c r="I674" s="1999"/>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0">
        <f>VLOOKUP($H$674,$AO$622:$AP$629,2,FALSE)</f>
        <v>0</v>
      </c>
      <c r="AK676" s="1952"/>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2557</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0" t="s">
        <v>2555</v>
      </c>
      <c r="F680" s="1970"/>
      <c r="G680" s="1970"/>
      <c r="H680" s="1970"/>
      <c r="I680" s="1970"/>
      <c r="J680" s="1970"/>
      <c r="K680" s="1970"/>
      <c r="L680" s="1970"/>
      <c r="M680" s="1970"/>
      <c r="N680" s="1970"/>
      <c r="O680" s="1970"/>
      <c r="P680" s="1970"/>
      <c r="Q680" s="1970"/>
      <c r="R680" s="1970"/>
      <c r="S680" s="1970"/>
      <c r="T680" s="1970"/>
      <c r="U680" s="1970"/>
      <c r="V680" s="1970"/>
      <c r="W680" s="1970"/>
      <c r="X680" s="1970"/>
      <c r="Y680" s="1970"/>
      <c r="Z680" s="1970"/>
      <c r="AA680" s="1970"/>
      <c r="AB680" s="1970"/>
      <c r="AC680" s="571"/>
      <c r="AD680" s="571"/>
      <c r="AE680" s="571"/>
      <c r="AF680" s="1917" t="s">
        <v>1524</v>
      </c>
      <c r="AG680" s="1917"/>
      <c r="AH680" s="1917"/>
      <c r="AI680" s="1917"/>
      <c r="AJ680" s="1917"/>
      <c r="AK680" s="1917"/>
      <c r="AL680" s="1917"/>
      <c r="AN680" s="632"/>
    </row>
    <row r="681" spans="1:42" s="585" customFormat="1" ht="12.75" customHeight="1">
      <c r="B681" s="571"/>
      <c r="C681" s="977"/>
      <c r="D681" s="698"/>
      <c r="E681" s="1970"/>
      <c r="F681" s="1970"/>
      <c r="G681" s="1970"/>
      <c r="H681" s="1970"/>
      <c r="I681" s="1970"/>
      <c r="J681" s="1970"/>
      <c r="K681" s="1970"/>
      <c r="L681" s="1970"/>
      <c r="M681" s="1970"/>
      <c r="N681" s="1970"/>
      <c r="O681" s="1970"/>
      <c r="P681" s="1970"/>
      <c r="Q681" s="1970"/>
      <c r="R681" s="1970"/>
      <c r="S681" s="1970"/>
      <c r="T681" s="1970"/>
      <c r="U681" s="1970"/>
      <c r="V681" s="1970"/>
      <c r="W681" s="1970"/>
      <c r="X681" s="1970"/>
      <c r="Y681" s="1970"/>
      <c r="Z681" s="1970"/>
      <c r="AA681" s="1970"/>
      <c r="AB681" s="1970"/>
      <c r="AC681" s="571"/>
      <c r="AD681" s="571"/>
      <c r="AE681" s="651"/>
      <c r="AF681" s="571"/>
      <c r="AG681" s="571"/>
      <c r="AH681" s="571"/>
      <c r="AI681" s="571"/>
      <c r="AJ681" s="571"/>
      <c r="AK681" s="571"/>
      <c r="AL681" s="571"/>
      <c r="AN681" s="632"/>
      <c r="AO681" s="2002"/>
      <c r="AP681" s="2002"/>
    </row>
    <row r="682" spans="1:42" s="585" customFormat="1" ht="12.75" customHeight="1">
      <c r="B682" s="571"/>
      <c r="C682" s="977"/>
      <c r="D682" s="698"/>
      <c r="E682" s="1970"/>
      <c r="F682" s="1970"/>
      <c r="G682" s="1970"/>
      <c r="H682" s="1970"/>
      <c r="I682" s="1970"/>
      <c r="J682" s="1970"/>
      <c r="K682" s="1970"/>
      <c r="L682" s="1970"/>
      <c r="M682" s="1970"/>
      <c r="N682" s="1970"/>
      <c r="O682" s="1970"/>
      <c r="P682" s="1970"/>
      <c r="Q682" s="1970"/>
      <c r="R682" s="1970"/>
      <c r="S682" s="1970"/>
      <c r="T682" s="1970"/>
      <c r="U682" s="1970"/>
      <c r="V682" s="1970"/>
      <c r="W682" s="1970"/>
      <c r="X682" s="1970"/>
      <c r="Y682" s="1970"/>
      <c r="Z682" s="1970"/>
      <c r="AA682" s="1970"/>
      <c r="AB682" s="1970"/>
      <c r="AC682" s="571"/>
      <c r="AD682" s="571"/>
      <c r="AE682" s="651"/>
      <c r="AF682" s="651"/>
      <c r="AG682" s="651"/>
      <c r="AH682" s="651"/>
      <c r="AI682" s="651"/>
      <c r="AJ682" s="651"/>
      <c r="AK682" s="651"/>
      <c r="AL682" s="651"/>
      <c r="AN682" s="632"/>
    </row>
    <row r="683" spans="1:42" s="585" customFormat="1" ht="28.5" customHeight="1">
      <c r="B683" s="571"/>
      <c r="C683" s="977"/>
      <c r="D683" s="698"/>
      <c r="E683" s="1970"/>
      <c r="F683" s="1970"/>
      <c r="G683" s="1970"/>
      <c r="H683" s="1970"/>
      <c r="I683" s="1970"/>
      <c r="J683" s="1970"/>
      <c r="K683" s="1970"/>
      <c r="L683" s="1970"/>
      <c r="M683" s="1970"/>
      <c r="N683" s="1970"/>
      <c r="O683" s="1970"/>
      <c r="P683" s="1970"/>
      <c r="Q683" s="1970"/>
      <c r="R683" s="1970"/>
      <c r="S683" s="1970"/>
      <c r="T683" s="1970"/>
      <c r="U683" s="1970"/>
      <c r="V683" s="1970"/>
      <c r="W683" s="1970"/>
      <c r="X683" s="1970"/>
      <c r="Y683" s="1970"/>
      <c r="Z683" s="1970"/>
      <c r="AA683" s="1970"/>
      <c r="AB683" s="1970"/>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0" t="s">
        <v>2556</v>
      </c>
      <c r="F685" s="1970"/>
      <c r="G685" s="1970"/>
      <c r="H685" s="1970"/>
      <c r="I685" s="1970"/>
      <c r="J685" s="1970"/>
      <c r="K685" s="1970"/>
      <c r="L685" s="1970"/>
      <c r="M685" s="1970"/>
      <c r="N685" s="1970"/>
      <c r="O685" s="1970"/>
      <c r="P685" s="1970"/>
      <c r="Q685" s="1970"/>
      <c r="R685" s="1970"/>
      <c r="S685" s="1970"/>
      <c r="T685" s="1970"/>
      <c r="U685" s="1970"/>
      <c r="V685" s="1970"/>
      <c r="W685" s="1970"/>
      <c r="X685" s="1970"/>
      <c r="Y685" s="1970"/>
      <c r="Z685" s="1970"/>
      <c r="AA685" s="1970"/>
      <c r="AB685" s="1970"/>
      <c r="AC685" s="571"/>
      <c r="AD685" s="571"/>
      <c r="AE685" s="571"/>
      <c r="AF685" s="1917" t="s">
        <v>1580</v>
      </c>
      <c r="AG685" s="1917"/>
      <c r="AH685" s="1917"/>
      <c r="AI685" s="1917"/>
      <c r="AJ685" s="1917"/>
      <c r="AK685" s="1917"/>
      <c r="AL685" s="1917"/>
      <c r="AN685" s="632"/>
      <c r="AO685" s="646" t="s">
        <v>518</v>
      </c>
      <c r="AP685" s="585">
        <v>1</v>
      </c>
    </row>
    <row r="686" spans="1:42" s="585" customFormat="1" ht="12" customHeight="1">
      <c r="B686" s="571"/>
      <c r="C686" s="968"/>
      <c r="D686" s="571"/>
      <c r="E686" s="1970"/>
      <c r="F686" s="1970"/>
      <c r="G686" s="1970"/>
      <c r="H686" s="1970"/>
      <c r="I686" s="1970"/>
      <c r="J686" s="1970"/>
      <c r="K686" s="1970"/>
      <c r="L686" s="1970"/>
      <c r="M686" s="1970"/>
      <c r="N686" s="1970"/>
      <c r="O686" s="1970"/>
      <c r="P686" s="1970"/>
      <c r="Q686" s="1970"/>
      <c r="R686" s="1970"/>
      <c r="S686" s="1970"/>
      <c r="T686" s="1970"/>
      <c r="U686" s="1970"/>
      <c r="V686" s="1970"/>
      <c r="W686" s="1970"/>
      <c r="X686" s="1970"/>
      <c r="Y686" s="1970"/>
      <c r="Z686" s="1970"/>
      <c r="AA686" s="1970"/>
      <c r="AB686" s="1970"/>
      <c r="AC686" s="571"/>
      <c r="AD686" s="571"/>
      <c r="AE686" s="651"/>
      <c r="AF686" s="571"/>
      <c r="AG686" s="571"/>
      <c r="AH686" s="571"/>
      <c r="AI686" s="571"/>
      <c r="AJ686" s="571"/>
      <c r="AK686" s="571"/>
      <c r="AL686" s="571"/>
      <c r="AN686" s="632"/>
    </row>
    <row r="687" spans="1:42" s="585" customFormat="1" ht="12" customHeight="1">
      <c r="B687" s="571"/>
      <c r="C687" s="968"/>
      <c r="D687" s="571"/>
      <c r="E687" s="1970"/>
      <c r="F687" s="1970"/>
      <c r="G687" s="1970"/>
      <c r="H687" s="1970"/>
      <c r="I687" s="1970"/>
      <c r="J687" s="1970"/>
      <c r="K687" s="1970"/>
      <c r="L687" s="1970"/>
      <c r="M687" s="1970"/>
      <c r="N687" s="1970"/>
      <c r="O687" s="1970"/>
      <c r="P687" s="1970"/>
      <c r="Q687" s="1970"/>
      <c r="R687" s="1970"/>
      <c r="S687" s="1970"/>
      <c r="T687" s="1970"/>
      <c r="U687" s="1970"/>
      <c r="V687" s="1970"/>
      <c r="W687" s="1970"/>
      <c r="X687" s="1970"/>
      <c r="Y687" s="1970"/>
      <c r="Z687" s="1970"/>
      <c r="AA687" s="1970"/>
      <c r="AB687" s="1970"/>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0"/>
      <c r="F688" s="1970"/>
      <c r="G688" s="1970"/>
      <c r="H688" s="1970"/>
      <c r="I688" s="1970"/>
      <c r="J688" s="1970"/>
      <c r="K688" s="1970"/>
      <c r="L688" s="1970"/>
      <c r="M688" s="1970"/>
      <c r="N688" s="1970"/>
      <c r="O688" s="1970"/>
      <c r="P688" s="1970"/>
      <c r="Q688" s="1970"/>
      <c r="R688" s="1970"/>
      <c r="S688" s="1970"/>
      <c r="T688" s="1970"/>
      <c r="U688" s="1970"/>
      <c r="V688" s="1970"/>
      <c r="W688" s="1970"/>
      <c r="X688" s="1970"/>
      <c r="Y688" s="1970"/>
      <c r="Z688" s="1970"/>
      <c r="AA688" s="1970"/>
      <c r="AB688" s="1970"/>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0" t="s">
        <v>1953</v>
      </c>
      <c r="F690" s="1970"/>
      <c r="G690" s="1970"/>
      <c r="H690" s="1970"/>
      <c r="I690" s="1970"/>
      <c r="J690" s="1970"/>
      <c r="K690" s="1970"/>
      <c r="L690" s="1970"/>
      <c r="M690" s="1970"/>
      <c r="N690" s="1970"/>
      <c r="O690" s="1970"/>
      <c r="P690" s="1970"/>
      <c r="Q690" s="1970"/>
      <c r="R690" s="1970"/>
      <c r="S690" s="1970"/>
      <c r="T690" s="1970"/>
      <c r="U690" s="1970"/>
      <c r="V690" s="1970"/>
      <c r="W690" s="1970"/>
      <c r="X690" s="1970"/>
      <c r="Y690" s="1970"/>
      <c r="Z690" s="1970"/>
      <c r="AA690" s="1970"/>
      <c r="AB690" s="1970"/>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0"/>
      <c r="F691" s="1970"/>
      <c r="G691" s="1970"/>
      <c r="H691" s="1970"/>
      <c r="I691" s="1970"/>
      <c r="J691" s="1970"/>
      <c r="K691" s="1970"/>
      <c r="L691" s="1970"/>
      <c r="M691" s="1970"/>
      <c r="N691" s="1970"/>
      <c r="O691" s="1970"/>
      <c r="P691" s="1970"/>
      <c r="Q691" s="1970"/>
      <c r="R691" s="1970"/>
      <c r="S691" s="1970"/>
      <c r="T691" s="1970"/>
      <c r="U691" s="1970"/>
      <c r="V691" s="1970"/>
      <c r="W691" s="1970"/>
      <c r="X691" s="1970"/>
      <c r="Y691" s="1970"/>
      <c r="Z691" s="1970"/>
      <c r="AA691" s="1970"/>
      <c r="AB691" s="1970"/>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0"/>
      <c r="F692" s="1970"/>
      <c r="G692" s="1970"/>
      <c r="H692" s="1970"/>
      <c r="I692" s="1970"/>
      <c r="J692" s="1970"/>
      <c r="K692" s="1970"/>
      <c r="L692" s="1970"/>
      <c r="M692" s="1970"/>
      <c r="N692" s="1970"/>
      <c r="O692" s="1970"/>
      <c r="P692" s="1970"/>
      <c r="Q692" s="1970"/>
      <c r="R692" s="1970"/>
      <c r="S692" s="1970"/>
      <c r="T692" s="1970"/>
      <c r="U692" s="1970"/>
      <c r="V692" s="1970"/>
      <c r="W692" s="1970"/>
      <c r="X692" s="1970"/>
      <c r="Y692" s="1970"/>
      <c r="Z692" s="1970"/>
      <c r="AA692" s="1970"/>
      <c r="AB692" s="1970"/>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1999" t="s">
        <v>600</v>
      </c>
      <c r="I694" s="1999"/>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2558</v>
      </c>
      <c r="AJ696" s="1950">
        <f>VLOOKUP($H$694,$AO$641:$AP$643,2,FALSE)</f>
        <v>0</v>
      </c>
      <c r="AK696" s="1952"/>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3" t="s">
        <v>1955</v>
      </c>
      <c r="F700" s="2003"/>
      <c r="G700" s="2003"/>
      <c r="H700" s="2003"/>
      <c r="I700" s="2003"/>
      <c r="J700" s="2003"/>
      <c r="K700" s="2003"/>
      <c r="L700" s="2003"/>
      <c r="M700" s="2003"/>
      <c r="N700" s="2003"/>
      <c r="O700" s="2003"/>
      <c r="P700" s="2003"/>
      <c r="Q700" s="2003"/>
      <c r="R700" s="2003"/>
      <c r="S700" s="2003"/>
      <c r="T700" s="2003"/>
      <c r="U700" s="2003"/>
      <c r="V700" s="2003"/>
      <c r="W700" s="2003"/>
      <c r="X700" s="2003"/>
      <c r="Y700" s="2003"/>
      <c r="Z700" s="2003"/>
      <c r="AA700" s="2003"/>
      <c r="AB700" s="2003"/>
      <c r="AC700" s="571"/>
      <c r="AD700" s="571"/>
      <c r="AE700" s="571"/>
      <c r="AF700" s="1917" t="s">
        <v>1524</v>
      </c>
      <c r="AG700" s="1917"/>
      <c r="AH700" s="1917"/>
      <c r="AI700" s="1917"/>
      <c r="AJ700" s="1917"/>
      <c r="AK700" s="1917"/>
      <c r="AL700" s="1917"/>
      <c r="AM700" s="585"/>
      <c r="AN700" s="719"/>
      <c r="AP700" s="605" t="s">
        <v>1604</v>
      </c>
    </row>
    <row r="701" spans="1:42" s="605" customFormat="1" ht="11.85" customHeight="1">
      <c r="A701" s="585"/>
      <c r="B701" s="571"/>
      <c r="C701" s="970"/>
      <c r="D701" s="698"/>
      <c r="E701" s="2003"/>
      <c r="F701" s="2003"/>
      <c r="G701" s="2003"/>
      <c r="H701" s="2003"/>
      <c r="I701" s="2003"/>
      <c r="J701" s="2003"/>
      <c r="K701" s="2003"/>
      <c r="L701" s="2003"/>
      <c r="M701" s="2003"/>
      <c r="N701" s="2003"/>
      <c r="O701" s="2003"/>
      <c r="P701" s="2003"/>
      <c r="Q701" s="2003"/>
      <c r="R701" s="2003"/>
      <c r="S701" s="2003"/>
      <c r="T701" s="2003"/>
      <c r="U701" s="2003"/>
      <c r="V701" s="2003"/>
      <c r="W701" s="2003"/>
      <c r="X701" s="2003"/>
      <c r="Y701" s="2003"/>
      <c r="Z701" s="2003"/>
      <c r="AA701" s="2003"/>
      <c r="AB701" s="2003"/>
      <c r="AC701" s="571"/>
      <c r="AD701" s="571"/>
      <c r="AE701" s="571"/>
      <c r="AF701" s="571"/>
      <c r="AG701" s="571"/>
      <c r="AH701" s="571"/>
      <c r="AI701" s="571"/>
      <c r="AJ701" s="571"/>
      <c r="AK701" s="571"/>
      <c r="AL701" s="571"/>
      <c r="AM701" s="585"/>
      <c r="AN701" s="719"/>
      <c r="AP701" s="605" t="s">
        <v>1605</v>
      </c>
    </row>
    <row r="702" spans="1:42" s="605" customFormat="1" ht="13.9" customHeight="1">
      <c r="A702" s="585"/>
      <c r="B702" s="645"/>
      <c r="C702" s="968"/>
      <c r="D702" s="698"/>
      <c r="E702" s="2003"/>
      <c r="F702" s="2003"/>
      <c r="G702" s="2003"/>
      <c r="H702" s="2003"/>
      <c r="I702" s="2003"/>
      <c r="J702" s="2003"/>
      <c r="K702" s="2003"/>
      <c r="L702" s="2003"/>
      <c r="M702" s="2003"/>
      <c r="N702" s="2003"/>
      <c r="O702" s="2003"/>
      <c r="P702" s="2003"/>
      <c r="Q702" s="2003"/>
      <c r="R702" s="2003"/>
      <c r="S702" s="2003"/>
      <c r="T702" s="2003"/>
      <c r="U702" s="2003"/>
      <c r="V702" s="2003"/>
      <c r="W702" s="2003"/>
      <c r="X702" s="2003"/>
      <c r="Y702" s="2003"/>
      <c r="Z702" s="2003"/>
      <c r="AA702" s="2003"/>
      <c r="AB702" s="2003"/>
      <c r="AC702" s="571"/>
      <c r="AD702" s="571"/>
      <c r="AE702" s="651"/>
      <c r="AF702" s="571"/>
      <c r="AG702" s="571"/>
      <c r="AH702" s="571"/>
      <c r="AI702" s="571"/>
      <c r="AJ702" s="571"/>
      <c r="AK702" s="571"/>
      <c r="AL702" s="571"/>
      <c r="AM702" s="585"/>
      <c r="AN702" s="719"/>
      <c r="AP702" s="605" t="s">
        <v>1606</v>
      </c>
    </row>
    <row r="703" spans="1:42" s="605" customFormat="1" ht="13.9"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3.9" customHeight="1">
      <c r="A704" s="585"/>
      <c r="B704" s="571"/>
      <c r="C704" s="968"/>
      <c r="D704" s="698" t="s">
        <v>518</v>
      </c>
      <c r="E704" s="2004" t="s">
        <v>1607</v>
      </c>
      <c r="F704" s="2004"/>
      <c r="G704" s="2004"/>
      <c r="H704" s="2004"/>
      <c r="I704" s="2004"/>
      <c r="J704" s="2004"/>
      <c r="K704" s="2004"/>
      <c r="L704" s="2004"/>
      <c r="M704" s="2004"/>
      <c r="N704" s="2004"/>
      <c r="O704" s="2004"/>
      <c r="P704" s="2004"/>
      <c r="Q704" s="2004"/>
      <c r="R704" s="2004"/>
      <c r="S704" s="2004"/>
      <c r="T704" s="2004"/>
      <c r="U704" s="2004"/>
      <c r="V704" s="2004"/>
      <c r="W704" s="2004"/>
      <c r="X704" s="2004"/>
      <c r="Y704" s="2004"/>
      <c r="Z704" s="2004"/>
      <c r="AA704" s="2004"/>
      <c r="AB704" s="2004"/>
      <c r="AC704" s="571"/>
      <c r="AD704" s="571"/>
      <c r="AE704" s="571"/>
      <c r="AF704" s="1917" t="s">
        <v>1580</v>
      </c>
      <c r="AG704" s="1917"/>
      <c r="AH704" s="1917"/>
      <c r="AI704" s="1917"/>
      <c r="AJ704" s="1917"/>
      <c r="AK704" s="1917"/>
      <c r="AL704" s="1917"/>
      <c r="AM704" s="585"/>
      <c r="AN704" s="720"/>
    </row>
    <row r="705" spans="1:52" s="605" customFormat="1" ht="12.75" customHeight="1">
      <c r="A705" s="585"/>
      <c r="B705" s="571"/>
      <c r="C705" s="970"/>
      <c r="D705" s="571"/>
      <c r="E705" s="2004"/>
      <c r="F705" s="2004"/>
      <c r="G705" s="2004"/>
      <c r="H705" s="2004"/>
      <c r="I705" s="2004"/>
      <c r="J705" s="2004"/>
      <c r="K705" s="2004"/>
      <c r="L705" s="2004"/>
      <c r="M705" s="2004"/>
      <c r="N705" s="2004"/>
      <c r="O705" s="2004"/>
      <c r="P705" s="2004"/>
      <c r="Q705" s="2004"/>
      <c r="R705" s="2004"/>
      <c r="S705" s="2004"/>
      <c r="T705" s="2004"/>
      <c r="U705" s="2004"/>
      <c r="V705" s="2004"/>
      <c r="W705" s="2004"/>
      <c r="X705" s="2004"/>
      <c r="Y705" s="2004"/>
      <c r="Z705" s="2004"/>
      <c r="AA705" s="2004"/>
      <c r="AB705" s="2004"/>
      <c r="AC705" s="571"/>
      <c r="AD705" s="571"/>
      <c r="AE705" s="571"/>
      <c r="AF705" s="571"/>
      <c r="AG705" s="571"/>
      <c r="AH705" s="571"/>
      <c r="AI705" s="571"/>
      <c r="AJ705" s="571"/>
      <c r="AK705" s="571"/>
      <c r="AL705" s="571"/>
      <c r="AM705" s="585"/>
      <c r="AN705" s="719"/>
      <c r="AP705" s="585" t="s">
        <v>600</v>
      </c>
      <c r="AQ705" s="708">
        <v>0</v>
      </c>
    </row>
    <row r="706" spans="1:52" s="605" customFormat="1" ht="13.9" customHeight="1">
      <c r="A706" s="585"/>
      <c r="B706" s="571"/>
      <c r="C706" s="970"/>
      <c r="D706" s="571"/>
      <c r="E706" s="2004"/>
      <c r="F706" s="2004"/>
      <c r="G706" s="2004"/>
      <c r="H706" s="2004"/>
      <c r="I706" s="2004"/>
      <c r="J706" s="2004"/>
      <c r="K706" s="2004"/>
      <c r="L706" s="2004"/>
      <c r="M706" s="2004"/>
      <c r="N706" s="2004"/>
      <c r="O706" s="2004"/>
      <c r="P706" s="2004"/>
      <c r="Q706" s="2004"/>
      <c r="R706" s="2004"/>
      <c r="S706" s="2004"/>
      <c r="T706" s="2004"/>
      <c r="U706" s="2004"/>
      <c r="V706" s="2004"/>
      <c r="W706" s="2004"/>
      <c r="X706" s="2004"/>
      <c r="Y706" s="2004"/>
      <c r="Z706" s="2004"/>
      <c r="AA706" s="2004"/>
      <c r="AB706" s="2004"/>
      <c r="AC706" s="571"/>
      <c r="AD706" s="571"/>
      <c r="AE706" s="571"/>
      <c r="AF706" s="571"/>
      <c r="AG706" s="571"/>
      <c r="AH706" s="571"/>
      <c r="AI706" s="571"/>
      <c r="AJ706" s="571"/>
      <c r="AK706" s="571"/>
      <c r="AL706" s="571"/>
      <c r="AM706" s="585"/>
      <c r="AN706" s="719"/>
      <c r="AP706" s="646" t="s">
        <v>697</v>
      </c>
      <c r="AQ706" s="585">
        <v>2</v>
      </c>
    </row>
    <row r="707" spans="1:52" s="605" customFormat="1" ht="13.9"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9" customHeight="1">
      <c r="A708" s="585"/>
      <c r="B708" s="571"/>
      <c r="C708" s="970"/>
      <c r="D708" s="571" t="s">
        <v>1572</v>
      </c>
      <c r="E708" s="973"/>
      <c r="F708" s="973"/>
      <c r="G708" s="973"/>
      <c r="H708" s="1999" t="s">
        <v>600</v>
      </c>
      <c r="I708" s="1999"/>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0">
        <f>VLOOKUP($H$708,$AO$641:$AP$643,2,FALSE)</f>
        <v>0</v>
      </c>
      <c r="AK710" s="1952"/>
      <c r="AL710" s="630"/>
      <c r="AM710" s="585"/>
      <c r="AN710" s="719"/>
      <c r="AP710" s="1950"/>
      <c r="AQ710" s="1952"/>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970" t="s">
        <v>1956</v>
      </c>
      <c r="F714" s="1970"/>
      <c r="G714" s="1970"/>
      <c r="H714" s="1970"/>
      <c r="I714" s="1970"/>
      <c r="J714" s="1970"/>
      <c r="K714" s="1970"/>
      <c r="L714" s="1970"/>
      <c r="M714" s="1970"/>
      <c r="N714" s="1970"/>
      <c r="O714" s="1970"/>
      <c r="P714" s="1970"/>
      <c r="Q714" s="1970"/>
      <c r="R714" s="1970"/>
      <c r="S714" s="1970"/>
      <c r="T714" s="1970"/>
      <c r="U714" s="1970"/>
      <c r="V714" s="1970"/>
      <c r="W714" s="1970"/>
      <c r="X714" s="1970"/>
      <c r="Y714" s="1970"/>
      <c r="Z714" s="1970"/>
      <c r="AA714" s="1970"/>
      <c r="AB714" s="1970"/>
      <c r="AC714" s="571"/>
      <c r="AD714" s="571"/>
      <c r="AE714" s="571"/>
      <c r="AF714" s="1917" t="s">
        <v>1524</v>
      </c>
      <c r="AG714" s="1917"/>
      <c r="AH714" s="1917"/>
      <c r="AI714" s="1917"/>
      <c r="AJ714" s="1917"/>
      <c r="AK714" s="1917"/>
      <c r="AL714" s="1917"/>
      <c r="AM714" s="585"/>
      <c r="AN714" s="719"/>
      <c r="AT714" s="14"/>
      <c r="AU714" s="14"/>
      <c r="AV714" s="14"/>
      <c r="AW714" s="14"/>
      <c r="AX714" s="14"/>
      <c r="AY714" s="14"/>
      <c r="AZ714" s="14"/>
    </row>
    <row r="715" spans="1:52" s="605" customFormat="1">
      <c r="A715" s="585"/>
      <c r="B715" s="571"/>
      <c r="C715" s="970"/>
      <c r="D715" s="698"/>
      <c r="E715" s="1970"/>
      <c r="F715" s="1970"/>
      <c r="G715" s="1970"/>
      <c r="H715" s="1970"/>
      <c r="I715" s="1970"/>
      <c r="J715" s="1970"/>
      <c r="K715" s="1970"/>
      <c r="L715" s="1970"/>
      <c r="M715" s="1970"/>
      <c r="N715" s="1970"/>
      <c r="O715" s="1970"/>
      <c r="P715" s="1970"/>
      <c r="Q715" s="1970"/>
      <c r="R715" s="1970"/>
      <c r="S715" s="1970"/>
      <c r="T715" s="1970"/>
      <c r="U715" s="1970"/>
      <c r="V715" s="1970"/>
      <c r="W715" s="1970"/>
      <c r="X715" s="1970"/>
      <c r="Y715" s="1970"/>
      <c r="Z715" s="1970"/>
      <c r="AA715" s="1970"/>
      <c r="AB715" s="1970"/>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0" t="s">
        <v>1611</v>
      </c>
      <c r="F717" s="1970"/>
      <c r="G717" s="1970"/>
      <c r="H717" s="1970"/>
      <c r="I717" s="1970"/>
      <c r="J717" s="1970"/>
      <c r="K717" s="1970"/>
      <c r="L717" s="1970"/>
      <c r="M717" s="1970"/>
      <c r="N717" s="1970"/>
      <c r="O717" s="1970"/>
      <c r="P717" s="1970"/>
      <c r="Q717" s="1970"/>
      <c r="R717" s="1970"/>
      <c r="S717" s="1970"/>
      <c r="T717" s="1970"/>
      <c r="U717" s="1970"/>
      <c r="V717" s="1970"/>
      <c r="W717" s="1970"/>
      <c r="X717" s="1970"/>
      <c r="Y717" s="1970"/>
      <c r="Z717" s="1970"/>
      <c r="AA717" s="1970"/>
      <c r="AB717" s="1970"/>
      <c r="AC717" s="571"/>
      <c r="AD717" s="571"/>
      <c r="AE717" s="571"/>
      <c r="AF717" s="1917" t="s">
        <v>1580</v>
      </c>
      <c r="AG717" s="1917"/>
      <c r="AH717" s="1917"/>
      <c r="AI717" s="1917"/>
      <c r="AJ717" s="1917"/>
      <c r="AK717" s="1917"/>
      <c r="AL717" s="1917"/>
      <c r="AM717" s="585"/>
      <c r="AN717" s="719"/>
      <c r="AT717" s="14"/>
      <c r="AU717" s="14"/>
      <c r="AV717" s="14"/>
      <c r="AW717" s="14"/>
      <c r="AX717" s="14"/>
      <c r="AY717" s="14"/>
      <c r="AZ717" s="14"/>
    </row>
    <row r="718" spans="1:52" s="605" customFormat="1">
      <c r="A718" s="585"/>
      <c r="B718" s="571"/>
      <c r="C718" s="970"/>
      <c r="D718" s="571"/>
      <c r="E718" s="1970"/>
      <c r="F718" s="1970"/>
      <c r="G718" s="1970"/>
      <c r="H718" s="1970"/>
      <c r="I718" s="1970"/>
      <c r="J718" s="1970"/>
      <c r="K718" s="1970"/>
      <c r="L718" s="1970"/>
      <c r="M718" s="1970"/>
      <c r="N718" s="1970"/>
      <c r="O718" s="1970"/>
      <c r="P718" s="1970"/>
      <c r="Q718" s="1970"/>
      <c r="R718" s="1970"/>
      <c r="S718" s="1970"/>
      <c r="T718" s="1970"/>
      <c r="U718" s="1970"/>
      <c r="V718" s="1970"/>
      <c r="W718" s="1970"/>
      <c r="X718" s="1970"/>
      <c r="Y718" s="1970"/>
      <c r="Z718" s="1970"/>
      <c r="AA718" s="1970"/>
      <c r="AB718" s="1970"/>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1999" t="s">
        <v>518</v>
      </c>
      <c r="I720" s="1999"/>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0">
        <f>VLOOKUP($H$720,$AO$655:$AP$657,2,FALSE)</f>
        <v>2</v>
      </c>
      <c r="AK722" s="1952"/>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970" t="s">
        <v>1614</v>
      </c>
      <c r="F726" s="1970"/>
      <c r="G726" s="1970"/>
      <c r="H726" s="1970"/>
      <c r="I726" s="1970"/>
      <c r="J726" s="1970"/>
      <c r="K726" s="1970"/>
      <c r="L726" s="1970"/>
      <c r="M726" s="1970"/>
      <c r="N726" s="1970"/>
      <c r="O726" s="1970"/>
      <c r="P726" s="1970"/>
      <c r="Q726" s="1970"/>
      <c r="R726" s="1970"/>
      <c r="S726" s="1970"/>
      <c r="T726" s="1970"/>
      <c r="U726" s="1970"/>
      <c r="V726" s="1970"/>
      <c r="W726" s="1970"/>
      <c r="X726" s="1970"/>
      <c r="Y726" s="1970"/>
      <c r="Z726" s="1970"/>
      <c r="AA726" s="1970"/>
      <c r="AB726" s="1970"/>
      <c r="AC726" s="571"/>
      <c r="AD726" s="571"/>
      <c r="AE726" s="571"/>
      <c r="AF726" s="1917" t="s">
        <v>1524</v>
      </c>
      <c r="AG726" s="1917"/>
      <c r="AH726" s="1917"/>
      <c r="AI726" s="1917"/>
      <c r="AJ726" s="1917"/>
      <c r="AK726" s="1917"/>
      <c r="AL726" s="1917"/>
      <c r="AM726" s="585"/>
      <c r="AN726" s="719"/>
      <c r="AT726" s="14"/>
      <c r="AU726" s="14"/>
      <c r="AV726" s="14"/>
      <c r="AW726" s="14"/>
      <c r="AX726" s="14"/>
      <c r="AY726" s="14"/>
      <c r="AZ726" s="14"/>
    </row>
    <row r="727" spans="1:81" s="605" customFormat="1">
      <c r="A727" s="585"/>
      <c r="B727" s="571"/>
      <c r="C727" s="968"/>
      <c r="D727" s="698"/>
      <c r="E727" s="1970"/>
      <c r="F727" s="1970"/>
      <c r="G727" s="1970"/>
      <c r="H727" s="1970"/>
      <c r="I727" s="1970"/>
      <c r="J727" s="1970"/>
      <c r="K727" s="1970"/>
      <c r="L727" s="1970"/>
      <c r="M727" s="1970"/>
      <c r="N727" s="1970"/>
      <c r="O727" s="1970"/>
      <c r="P727" s="1970"/>
      <c r="Q727" s="1970"/>
      <c r="R727" s="1970"/>
      <c r="S727" s="1970"/>
      <c r="T727" s="1970"/>
      <c r="U727" s="1970"/>
      <c r="V727" s="1970"/>
      <c r="W727" s="1970"/>
      <c r="X727" s="1970"/>
      <c r="Y727" s="1970"/>
      <c r="Z727" s="1970"/>
      <c r="AA727" s="1970"/>
      <c r="AB727" s="1970"/>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970"/>
      <c r="F728" s="1970"/>
      <c r="G728" s="1970"/>
      <c r="H728" s="1970"/>
      <c r="I728" s="1970"/>
      <c r="J728" s="1970"/>
      <c r="K728" s="1970"/>
      <c r="L728" s="1970"/>
      <c r="M728" s="1970"/>
      <c r="N728" s="1970"/>
      <c r="O728" s="1970"/>
      <c r="P728" s="1970"/>
      <c r="Q728" s="1970"/>
      <c r="R728" s="1970"/>
      <c r="S728" s="1970"/>
      <c r="T728" s="1970"/>
      <c r="U728" s="1970"/>
      <c r="V728" s="1970"/>
      <c r="W728" s="1970"/>
      <c r="X728" s="1970"/>
      <c r="Y728" s="1970"/>
      <c r="Z728" s="1970"/>
      <c r="AA728" s="1970"/>
      <c r="AB728" s="1970"/>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0"/>
      <c r="F729" s="1970"/>
      <c r="G729" s="1970"/>
      <c r="H729" s="1970"/>
      <c r="I729" s="1970"/>
      <c r="J729" s="1970"/>
      <c r="K729" s="1970"/>
      <c r="L729" s="1970"/>
      <c r="M729" s="1970"/>
      <c r="N729" s="1970"/>
      <c r="O729" s="1970"/>
      <c r="P729" s="1970"/>
      <c r="Q729" s="1970"/>
      <c r="R729" s="1970"/>
      <c r="S729" s="1970"/>
      <c r="T729" s="1970"/>
      <c r="U729" s="1970"/>
      <c r="V729" s="1970"/>
      <c r="W729" s="1970"/>
      <c r="X729" s="1970"/>
      <c r="Y729" s="1970"/>
      <c r="Z729" s="1970"/>
      <c r="AA729" s="1970"/>
      <c r="AB729" s="1970"/>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970" t="s">
        <v>1615</v>
      </c>
      <c r="F731" s="1970"/>
      <c r="G731" s="1970"/>
      <c r="H731" s="1970"/>
      <c r="I731" s="1970"/>
      <c r="J731" s="1970"/>
      <c r="K731" s="1970"/>
      <c r="L731" s="1970"/>
      <c r="M731" s="1970"/>
      <c r="N731" s="1970"/>
      <c r="O731" s="1970"/>
      <c r="P731" s="1970"/>
      <c r="Q731" s="1970"/>
      <c r="R731" s="1970"/>
      <c r="S731" s="1970"/>
      <c r="T731" s="1970"/>
      <c r="U731" s="1970"/>
      <c r="V731" s="1970"/>
      <c r="W731" s="1970"/>
      <c r="X731" s="1970"/>
      <c r="Y731" s="1970"/>
      <c r="Z731" s="1970"/>
      <c r="AA731" s="1970"/>
      <c r="AB731" s="610"/>
      <c r="AC731" s="571"/>
      <c r="AD731" s="571"/>
      <c r="AE731" s="571"/>
      <c r="AF731" s="1917" t="s">
        <v>1580</v>
      </c>
      <c r="AG731" s="1917"/>
      <c r="AH731" s="1917"/>
      <c r="AI731" s="1917"/>
      <c r="AJ731" s="1917"/>
      <c r="AK731" s="1917"/>
      <c r="AL731" s="1917"/>
      <c r="AM731" s="585"/>
      <c r="AN731" s="719"/>
      <c r="AO731" s="30"/>
      <c r="AP731" s="14"/>
    </row>
    <row r="732" spans="1:81" s="605" customFormat="1">
      <c r="A732" s="585"/>
      <c r="B732" s="571"/>
      <c r="C732" s="968"/>
      <c r="D732" s="698"/>
      <c r="E732" s="1970"/>
      <c r="F732" s="1970"/>
      <c r="G732" s="1970"/>
      <c r="H732" s="1970"/>
      <c r="I732" s="1970"/>
      <c r="J732" s="1970"/>
      <c r="K732" s="1970"/>
      <c r="L732" s="1970"/>
      <c r="M732" s="1970"/>
      <c r="N732" s="1970"/>
      <c r="O732" s="1970"/>
      <c r="P732" s="1970"/>
      <c r="Q732" s="1970"/>
      <c r="R732" s="1970"/>
      <c r="S732" s="1970"/>
      <c r="T732" s="1970"/>
      <c r="U732" s="1970"/>
      <c r="V732" s="1970"/>
      <c r="W732" s="1970"/>
      <c r="X732" s="1970"/>
      <c r="Y732" s="1970"/>
      <c r="Z732" s="1970"/>
      <c r="AA732" s="1970"/>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970"/>
      <c r="F733" s="1970"/>
      <c r="G733" s="1970"/>
      <c r="H733" s="1970"/>
      <c r="I733" s="1970"/>
      <c r="J733" s="1970"/>
      <c r="K733" s="1970"/>
      <c r="L733" s="1970"/>
      <c r="M733" s="1970"/>
      <c r="N733" s="1970"/>
      <c r="O733" s="1970"/>
      <c r="P733" s="1970"/>
      <c r="Q733" s="1970"/>
      <c r="R733" s="1970"/>
      <c r="S733" s="1970"/>
      <c r="T733" s="1970"/>
      <c r="U733" s="1970"/>
      <c r="V733" s="1970"/>
      <c r="W733" s="1970"/>
      <c r="X733" s="1970"/>
      <c r="Y733" s="1970"/>
      <c r="Z733" s="1970"/>
      <c r="AA733" s="1970"/>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970"/>
      <c r="F734" s="1970"/>
      <c r="G734" s="1970"/>
      <c r="H734" s="1970"/>
      <c r="I734" s="1970"/>
      <c r="J734" s="1970"/>
      <c r="K734" s="1970"/>
      <c r="L734" s="1970"/>
      <c r="M734" s="1970"/>
      <c r="N734" s="1970"/>
      <c r="O734" s="1970"/>
      <c r="P734" s="1970"/>
      <c r="Q734" s="1970"/>
      <c r="R734" s="1970"/>
      <c r="S734" s="1970"/>
      <c r="T734" s="1970"/>
      <c r="U734" s="1970"/>
      <c r="V734" s="1970"/>
      <c r="W734" s="1970"/>
      <c r="X734" s="1970"/>
      <c r="Y734" s="1970"/>
      <c r="Z734" s="1970"/>
      <c r="AA734" s="1970"/>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1999" t="s">
        <v>518</v>
      </c>
      <c r="I736" s="1999"/>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0">
        <f>VLOOKUP($H$736,$AO$669:$AP$671,2,FALSE)</f>
        <v>2</v>
      </c>
      <c r="AK738" s="1952"/>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970" t="s">
        <v>1617</v>
      </c>
      <c r="F742" s="1970"/>
      <c r="G742" s="1970"/>
      <c r="H742" s="1970"/>
      <c r="I742" s="1970"/>
      <c r="J742" s="1970"/>
      <c r="K742" s="1970"/>
      <c r="L742" s="1970"/>
      <c r="M742" s="1970"/>
      <c r="N742" s="1970"/>
      <c r="O742" s="1970"/>
      <c r="P742" s="1970"/>
      <c r="Q742" s="1970"/>
      <c r="R742" s="1970"/>
      <c r="S742" s="1970"/>
      <c r="T742" s="1970"/>
      <c r="U742" s="1970"/>
      <c r="V742" s="1970"/>
      <c r="W742" s="1970"/>
      <c r="X742" s="1970"/>
      <c r="Y742" s="1970"/>
      <c r="Z742" s="1970"/>
      <c r="AA742" s="1970"/>
      <c r="AB742" s="1970"/>
      <c r="AC742" s="571"/>
      <c r="AD742" s="571"/>
      <c r="AE742" s="571"/>
      <c r="AF742" s="1917" t="s">
        <v>1580</v>
      </c>
      <c r="AG742" s="1917"/>
      <c r="AH742" s="1917"/>
      <c r="AI742" s="1917"/>
      <c r="AJ742" s="1917"/>
      <c r="AK742" s="1917"/>
      <c r="AL742" s="191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970"/>
      <c r="F743" s="1970"/>
      <c r="G743" s="1970"/>
      <c r="H743" s="1970"/>
      <c r="I743" s="1970"/>
      <c r="J743" s="1970"/>
      <c r="K743" s="1970"/>
      <c r="L743" s="1970"/>
      <c r="M743" s="1970"/>
      <c r="N743" s="1970"/>
      <c r="O743" s="1970"/>
      <c r="P743" s="1970"/>
      <c r="Q743" s="1970"/>
      <c r="R743" s="1970"/>
      <c r="S743" s="1970"/>
      <c r="T743" s="1970"/>
      <c r="U743" s="1970"/>
      <c r="V743" s="1970"/>
      <c r="W743" s="1970"/>
      <c r="X743" s="1970"/>
      <c r="Y743" s="1970"/>
      <c r="Z743" s="1970"/>
      <c r="AA743" s="1970"/>
      <c r="AB743" s="1970"/>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970" t="s">
        <v>1618</v>
      </c>
      <c r="F745" s="1970"/>
      <c r="G745" s="1970"/>
      <c r="H745" s="1970"/>
      <c r="I745" s="1970"/>
      <c r="J745" s="1970"/>
      <c r="K745" s="1970"/>
      <c r="L745" s="1970"/>
      <c r="M745" s="1970"/>
      <c r="N745" s="1970"/>
      <c r="O745" s="1970"/>
      <c r="P745" s="1970"/>
      <c r="Q745" s="1970"/>
      <c r="R745" s="1970"/>
      <c r="S745" s="1970"/>
      <c r="T745" s="1970"/>
      <c r="U745" s="1970"/>
      <c r="V745" s="1970"/>
      <c r="W745" s="1970"/>
      <c r="X745" s="1970"/>
      <c r="Y745" s="1970"/>
      <c r="Z745" s="1970"/>
      <c r="AA745" s="1970"/>
      <c r="AB745" s="1970"/>
      <c r="AC745" s="571"/>
      <c r="AD745" s="571"/>
      <c r="AE745" s="571"/>
      <c r="AF745" s="1917" t="s">
        <v>1597</v>
      </c>
      <c r="AG745" s="1917"/>
      <c r="AH745" s="1917"/>
      <c r="AI745" s="1917"/>
      <c r="AJ745" s="1917"/>
      <c r="AK745" s="1917"/>
      <c r="AL745" s="191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0"/>
      <c r="F746" s="1970"/>
      <c r="G746" s="1970"/>
      <c r="H746" s="1970"/>
      <c r="I746" s="1970"/>
      <c r="J746" s="1970"/>
      <c r="K746" s="1970"/>
      <c r="L746" s="1970"/>
      <c r="M746" s="1970"/>
      <c r="N746" s="1970"/>
      <c r="O746" s="1970"/>
      <c r="P746" s="1970"/>
      <c r="Q746" s="1970"/>
      <c r="R746" s="1970"/>
      <c r="S746" s="1970"/>
      <c r="T746" s="1970"/>
      <c r="U746" s="1970"/>
      <c r="V746" s="1970"/>
      <c r="W746" s="1970"/>
      <c r="X746" s="1970"/>
      <c r="Y746" s="1970"/>
      <c r="Z746" s="1970"/>
      <c r="AA746" s="1970"/>
      <c r="AB746" s="1970"/>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1999" t="s">
        <v>697</v>
      </c>
      <c r="I748" s="1999"/>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9"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0">
        <f>VLOOKUP($H$748,$AO$683:$AP$685,2,FALSE)</f>
        <v>2</v>
      </c>
      <c r="AK750" s="1952"/>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970" t="s">
        <v>1952</v>
      </c>
      <c r="F754" s="1970"/>
      <c r="G754" s="1970"/>
      <c r="H754" s="1970"/>
      <c r="I754" s="1970"/>
      <c r="J754" s="1970"/>
      <c r="K754" s="1970"/>
      <c r="L754" s="1970"/>
      <c r="M754" s="1970"/>
      <c r="N754" s="1970"/>
      <c r="O754" s="1970"/>
      <c r="P754" s="1970"/>
      <c r="Q754" s="1970"/>
      <c r="R754" s="1970"/>
      <c r="S754" s="1970"/>
      <c r="T754" s="1970"/>
      <c r="U754" s="1970"/>
      <c r="V754" s="1970"/>
      <c r="W754" s="1970"/>
      <c r="X754" s="1970"/>
      <c r="Y754" s="1970"/>
      <c r="Z754" s="1970"/>
      <c r="AA754" s="1970"/>
      <c r="AB754" s="1970"/>
      <c r="AC754" s="1970"/>
      <c r="AD754" s="1970"/>
      <c r="AE754" s="571"/>
      <c r="AF754" s="1917" t="s">
        <v>1580</v>
      </c>
      <c r="AG754" s="1917"/>
      <c r="AH754" s="1917"/>
      <c r="AI754" s="1917"/>
      <c r="AJ754" s="1917"/>
      <c r="AK754" s="1917"/>
      <c r="AL754" s="1917"/>
      <c r="AM754" s="648"/>
      <c r="AN754" s="719"/>
    </row>
    <row r="755" spans="1:81" s="605" customFormat="1" ht="13.7" customHeight="1">
      <c r="A755" s="585"/>
      <c r="B755" s="651"/>
      <c r="C755" s="977"/>
      <c r="D755" s="698"/>
      <c r="E755" s="1970"/>
      <c r="F755" s="1970"/>
      <c r="G755" s="1970"/>
      <c r="H755" s="1970"/>
      <c r="I755" s="1970"/>
      <c r="J755" s="1970"/>
      <c r="K755" s="1970"/>
      <c r="L755" s="1970"/>
      <c r="M755" s="1970"/>
      <c r="N755" s="1970"/>
      <c r="O755" s="1970"/>
      <c r="P755" s="1970"/>
      <c r="Q755" s="1970"/>
      <c r="R755" s="1970"/>
      <c r="S755" s="1970"/>
      <c r="T755" s="1970"/>
      <c r="U755" s="1970"/>
      <c r="V755" s="1970"/>
      <c r="W755" s="1970"/>
      <c r="X755" s="1970"/>
      <c r="Y755" s="1970"/>
      <c r="Z755" s="1970"/>
      <c r="AA755" s="1970"/>
      <c r="AB755" s="1970"/>
      <c r="AC755" s="1970"/>
      <c r="AD755" s="1970"/>
      <c r="AE755" s="571"/>
      <c r="AF755" s="629"/>
      <c r="AG755" s="629"/>
      <c r="AH755" s="629"/>
      <c r="AI755" s="629"/>
      <c r="AJ755" s="629"/>
      <c r="AK755" s="629"/>
      <c r="AL755" s="629"/>
      <c r="AM755" s="648"/>
      <c r="AN755" s="719"/>
    </row>
    <row r="756" spans="1:81" s="605" customFormat="1">
      <c r="A756" s="585"/>
      <c r="B756" s="651"/>
      <c r="C756" s="977"/>
      <c r="D756" s="698"/>
      <c r="E756" s="1970"/>
      <c r="F756" s="1970"/>
      <c r="G756" s="1970"/>
      <c r="H756" s="1970"/>
      <c r="I756" s="1970"/>
      <c r="J756" s="1970"/>
      <c r="K756" s="1970"/>
      <c r="L756" s="1970"/>
      <c r="M756" s="1970"/>
      <c r="N756" s="1970"/>
      <c r="O756" s="1970"/>
      <c r="P756" s="1970"/>
      <c r="Q756" s="1970"/>
      <c r="R756" s="1970"/>
      <c r="S756" s="1970"/>
      <c r="T756" s="1970"/>
      <c r="U756" s="1970"/>
      <c r="V756" s="1970"/>
      <c r="W756" s="1970"/>
      <c r="X756" s="1970"/>
      <c r="Y756" s="1970"/>
      <c r="Z756" s="1970"/>
      <c r="AA756" s="1970"/>
      <c r="AB756" s="1970"/>
      <c r="AC756" s="1970"/>
      <c r="AD756" s="1970"/>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970"/>
      <c r="F757" s="1970"/>
      <c r="G757" s="1970"/>
      <c r="H757" s="1970"/>
      <c r="I757" s="1970"/>
      <c r="J757" s="1970"/>
      <c r="K757" s="1970"/>
      <c r="L757" s="1970"/>
      <c r="M757" s="1970"/>
      <c r="N757" s="1970"/>
      <c r="O757" s="1970"/>
      <c r="P757" s="1970"/>
      <c r="Q757" s="1970"/>
      <c r="R757" s="1970"/>
      <c r="S757" s="1970"/>
      <c r="T757" s="1970"/>
      <c r="U757" s="1970"/>
      <c r="V757" s="1970"/>
      <c r="W757" s="1970"/>
      <c r="X757" s="1970"/>
      <c r="Y757" s="1970"/>
      <c r="Z757" s="1970"/>
      <c r="AA757" s="1970"/>
      <c r="AB757" s="1970"/>
      <c r="AC757" s="1970"/>
      <c r="AD757" s="1970"/>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5" t="s">
        <v>1957</v>
      </c>
      <c r="F759" s="2005"/>
      <c r="G759" s="2005"/>
      <c r="H759" s="2005"/>
      <c r="I759" s="2005"/>
      <c r="J759" s="2005"/>
      <c r="K759" s="2005"/>
      <c r="L759" s="2005"/>
      <c r="M759" s="2005"/>
      <c r="N759" s="2005"/>
      <c r="O759" s="2005"/>
      <c r="P759" s="2005"/>
      <c r="Q759" s="2005"/>
      <c r="R759" s="2005"/>
      <c r="S759" s="2005"/>
      <c r="T759" s="2005"/>
      <c r="U759" s="2005"/>
      <c r="V759" s="2005"/>
      <c r="W759" s="2005"/>
      <c r="X759" s="2005"/>
      <c r="Y759" s="2005"/>
      <c r="Z759" s="2005"/>
      <c r="AA759" s="2005"/>
      <c r="AB759" s="2005"/>
      <c r="AC759" s="2005"/>
      <c r="AD759" s="2005"/>
      <c r="AE759" s="571"/>
      <c r="AF759" s="1917" t="s">
        <v>1524</v>
      </c>
      <c r="AG759" s="1917"/>
      <c r="AH759" s="1917"/>
      <c r="AI759" s="1917"/>
      <c r="AJ759" s="1917"/>
      <c r="AK759" s="1917"/>
      <c r="AL759" s="1917"/>
      <c r="AM759" s="648"/>
      <c r="AN759" s="632"/>
    </row>
    <row r="760" spans="1:81" s="585" customFormat="1" ht="12.75" customHeight="1">
      <c r="B760" s="651"/>
      <c r="C760" s="977"/>
      <c r="D760" s="698"/>
      <c r="E760" s="2005"/>
      <c r="F760" s="2005"/>
      <c r="G760" s="2005"/>
      <c r="H760" s="2005"/>
      <c r="I760" s="2005"/>
      <c r="J760" s="2005"/>
      <c r="K760" s="2005"/>
      <c r="L760" s="2005"/>
      <c r="M760" s="2005"/>
      <c r="N760" s="2005"/>
      <c r="O760" s="2005"/>
      <c r="P760" s="2005"/>
      <c r="Q760" s="2005"/>
      <c r="R760" s="2005"/>
      <c r="S760" s="2005"/>
      <c r="T760" s="2005"/>
      <c r="U760" s="2005"/>
      <c r="V760" s="2005"/>
      <c r="W760" s="2005"/>
      <c r="X760" s="2005"/>
      <c r="Y760" s="2005"/>
      <c r="Z760" s="2005"/>
      <c r="AA760" s="2005"/>
      <c r="AB760" s="2005"/>
      <c r="AC760" s="2005"/>
      <c r="AD760" s="2005"/>
      <c r="AE760" s="629"/>
      <c r="AF760" s="629"/>
      <c r="AG760" s="629"/>
      <c r="AH760" s="629"/>
      <c r="AI760" s="629"/>
      <c r="AJ760" s="629"/>
      <c r="AK760" s="629"/>
      <c r="AL760" s="629"/>
      <c r="AM760" s="648"/>
      <c r="AN760" s="632"/>
    </row>
    <row r="761" spans="1:81" s="585" customFormat="1" ht="12.75" customHeight="1">
      <c r="B761" s="651"/>
      <c r="C761" s="977"/>
      <c r="D761" s="698"/>
      <c r="E761" s="2005"/>
      <c r="F761" s="2005"/>
      <c r="G761" s="2005"/>
      <c r="H761" s="2005"/>
      <c r="I761" s="2005"/>
      <c r="J761" s="2005"/>
      <c r="K761" s="2005"/>
      <c r="L761" s="2005"/>
      <c r="M761" s="2005"/>
      <c r="N761" s="2005"/>
      <c r="O761" s="2005"/>
      <c r="P761" s="2005"/>
      <c r="Q761" s="2005"/>
      <c r="R761" s="2005"/>
      <c r="S761" s="2005"/>
      <c r="T761" s="2005"/>
      <c r="U761" s="2005"/>
      <c r="V761" s="2005"/>
      <c r="W761" s="2005"/>
      <c r="X761" s="2005"/>
      <c r="Y761" s="2005"/>
      <c r="Z761" s="2005"/>
      <c r="AA761" s="2005"/>
      <c r="AB761" s="2005"/>
      <c r="AC761" s="2005"/>
      <c r="AD761" s="2005"/>
      <c r="AE761" s="629"/>
      <c r="AF761" s="629"/>
      <c r="AG761" s="629"/>
      <c r="AH761" s="629"/>
      <c r="AI761" s="629"/>
      <c r="AJ761" s="629"/>
      <c r="AK761" s="629"/>
      <c r="AL761" s="629"/>
      <c r="AM761" s="648"/>
      <c r="AN761" s="632"/>
    </row>
    <row r="762" spans="1:81" s="585" customFormat="1" ht="12.75" customHeight="1">
      <c r="B762" s="651"/>
      <c r="C762" s="977"/>
      <c r="D762" s="698"/>
      <c r="E762" s="2005"/>
      <c r="F762" s="2005"/>
      <c r="G762" s="2005"/>
      <c r="H762" s="2005"/>
      <c r="I762" s="2005"/>
      <c r="J762" s="2005"/>
      <c r="K762" s="2005"/>
      <c r="L762" s="2005"/>
      <c r="M762" s="2005"/>
      <c r="N762" s="2005"/>
      <c r="O762" s="2005"/>
      <c r="P762" s="2005"/>
      <c r="Q762" s="2005"/>
      <c r="R762" s="2005"/>
      <c r="S762" s="2005"/>
      <c r="T762" s="2005"/>
      <c r="U762" s="2005"/>
      <c r="V762" s="2005"/>
      <c r="W762" s="2005"/>
      <c r="X762" s="2005"/>
      <c r="Y762" s="2005"/>
      <c r="Z762" s="2005"/>
      <c r="AA762" s="2005"/>
      <c r="AB762" s="2005"/>
      <c r="AC762" s="2005"/>
      <c r="AD762" s="2005"/>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1999" t="s">
        <v>600</v>
      </c>
      <c r="I764" s="1999"/>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0">
        <f>VLOOKUP($H$764,$AP$705:$AQ$707,2,FALSE)</f>
        <v>0</v>
      </c>
      <c r="AK766" s="1952"/>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970" t="s">
        <v>2428</v>
      </c>
      <c r="F770" s="1970"/>
      <c r="G770" s="1970"/>
      <c r="H770" s="1970"/>
      <c r="I770" s="1970"/>
      <c r="J770" s="1970"/>
      <c r="K770" s="1970"/>
      <c r="L770" s="1970"/>
      <c r="M770" s="1970"/>
      <c r="N770" s="1970"/>
      <c r="O770" s="1970"/>
      <c r="P770" s="1970"/>
      <c r="Q770" s="1970"/>
      <c r="R770" s="1970"/>
      <c r="S770" s="1970"/>
      <c r="T770" s="1970"/>
      <c r="U770" s="1970"/>
      <c r="V770" s="1970"/>
      <c r="W770" s="1970"/>
      <c r="X770" s="1970"/>
      <c r="Y770" s="1970"/>
      <c r="Z770" s="1970"/>
      <c r="AA770" s="1970"/>
      <c r="AB770" s="1970"/>
      <c r="AC770" s="1970"/>
      <c r="AD770" s="1970"/>
      <c r="AE770" s="571"/>
      <c r="AF770" s="1917" t="s">
        <v>1524</v>
      </c>
      <c r="AG770" s="1917"/>
      <c r="AH770" s="1917"/>
      <c r="AI770" s="1917"/>
      <c r="AJ770" s="1917"/>
      <c r="AK770" s="1917"/>
      <c r="AL770" s="191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970"/>
      <c r="F771" s="1970"/>
      <c r="G771" s="1970"/>
      <c r="H771" s="1970"/>
      <c r="I771" s="1970"/>
      <c r="J771" s="1970"/>
      <c r="K771" s="1970"/>
      <c r="L771" s="1970"/>
      <c r="M771" s="1970"/>
      <c r="N771" s="1970"/>
      <c r="O771" s="1970"/>
      <c r="P771" s="1970"/>
      <c r="Q771" s="1970"/>
      <c r="R771" s="1970"/>
      <c r="S771" s="1970"/>
      <c r="T771" s="1970"/>
      <c r="U771" s="1970"/>
      <c r="V771" s="1970"/>
      <c r="W771" s="1970"/>
      <c r="X771" s="1970"/>
      <c r="Y771" s="1970"/>
      <c r="Z771" s="1970"/>
      <c r="AA771" s="1970"/>
      <c r="AB771" s="1970"/>
      <c r="AC771" s="1970"/>
      <c r="AD771" s="1970"/>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970"/>
      <c r="F772" s="1970"/>
      <c r="G772" s="1970"/>
      <c r="H772" s="1970"/>
      <c r="I772" s="1970"/>
      <c r="J772" s="1970"/>
      <c r="K772" s="1970"/>
      <c r="L772" s="1970"/>
      <c r="M772" s="1970"/>
      <c r="N772" s="1970"/>
      <c r="O772" s="1970"/>
      <c r="P772" s="1970"/>
      <c r="Q772" s="1970"/>
      <c r="R772" s="1970"/>
      <c r="S772" s="1970"/>
      <c r="T772" s="1970"/>
      <c r="U772" s="1970"/>
      <c r="V772" s="1970"/>
      <c r="W772" s="1970"/>
      <c r="X772" s="1970"/>
      <c r="Y772" s="1970"/>
      <c r="Z772" s="1970"/>
      <c r="AA772" s="1970"/>
      <c r="AB772" s="1970"/>
      <c r="AC772" s="1970"/>
      <c r="AD772" s="1970"/>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970"/>
      <c r="F773" s="1970"/>
      <c r="G773" s="1970"/>
      <c r="H773" s="1970"/>
      <c r="I773" s="1970"/>
      <c r="J773" s="1970"/>
      <c r="K773" s="1970"/>
      <c r="L773" s="1970"/>
      <c r="M773" s="1970"/>
      <c r="N773" s="1970"/>
      <c r="O773" s="1970"/>
      <c r="P773" s="1970"/>
      <c r="Q773" s="1970"/>
      <c r="R773" s="1970"/>
      <c r="S773" s="1970"/>
      <c r="T773" s="1970"/>
      <c r="U773" s="1970"/>
      <c r="V773" s="1970"/>
      <c r="W773" s="1970"/>
      <c r="X773" s="1970"/>
      <c r="Y773" s="1970"/>
      <c r="Z773" s="1970"/>
      <c r="AA773" s="1970"/>
      <c r="AB773" s="1970"/>
      <c r="AC773" s="1970"/>
      <c r="AD773" s="1970"/>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1572</v>
      </c>
      <c r="E775" s="973"/>
      <c r="F775" s="973"/>
      <c r="G775" s="973"/>
      <c r="H775" s="1999" t="s">
        <v>600</v>
      </c>
      <c r="I775" s="1999"/>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0">
        <f>VLOOKUP($H$775,$AO$769:$AP$770,2,FALSE)</f>
        <v>0</v>
      </c>
      <c r="AK777" s="1952"/>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0">
        <f>IF(($AJ$610+$AJ$629+$AJ$641+$AJ$676+$AJ$696+$AJ$710+$AJ$722+$AJ$738+$AJ$750+$AJ$766+AJ777)&gt;10,10,($AJ$610+$AJ$629+$AJ$641+$AJ$676+$AJ$696+$AJ$710+$AJ$722+$AJ$738+$AJ$750+$AJ$766+AJ777))</f>
        <v>10</v>
      </c>
      <c r="AL779" s="1951"/>
      <c r="AM779" s="1952"/>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56" t="s">
        <v>1745</v>
      </c>
      <c r="B782" s="2057"/>
      <c r="C782" s="2057"/>
      <c r="D782" s="2057"/>
      <c r="E782" s="2057"/>
      <c r="F782" s="2057"/>
      <c r="G782" s="2057"/>
      <c r="H782" s="2057"/>
      <c r="I782" s="2057"/>
      <c r="J782" s="2057"/>
      <c r="K782" s="2057"/>
      <c r="L782" s="2057"/>
      <c r="M782" s="2057"/>
      <c r="N782" s="2057"/>
      <c r="O782" s="2057"/>
      <c r="P782" s="2057"/>
      <c r="Q782" s="2057"/>
      <c r="R782" s="2057"/>
      <c r="S782" s="2057"/>
      <c r="T782" s="2057"/>
      <c r="U782" s="2057"/>
      <c r="V782" s="2057"/>
      <c r="W782" s="2057"/>
      <c r="X782" s="2057"/>
      <c r="Y782" s="2057"/>
      <c r="Z782" s="2057"/>
      <c r="AA782" s="2057"/>
      <c r="AB782" s="2057"/>
      <c r="AC782" s="2057"/>
      <c r="AD782" s="2057"/>
      <c r="AE782" s="2057"/>
      <c r="AF782" s="2057"/>
      <c r="AG782" s="2057"/>
      <c r="AH782" s="2057"/>
      <c r="AI782" s="2057"/>
      <c r="AJ782" s="2057"/>
      <c r="AK782" s="2057"/>
      <c r="AL782" s="2057"/>
      <c r="AM782" s="2057"/>
    </row>
    <row r="783" spans="1:81">
      <c r="A783" s="2058"/>
      <c r="B783" s="2058"/>
      <c r="C783" s="2058"/>
      <c r="D783" s="2058"/>
      <c r="E783" s="2058"/>
      <c r="F783" s="2058"/>
      <c r="G783" s="2058"/>
      <c r="H783" s="2058"/>
      <c r="I783" s="2058"/>
      <c r="J783" s="2058"/>
      <c r="K783" s="2058"/>
      <c r="L783" s="2058"/>
      <c r="M783" s="2058"/>
      <c r="N783" s="2058"/>
      <c r="O783" s="2058"/>
      <c r="P783" s="2058"/>
      <c r="Q783" s="2058"/>
      <c r="R783" s="2058"/>
      <c r="S783" s="2058"/>
      <c r="T783" s="2058"/>
      <c r="U783" s="2058"/>
      <c r="V783" s="2058"/>
      <c r="W783" s="2058"/>
      <c r="X783" s="2058"/>
      <c r="Y783" s="2058"/>
      <c r="Z783" s="2058"/>
      <c r="AA783" s="2058"/>
      <c r="AB783" s="2058"/>
      <c r="AC783" s="2058"/>
      <c r="AD783" s="2058"/>
      <c r="AE783" s="2058"/>
      <c r="AF783" s="2058"/>
      <c r="AG783" s="2058"/>
      <c r="AH783" s="2058"/>
      <c r="AI783" s="2058"/>
      <c r="AJ783" s="2058"/>
      <c r="AK783" s="2058"/>
      <c r="AL783" s="2058"/>
      <c r="AM783" s="2058"/>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91"/>
      <c r="B785" s="1991"/>
      <c r="C785" s="1991"/>
      <c r="D785" s="1991"/>
      <c r="E785" s="1991"/>
      <c r="F785" s="1991"/>
      <c r="G785" s="1991"/>
      <c r="H785" s="1991"/>
      <c r="I785" s="1991"/>
      <c r="J785" s="1991"/>
      <c r="K785" s="1991"/>
      <c r="L785" s="1991"/>
      <c r="M785" s="1991"/>
      <c r="N785" s="1991"/>
      <c r="O785" s="1991"/>
      <c r="P785" s="1991"/>
      <c r="Q785" s="1991"/>
      <c r="R785" s="1991"/>
      <c r="S785" s="1991"/>
      <c r="T785" s="1991"/>
      <c r="U785" s="1991"/>
      <c r="V785" s="1991"/>
      <c r="W785" s="1991"/>
      <c r="X785" s="1991"/>
      <c r="Y785" s="1991"/>
      <c r="Z785" s="1991"/>
      <c r="AA785" s="1991"/>
      <c r="AB785" s="1991"/>
      <c r="AC785" s="1991"/>
      <c r="AD785" s="1991"/>
      <c r="AE785" s="1991"/>
      <c r="AF785" s="1991"/>
      <c r="AG785" s="1991"/>
      <c r="AH785" s="1991"/>
      <c r="AI785" s="1991"/>
      <c r="AJ785" s="1991"/>
      <c r="AK785" s="1991"/>
      <c r="AL785" s="1991"/>
      <c r="AM785" s="1991"/>
      <c r="AP785" s="852"/>
      <c r="AQ785" s="852"/>
    </row>
    <row r="786" spans="1:81">
      <c r="A786" s="1991"/>
      <c r="B786" s="1991"/>
      <c r="C786" s="1991"/>
      <c r="D786" s="1991"/>
      <c r="E786" s="1991"/>
      <c r="F786" s="1991"/>
      <c r="G786" s="1991"/>
      <c r="H786" s="1991"/>
      <c r="I786" s="1991"/>
      <c r="J786" s="1991"/>
      <c r="K786" s="1991"/>
      <c r="L786" s="1991"/>
      <c r="M786" s="1991"/>
      <c r="N786" s="1991"/>
      <c r="O786" s="1991"/>
      <c r="P786" s="1991"/>
      <c r="Q786" s="1991"/>
      <c r="R786" s="1991"/>
      <c r="S786" s="1991"/>
      <c r="T786" s="1991"/>
      <c r="U786" s="1991"/>
      <c r="V786" s="1991"/>
      <c r="W786" s="1991"/>
      <c r="X786" s="1991"/>
      <c r="Y786" s="1991"/>
      <c r="Z786" s="1991"/>
      <c r="AA786" s="1991"/>
      <c r="AB786" s="1991"/>
      <c r="AC786" s="1991"/>
      <c r="AD786" s="1991"/>
      <c r="AE786" s="1991"/>
      <c r="AF786" s="1991"/>
      <c r="AG786" s="1991"/>
      <c r="AH786" s="1991"/>
      <c r="AI786" s="1991"/>
      <c r="AJ786" s="1991"/>
      <c r="AK786" s="1991"/>
      <c r="AL786" s="1991"/>
      <c r="AM786" s="1991"/>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2059" t="s">
        <v>1746</v>
      </c>
      <c r="U787" s="2060"/>
      <c r="V787" s="2060"/>
      <c r="W787" s="2060"/>
      <c r="X787" s="2060"/>
      <c r="Y787" s="2061"/>
      <c r="Z787" s="2059" t="s">
        <v>1747</v>
      </c>
      <c r="AA787" s="2060"/>
      <c r="AB787" s="2060"/>
      <c r="AC787" s="2060"/>
      <c r="AD787" s="2060"/>
      <c r="AE787" s="2061"/>
      <c r="AF787" s="2059" t="s">
        <v>1748</v>
      </c>
      <c r="AG787" s="2060"/>
      <c r="AH787" s="2060"/>
      <c r="AI787" s="2060"/>
      <c r="AJ787" s="2060"/>
      <c r="AK787" s="2061"/>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2062"/>
      <c r="U788" s="2063"/>
      <c r="V788" s="2063"/>
      <c r="W788" s="2063"/>
      <c r="X788" s="2063"/>
      <c r="Y788" s="2064"/>
      <c r="Z788" s="2062"/>
      <c r="AA788" s="2063"/>
      <c r="AB788" s="2063"/>
      <c r="AC788" s="2063"/>
      <c r="AD788" s="2063"/>
      <c r="AE788" s="2064"/>
      <c r="AF788" s="2062"/>
      <c r="AG788" s="2063"/>
      <c r="AH788" s="2063"/>
      <c r="AI788" s="2063"/>
      <c r="AJ788" s="2063"/>
      <c r="AK788" s="2064"/>
      <c r="AL788" s="854"/>
      <c r="AM788" s="631"/>
      <c r="AO788" s="852"/>
      <c r="AP788" s="852"/>
      <c r="AQ788" s="852"/>
    </row>
    <row r="789" spans="1:81">
      <c r="A789" s="855" t="s">
        <v>769</v>
      </c>
      <c r="B789" s="2039" t="s">
        <v>1476</v>
      </c>
      <c r="C789" s="2039"/>
      <c r="D789" s="2039"/>
      <c r="E789" s="2039"/>
      <c r="F789" s="2039"/>
      <c r="G789" s="2039"/>
      <c r="H789" s="2039"/>
      <c r="I789" s="2039"/>
      <c r="J789" s="2039"/>
      <c r="K789" s="2039"/>
      <c r="L789" s="2039"/>
      <c r="M789" s="2039"/>
      <c r="N789" s="2039"/>
      <c r="O789" s="2039"/>
      <c r="P789" s="2039"/>
      <c r="Q789" s="2039"/>
      <c r="R789" s="2039"/>
      <c r="S789" s="2040"/>
      <c r="T789" s="2041">
        <f>AK56</f>
        <v>0</v>
      </c>
      <c r="U789" s="2042"/>
      <c r="V789" s="2042"/>
      <c r="W789" s="2042"/>
      <c r="X789" s="2042"/>
      <c r="Y789" s="2043"/>
      <c r="Z789" s="2044">
        <v>20</v>
      </c>
      <c r="AA789" s="2042"/>
      <c r="AB789" s="2042"/>
      <c r="AC789" s="2042"/>
      <c r="AD789" s="2042"/>
      <c r="AE789" s="2043"/>
      <c r="AF789" s="2008">
        <f>IF(T789&gt;Z789,Z789,T789)</f>
        <v>0</v>
      </c>
      <c r="AG789" s="2008"/>
      <c r="AH789" s="2008"/>
      <c r="AI789" s="2008"/>
      <c r="AJ789" s="2008"/>
      <c r="AK789" s="2008"/>
      <c r="AL789" s="854"/>
      <c r="AM789" s="631"/>
      <c r="AO789" s="852"/>
      <c r="AP789" s="852"/>
      <c r="AQ789" s="852"/>
    </row>
    <row r="790" spans="1:81">
      <c r="A790" s="855" t="s">
        <v>1718</v>
      </c>
      <c r="B790" s="2039" t="s">
        <v>1485</v>
      </c>
      <c r="C790" s="2039"/>
      <c r="D790" s="2039"/>
      <c r="E790" s="2039"/>
      <c r="F790" s="2039"/>
      <c r="G790" s="2039"/>
      <c r="H790" s="2039"/>
      <c r="I790" s="2039"/>
      <c r="J790" s="2039"/>
      <c r="K790" s="2039"/>
      <c r="L790" s="2039"/>
      <c r="M790" s="2039"/>
      <c r="N790" s="2039"/>
      <c r="O790" s="2039"/>
      <c r="P790" s="2039"/>
      <c r="Q790" s="2039"/>
      <c r="R790" s="2039"/>
      <c r="S790" s="2040"/>
      <c r="T790" s="2041">
        <f>AK78</f>
        <v>10</v>
      </c>
      <c r="U790" s="2042"/>
      <c r="V790" s="2042"/>
      <c r="W790" s="2042"/>
      <c r="X790" s="2042"/>
      <c r="Y790" s="2043"/>
      <c r="Z790" s="2044">
        <v>10</v>
      </c>
      <c r="AA790" s="2042"/>
      <c r="AB790" s="2042"/>
      <c r="AC790" s="2042"/>
      <c r="AD790" s="2042"/>
      <c r="AE790" s="2043"/>
      <c r="AF790" s="2008">
        <f>IF(T790&gt;Z790,Z790,T790)</f>
        <v>10</v>
      </c>
      <c r="AG790" s="2008"/>
      <c r="AH790" s="2008"/>
      <c r="AI790" s="2008"/>
      <c r="AJ790" s="2008"/>
      <c r="AK790" s="2008"/>
      <c r="AL790" s="854"/>
      <c r="AM790" s="631"/>
      <c r="AO790" s="852"/>
      <c r="AP790" s="852"/>
      <c r="AQ790" s="852"/>
    </row>
    <row r="791" spans="1:81">
      <c r="A791" s="855" t="s">
        <v>1727</v>
      </c>
      <c r="B791" s="2039" t="s">
        <v>1495</v>
      </c>
      <c r="C791" s="2039"/>
      <c r="D791" s="2039"/>
      <c r="E791" s="2039"/>
      <c r="F791" s="2039"/>
      <c r="G791" s="2039"/>
      <c r="H791" s="2039"/>
      <c r="I791" s="2039"/>
      <c r="J791" s="2039"/>
      <c r="K791" s="2039"/>
      <c r="L791" s="2039"/>
      <c r="M791" s="2039"/>
      <c r="N791" s="2039"/>
      <c r="O791" s="2039"/>
      <c r="P791" s="2039"/>
      <c r="Q791" s="2039"/>
      <c r="R791" s="2039"/>
      <c r="S791" s="2040"/>
      <c r="T791" s="2041">
        <f>AK103</f>
        <v>20</v>
      </c>
      <c r="U791" s="2042"/>
      <c r="V791" s="2042"/>
      <c r="W791" s="2042"/>
      <c r="X791" s="2042"/>
      <c r="Y791" s="2043"/>
      <c r="Z791" s="2044">
        <v>20</v>
      </c>
      <c r="AA791" s="2042"/>
      <c r="AB791" s="2042"/>
      <c r="AC791" s="2042"/>
      <c r="AD791" s="2042"/>
      <c r="AE791" s="2043"/>
      <c r="AF791" s="2008">
        <f>IF(T791&gt;Z791,Z791,T791)</f>
        <v>20</v>
      </c>
      <c r="AG791" s="2008"/>
      <c r="AH791" s="2008"/>
      <c r="AI791" s="2008"/>
      <c r="AJ791" s="2008"/>
      <c r="AK791" s="2008"/>
      <c r="AL791" s="854"/>
      <c r="AM791" s="631"/>
      <c r="AO791" s="852"/>
      <c r="AP791" s="852"/>
      <c r="AQ791" s="852"/>
    </row>
    <row r="792" spans="1:81">
      <c r="A792" s="855" t="s">
        <v>1749</v>
      </c>
      <c r="B792" s="2039" t="s">
        <v>1505</v>
      </c>
      <c r="C792" s="2039"/>
      <c r="D792" s="2039"/>
      <c r="E792" s="2039"/>
      <c r="F792" s="2039"/>
      <c r="G792" s="2039"/>
      <c r="H792" s="2039"/>
      <c r="I792" s="2039"/>
      <c r="J792" s="2039"/>
      <c r="K792" s="2039"/>
      <c r="L792" s="2039"/>
      <c r="M792" s="2039"/>
      <c r="N792" s="2039"/>
      <c r="O792" s="2039"/>
      <c r="P792" s="2039"/>
      <c r="Q792" s="2039"/>
      <c r="R792" s="2039"/>
      <c r="S792" s="2040"/>
      <c r="T792" s="2041">
        <f>AK137</f>
        <v>10</v>
      </c>
      <c r="U792" s="2042"/>
      <c r="V792" s="2042"/>
      <c r="W792" s="2042"/>
      <c r="X792" s="2042"/>
      <c r="Y792" s="2043"/>
      <c r="Z792" s="2044">
        <v>10</v>
      </c>
      <c r="AA792" s="2042"/>
      <c r="AB792" s="2042"/>
      <c r="AC792" s="2042"/>
      <c r="AD792" s="2042"/>
      <c r="AE792" s="2043"/>
      <c r="AF792" s="2008">
        <f>IF(T792&gt;Z792,Z792,T792)</f>
        <v>10</v>
      </c>
      <c r="AG792" s="2008"/>
      <c r="AH792" s="2008"/>
      <c r="AI792" s="2008"/>
      <c r="AJ792" s="2008"/>
      <c r="AK792" s="2008"/>
      <c r="AL792" s="854"/>
      <c r="AM792" s="631"/>
      <c r="AO792" s="852"/>
      <c r="AP792" s="852"/>
      <c r="AQ792" s="852"/>
    </row>
    <row r="793" spans="1:81">
      <c r="A793" s="856" t="s">
        <v>1750</v>
      </c>
      <c r="B793" s="2039" t="s">
        <v>1751</v>
      </c>
      <c r="C793" s="2039"/>
      <c r="D793" s="2039"/>
      <c r="E793" s="2039"/>
      <c r="F793" s="2039"/>
      <c r="G793" s="2039"/>
      <c r="H793" s="2039"/>
      <c r="I793" s="2039"/>
      <c r="J793" s="2039"/>
      <c r="K793" s="2039"/>
      <c r="L793" s="2039"/>
      <c r="M793" s="2039"/>
      <c r="N793" s="2039"/>
      <c r="O793" s="2039"/>
      <c r="P793" s="2039"/>
      <c r="Q793" s="2039"/>
      <c r="R793" s="2039"/>
      <c r="S793" s="2040"/>
      <c r="T793" s="2065">
        <f>SUM(T794:Y795)</f>
        <v>10</v>
      </c>
      <c r="U793" s="2065"/>
      <c r="V793" s="2065"/>
      <c r="W793" s="2065"/>
      <c r="X793" s="2065"/>
      <c r="Y793" s="2065"/>
      <c r="Z793" s="2008">
        <v>10</v>
      </c>
      <c r="AA793" s="2008"/>
      <c r="AB793" s="2008"/>
      <c r="AC793" s="2008"/>
      <c r="AD793" s="2008"/>
      <c r="AE793" s="2008"/>
      <c r="AF793" s="2008">
        <f>IF(T793&gt;Z793,Z793,T793)</f>
        <v>10</v>
      </c>
      <c r="AG793" s="2008"/>
      <c r="AH793" s="2008"/>
      <c r="AI793" s="2008"/>
      <c r="AJ793" s="2008"/>
      <c r="AK793" s="2008"/>
      <c r="AL793" s="854"/>
      <c r="AM793" s="631"/>
    </row>
    <row r="794" spans="1:81">
      <c r="A794" s="570"/>
      <c r="B794" s="636"/>
      <c r="C794" s="2066" t="s">
        <v>1752</v>
      </c>
      <c r="D794" s="2066"/>
      <c r="E794" s="2066"/>
      <c r="F794" s="2066"/>
      <c r="G794" s="2066"/>
      <c r="H794" s="2066"/>
      <c r="I794" s="2066"/>
      <c r="J794" s="2066"/>
      <c r="K794" s="2066"/>
      <c r="L794" s="2066"/>
      <c r="M794" s="2066"/>
      <c r="N794" s="2066"/>
      <c r="O794" s="2066"/>
      <c r="P794" s="2066"/>
      <c r="Q794" s="2066"/>
      <c r="R794" s="2066"/>
      <c r="S794" s="2067"/>
      <c r="T794" s="1945">
        <f>AJ155</f>
        <v>7</v>
      </c>
      <c r="U794" s="1945"/>
      <c r="V794" s="1945"/>
      <c r="W794" s="1945"/>
      <c r="X794" s="1945"/>
      <c r="Y794" s="1945"/>
      <c r="Z794" s="1946">
        <v>7</v>
      </c>
      <c r="AA794" s="1946"/>
      <c r="AB794" s="1946"/>
      <c r="AC794" s="1946"/>
      <c r="AD794" s="1946"/>
      <c r="AE794" s="1946"/>
      <c r="AF794" s="2068"/>
      <c r="AG794" s="2068"/>
      <c r="AH794" s="2068"/>
      <c r="AI794" s="2068"/>
      <c r="AJ794" s="2068"/>
      <c r="AK794" s="2068"/>
      <c r="AL794" s="854"/>
      <c r="AM794" s="631"/>
    </row>
    <row r="795" spans="1:81">
      <c r="A795" s="635"/>
      <c r="B795" s="636"/>
      <c r="C795" s="2066" t="s">
        <v>1753</v>
      </c>
      <c r="D795" s="2066"/>
      <c r="E795" s="2066"/>
      <c r="F795" s="2066"/>
      <c r="G795" s="2066"/>
      <c r="H795" s="2066"/>
      <c r="I795" s="2066"/>
      <c r="J795" s="2066"/>
      <c r="K795" s="2066"/>
      <c r="L795" s="2066"/>
      <c r="M795" s="2066"/>
      <c r="N795" s="2066"/>
      <c r="O795" s="2066"/>
      <c r="P795" s="2066"/>
      <c r="Q795" s="2066"/>
      <c r="R795" s="2066"/>
      <c r="S795" s="2067"/>
      <c r="T795" s="1945">
        <f>AJ169</f>
        <v>3</v>
      </c>
      <c r="U795" s="1945"/>
      <c r="V795" s="1945"/>
      <c r="W795" s="1945"/>
      <c r="X795" s="1945"/>
      <c r="Y795" s="1945"/>
      <c r="Z795" s="1946">
        <v>3</v>
      </c>
      <c r="AA795" s="1946"/>
      <c r="AB795" s="1946"/>
      <c r="AC795" s="1946"/>
      <c r="AD795" s="1946"/>
      <c r="AE795" s="1946"/>
      <c r="AF795" s="2068"/>
      <c r="AG795" s="2068"/>
      <c r="AH795" s="2068"/>
      <c r="AI795" s="2068"/>
      <c r="AJ795" s="2068"/>
      <c r="AK795" s="2068"/>
      <c r="AL795" s="854"/>
      <c r="AM795" s="631"/>
      <c r="AO795" s="585"/>
    </row>
    <row r="796" spans="1:81">
      <c r="A796" s="856" t="s">
        <v>1533</v>
      </c>
      <c r="B796" s="2039" t="s">
        <v>1754</v>
      </c>
      <c r="C796" s="2039"/>
      <c r="D796" s="2039"/>
      <c r="E796" s="2039"/>
      <c r="F796" s="2039"/>
      <c r="G796" s="2039"/>
      <c r="H796" s="2039"/>
      <c r="I796" s="2039"/>
      <c r="J796" s="2039"/>
      <c r="K796" s="2039"/>
      <c r="L796" s="2039"/>
      <c r="M796" s="2039"/>
      <c r="N796" s="2039"/>
      <c r="O796" s="2039"/>
      <c r="P796" s="2039"/>
      <c r="Q796" s="2039"/>
      <c r="R796" s="2039"/>
      <c r="S796" s="2040"/>
      <c r="T796" s="2065">
        <f>AK180</f>
        <v>10</v>
      </c>
      <c r="U796" s="2065"/>
      <c r="V796" s="2065"/>
      <c r="W796" s="2065"/>
      <c r="X796" s="2065"/>
      <c r="Y796" s="2065"/>
      <c r="Z796" s="2008">
        <v>10</v>
      </c>
      <c r="AA796" s="2008"/>
      <c r="AB796" s="2008"/>
      <c r="AC796" s="2008"/>
      <c r="AD796" s="2008"/>
      <c r="AE796" s="2008"/>
      <c r="AF796" s="2008">
        <f>IF(T796&gt;Z796,Z796,T796)</f>
        <v>10</v>
      </c>
      <c r="AG796" s="2008"/>
      <c r="AH796" s="2008"/>
      <c r="AI796" s="2008"/>
      <c r="AJ796" s="2008"/>
      <c r="AK796" s="2008"/>
      <c r="AL796" s="854"/>
      <c r="AM796" s="631"/>
    </row>
    <row r="797" spans="1:81">
      <c r="A797" s="855" t="s">
        <v>1542</v>
      </c>
      <c r="B797" s="2039" t="s">
        <v>1543</v>
      </c>
      <c r="C797" s="2039"/>
      <c r="D797" s="2039"/>
      <c r="E797" s="2039"/>
      <c r="F797" s="2039"/>
      <c r="G797" s="2039"/>
      <c r="H797" s="2039"/>
      <c r="I797" s="2039"/>
      <c r="J797" s="2039"/>
      <c r="K797" s="2039"/>
      <c r="L797" s="2039"/>
      <c r="M797" s="2039"/>
      <c r="N797" s="2039"/>
      <c r="O797" s="2039"/>
      <c r="P797" s="2039"/>
      <c r="Q797" s="2039"/>
      <c r="R797" s="2039"/>
      <c r="S797" s="2040"/>
      <c r="T797" s="2065">
        <f>AK262</f>
        <v>8</v>
      </c>
      <c r="U797" s="2065"/>
      <c r="V797" s="2065"/>
      <c r="W797" s="2065"/>
      <c r="X797" s="2065"/>
      <c r="Y797" s="2065"/>
      <c r="Z797" s="2044">
        <v>8</v>
      </c>
      <c r="AA797" s="2042"/>
      <c r="AB797" s="2042"/>
      <c r="AC797" s="2042"/>
      <c r="AD797" s="2042"/>
      <c r="AE797" s="2043"/>
      <c r="AF797" s="2008">
        <f>IF(T797&gt;Z797,Z797,T797)</f>
        <v>8</v>
      </c>
      <c r="AG797" s="2008"/>
      <c r="AH797" s="2008"/>
      <c r="AI797" s="2008"/>
      <c r="AJ797" s="2008"/>
      <c r="AK797" s="2008"/>
      <c r="AL797" s="854"/>
      <c r="AM797" s="631"/>
    </row>
    <row r="798" spans="1:81" s="569" customFormat="1" hidden="1">
      <c r="A798" s="856" t="s">
        <v>598</v>
      </c>
      <c r="B798" s="2039" t="s">
        <v>1755</v>
      </c>
      <c r="C798" s="2039"/>
      <c r="D798" s="2039"/>
      <c r="E798" s="2039"/>
      <c r="F798" s="2039"/>
      <c r="G798" s="2039"/>
      <c r="H798" s="2039"/>
      <c r="I798" s="2039"/>
      <c r="J798" s="2039"/>
      <c r="K798" s="2039"/>
      <c r="L798" s="2039"/>
      <c r="M798" s="2039"/>
      <c r="N798" s="2039"/>
      <c r="O798" s="2039"/>
      <c r="P798" s="2039"/>
      <c r="Q798" s="2039"/>
      <c r="R798" s="2039"/>
      <c r="S798" s="2040"/>
      <c r="T798" s="2065">
        <f>IF(AK524&gt;5,5,AK524)</f>
        <v>0</v>
      </c>
      <c r="U798" s="2065"/>
      <c r="V798" s="2065"/>
      <c r="W798" s="2065"/>
      <c r="X798" s="2065"/>
      <c r="Y798" s="2065"/>
      <c r="Z798" s="2008">
        <v>5</v>
      </c>
      <c r="AA798" s="2008"/>
      <c r="AB798" s="2008"/>
      <c r="AC798" s="2008"/>
      <c r="AD798" s="2008"/>
      <c r="AE798" s="2008"/>
      <c r="AF798" s="2008">
        <f>IF(T798&gt;Z798,5,T798)</f>
        <v>0</v>
      </c>
      <c r="AG798" s="2008"/>
      <c r="AH798" s="2008"/>
      <c r="AI798" s="2008"/>
      <c r="AJ798" s="2008"/>
      <c r="AK798" s="2008"/>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1548</v>
      </c>
      <c r="B799" s="2039" t="s">
        <v>1756</v>
      </c>
      <c r="C799" s="2039"/>
      <c r="D799" s="2039"/>
      <c r="E799" s="2039"/>
      <c r="F799" s="2039"/>
      <c r="G799" s="2039"/>
      <c r="H799" s="2039"/>
      <c r="I799" s="2039"/>
      <c r="J799" s="2039"/>
      <c r="K799" s="2039"/>
      <c r="L799" s="2039"/>
      <c r="M799" s="2039"/>
      <c r="N799" s="2039"/>
      <c r="O799" s="2039"/>
      <c r="P799" s="2039"/>
      <c r="Q799" s="2039"/>
      <c r="R799" s="2039"/>
      <c r="S799" s="2040"/>
      <c r="T799" s="2065">
        <f>AK274</f>
        <v>10</v>
      </c>
      <c r="U799" s="2065"/>
      <c r="V799" s="2065"/>
      <c r="W799" s="2065"/>
      <c r="X799" s="2065"/>
      <c r="Y799" s="2065"/>
      <c r="Z799" s="2008">
        <v>10</v>
      </c>
      <c r="AA799" s="2008"/>
      <c r="AB799" s="2008"/>
      <c r="AC799" s="2008"/>
      <c r="AD799" s="2008"/>
      <c r="AE799" s="2008"/>
      <c r="AF799" s="2071">
        <f>IF(T799&gt;Z799,Z799,T799)</f>
        <v>10</v>
      </c>
      <c r="AG799" s="2072"/>
      <c r="AH799" s="2072"/>
      <c r="AI799" s="2072"/>
      <c r="AJ799" s="2072"/>
      <c r="AK799" s="2073"/>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1552</v>
      </c>
      <c r="B800" s="2039" t="s">
        <v>1553</v>
      </c>
      <c r="C800" s="2039"/>
      <c r="D800" s="2039"/>
      <c r="E800" s="2039"/>
      <c r="F800" s="2039"/>
      <c r="G800" s="2039"/>
      <c r="H800" s="2039"/>
      <c r="I800" s="2039"/>
      <c r="J800" s="2039"/>
      <c r="K800" s="2039"/>
      <c r="L800" s="2039"/>
      <c r="M800" s="2039"/>
      <c r="N800" s="2039"/>
      <c r="O800" s="2039"/>
      <c r="P800" s="2039"/>
      <c r="Q800" s="2039"/>
      <c r="R800" s="2039"/>
      <c r="S800" s="2040"/>
      <c r="T800" s="2065">
        <f>AK327</f>
        <v>10</v>
      </c>
      <c r="U800" s="2065"/>
      <c r="V800" s="2065"/>
      <c r="W800" s="2065"/>
      <c r="X800" s="2065"/>
      <c r="Y800" s="2065"/>
      <c r="Z800" s="2071">
        <v>10</v>
      </c>
      <c r="AA800" s="2072"/>
      <c r="AB800" s="2072"/>
      <c r="AC800" s="2072"/>
      <c r="AD800" s="2072"/>
      <c r="AE800" s="2073"/>
      <c r="AF800" s="2071">
        <f>IF(T800&gt;Z800,Z800,T800)</f>
        <v>10</v>
      </c>
      <c r="AG800" s="2072"/>
      <c r="AH800" s="2072"/>
      <c r="AI800" s="2072"/>
      <c r="AJ800" s="2072"/>
      <c r="AK800" s="2073"/>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1757</v>
      </c>
      <c r="D801" s="859"/>
      <c r="E801" s="859"/>
      <c r="F801" s="859"/>
      <c r="G801" s="859"/>
      <c r="H801" s="859"/>
      <c r="I801" s="859"/>
      <c r="J801" s="859"/>
      <c r="K801" s="859"/>
      <c r="L801" s="859"/>
      <c r="M801" s="859"/>
      <c r="N801" s="859"/>
      <c r="O801" s="859"/>
      <c r="P801" s="859"/>
      <c r="Q801" s="859"/>
      <c r="R801" s="857"/>
      <c r="S801" s="860"/>
      <c r="T801" s="1945">
        <f>AK327</f>
        <v>10</v>
      </c>
      <c r="U801" s="1945"/>
      <c r="V801" s="1945"/>
      <c r="W801" s="1945"/>
      <c r="X801" s="1945"/>
      <c r="Y801" s="1945"/>
      <c r="Z801" s="1950">
        <v>20</v>
      </c>
      <c r="AA801" s="1951"/>
      <c r="AB801" s="1951"/>
      <c r="AC801" s="1951"/>
      <c r="AD801" s="1951"/>
      <c r="AE801" s="1952"/>
      <c r="AF801" s="2068"/>
      <c r="AG801" s="2068"/>
      <c r="AH801" s="2068"/>
      <c r="AI801" s="2068"/>
      <c r="AJ801" s="2068"/>
      <c r="AK801" s="206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1625</v>
      </c>
      <c r="B802" s="2039" t="s">
        <v>873</v>
      </c>
      <c r="C802" s="2039"/>
      <c r="D802" s="2039"/>
      <c r="E802" s="2039"/>
      <c r="F802" s="2039"/>
      <c r="G802" s="2039"/>
      <c r="H802" s="2039"/>
      <c r="I802" s="2039"/>
      <c r="J802" s="2039"/>
      <c r="K802" s="2039"/>
      <c r="L802" s="2039"/>
      <c r="M802" s="2039"/>
      <c r="N802" s="2039"/>
      <c r="O802" s="2039"/>
      <c r="P802" s="2039"/>
      <c r="Q802" s="2039"/>
      <c r="R802" s="2039"/>
      <c r="S802" s="2040"/>
      <c r="T802" s="2065">
        <f>AK458</f>
        <v>10</v>
      </c>
      <c r="U802" s="2065"/>
      <c r="V802" s="2065"/>
      <c r="W802" s="2065"/>
      <c r="X802" s="2065"/>
      <c r="Y802" s="2065"/>
      <c r="Z802" s="2071">
        <v>10</v>
      </c>
      <c r="AA802" s="2072"/>
      <c r="AB802" s="2072"/>
      <c r="AC802" s="2072"/>
      <c r="AD802" s="2072"/>
      <c r="AE802" s="2073"/>
      <c r="AF802" s="2008">
        <f>IF(T802&gt;Z802,Z802,T802)</f>
        <v>10</v>
      </c>
      <c r="AG802" s="2008"/>
      <c r="AH802" s="2008"/>
      <c r="AI802" s="2008"/>
      <c r="AJ802" s="2008"/>
      <c r="AK802" s="2008"/>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1735</v>
      </c>
      <c r="B803" s="2039" t="s">
        <v>1736</v>
      </c>
      <c r="C803" s="2039"/>
      <c r="D803" s="2039"/>
      <c r="E803" s="2039"/>
      <c r="F803" s="2039"/>
      <c r="G803" s="2039"/>
      <c r="H803" s="2039"/>
      <c r="I803" s="2039"/>
      <c r="J803" s="2039"/>
      <c r="K803" s="2039"/>
      <c r="L803" s="2039"/>
      <c r="M803" s="2039"/>
      <c r="N803" s="2039"/>
      <c r="O803" s="2039"/>
      <c r="P803" s="2039"/>
      <c r="Q803" s="2039"/>
      <c r="R803" s="2039"/>
      <c r="S803" s="2040"/>
      <c r="T803" s="2065">
        <f>AK548</f>
        <v>12</v>
      </c>
      <c r="U803" s="2065"/>
      <c r="V803" s="2065"/>
      <c r="W803" s="2065"/>
      <c r="X803" s="2065"/>
      <c r="Y803" s="2065"/>
      <c r="Z803" s="2071">
        <v>12</v>
      </c>
      <c r="AA803" s="2072"/>
      <c r="AB803" s="2072"/>
      <c r="AC803" s="2072"/>
      <c r="AD803" s="2072"/>
      <c r="AE803" s="2073"/>
      <c r="AF803" s="2008">
        <f>IF(T803&gt;Z803,Z803,T803)</f>
        <v>12</v>
      </c>
      <c r="AG803" s="2008"/>
      <c r="AH803" s="2008"/>
      <c r="AI803" s="2008"/>
      <c r="AJ803" s="2008"/>
      <c r="AK803" s="2008"/>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2416</v>
      </c>
      <c r="B804" s="2039" t="s">
        <v>1758</v>
      </c>
      <c r="C804" s="2039"/>
      <c r="D804" s="2039"/>
      <c r="E804" s="2039"/>
      <c r="F804" s="2039"/>
      <c r="G804" s="2039"/>
      <c r="H804" s="2039"/>
      <c r="I804" s="2039"/>
      <c r="J804" s="2039"/>
      <c r="K804" s="2039"/>
      <c r="L804" s="2039"/>
      <c r="M804" s="2039"/>
      <c r="N804" s="2039"/>
      <c r="O804" s="2039"/>
      <c r="P804" s="2039"/>
      <c r="Q804" s="2039"/>
      <c r="R804" s="2039"/>
      <c r="S804" s="2040"/>
      <c r="T804" s="2065">
        <f>AK779</f>
        <v>10</v>
      </c>
      <c r="U804" s="2065"/>
      <c r="V804" s="2065"/>
      <c r="W804" s="2065"/>
      <c r="X804" s="2065"/>
      <c r="Y804" s="2065"/>
      <c r="Z804" s="2071">
        <v>10</v>
      </c>
      <c r="AA804" s="2072"/>
      <c r="AB804" s="2072"/>
      <c r="AC804" s="2072"/>
      <c r="AD804" s="2072"/>
      <c r="AE804" s="2073"/>
      <c r="AF804" s="2008">
        <f>IF(T804&gt;Z804,Z804,T804)</f>
        <v>10</v>
      </c>
      <c r="AG804" s="2008"/>
      <c r="AH804" s="2008"/>
      <c r="AI804" s="2008"/>
      <c r="AJ804" s="2008"/>
      <c r="AK804" s="2008"/>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2069" t="s">
        <v>1759</v>
      </c>
      <c r="B805" s="2039"/>
      <c r="C805" s="2039"/>
      <c r="D805" s="2039"/>
      <c r="E805" s="2039"/>
      <c r="F805" s="2039"/>
      <c r="G805" s="2039"/>
      <c r="H805" s="2039"/>
      <c r="I805" s="2039"/>
      <c r="J805" s="2039"/>
      <c r="K805" s="2039"/>
      <c r="L805" s="2039"/>
      <c r="M805" s="2039"/>
      <c r="N805" s="2039"/>
      <c r="O805" s="2039"/>
      <c r="P805" s="2039"/>
      <c r="Q805" s="2039"/>
      <c r="R805" s="2039"/>
      <c r="S805" s="2040"/>
      <c r="T805" s="2070"/>
      <c r="U805" s="2070"/>
      <c r="V805" s="2070"/>
      <c r="W805" s="2070"/>
      <c r="X805" s="2070"/>
      <c r="Y805" s="2070"/>
      <c r="Z805" s="1946" t="s">
        <v>1760</v>
      </c>
      <c r="AA805" s="1946"/>
      <c r="AB805" s="1946"/>
      <c r="AC805" s="1946"/>
      <c r="AD805" s="1946"/>
      <c r="AE805" s="1946"/>
      <c r="AF805" s="2071">
        <f>IF(T805&gt;0,T805,0)</f>
        <v>0</v>
      </c>
      <c r="AG805" s="2072"/>
      <c r="AH805" s="2072"/>
      <c r="AI805" s="2072"/>
      <c r="AJ805" s="2072"/>
      <c r="AK805" s="2073"/>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2074" t="s">
        <v>1761</v>
      </c>
      <c r="B806" s="2075"/>
      <c r="C806" s="2075"/>
      <c r="D806" s="2075"/>
      <c r="E806" s="2075"/>
      <c r="F806" s="2075"/>
      <c r="G806" s="2075"/>
      <c r="H806" s="2075"/>
      <c r="I806" s="2075"/>
      <c r="J806" s="2075"/>
      <c r="K806" s="2075"/>
      <c r="L806" s="2075"/>
      <c r="M806" s="2075"/>
      <c r="N806" s="2075"/>
      <c r="O806" s="2075"/>
      <c r="P806" s="2075"/>
      <c r="Q806" s="2075"/>
      <c r="R806" s="2075"/>
      <c r="S806" s="2075"/>
      <c r="T806" s="2075"/>
      <c r="U806" s="2075"/>
      <c r="V806" s="2075"/>
      <c r="W806" s="2075"/>
      <c r="X806" s="2075"/>
      <c r="Y806" s="2075"/>
      <c r="Z806" s="2075"/>
      <c r="AA806" s="2075"/>
      <c r="AB806" s="2075"/>
      <c r="AC806" s="2075"/>
      <c r="AD806" s="2075"/>
      <c r="AE806" s="2076"/>
      <c r="AF806" s="2080">
        <f>SUM(AF789:AK804)-AF805</f>
        <v>120</v>
      </c>
      <c r="AG806" s="2081"/>
      <c r="AH806" s="2081"/>
      <c r="AI806" s="2081"/>
      <c r="AJ806" s="2081"/>
      <c r="AK806" s="208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2077"/>
      <c r="B807" s="2078"/>
      <c r="C807" s="2078"/>
      <c r="D807" s="2078"/>
      <c r="E807" s="2078"/>
      <c r="F807" s="2078"/>
      <c r="G807" s="2078"/>
      <c r="H807" s="2078"/>
      <c r="I807" s="2078"/>
      <c r="J807" s="2078"/>
      <c r="K807" s="2078"/>
      <c r="L807" s="2078"/>
      <c r="M807" s="2078"/>
      <c r="N807" s="2078"/>
      <c r="O807" s="2078"/>
      <c r="P807" s="2078"/>
      <c r="Q807" s="2078"/>
      <c r="R807" s="2078"/>
      <c r="S807" s="2078"/>
      <c r="T807" s="2078"/>
      <c r="U807" s="2078"/>
      <c r="V807" s="2078"/>
      <c r="W807" s="2078"/>
      <c r="X807" s="2078"/>
      <c r="Y807" s="2078"/>
      <c r="Z807" s="2078"/>
      <c r="AA807" s="2078"/>
      <c r="AB807" s="2078"/>
      <c r="AC807" s="2078"/>
      <c r="AD807" s="2078"/>
      <c r="AE807" s="2079"/>
      <c r="AF807" s="2083"/>
      <c r="AG807" s="2084"/>
      <c r="AH807" s="2084"/>
      <c r="AI807" s="2084"/>
      <c r="AJ807" s="2084"/>
      <c r="AK807" s="208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380" max="38" man="1"/>
    <brk id="549" max="38" man="1"/>
    <brk id="669" max="38" man="1"/>
    <brk id="723"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J9" sqref="J9"/>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30" t="s">
        <v>1762</v>
      </c>
      <c r="B1" s="2130"/>
      <c r="C1" s="2130"/>
      <c r="D1" s="2130"/>
      <c r="E1" s="2130"/>
      <c r="F1" s="2130"/>
      <c r="G1" s="2130"/>
      <c r="H1" s="2130"/>
      <c r="I1" s="2130"/>
      <c r="J1" s="2130"/>
    </row>
    <row r="2" spans="1:13" ht="15" customHeight="1" thickBot="1">
      <c r="A2" s="1090"/>
      <c r="B2" s="1090"/>
      <c r="I2" s="1091"/>
      <c r="K2" s="1092"/>
    </row>
    <row r="3" spans="1:13" s="1095" customFormat="1" ht="20.100000000000001" customHeight="1">
      <c r="A3" s="1149"/>
      <c r="B3" s="1150"/>
      <c r="C3" s="1151"/>
      <c r="D3" s="1156"/>
      <c r="E3" s="1151"/>
      <c r="F3" s="1152" t="s">
        <v>2381</v>
      </c>
      <c r="G3" s="1151"/>
      <c r="H3" s="1153">
        <f>E16</f>
        <v>11304868</v>
      </c>
      <c r="I3" s="1154"/>
    </row>
    <row r="4" spans="1:13" s="1095" customFormat="1" ht="20.100000000000001" customHeight="1">
      <c r="B4" s="1143"/>
      <c r="D4" s="1157"/>
      <c r="F4" s="1141" t="s">
        <v>2383</v>
      </c>
      <c r="G4" s="1140" t="s">
        <v>2382</v>
      </c>
      <c r="H4" s="1142">
        <f>I16</f>
        <v>9799197.9252450988</v>
      </c>
      <c r="I4" s="1144"/>
      <c r="K4" s="1099"/>
    </row>
    <row r="5" spans="1:13" s="1095" customFormat="1" ht="20.100000000000001" customHeight="1" thickBot="1">
      <c r="B5" s="1145"/>
      <c r="C5" s="1146"/>
      <c r="D5" s="1158"/>
      <c r="E5" s="1147"/>
      <c r="F5" s="1158" t="s">
        <v>2323</v>
      </c>
      <c r="G5" s="1159"/>
      <c r="H5" s="1155">
        <f>H3/H4</f>
        <v>1.1536523791274724</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2" t="s">
        <v>2321</v>
      </c>
      <c r="C8" s="2133"/>
      <c r="D8" s="2133"/>
      <c r="E8" s="2134"/>
      <c r="G8" s="2135" t="s">
        <v>2322</v>
      </c>
      <c r="H8" s="2136"/>
      <c r="I8" s="2137"/>
      <c r="K8" s="1101"/>
    </row>
    <row r="9" spans="1:13" ht="15" customHeight="1">
      <c r="A9" s="1090"/>
      <c r="B9" s="2131" t="s">
        <v>2360</v>
      </c>
      <c r="C9" s="2131"/>
      <c r="D9" s="2131"/>
      <c r="E9" s="1103">
        <f>G31</f>
        <v>1795000</v>
      </c>
      <c r="G9" s="2140" t="s">
        <v>2358</v>
      </c>
      <c r="H9" s="2140"/>
      <c r="I9" s="1104">
        <f>Application!AM550</f>
        <v>14219583</v>
      </c>
      <c r="K9" s="1105"/>
      <c r="M9" s="1106"/>
    </row>
    <row r="10" spans="1:13" ht="15" customHeight="1" thickBot="1">
      <c r="A10" s="1090"/>
      <c r="B10" s="2131" t="s">
        <v>2361</v>
      </c>
      <c r="C10" s="2131"/>
      <c r="D10" s="2131"/>
      <c r="E10" s="1104">
        <f>G40</f>
        <v>6061968.0000000009</v>
      </c>
      <c r="G10" s="2140" t="s">
        <v>2324</v>
      </c>
      <c r="H10" s="2140"/>
      <c r="I10" s="1191">
        <f>'Basis &amp; Credits'!AB77</f>
        <v>0</v>
      </c>
      <c r="M10" s="1106"/>
    </row>
    <row r="11" spans="1:13" ht="15" customHeight="1">
      <c r="A11" s="1107"/>
      <c r="B11" s="2131" t="s">
        <v>2362</v>
      </c>
      <c r="C11" s="2131"/>
      <c r="D11" s="2131"/>
      <c r="E11" s="1104">
        <f>G49</f>
        <v>180000</v>
      </c>
      <c r="G11" s="2140" t="s">
        <v>2373</v>
      </c>
      <c r="H11" s="2140"/>
      <c r="I11" s="1190">
        <f>I9+I10</f>
        <v>14219583</v>
      </c>
      <c r="M11" s="1106"/>
    </row>
    <row r="12" spans="1:13" ht="15" customHeight="1">
      <c r="A12" s="1093"/>
      <c r="B12" s="2131" t="s">
        <v>2363</v>
      </c>
      <c r="C12" s="2131"/>
      <c r="D12" s="2131"/>
      <c r="E12" s="1104">
        <f>G58</f>
        <v>360000</v>
      </c>
      <c r="G12" s="1192" t="s">
        <v>2398</v>
      </c>
      <c r="H12" s="1193"/>
      <c r="M12" s="1106"/>
    </row>
    <row r="13" spans="1:13" ht="15" customHeight="1">
      <c r="A13" s="1090"/>
      <c r="B13" s="2131" t="s">
        <v>2364</v>
      </c>
      <c r="C13" s="2131"/>
      <c r="D13" s="2131"/>
      <c r="E13" s="1109">
        <f>G83</f>
        <v>2189900</v>
      </c>
      <c r="G13" s="2141" t="s">
        <v>140</v>
      </c>
      <c r="H13" s="2141"/>
      <c r="I13" s="1108">
        <f>15%*(Application!AJ963&gt;0)</f>
        <v>0.15</v>
      </c>
      <c r="M13" s="1106"/>
    </row>
    <row r="14" spans="1:13" ht="15" customHeight="1">
      <c r="A14" s="1090"/>
      <c r="B14" s="2131" t="s">
        <v>2365</v>
      </c>
      <c r="C14" s="2131"/>
      <c r="D14" s="2131"/>
      <c r="E14" s="1104">
        <f>IF(G96&gt;G106,G96,0)</f>
        <v>718000</v>
      </c>
      <c r="G14" s="1188" t="s">
        <v>2374</v>
      </c>
      <c r="H14" s="1188"/>
      <c r="I14" s="1108">
        <f>IF(Application!AJ997&gt;0,10%,IF(Application!AJ1001&gt;0,5%,0))</f>
        <v>0.1</v>
      </c>
      <c r="M14" s="1106"/>
    </row>
    <row r="15" spans="1:13" ht="15" customHeight="1" thickBot="1">
      <c r="A15" s="1090"/>
      <c r="B15" s="2138" t="s">
        <v>2384</v>
      </c>
      <c r="C15" s="2138"/>
      <c r="D15" s="2138"/>
      <c r="E15" s="1160">
        <f>IF(E14&gt;0,0,G106)</f>
        <v>0</v>
      </c>
      <c r="G15" s="2144" t="s">
        <v>2375</v>
      </c>
      <c r="H15" s="2145"/>
      <c r="I15" s="1162">
        <f>G114</f>
        <v>6.0866013071895424E-2</v>
      </c>
      <c r="M15" s="1106"/>
    </row>
    <row r="16" spans="1:13" ht="15" customHeight="1">
      <c r="A16" s="1090"/>
      <c r="B16" s="2139" t="s">
        <v>2320</v>
      </c>
      <c r="C16" s="2139"/>
      <c r="D16" s="2139"/>
      <c r="E16" s="1161">
        <f>SUM(E9:E15)</f>
        <v>11304868</v>
      </c>
      <c r="G16" s="1189" t="s">
        <v>2359</v>
      </c>
      <c r="H16" s="1189"/>
      <c r="I16" s="1163">
        <f>I11-((I11*I13)+(I11*I14)+(I11*I15))</f>
        <v>9799197.9252450988</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37</v>
      </c>
      <c r="O18" s="1133" t="s">
        <v>591</v>
      </c>
      <c r="P18" s="1088">
        <f>MATCH(Application!T189,Application!BP656:BP713,0)</f>
        <v>19</v>
      </c>
      <c r="S18" s="1110">
        <f>SUM(Cdlac[Population])</f>
        <v>37</v>
      </c>
    </row>
    <row r="19" spans="1:20" ht="15" customHeight="1">
      <c r="A19" s="1090"/>
      <c r="B19" s="1090"/>
      <c r="I19" s="1116"/>
      <c r="L19" s="1088" t="s">
        <v>2316</v>
      </c>
      <c r="M19" s="1088" t="s">
        <v>2315</v>
      </c>
      <c r="N19" s="1088" t="s">
        <v>2329</v>
      </c>
      <c r="O19" s="1088" t="s">
        <v>2330</v>
      </c>
      <c r="P19" s="1088" t="s">
        <v>2317</v>
      </c>
      <c r="Q19" s="1088" t="s">
        <v>2318</v>
      </c>
      <c r="R19" s="1088" t="s">
        <v>2331</v>
      </c>
      <c r="S19" s="1088" t="s">
        <v>2337</v>
      </c>
      <c r="T19" s="1088" t="s">
        <v>387</v>
      </c>
    </row>
    <row r="20" spans="1:20" ht="15" customHeight="1">
      <c r="A20" s="1093"/>
      <c r="C20" s="2142" t="s">
        <v>2377</v>
      </c>
      <c r="D20" s="2142" t="s">
        <v>2378</v>
      </c>
      <c r="E20" s="2142" t="s">
        <v>2379</v>
      </c>
      <c r="F20" s="2142" t="s">
        <v>2380</v>
      </c>
      <c r="G20" s="2142" t="s">
        <v>2376</v>
      </c>
      <c r="H20" s="1117"/>
      <c r="I20" s="1116"/>
      <c r="L20" s="1088">
        <f>IFERROR(MIN(4,MATCH(Application!B714,UnitSizes,0)-1),"")</f>
        <v>1</v>
      </c>
      <c r="M20" s="1110">
        <f>Application!G714</f>
        <v>2</v>
      </c>
      <c r="N20" s="1118">
        <f>Application!AC714</f>
        <v>0.5</v>
      </c>
      <c r="O20" s="1118">
        <f>IF(Cdlac[[#This Row],[Quantity]]&gt;0,IF(Cdlac[[#This Row],[Federal]],30%,IF($G$36,40%,Cdlac[[#This Row],[iAMI]])),"")</f>
        <v>0.4</v>
      </c>
      <c r="P20" s="1110" cm="1">
        <f t="array" ref="P20">IF(Cdlac[[#This Row],[Quantity]]&gt;0,INDEX(TcacRents,$P$18,Cdlac[[#This Row],[Bedrooms]]+1)*Cdlac[[#This Row],[AMI]],"")</f>
        <v>945.6</v>
      </c>
      <c r="Q20" s="1110" cm="1">
        <f t="array" ref="Q20">IF(Cdlac[[#This Row],[Quantity]]&gt;0,INDEX(HudFmrs,$P$18,Cdlac[[#This Row],[Bedrooms]]+1),"")</f>
        <v>1747</v>
      </c>
      <c r="R20" s="1110">
        <f>IF(Cdlac[[#This Row],[Quantity]]&gt;0,MAX(0,Cdlac[[#This Row],[Fair Market Rent]]-Cdlac[[#This Row],[Restricted Rent]]),"")</f>
        <v>801.4</v>
      </c>
      <c r="S20" s="1088">
        <f>IF(Cdlac[[#This Row],[Quantity]]&gt;0,AND(Application!AK714&lt;&gt;"N/A",Application!AK714&lt;&gt;"")*Cdlac[[#This Row],[Quantity]],"")</f>
        <v>2</v>
      </c>
      <c r="T20" s="1088" t="b">
        <f>AND('Subsidy Contract Calculation'!F4&gt;0,'Subsidy Contract Calculation'!C4="Federal",Cdlac[[#This Row],[Quantity]]&gt;0)</f>
        <v>0</v>
      </c>
    </row>
    <row r="21" spans="1:20" ht="15" customHeight="1">
      <c r="A21" s="1093"/>
      <c r="C21" s="2143"/>
      <c r="D21" s="2143"/>
      <c r="E21" s="2143"/>
      <c r="F21" s="2143"/>
      <c r="G21" s="2143"/>
      <c r="H21" s="1117"/>
      <c r="I21" s="1116"/>
      <c r="L21" s="1088">
        <f>IFERROR(MIN(4,MATCH(Application!B715,UnitSizes,0)-1),"")</f>
        <v>1</v>
      </c>
      <c r="M21" s="1110">
        <f>Application!G715</f>
        <v>11</v>
      </c>
      <c r="N21" s="1118">
        <f>Application!AC715</f>
        <v>0.5</v>
      </c>
      <c r="O21" s="1118">
        <f>IF(Cdlac[[#This Row],[Quantity]]&gt;0,IF(Cdlac[[#This Row],[Federal]],30%,IF($G$36,40%,Cdlac[[#This Row],[iAMI]])),"")</f>
        <v>0.3</v>
      </c>
      <c r="P21" s="1110" cm="1">
        <f t="array" ref="P21">IF(Cdlac[[#This Row],[Quantity]]&gt;0,INDEX(TcacRents,$P$18,Cdlac[[#This Row],[Bedrooms]]+1)*Cdlac[[#This Row],[AMI]],"")</f>
        <v>709.19999999999993</v>
      </c>
      <c r="Q21" s="1110" cm="1">
        <f t="array" ref="Q21">IF(Cdlac[[#This Row],[Quantity]]&gt;0,INDEX(HudFmrs,$P$18,Cdlac[[#This Row],[Bedrooms]]+1),"")</f>
        <v>1747</v>
      </c>
      <c r="R21" s="1110">
        <f>IF(Cdlac[[#This Row],[Quantity]]&gt;0,MAX(0,Cdlac[[#This Row],[Fair Market Rent]]-Cdlac[[#This Row],[Restricted Rent]]),"")</f>
        <v>1037.8000000000002</v>
      </c>
      <c r="S21" s="1088">
        <f>IF(Cdlac[[#This Row],[Quantity]]&gt;0,AND(Application!AK715&lt;&gt;"N/A",Application!AK715&lt;&gt;"")*Cdlac[[#This Row],[Quantity]],"")</f>
        <v>11</v>
      </c>
      <c r="T21" s="1088" t="b">
        <f>AND('Subsidy Contract Calculation'!F5&gt;0,'Subsidy Contract Calculation'!C5="Federal",Cdlac[[#This Row],[Quantity]]&gt;0)</f>
        <v>1</v>
      </c>
    </row>
    <row r="22" spans="1:20" ht="15" customHeight="1">
      <c r="C22" s="1119">
        <v>0</v>
      </c>
      <c r="D22" s="1120">
        <v>0.9</v>
      </c>
      <c r="E22" s="1119">
        <f>SUMIFS(Cdlac[Quantity],Cdlac[Bedrooms],C22)</f>
        <v>11</v>
      </c>
      <c r="F22" s="1119">
        <f>E22</f>
        <v>11</v>
      </c>
      <c r="G22" s="1119">
        <f>D22*F22</f>
        <v>9.9</v>
      </c>
      <c r="L22" s="1088">
        <f>IFERROR(MIN(4,MATCH(Application!B716,UnitSizes,0)-1),"")</f>
        <v>1</v>
      </c>
      <c r="M22" s="1110">
        <f>Application!G716</f>
        <v>11</v>
      </c>
      <c r="N22" s="1118">
        <f>Application!AC716</f>
        <v>0.3</v>
      </c>
      <c r="O22" s="1118">
        <f>IF(Cdlac[[#This Row],[Quantity]]&gt;0,IF(Cdlac[[#This Row],[Federal]],30%,IF($G$36,40%,Cdlac[[#This Row],[iAMI]])),"")</f>
        <v>0.3</v>
      </c>
      <c r="P22" s="1110" cm="1">
        <f t="array" ref="P22">IF(Cdlac[[#This Row],[Quantity]]&gt;0,INDEX(TcacRents,$P$18,Cdlac[[#This Row],[Bedrooms]]+1)*Cdlac[[#This Row],[AMI]],"")</f>
        <v>709.19999999999993</v>
      </c>
      <c r="Q22" s="1110" cm="1">
        <f t="array" ref="Q22">IF(Cdlac[[#This Row],[Quantity]]&gt;0,INDEX(HudFmrs,$P$18,Cdlac[[#This Row],[Bedrooms]]+1),"")</f>
        <v>1747</v>
      </c>
      <c r="R22" s="1110">
        <f>IF(Cdlac[[#This Row],[Quantity]]&gt;0,MAX(0,Cdlac[[#This Row],[Fair Market Rent]]-Cdlac[[#This Row],[Restricted Rent]]),"")</f>
        <v>1037.8000000000002</v>
      </c>
      <c r="S22" s="1088">
        <f>IF(Cdlac[[#This Row],[Quantity]]&gt;0,AND(Application!AK716&lt;&gt;"N/A",Application!AK716&lt;&gt;"")*Cdlac[[#This Row],[Quantity]],"")</f>
        <v>11</v>
      </c>
      <c r="T22" s="1088" t="b">
        <f>AND('Subsidy Contract Calculation'!F6&gt;0,'Subsidy Contract Calculation'!C6="Federal",Cdlac[[#This Row],[Quantity]]&gt;0)</f>
        <v>1</v>
      </c>
    </row>
    <row r="23" spans="1:20" ht="15" customHeight="1">
      <c r="C23" s="1119">
        <v>1</v>
      </c>
      <c r="D23" s="1120">
        <v>1</v>
      </c>
      <c r="E23" s="1119">
        <f>SUMIFS(Cdlac[Quantity],Cdlac[Bedrooms],C23)</f>
        <v>26</v>
      </c>
      <c r="F23" s="1119">
        <f>E23</f>
        <v>26</v>
      </c>
      <c r="G23" s="1119">
        <f>D23*F23</f>
        <v>26</v>
      </c>
      <c r="L23" s="1088">
        <f>IFERROR(MIN(4,MATCH(Application!B717,UnitSizes,0)-1),"")</f>
        <v>1</v>
      </c>
      <c r="M23" s="1110">
        <f>Application!G717</f>
        <v>2</v>
      </c>
      <c r="N23" s="1118">
        <f>Application!AC717</f>
        <v>0.3</v>
      </c>
      <c r="O23" s="1118">
        <f>IF(Cdlac[[#This Row],[Quantity]]&gt;0,IF(Cdlac[[#This Row],[Federal]],30%,IF($G$36,40%,Cdlac[[#This Row],[iAMI]])),"")</f>
        <v>0.3</v>
      </c>
      <c r="P23" s="1110" cm="1">
        <f t="array" ref="P23">IF(Cdlac[[#This Row],[Quantity]]&gt;0,INDEX(TcacRents,$P$18,Cdlac[[#This Row],[Bedrooms]]+1)*Cdlac[[#This Row],[AMI]],"")</f>
        <v>709.19999999999993</v>
      </c>
      <c r="Q23" s="1110" cm="1">
        <f t="array" ref="Q23">IF(Cdlac[[#This Row],[Quantity]]&gt;0,INDEX(HudFmrs,$P$18,Cdlac[[#This Row],[Bedrooms]]+1),"")</f>
        <v>1747</v>
      </c>
      <c r="R23" s="1110">
        <f>IF(Cdlac[[#This Row],[Quantity]]&gt;0,MAX(0,Cdlac[[#This Row],[Fair Market Rent]]-Cdlac[[#This Row],[Restricted Rent]]),"")</f>
        <v>1037.8000000000002</v>
      </c>
      <c r="S23" s="1088">
        <f>IF(Cdlac[[#This Row],[Quantity]]&gt;0,AND(Application!AK717&lt;&gt;"N/A",Application!AK717&lt;&gt;"")*Cdlac[[#This Row],[Quantity]],"")</f>
        <v>2</v>
      </c>
      <c r="T23" s="1088" t="b">
        <f>AND('Subsidy Contract Calculation'!F7&gt;0,'Subsidy Contract Calculation'!C7="Federal",Cdlac[[#This Row],[Quantity]]&gt;0)</f>
        <v>1</v>
      </c>
    </row>
    <row r="24" spans="1:20" ht="15" customHeight="1">
      <c r="A24" s="1121"/>
      <c r="C24" s="1122">
        <v>2</v>
      </c>
      <c r="D24" s="1120">
        <v>1.25</v>
      </c>
      <c r="E24" s="1119">
        <f>SUMIFS(Cdlac[Quantity],Cdlac[Bedrooms],C24)</f>
        <v>0</v>
      </c>
      <c r="F24" s="1122">
        <f>SUM(E24:E26)-SUM(F25:F26)</f>
        <v>0</v>
      </c>
      <c r="G24" s="1119">
        <f>D24*F24</f>
        <v>0</v>
      </c>
      <c r="H24" s="1121"/>
      <c r="I24" s="1121"/>
      <c r="L24" s="1088">
        <f>IFERROR(MIN(4,MATCH(Application!B718,UnitSizes,0)-1),"")</f>
        <v>0</v>
      </c>
      <c r="M24" s="1110">
        <f>Application!G718</f>
        <v>1</v>
      </c>
      <c r="N24" s="1118">
        <f>Application!AC718</f>
        <v>0.3</v>
      </c>
      <c r="O24" s="1118">
        <f>IF(Cdlac[[#This Row],[Quantity]]&gt;0,IF(Cdlac[[#This Row],[Federal]],30%,IF($G$36,40%,Cdlac[[#This Row],[iAMI]])),"")</f>
        <v>0.4</v>
      </c>
      <c r="P24" s="1110" cm="1">
        <f t="array" ref="P24">IF(Cdlac[[#This Row],[Quantity]]&gt;0,INDEX(TcacRents,$P$18,Cdlac[[#This Row],[Bedrooms]]+1)*Cdlac[[#This Row],[AMI]],"")</f>
        <v>882.40000000000009</v>
      </c>
      <c r="Q24" s="1110" cm="1">
        <f t="array" ref="Q24">IF(Cdlac[[#This Row],[Quantity]]&gt;0,INDEX(HudFmrs,$P$18,Cdlac[[#This Row],[Bedrooms]]+1),"")</f>
        <v>1534</v>
      </c>
      <c r="R24" s="1110">
        <f>IF(Cdlac[[#This Row],[Quantity]]&gt;0,MAX(0,Cdlac[[#This Row],[Fair Market Rent]]-Cdlac[[#This Row],[Restricted Rent]]),"")</f>
        <v>651.59999999999991</v>
      </c>
      <c r="S24" s="1088">
        <f>IF(Cdlac[[#This Row],[Quantity]]&gt;0,AND(Application!AK718&lt;&gt;"N/A",Application!AK718&lt;&gt;"")*Cdlac[[#This Row],[Quantity]],"")</f>
        <v>1</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f>IFERROR(MIN(4,MATCH(Application!B719,UnitSizes,0)-1),"")</f>
        <v>0</v>
      </c>
      <c r="M25" s="1110">
        <f>Application!G719</f>
        <v>10</v>
      </c>
      <c r="N25" s="1118">
        <f>Application!AC719</f>
        <v>0.3</v>
      </c>
      <c r="O25" s="1118">
        <f>IF(Cdlac[[#This Row],[Quantity]]&gt;0,IF(Cdlac[[#This Row],[Federal]],30%,IF($G$36,40%,Cdlac[[#This Row],[iAMI]])),"")</f>
        <v>0.4</v>
      </c>
      <c r="P25" s="1110" cm="1">
        <f t="array" ref="P25">IF(Cdlac[[#This Row],[Quantity]]&gt;0,INDEX(TcacRents,$P$18,Cdlac[[#This Row],[Bedrooms]]+1)*Cdlac[[#This Row],[AMI]],"")</f>
        <v>882.40000000000009</v>
      </c>
      <c r="Q25" s="1110" cm="1">
        <f t="array" ref="Q25">IF(Cdlac[[#This Row],[Quantity]]&gt;0,INDEX(HudFmrs,$P$18,Cdlac[[#This Row],[Bedrooms]]+1),"")</f>
        <v>1534</v>
      </c>
      <c r="R25" s="1110">
        <f>IF(Cdlac[[#This Row],[Quantity]]&gt;0,MAX(0,Cdlac[[#This Row],[Fair Market Rent]]-Cdlac[[#This Row],[Restricted Rent]]),"")</f>
        <v>651.59999999999991</v>
      </c>
      <c r="S25" s="1088">
        <f>IF(Cdlac[[#This Row],[Quantity]]&gt;0,AND(Application!AK719&lt;&gt;"N/A",Application!AK719&lt;&gt;"")*Cdlac[[#This Row],[Quantity]],"")</f>
        <v>10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26" t="s">
        <v>1763</v>
      </c>
      <c r="D27" s="2127"/>
      <c r="E27" s="1138">
        <f>SUM(E22:E26)</f>
        <v>37</v>
      </c>
      <c r="F27" s="1138">
        <f>SUM(F22:F26)</f>
        <v>37</v>
      </c>
      <c r="G27" s="1139">
        <f>SUMPRODUCT(D22:D26,F22:F26)</f>
        <v>35.9</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2376</v>
      </c>
      <c r="G29" s="1165">
        <f>G27</f>
        <v>35.9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2328</v>
      </c>
      <c r="F30" s="1164" t="s">
        <v>2385</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2369</v>
      </c>
      <c r="F31" s="1090"/>
      <c r="G31" s="1170">
        <f>G30*G29</f>
        <v>1795000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2396</v>
      </c>
      <c r="G35" s="1171" cm="1">
        <f t="array" ref="G35">SUMPRODUCT(Cdlac[Quantity],Cdlac[iAMI],IF(Cdlac[Federal],0,1))/SUMIFS(Cdlac[Quantity],Cdlac[Federal],FALSE)</f>
        <v>0.33076923076923076</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2391</v>
      </c>
      <c r="G36" s="1128" t="b">
        <f>G35&lt;40%</f>
        <v>1</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2332</v>
      </c>
      <c r="G38" s="1125">
        <f>SUMPRODUCT(Cdlac[Quantity],Cdlac[Delta])</f>
        <v>33677.600000000006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2397</v>
      </c>
      <c r="F39" s="1164" t="s">
        <v>2385</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2325</v>
      </c>
      <c r="F40" s="1090"/>
      <c r="G40" s="1174">
        <f>G38*G39</f>
        <v>6061968.0000000009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2386</v>
      </c>
      <c r="G44" s="1176">
        <f>S18</f>
        <v>37</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2387</v>
      </c>
      <c r="G45" s="1176">
        <f>ROUNDDOWN(E27*50%,0)</f>
        <v>18</v>
      </c>
    </row>
    <row r="46" spans="2:20" ht="15" customHeight="1">
      <c r="E46" s="1168"/>
      <c r="G46" s="1176"/>
    </row>
    <row r="47" spans="2:20" ht="15" customHeight="1">
      <c r="E47" s="1168" t="s">
        <v>2338</v>
      </c>
      <c r="G47" s="1165">
        <f>MIN(G44:G45)</f>
        <v>18</v>
      </c>
    </row>
    <row r="48" spans="2:20" ht="15" customHeight="1">
      <c r="E48" s="1168" t="s">
        <v>2328</v>
      </c>
      <c r="F48" s="1164" t="s">
        <v>2385</v>
      </c>
      <c r="G48" s="1175">
        <v>10000</v>
      </c>
    </row>
    <row r="49" spans="2:14" ht="15" customHeight="1">
      <c r="E49" s="1169" t="s">
        <v>2368</v>
      </c>
      <c r="F49" s="1090"/>
      <c r="G49" s="1174">
        <f>G47*G48</f>
        <v>180000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2388</v>
      </c>
      <c r="G53" s="1126">
        <f>SUMIFS(Cdlac[Quantity],Cdlac[iAMI],"&lt;=30%")</f>
        <v>24</v>
      </c>
    </row>
    <row r="54" spans="2:14" ht="15" customHeight="1">
      <c r="E54" s="1168" t="s">
        <v>2387</v>
      </c>
      <c r="G54" s="1126">
        <f>ROUNDDOWN(E27*50%,0)</f>
        <v>18</v>
      </c>
    </row>
    <row r="55" spans="2:14" ht="15" customHeight="1">
      <c r="E55" s="1168"/>
      <c r="G55" s="1126"/>
    </row>
    <row r="56" spans="2:14" ht="15" customHeight="1">
      <c r="E56" s="1168" t="s">
        <v>2338</v>
      </c>
      <c r="G56" s="1165">
        <f>MIN(G53:G54)</f>
        <v>18</v>
      </c>
    </row>
    <row r="57" spans="2:14" ht="15" customHeight="1">
      <c r="E57" s="1168" t="s">
        <v>2328</v>
      </c>
      <c r="F57" s="1164" t="s">
        <v>2385</v>
      </c>
      <c r="G57" s="1175">
        <v>20000</v>
      </c>
    </row>
    <row r="58" spans="2:14" ht="15" customHeight="1">
      <c r="E58" s="1169" t="s">
        <v>2367</v>
      </c>
      <c r="F58" s="1090"/>
      <c r="G58" s="1174">
        <f>G56*G57</f>
        <v>360000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2341</v>
      </c>
      <c r="G62" s="1165">
        <f>VLOOKUP('Points System'!$H$595,'Points System'!$AO$575:$AP$580,2,FALSE)</f>
        <v>7</v>
      </c>
      <c r="L62" s="1178" t="str">
        <f>'Points System'!H627</f>
        <v>(i)</v>
      </c>
      <c r="M62" s="2128" t="s">
        <v>1577</v>
      </c>
      <c r="N62" s="2129"/>
    </row>
    <row r="63" spans="2:14" ht="15" customHeight="1">
      <c r="E63" s="1133" t="s">
        <v>2328</v>
      </c>
      <c r="F63" s="1164" t="s">
        <v>2385</v>
      </c>
      <c r="G63" s="1123">
        <v>4000</v>
      </c>
      <c r="L63" s="1179" t="str">
        <f>'Points System'!H639</f>
        <v>(ii)</v>
      </c>
      <c r="M63" s="2120" t="s">
        <v>2342</v>
      </c>
      <c r="N63" s="2121"/>
    </row>
    <row r="64" spans="2:14" ht="15" customHeight="1">
      <c r="E64" s="1133" t="s">
        <v>2389</v>
      </c>
      <c r="F64" s="1164" t="s">
        <v>2385</v>
      </c>
      <c r="G64" s="1177">
        <f>G27</f>
        <v>35.9</v>
      </c>
      <c r="L64" s="1179" t="str">
        <f>'Points System'!H674</f>
        <v>N/A</v>
      </c>
      <c r="M64" s="2120" t="s">
        <v>2343</v>
      </c>
      <c r="N64" s="2121"/>
    </row>
    <row r="65" spans="2:14" ht="15" customHeight="1">
      <c r="E65" s="1169" t="s">
        <v>2347</v>
      </c>
      <c r="F65" s="1090"/>
      <c r="G65" s="1174">
        <f>G62*G63*G64</f>
        <v>1005200</v>
      </c>
      <c r="L65" s="1179" t="str">
        <f>'Points System'!H694</f>
        <v>N/A</v>
      </c>
      <c r="M65" s="2120" t="s">
        <v>2344</v>
      </c>
      <c r="N65" s="2121"/>
    </row>
    <row r="66" spans="2:14" ht="15" customHeight="1">
      <c r="C66" s="1124"/>
      <c r="G66" s="1165"/>
      <c r="L66" s="1180" t="str">
        <f>'Points System'!H708</f>
        <v>N/A</v>
      </c>
      <c r="M66" s="2120" t="s">
        <v>1603</v>
      </c>
      <c r="N66" s="2121"/>
    </row>
    <row r="67" spans="2:14" ht="15" customHeight="1">
      <c r="E67" s="1133" t="s">
        <v>2390</v>
      </c>
      <c r="G67" s="1177">
        <f>COUNTIFS(L62:L69,"(i)")</f>
        <v>2</v>
      </c>
      <c r="L67" s="1179" t="str">
        <f>'Points System'!H720</f>
        <v>(ii)</v>
      </c>
      <c r="M67" s="2120" t="s">
        <v>2345</v>
      </c>
      <c r="N67" s="2121"/>
    </row>
    <row r="68" spans="2:14" ht="15" customHeight="1">
      <c r="E68" s="1133" t="s">
        <v>2328</v>
      </c>
      <c r="F68" s="1164" t="s">
        <v>2385</v>
      </c>
      <c r="G68" s="1175">
        <v>4000</v>
      </c>
      <c r="L68" s="1179" t="str">
        <f>'Points System'!H736</f>
        <v>(ii)</v>
      </c>
      <c r="M68" s="2120" t="s">
        <v>2346</v>
      </c>
      <c r="N68" s="2121"/>
    </row>
    <row r="69" spans="2:14" ht="15" customHeight="1" thickBot="1">
      <c r="E69" s="1169" t="s">
        <v>2348</v>
      </c>
      <c r="F69" s="1090"/>
      <c r="G69" s="1174">
        <f>G64*G67*G68</f>
        <v>287200</v>
      </c>
      <c r="L69" s="1181" t="str">
        <f>'Points System'!H748</f>
        <v>(i)</v>
      </c>
      <c r="M69" s="2122" t="s">
        <v>1606</v>
      </c>
      <c r="N69" s="2123"/>
    </row>
    <row r="70" spans="2:14" ht="15" customHeight="1"/>
    <row r="71" spans="2:14" ht="15" customHeight="1">
      <c r="C71" s="1127" t="s">
        <v>2350</v>
      </c>
    </row>
    <row r="72" spans="2:14" ht="15" customHeight="1">
      <c r="C72" s="1124" t="s">
        <v>2351</v>
      </c>
      <c r="G72" s="1087"/>
    </row>
    <row r="73" spans="2:14" ht="15" customHeight="1">
      <c r="C73" s="1124" t="s">
        <v>2352</v>
      </c>
      <c r="G73" s="1087"/>
    </row>
    <row r="74" spans="2:14" ht="15" customHeight="1">
      <c r="C74" s="1124" t="s">
        <v>2609</v>
      </c>
      <c r="G74" s="1087" t="s">
        <v>554</v>
      </c>
    </row>
    <row r="75" spans="2:14" ht="15" customHeight="1">
      <c r="C75" s="1124" t="s">
        <v>2610</v>
      </c>
      <c r="G75" s="1087"/>
    </row>
    <row r="76" spans="2:14" ht="15" customHeight="1"/>
    <row r="77" spans="2:14" ht="15" customHeight="1">
      <c r="B77" s="1125"/>
      <c r="C77" s="1124"/>
      <c r="E77" s="1133" t="s">
        <v>2392</v>
      </c>
      <c r="G77" s="1126" t="b">
        <f>COUNTIFS(G72:G75,"Yes")&gt;=1</f>
        <v>1</v>
      </c>
    </row>
    <row r="78" spans="2:14" ht="15" customHeight="1">
      <c r="E78" s="1124"/>
    </row>
    <row r="79" spans="2:14" ht="15" customHeight="1">
      <c r="E79" s="1133" t="s">
        <v>2389</v>
      </c>
      <c r="F79" s="1164" t="s">
        <v>2385</v>
      </c>
      <c r="G79" s="1165">
        <f>G27</f>
        <v>35.9</v>
      </c>
    </row>
    <row r="80" spans="2:14" ht="15" customHeight="1">
      <c r="E80" s="1133" t="s">
        <v>2328</v>
      </c>
      <c r="F80" s="1164" t="s">
        <v>2385</v>
      </c>
      <c r="G80" s="1175">
        <v>25000</v>
      </c>
    </row>
    <row r="81" spans="2:14" ht="15" customHeight="1">
      <c r="E81" s="1169" t="s">
        <v>2349</v>
      </c>
      <c r="F81" s="1090"/>
      <c r="G81" s="1174">
        <f>G77*G80*G64</f>
        <v>897500</v>
      </c>
    </row>
    <row r="82" spans="2:14" ht="15" customHeight="1">
      <c r="C82" s="1124"/>
      <c r="E82" s="1124"/>
    </row>
    <row r="83" spans="2:14" ht="15" customHeight="1">
      <c r="E83" s="1169" t="s">
        <v>2326</v>
      </c>
      <c r="G83" s="1174">
        <f>G81+G69+G65</f>
        <v>2189900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2371</v>
      </c>
      <c r="G87" s="1087" t="s">
        <v>554</v>
      </c>
      <c r="L87" s="2124" t="s">
        <v>2355</v>
      </c>
      <c r="M87" s="2125"/>
      <c r="N87" s="1182">
        <v>30000</v>
      </c>
    </row>
    <row r="88" spans="2:14" ht="15" customHeight="1">
      <c r="C88" s="1124" t="s">
        <v>2372</v>
      </c>
      <c r="G88" s="1128" t="str">
        <f>IF(Application!D210="Large Family","Yes","No")</f>
        <v>No</v>
      </c>
      <c r="L88" s="2116" t="s">
        <v>2319</v>
      </c>
      <c r="M88" s="2117"/>
      <c r="N88" s="1183">
        <v>20000</v>
      </c>
    </row>
    <row r="89" spans="2:14" ht="15" customHeight="1" thickBot="1">
      <c r="C89" s="1124" t="s">
        <v>2353</v>
      </c>
      <c r="G89" s="1087" t="s">
        <v>554</v>
      </c>
      <c r="L89" s="2118" t="s">
        <v>2356</v>
      </c>
      <c r="M89" s="2119"/>
      <c r="N89" s="1184">
        <v>10000</v>
      </c>
    </row>
    <row r="90" spans="2:14" ht="15" customHeight="1">
      <c r="C90" s="1124" t="s">
        <v>2354</v>
      </c>
      <c r="G90" s="1088" t="str">
        <f>Application!T193</f>
        <v>High Resource</v>
      </c>
    </row>
    <row r="91" spans="2:14" ht="15" customHeight="1">
      <c r="C91" s="1124"/>
    </row>
    <row r="92" spans="2:14" ht="15" customHeight="1">
      <c r="E92" s="1133" t="s">
        <v>2392</v>
      </c>
      <c r="G92" s="1126" t="b">
        <f>AND(COUNTIFS(G88:G89,"Yes")&gt;=1,G87="Yes")</f>
        <v>1</v>
      </c>
    </row>
    <row r="93" spans="2:14" ht="15" customHeight="1">
      <c r="E93" s="1133"/>
      <c r="G93" s="1126"/>
    </row>
    <row r="94" spans="2:14" ht="15" customHeight="1">
      <c r="E94" s="1133" t="s">
        <v>2328</v>
      </c>
      <c r="G94" s="1125">
        <f>IFERROR(INDEX(N87:N89,MATCH(LEFT(G90,17),L87:L89,0)),0)</f>
        <v>20000</v>
      </c>
    </row>
    <row r="95" spans="2:14" ht="15" customHeight="1">
      <c r="E95" s="1133" t="str">
        <f>E64</f>
        <v>Bedroom-Adjusted Low-Income Units</v>
      </c>
      <c r="F95" s="1164" t="s">
        <v>2385</v>
      </c>
      <c r="G95" s="1165">
        <f>G27</f>
        <v>35.9</v>
      </c>
    </row>
    <row r="96" spans="2:14" ht="15" customHeight="1">
      <c r="D96" s="1090"/>
      <c r="E96" s="1169" t="s">
        <v>2327</v>
      </c>
      <c r="F96" s="1090"/>
      <c r="G96" s="1174">
        <f>G95*G94*G92</f>
        <v>718000</v>
      </c>
    </row>
    <row r="97" spans="2:9" ht="15" customHeight="1"/>
    <row r="98" spans="2:9" ht="15" customHeight="1">
      <c r="B98" s="1113" t="s">
        <v>2340</v>
      </c>
      <c r="C98" s="1114"/>
      <c r="D98" s="1114"/>
      <c r="E98" s="1114"/>
      <c r="F98" s="1114"/>
      <c r="G98" s="1114"/>
      <c r="H98" s="1114"/>
      <c r="I98" s="1115"/>
    </row>
    <row r="99" spans="2:9" ht="15" customHeight="1"/>
    <row r="100" spans="2:9" ht="15" customHeight="1">
      <c r="F100" s="1167" t="s">
        <v>2366</v>
      </c>
      <c r="G100" s="1087" t="s">
        <v>678</v>
      </c>
    </row>
    <row r="101" spans="2:9" ht="15" customHeight="1">
      <c r="F101" s="1167"/>
    </row>
    <row r="102" spans="2:9" ht="15" customHeight="1">
      <c r="E102" s="1133" t="s">
        <v>2392</v>
      </c>
      <c r="G102" s="1126" t="b">
        <f>G100="Yes"</f>
        <v>0</v>
      </c>
    </row>
    <row r="103" spans="2:9" ht="15" customHeight="1"/>
    <row r="104" spans="2:9" ht="15" customHeight="1">
      <c r="E104" s="1133" t="str">
        <f>E64</f>
        <v>Bedroom-Adjusted Low-Income Units</v>
      </c>
      <c r="G104" s="1165">
        <f>G27</f>
        <v>35.9</v>
      </c>
    </row>
    <row r="105" spans="2:9" ht="15" customHeight="1">
      <c r="E105" s="1133" t="s">
        <v>2328</v>
      </c>
      <c r="F105" s="1164" t="s">
        <v>2385</v>
      </c>
      <c r="G105" s="1094">
        <v>20000</v>
      </c>
    </row>
    <row r="106" spans="2:9" ht="15" customHeight="1">
      <c r="E106" s="1169" t="s">
        <v>2357</v>
      </c>
      <c r="F106" s="1090"/>
      <c r="G106" s="1174">
        <f>G102*G105*G104</f>
        <v>0</v>
      </c>
    </row>
    <row r="107" spans="2:9" ht="15" customHeight="1"/>
    <row r="108" spans="2:9" ht="15" customHeight="1">
      <c r="B108" s="1113" t="s">
        <v>2394</v>
      </c>
      <c r="C108" s="1114"/>
      <c r="D108" s="1114"/>
      <c r="E108" s="1114"/>
      <c r="F108" s="1114"/>
      <c r="G108" s="1114"/>
      <c r="H108" s="1114"/>
      <c r="I108" s="1115"/>
    </row>
    <row r="109" spans="2:9" ht="15" customHeight="1"/>
    <row r="110" spans="2:9" ht="15" customHeight="1">
      <c r="E110" s="1133" t="s">
        <v>591</v>
      </c>
      <c r="G110" s="1088" t="str">
        <f>IF(Application!T189="","",Application!T189)</f>
        <v>Los Angeles</v>
      </c>
    </row>
    <row r="111" spans="2:9" ht="15" customHeight="1">
      <c r="E111" s="1133"/>
      <c r="G111" s="1125"/>
    </row>
    <row r="112" spans="2:9" ht="15" customHeight="1">
      <c r="E112" s="1133" t="str">
        <f>"2-Bedroom "&amp;G110&amp;" County Basis Limit"</f>
        <v>2-Bedroom Los Angeles County Basis Limit</v>
      </c>
      <c r="G112" s="1125">
        <f>Application!R957</f>
        <v>608800</v>
      </c>
    </row>
    <row r="113" spans="4:9" ht="15" customHeight="1">
      <c r="E113" s="1133" t="s">
        <v>2393</v>
      </c>
      <c r="G113" s="1125">
        <f>MEDIAN((Application!BR795:BR852))</f>
        <v>489600</v>
      </c>
    </row>
    <row r="114" spans="4:9" ht="15" customHeight="1">
      <c r="D114" s="1090"/>
      <c r="E114" s="1169" t="s">
        <v>2395</v>
      </c>
      <c r="F114" s="1185"/>
      <c r="G114" s="1186">
        <f>((G112-G113)/G113)*0.25</f>
        <v>6.0866013071895424E-2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Ruth Cea</cp:lastModifiedBy>
  <cp:lastPrinted>2023-08-25T13:21:12Z</cp:lastPrinted>
  <dcterms:created xsi:type="dcterms:W3CDTF">2007-12-27T18:26:28Z</dcterms:created>
  <dcterms:modified xsi:type="dcterms:W3CDTF">2023-09-01T14:18:42Z</dcterms:modified>
</cp:coreProperties>
</file>