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D:\Dropbox\Collective Operations\Development\2023_Del Nido\8.0 FINANCING\8.6 TAX CREDITS\"/>
    </mc:Choice>
  </mc:AlternateContent>
  <xr:revisionPtr revIDLastSave="0" documentId="13_ncr:1_{9B79905C-2076-4C70-9F27-D4DDA7C98836}" xr6:coauthVersionLast="47" xr6:coauthVersionMax="47" xr10:uidLastSave="{00000000-0000-0000-0000-000000000000}"/>
  <bookViews>
    <workbookView xWindow="28680" yWindow="-2850" windowWidth="38640" windowHeight="21840" tabRatio="905"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 name="Sheet1" sheetId="27" r:id="rId16"/>
  </sheets>
  <definedNames>
    <definedName name="_xlnm._FilterDatabase" localSheetId="3"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3">Application!$A$1:$AS$1071</definedName>
    <definedName name="_xlnm.Print_Area" localSheetId="4">'Application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Application!$841:$950</definedName>
    <definedName name="Z_ACB87C9A_02C3_4C83_BBE4_E2C44A4D81CD_.wvu.PrintArea" localSheetId="12" hidden="1">'15 Year Pro Forma'!$A$1:$AH$77</definedName>
    <definedName name="Z_ACB87C9A_02C3_4C83_BBE4_E2C44A4D81CD_.wvu.PrintArea" localSheetId="3" hidden="1">Application!$A$1:$AL$1071</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01" i="3" l="1"/>
  <c r="E18" i="4" l="1"/>
  <c r="E9" i="4"/>
  <c r="M9" i="4"/>
  <c r="G9" i="4"/>
  <c r="AO624" i="3"/>
  <c r="T93" i="4" l="1"/>
  <c r="C93" i="4"/>
  <c r="E66" i="7" l="1"/>
  <c r="AC877" i="3"/>
  <c r="AD188" i="20"/>
  <c r="B188" i="20"/>
  <c r="S95" i="4"/>
  <c r="S94" i="4"/>
  <c r="S92" i="4"/>
  <c r="S89" i="4"/>
  <c r="S86" i="4"/>
  <c r="S84" i="4"/>
  <c r="S80" i="4"/>
  <c r="S79" i="4"/>
  <c r="S52" i="4"/>
  <c r="S51" i="4"/>
  <c r="S50" i="4"/>
  <c r="S43" i="4"/>
  <c r="S40" i="4"/>
  <c r="S27" i="4"/>
  <c r="S19" i="4"/>
  <c r="S20" i="4"/>
  <c r="S21" i="4"/>
  <c r="S22" i="4"/>
  <c r="S23" i="4"/>
  <c r="S24" i="4"/>
  <c r="S25" i="4"/>
  <c r="S17" i="4"/>
  <c r="E84" i="4"/>
  <c r="E85" i="4"/>
  <c r="E86" i="4"/>
  <c r="E87" i="4"/>
  <c r="E88" i="4"/>
  <c r="E89" i="4"/>
  <c r="E90" i="4"/>
  <c r="E91" i="4"/>
  <c r="E92" i="4"/>
  <c r="E93" i="4"/>
  <c r="E94" i="4"/>
  <c r="E95" i="4"/>
  <c r="E83" i="4"/>
  <c r="E80" i="4"/>
  <c r="E79" i="4"/>
  <c r="E73" i="4"/>
  <c r="E74" i="4"/>
  <c r="E75" i="4"/>
  <c r="E76" i="4"/>
  <c r="E72" i="4"/>
  <c r="E66" i="4"/>
  <c r="E67" i="4"/>
  <c r="E68" i="4"/>
  <c r="E69" i="4"/>
  <c r="E65" i="4"/>
  <c r="E56" i="4"/>
  <c r="E57" i="4"/>
  <c r="E58" i="4"/>
  <c r="E59" i="4"/>
  <c r="E60" i="4"/>
  <c r="E61" i="4"/>
  <c r="E46" i="4"/>
  <c r="E47" i="4"/>
  <c r="E48" i="4"/>
  <c r="E49" i="4"/>
  <c r="E50" i="4"/>
  <c r="E51" i="4"/>
  <c r="E52" i="4"/>
  <c r="E53" i="4"/>
  <c r="E45" i="4"/>
  <c r="E43" i="4"/>
  <c r="E40" i="4"/>
  <c r="E27" i="4"/>
  <c r="E19" i="4"/>
  <c r="E20" i="4"/>
  <c r="E21" i="4"/>
  <c r="E22" i="4"/>
  <c r="E23" i="4"/>
  <c r="E24" i="4"/>
  <c r="E25" i="4"/>
  <c r="E17" i="4"/>
  <c r="E14" i="4"/>
  <c r="E15" i="4"/>
  <c r="E13" i="4"/>
  <c r="E5" i="4"/>
  <c r="E6" i="4"/>
  <c r="E7" i="4"/>
  <c r="E4" i="4"/>
  <c r="J89" i="4"/>
  <c r="E99" i="4"/>
  <c r="I75" i="4"/>
  <c r="J75" i="4" s="1"/>
  <c r="C49" i="4"/>
  <c r="C65" i="4"/>
  <c r="C69" i="4"/>
  <c r="C45" i="4"/>
  <c r="C21" i="4"/>
  <c r="C20" i="4"/>
  <c r="C18" i="4"/>
  <c r="C626" i="3"/>
  <c r="T9" i="4" l="1"/>
  <c r="AO629" i="3"/>
  <c r="AO628" i="3"/>
  <c r="AO626" i="3"/>
  <c r="AO625" i="3"/>
  <c r="Q623" i="3"/>
  <c r="M937" i="3" l="1"/>
  <c r="AE931" i="3"/>
  <c r="M931" i="3"/>
  <c r="M928" i="3"/>
  <c r="AE928" i="3"/>
  <c r="H652" i="3"/>
  <c r="Z568" i="3"/>
  <c r="G643" i="3"/>
  <c r="G642" i="3"/>
  <c r="G641" i="3"/>
  <c r="G640" i="3"/>
  <c r="AA569" i="3"/>
  <c r="Z567" i="3"/>
  <c r="Z566" i="3"/>
  <c r="Z565" i="3"/>
  <c r="Q492" i="3"/>
  <c r="AG447" i="3"/>
  <c r="T624" i="3" l="1"/>
  <c r="Q624" i="3" s="1"/>
  <c r="T623"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G31" i="7" s="1"/>
  <c r="I31" i="7" s="1"/>
  <c r="K31" i="7" s="1"/>
  <c r="M31" i="7" s="1"/>
  <c r="O31" i="7" s="1"/>
  <c r="Q31" i="7" s="1"/>
  <c r="S31" i="7" s="1"/>
  <c r="U31" i="7" s="1"/>
  <c r="W31" i="7" s="1"/>
  <c r="Y31" i="7" s="1"/>
  <c r="AA31" i="7" s="1"/>
  <c r="AC31" i="7" s="1"/>
  <c r="AE31" i="7" s="1"/>
  <c r="AG31" i="7" s="1"/>
  <c r="E30" i="7"/>
  <c r="E29" i="7"/>
  <c r="Y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DX603" i="3" s="1"/>
  <c r="BN604" i="3"/>
  <c r="DX604" i="3" s="1"/>
  <c r="BN605" i="3"/>
  <c r="BN606" i="3"/>
  <c r="DX606" i="3" s="1"/>
  <c r="BN607" i="3"/>
  <c r="BN608" i="3"/>
  <c r="BN609" i="3"/>
  <c r="DX609" i="3" s="1"/>
  <c r="BN610" i="3"/>
  <c r="DX610" i="3" s="1"/>
  <c r="BN611" i="3"/>
  <c r="BN612" i="3"/>
  <c r="DX612" i="3" s="1"/>
  <c r="BN613" i="3"/>
  <c r="BN614" i="3"/>
  <c r="DX614" i="3" s="1"/>
  <c r="BN615" i="3"/>
  <c r="BN616" i="3"/>
  <c r="BN617" i="3"/>
  <c r="DX617" i="3" s="1"/>
  <c r="BN618" i="3"/>
  <c r="BN619" i="3"/>
  <c r="DX619" i="3" s="1"/>
  <c r="BN620" i="3"/>
  <c r="DX620" i="3" s="1"/>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EC613" i="3" s="1"/>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BX597" i="3"/>
  <c r="BX598" i="3"/>
  <c r="BX599" i="3"/>
  <c r="BX600" i="3"/>
  <c r="EH600" i="3" s="1"/>
  <c r="BX601" i="3"/>
  <c r="BX602" i="3"/>
  <c r="BX603" i="3"/>
  <c r="EH603" i="3" s="1"/>
  <c r="BX604" i="3"/>
  <c r="BX605" i="3"/>
  <c r="BX606" i="3"/>
  <c r="EH606" i="3" s="1"/>
  <c r="BX607" i="3"/>
  <c r="BX608" i="3"/>
  <c r="BX609" i="3"/>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EM598" i="3" s="1"/>
  <c r="CC599" i="3"/>
  <c r="EM599" i="3" s="1"/>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EM614" i="3" s="1"/>
  <c r="CC615" i="3"/>
  <c r="EM615" i="3" s="1"/>
  <c r="CC616" i="3"/>
  <c r="CC617" i="3"/>
  <c r="EM617" i="3" s="1"/>
  <c r="CC618" i="3"/>
  <c r="CC619" i="3"/>
  <c r="CC620" i="3"/>
  <c r="EM620" i="3" s="1"/>
  <c r="CC626" i="3"/>
  <c r="CC627" i="3"/>
  <c r="CC628" i="3"/>
  <c r="CC629" i="3"/>
  <c r="CC634" i="3"/>
  <c r="DH634" i="3" s="1"/>
  <c r="CC635" i="3"/>
  <c r="DH635" i="3" s="1"/>
  <c r="CC636" i="3"/>
  <c r="DH636" i="3" s="1"/>
  <c r="CC637" i="3"/>
  <c r="DH637" i="3" s="1"/>
  <c r="CC638" i="3"/>
  <c r="CC639" i="3"/>
  <c r="DH639" i="3" s="1"/>
  <c r="CC640" i="3"/>
  <c r="DH640" i="3" s="1"/>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ER600" i="3" s="1"/>
  <c r="CH601" i="3"/>
  <c r="ER601" i="3" s="1"/>
  <c r="CH602" i="3"/>
  <c r="CH603" i="3"/>
  <c r="ER603" i="3" s="1"/>
  <c r="CH604" i="3"/>
  <c r="CH605" i="3"/>
  <c r="CH606" i="3"/>
  <c r="ER606" i="3" s="1"/>
  <c r="CH607" i="3"/>
  <c r="ER607" i="3" s="1"/>
  <c r="CH608" i="3"/>
  <c r="CH609" i="3"/>
  <c r="ER609" i="3" s="1"/>
  <c r="CH610" i="3"/>
  <c r="CH611" i="3"/>
  <c r="ER611" i="3" s="1"/>
  <c r="CH612" i="3"/>
  <c r="CH613" i="3"/>
  <c r="CH614" i="3"/>
  <c r="ER614" i="3" s="1"/>
  <c r="CH615" i="3"/>
  <c r="CH616" i="3"/>
  <c r="ER616" i="3" s="1"/>
  <c r="CH617" i="3"/>
  <c r="ER617" i="3" s="1"/>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41" i="3"/>
  <c r="DC634" i="3"/>
  <c r="DC635" i="3"/>
  <c r="DC643" i="3"/>
  <c r="DH638"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7" i="11" s="1"/>
  <c r="D97"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0" i="7"/>
  <c r="I30" i="7" s="1"/>
  <c r="K30" i="7" s="1"/>
  <c r="M30" i="7" s="1"/>
  <c r="O30" i="7" s="1"/>
  <c r="Q30" i="7" s="1"/>
  <c r="S30" i="7" s="1"/>
  <c r="U30" i="7" s="1"/>
  <c r="W30" i="7" s="1"/>
  <c r="Y30" i="7" s="1"/>
  <c r="AA30" i="7" s="1"/>
  <c r="AC30" i="7" s="1"/>
  <c r="AE30" i="7" s="1"/>
  <c r="AG30" i="7" s="1"/>
  <c r="O29" i="7"/>
  <c r="AA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6" i="4" s="1"/>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S18" i="4" s="1"/>
  <c r="E18" i="13" s="1"/>
  <c r="R17" i="4"/>
  <c r="R15" i="4"/>
  <c r="R14" i="4"/>
  <c r="R13" i="4"/>
  <c r="R9" i="4"/>
  <c r="R11" i="4" s="1"/>
  <c r="R7" i="4"/>
  <c r="R6" i="4"/>
  <c r="R5" i="4"/>
  <c r="R4" i="4"/>
  <c r="B5" i="11"/>
  <c r="B9" i="11" s="1"/>
  <c r="C5" i="11"/>
  <c r="B6" i="11"/>
  <c r="C6" i="11"/>
  <c r="B7" i="11"/>
  <c r="C7" i="11"/>
  <c r="C8" i="11"/>
  <c r="B8" i="11"/>
  <c r="B10" i="11"/>
  <c r="D10" i="11" s="1"/>
  <c r="B11" i="11"/>
  <c r="C10" i="11"/>
  <c r="C11" i="11"/>
  <c r="B14" i="11"/>
  <c r="C14" i="11"/>
  <c r="D14" i="11" s="1"/>
  <c r="B15" i="11"/>
  <c r="C15" i="11"/>
  <c r="B16" i="11"/>
  <c r="C16" i="11"/>
  <c r="B18" i="11"/>
  <c r="D18" i="11" s="1"/>
  <c r="C18" i="11"/>
  <c r="B19" i="11"/>
  <c r="C19" i="11"/>
  <c r="B20" i="11"/>
  <c r="C20" i="11"/>
  <c r="B21" i="11"/>
  <c r="C21" i="11"/>
  <c r="B22" i="11"/>
  <c r="D22" i="11" s="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B84" i="11"/>
  <c r="C84" i="11"/>
  <c r="B100" i="11"/>
  <c r="C100" i="11"/>
  <c r="D100" i="11" s="1"/>
  <c r="A4" i="8"/>
  <c r="D4" i="8"/>
  <c r="I4" i="8"/>
  <c r="J4" i="8" s="1"/>
  <c r="A5" i="8"/>
  <c r="D5" i="8"/>
  <c r="I5" i="8" s="1"/>
  <c r="J5" i="8" s="1"/>
  <c r="A6" i="8"/>
  <c r="D6" i="8"/>
  <c r="I6" i="8" s="1"/>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s="1"/>
  <c r="DX596" i="3"/>
  <c r="DX602" i="3"/>
  <c r="DX605" i="3"/>
  <c r="DX607" i="3"/>
  <c r="DX608" i="3"/>
  <c r="DX611" i="3"/>
  <c r="DX613" i="3"/>
  <c r="DX615" i="3"/>
  <c r="DX616" i="3"/>
  <c r="DX618" i="3"/>
  <c r="EC598" i="3"/>
  <c r="EC601" i="3"/>
  <c r="EC602" i="3"/>
  <c r="EC603" i="3"/>
  <c r="EC604" i="3"/>
  <c r="EC605" i="3"/>
  <c r="EC611" i="3"/>
  <c r="EC614" i="3"/>
  <c r="EC615" i="3"/>
  <c r="EC617" i="3"/>
  <c r="EC620" i="3"/>
  <c r="EH596" i="3"/>
  <c r="EH597" i="3"/>
  <c r="EH598" i="3"/>
  <c r="EH599" i="3"/>
  <c r="EH601" i="3"/>
  <c r="EH604" i="3"/>
  <c r="EH605" i="3"/>
  <c r="EH607" i="3"/>
  <c r="EH608" i="3"/>
  <c r="EH609" i="3"/>
  <c r="EH611" i="3"/>
  <c r="EH612" i="3"/>
  <c r="EH613" i="3"/>
  <c r="EH614" i="3"/>
  <c r="EH617" i="3"/>
  <c r="EH620" i="3"/>
  <c r="EM597" i="3"/>
  <c r="EM600" i="3"/>
  <c r="EM602" i="3"/>
  <c r="EM605" i="3"/>
  <c r="EM607" i="3"/>
  <c r="EM608" i="3"/>
  <c r="EM610" i="3"/>
  <c r="EM611" i="3"/>
  <c r="EM616" i="3"/>
  <c r="EM618" i="3"/>
  <c r="EM619" i="3"/>
  <c r="EW597" i="3"/>
  <c r="EW599" i="3"/>
  <c r="EW600" i="3"/>
  <c r="EW602" i="3"/>
  <c r="EW603" i="3"/>
  <c r="EW605" i="3"/>
  <c r="EW611" i="3"/>
  <c r="EW615" i="3"/>
  <c r="EW616" i="3"/>
  <c r="EW617" i="3"/>
  <c r="ER596" i="3"/>
  <c r="ER599" i="3"/>
  <c r="ER602" i="3"/>
  <c r="ER604" i="3"/>
  <c r="ER605" i="3"/>
  <c r="ER608" i="3"/>
  <c r="ER610" i="3"/>
  <c r="ER612" i="3"/>
  <c r="ER613" i="3"/>
  <c r="ER615" i="3"/>
  <c r="ER620" i="3"/>
  <c r="C11" i="4"/>
  <c r="B26" i="13"/>
  <c r="C38" i="4"/>
  <c r="B38" i="13"/>
  <c r="C54" i="4"/>
  <c r="B54" i="13" s="1"/>
  <c r="C62" i="4"/>
  <c r="B62" i="13"/>
  <c r="C77" i="4"/>
  <c r="B77" i="13" s="1"/>
  <c r="C96" i="4"/>
  <c r="B96" i="13" s="1"/>
  <c r="B104" i="13"/>
  <c r="D8" i="4"/>
  <c r="D11" i="4"/>
  <c r="D26" i="4"/>
  <c r="D38" i="4"/>
  <c r="D42" i="4"/>
  <c r="D54" i="4"/>
  <c r="B54" i="4"/>
  <c r="D62" i="4"/>
  <c r="D77" i="4"/>
  <c r="D96" i="4"/>
  <c r="D104" i="4"/>
  <c r="B104" i="4"/>
  <c r="AO637" i="3"/>
  <c r="S38" i="4"/>
  <c r="E38" i="13"/>
  <c r="S42" i="4"/>
  <c r="E42" i="13" s="1"/>
  <c r="S54" i="4"/>
  <c r="E54" i="13" s="1"/>
  <c r="S96" i="4"/>
  <c r="E96" i="13" s="1"/>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M63" i="4" s="1"/>
  <c r="M97" i="4" s="1"/>
  <c r="M105" i="4" s="1"/>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B81" i="13"/>
  <c r="D54" i="11"/>
  <c r="D53" i="11"/>
  <c r="J63" i="13"/>
  <c r="J97" i="13"/>
  <c r="J105" i="13"/>
  <c r="J107" i="13"/>
  <c r="L12" i="4"/>
  <c r="D48" i="11"/>
  <c r="D93" i="11"/>
  <c r="D70" i="11"/>
  <c r="D80" i="11"/>
  <c r="D52" i="11"/>
  <c r="I12" i="4"/>
  <c r="D46" i="11"/>
  <c r="D6" i="11"/>
  <c r="L63" i="4"/>
  <c r="L97" i="4" s="1"/>
  <c r="L105" i="4" s="1"/>
  <c r="Q12" i="4"/>
  <c r="B11" i="4"/>
  <c r="O63" i="4"/>
  <c r="O97" i="4"/>
  <c r="O105" i="4"/>
  <c r="B8" i="4"/>
  <c r="N158" i="26" s="1"/>
  <c r="N164" i="26" s="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O12" i="4"/>
  <c r="I63" i="4"/>
  <c r="D95" i="11"/>
  <c r="D25" i="11"/>
  <c r="B82" i="11"/>
  <c r="B11" i="13"/>
  <c r="D12" i="4"/>
  <c r="R77" i="4"/>
  <c r="H12" i="4"/>
  <c r="C82" i="11"/>
  <c r="D82" i="11" s="1"/>
  <c r="C39" i="11"/>
  <c r="D23" i="11"/>
  <c r="D19" i="11"/>
  <c r="D89" i="11"/>
  <c r="D73" i="11"/>
  <c r="D44" i="11"/>
  <c r="D35" i="11"/>
  <c r="D76" i="11"/>
  <c r="D31" i="11"/>
  <c r="D32" i="11"/>
  <c r="D15" i="11"/>
  <c r="D63" i="13"/>
  <c r="D97" i="13"/>
  <c r="D105" i="13"/>
  <c r="Q63" i="4"/>
  <c r="Q97" i="4"/>
  <c r="Q105" i="4"/>
  <c r="C105" i="11"/>
  <c r="D87" i="11"/>
  <c r="N63" i="4"/>
  <c r="N97" i="4"/>
  <c r="N105" i="4"/>
  <c r="N12" i="4"/>
  <c r="H63" i="4"/>
  <c r="H97" i="4" s="1"/>
  <c r="H105" i="4" s="1"/>
  <c r="F12" i="4"/>
  <c r="D60" i="11"/>
  <c r="M12" i="4"/>
  <c r="R8" i="4"/>
  <c r="D84" i="11"/>
  <c r="D74" i="11"/>
  <c r="D59" i="11"/>
  <c r="D38" i="11"/>
  <c r="R42" i="4"/>
  <c r="P63" i="4"/>
  <c r="P97" i="4"/>
  <c r="P105" i="4"/>
  <c r="B38" i="4"/>
  <c r="B63" i="11"/>
  <c r="C9" i="11"/>
  <c r="D9" i="11" s="1"/>
  <c r="D12" i="13"/>
  <c r="D58" i="11"/>
  <c r="D24" i="11"/>
  <c r="D101" i="11"/>
  <c r="D90" i="11"/>
  <c r="R62" i="4"/>
  <c r="D66" i="11"/>
  <c r="R38" i="4"/>
  <c r="C63" i="13"/>
  <c r="C97" i="13"/>
  <c r="C105" i="13"/>
  <c r="D92" i="11"/>
  <c r="D75" i="11"/>
  <c r="B71" i="11"/>
  <c r="B39" i="11"/>
  <c r="D28" i="11"/>
  <c r="R54" i="4"/>
  <c r="C55" i="11"/>
  <c r="D55" i="11" s="1"/>
  <c r="D103" i="11"/>
  <c r="D88" i="11"/>
  <c r="C78" i="11"/>
  <c r="D42" i="11"/>
  <c r="D21" i="11"/>
  <c r="D16" i="11"/>
  <c r="D81" i="11"/>
  <c r="D86" i="11"/>
  <c r="B55" i="11"/>
  <c r="F63" i="13"/>
  <c r="F97" i="13"/>
  <c r="F105" i="13"/>
  <c r="F107" i="13"/>
  <c r="AH719" i="3"/>
  <c r="AD199" i="20"/>
  <c r="B42" i="4"/>
  <c r="D77" i="11"/>
  <c r="D47" i="11"/>
  <c r="C71" i="11"/>
  <c r="R104" i="4"/>
  <c r="D91" i="11"/>
  <c r="J63" i="4"/>
  <c r="D41" i="11"/>
  <c r="C12" i="11"/>
  <c r="K63" i="4"/>
  <c r="K97" i="4"/>
  <c r="K105" i="4"/>
  <c r="B62" i="4"/>
  <c r="B105" i="11"/>
  <c r="AD7" i="15"/>
  <c r="G40" i="7"/>
  <c r="G43" i="7" s="1"/>
  <c r="AG40" i="7"/>
  <c r="AG43" i="7" s="1"/>
  <c r="K28" i="7"/>
  <c r="O28" i="7"/>
  <c r="I28" i="7"/>
  <c r="W28" i="7"/>
  <c r="S28" i="7"/>
  <c r="Y28" i="7"/>
  <c r="AC28" i="7"/>
  <c r="AG28" i="7"/>
  <c r="M28" i="7"/>
  <c r="G28" i="7"/>
  <c r="AA28" i="7"/>
  <c r="Q28" i="7"/>
  <c r="U28" i="7"/>
  <c r="D104" i="11"/>
  <c r="B96" i="4"/>
  <c r="T63" i="4"/>
  <c r="T97" i="4" s="1"/>
  <c r="D11" i="11"/>
  <c r="C12" i="4"/>
  <c r="B12" i="13"/>
  <c r="D43" i="11"/>
  <c r="B97" i="11"/>
  <c r="D78" i="11"/>
  <c r="D71" i="11"/>
  <c r="B12" i="4"/>
  <c r="D39" i="11"/>
  <c r="C13" i="11"/>
  <c r="D96" i="11"/>
  <c r="AB223" i="20"/>
  <c r="AB239" i="20" s="1"/>
  <c r="AB241" i="20" s="1"/>
  <c r="AB243" i="20" s="1"/>
  <c r="AB249" i="20" s="1"/>
  <c r="AD198" i="20" s="1"/>
  <c r="AD200" i="20" s="1"/>
  <c r="E63" i="4" l="1"/>
  <c r="E97" i="4" s="1"/>
  <c r="E105" i="4" s="1"/>
  <c r="S26" i="4"/>
  <c r="E26" i="13" s="1"/>
  <c r="I97" i="4"/>
  <c r="I105" i="4" s="1"/>
  <c r="R26" i="4"/>
  <c r="R63" i="4" s="1"/>
  <c r="R97" i="4" s="1"/>
  <c r="R105" i="4" s="1"/>
  <c r="R70" i="4"/>
  <c r="J97" i="4"/>
  <c r="J105" i="4" s="1"/>
  <c r="R12" i="4"/>
  <c r="G63" i="4"/>
  <c r="G97" i="4" s="1"/>
  <c r="G105" i="4" s="1"/>
  <c r="B63" i="4"/>
  <c r="E104" i="13"/>
  <c r="D105" i="11"/>
  <c r="C63" i="11"/>
  <c r="D63" i="11" s="1"/>
  <c r="B77" i="4"/>
  <c r="C63" i="4"/>
  <c r="B63" i="13" s="1"/>
  <c r="C27" i="11"/>
  <c r="H97" i="13"/>
  <c r="T105" i="4"/>
  <c r="B12" i="11"/>
  <c r="D12" i="11" s="1"/>
  <c r="D5" i="11"/>
  <c r="H63" i="13"/>
  <c r="AG29" i="7"/>
  <c r="K29" i="7"/>
  <c r="AH715" i="3"/>
  <c r="AH718" i="3"/>
  <c r="AH717" i="3"/>
  <c r="AH716" i="3"/>
  <c r="AH714" i="3"/>
  <c r="O30" i="21"/>
  <c r="AZ835" i="3"/>
  <c r="AZ840" i="3" s="1"/>
  <c r="BA973" i="3"/>
  <c r="I1013" i="3" s="1"/>
  <c r="AK172" i="20"/>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S63" i="4" l="1"/>
  <c r="E63" i="13" s="1"/>
  <c r="T107" i="4"/>
  <c r="H105" i="13"/>
  <c r="B64" i="11"/>
  <c r="B98" i="11" s="1"/>
  <c r="B106" i="11" s="1"/>
  <c r="B13" i="11"/>
  <c r="D13" i="11" s="1"/>
  <c r="EC628" i="3"/>
  <c r="AC869" i="3"/>
  <c r="T800" i="20"/>
  <c r="AF800" i="20" s="1"/>
  <c r="Y27" i="15"/>
  <c r="AI27" i="15"/>
  <c r="T789" i="20"/>
  <c r="AF789" i="20" s="1"/>
  <c r="AK78" i="20"/>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4" i="21" s="1"/>
  <c r="P24" i="21" s="1" a="1"/>
  <c r="P24" i="21" s="1"/>
  <c r="R2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AB47" i="15"/>
  <c r="N154" i="26"/>
  <c r="D64" i="11"/>
  <c r="H107" i="13"/>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49" i="15"/>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AD11" i="15"/>
  <c r="AD23" i="15" s="1"/>
  <c r="AD26" i="15" s="1"/>
  <c r="AD28" i="15" s="1"/>
  <c r="AI11" i="15"/>
  <c r="AI23" i="15" s="1"/>
  <c r="AI26" i="15" s="1"/>
  <c r="AI28" i="15" s="1"/>
  <c r="N165" i="26"/>
  <c r="N155" i="26"/>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S107" i="4" l="1"/>
  <c r="E105" i="13"/>
  <c r="AK103" i="20"/>
  <c r="T791" i="20" s="1"/>
  <c r="AF791" i="20" s="1"/>
  <c r="B1025" i="3"/>
  <c r="AJ1014" i="3"/>
  <c r="AP542" i="20" s="1"/>
  <c r="K4" i="7"/>
  <c r="M4" i="7" s="1"/>
  <c r="E45" i="7"/>
  <c r="E48" i="7" s="1"/>
  <c r="AP539" i="20"/>
  <c r="G45" i="7"/>
  <c r="G49" i="7"/>
  <c r="K6" i="7"/>
  <c r="I7" i="7"/>
  <c r="I11" i="7" s="1"/>
  <c r="I37" i="7" s="1"/>
  <c r="G24" i="21"/>
  <c r="F27" i="21"/>
  <c r="G27" i="21"/>
  <c r="O22" i="7"/>
  <c r="O35" i="7" s="1"/>
  <c r="Q15" i="7"/>
  <c r="O9" i="7"/>
  <c r="Q8" i="7"/>
  <c r="E107" i="13" l="1"/>
  <c r="AF540" i="20"/>
  <c r="AC455" i="3"/>
  <c r="AP543" i="20"/>
  <c r="AJ1018"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11" i="15" l="1"/>
  <c r="T23" i="15" s="1"/>
  <c r="T26" i="15" s="1"/>
  <c r="T28" i="15" s="1"/>
  <c r="Y11" i="15"/>
  <c r="Y23" i="15" s="1"/>
  <c r="Y26" i="15" s="1"/>
  <c r="Y28" i="15" s="1"/>
  <c r="Y64" i="15" s="1"/>
  <c r="Y68" i="15" s="1"/>
  <c r="AP546" i="20"/>
  <c r="AP545" i="20" s="1"/>
  <c r="AP548" i="20" s="1"/>
  <c r="AF541" i="20" s="1"/>
  <c r="AF542" i="20" s="1"/>
  <c r="AK548" i="20" s="1"/>
  <c r="T803" i="20" s="1"/>
  <c r="AF803" i="20" s="1"/>
  <c r="AF806" i="20" s="1"/>
  <c r="K11" i="7"/>
  <c r="K37" i="7" s="1"/>
  <c r="K45" i="7" s="1"/>
  <c r="E67" i="7"/>
  <c r="O5" i="7"/>
  <c r="Q4" i="7"/>
  <c r="M7" i="7"/>
  <c r="M11" i="7" s="1"/>
  <c r="M37" i="7" s="1"/>
  <c r="O6" i="7"/>
  <c r="G67" i="7"/>
  <c r="G62" i="7"/>
  <c r="G66" i="7"/>
  <c r="I48" i="7"/>
  <c r="I60" i="7"/>
  <c r="I47" i="7"/>
  <c r="G69" i="21"/>
  <c r="G81" i="21"/>
  <c r="G65" i="21"/>
  <c r="S22" i="7"/>
  <c r="S35" i="7" s="1"/>
  <c r="U15" i="7"/>
  <c r="E14" i="21"/>
  <c r="E15" i="21" s="1"/>
  <c r="U8" i="7"/>
  <c r="S9" i="7"/>
  <c r="T29" i="15" l="1"/>
  <c r="AD38" i="15"/>
  <c r="AD40" i="15" s="1"/>
  <c r="Y38" i="15"/>
  <c r="Y40" i="15" s="1"/>
  <c r="Y41"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<sst xmlns="http://schemas.openxmlformats.org/spreadsheetml/2006/main" count="5246" uniqueCount="2771">
  <si>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</si>
  <si>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</si>
  <si>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</si>
  <si>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</si>
  <si>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</si>
  <si>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</si>
  <si>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</si>
  <si>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</si>
  <si>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</si>
  <si>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</si>
  <si>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</si>
  <si>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</si>
  <si>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</si>
  <si>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</si>
  <si>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</si>
  <si>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</si>
  <si>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</si>
  <si>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</si>
  <si>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</si>
  <si>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</si>
  <si>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</si>
  <si>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</si>
  <si>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</si>
  <si>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</si>
  <si>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</si>
  <si>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</si>
  <si>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</si>
  <si>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</si>
  <si>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</si>
  <si>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</si>
  <si>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</si>
  <si>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</si>
  <si>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</si>
  <si>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</si>
  <si>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</si>
  <si>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</si>
  <si>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</si>
  <si>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</si>
  <si>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</si>
  <si>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</si>
  <si>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</si>
  <si>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</si>
  <si>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</si>
  <si>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</si>
  <si>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</si>
  <si>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</si>
  <si>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</si>
  <si>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</si>
  <si>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</si>
  <si>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</si>
  <si>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</si>
  <si>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</si>
  <si>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</si>
  <si>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</si>
  <si>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</si>
  <si>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</si>
  <si>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</si>
  <si>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</si>
  <si>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</si>
  <si>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</si>
  <si>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</si>
  <si>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</si>
  <si>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</si>
  <si>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</si>
  <si>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</si>
  <si>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</si>
  <si>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</si>
  <si>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</si>
  <si>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</si>
  <si>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</si>
  <si>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</si>
  <si>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</si>
  <si>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</si>
  <si>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</si>
  <si>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</si>
  <si>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</si>
  <si>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</si>
  <si>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</si>
  <si>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</si>
  <si>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</si>
  <si>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</si>
  <si>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</si>
  <si>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</si>
  <si>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</si>
  <si>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</si>
  <si>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</si>
  <si>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</si>
  <si>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</si>
  <si>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</si>
  <si>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</si>
  <si>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</si>
  <si>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</si>
  <si>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</si>
  <si>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</si>
  <si>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</si>
  <si>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</si>
  <si>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</si>
  <si>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</si>
  <si>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</si>
  <si>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</si>
  <si>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</si>
  <si>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</si>
  <si>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</si>
  <si>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</si>
  <si>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</si>
  <si>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</si>
  <si>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</si>
  <si>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</si>
  <si>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</si>
  <si>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</si>
  <si>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</si>
  <si>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</si>
  <si>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</si>
  <si>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</si>
  <si>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</si>
  <si>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</si>
  <si>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</si>
  <si>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</si>
  <si>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</si>
  <si>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</si>
  <si>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</si>
  <si>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</si>
  <si>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</si>
  <si>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</si>
  <si>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</si>
  <si>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</si>
  <si>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</si>
  <si>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</si>
  <si>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</si>
  <si>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</si>
  <si>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</si>
  <si>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</si>
  <si>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</si>
  <si>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</si>
  <si>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</si>
  <si>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</si>
  <si>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</si>
  <si>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</si>
  <si>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</si>
  <si>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</si>
  <si>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</si>
  <si>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</si>
  <si>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</si>
  <si>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</si>
  <si>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</si>
  <si>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</si>
  <si>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</si>
  <si>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</si>
  <si>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</si>
  <si>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</si>
  <si>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</si>
  <si>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</si>
  <si>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</si>
  <si>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</si>
  <si>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</si>
  <si>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</si>
  <si>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</si>
  <si>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</si>
  <si>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</si>
  <si>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</si>
  <si>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</si>
  <si>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</si>
  <si>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</si>
  <si>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</si>
  <si>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</si>
  <si>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</si>
  <si>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</si>
  <si>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</si>
  <si>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</si>
  <si>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</si>
  <si>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</si>
  <si>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</si>
  <si>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</si>
  <si>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</si>
  <si>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</si>
  <si>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</si>
  <si>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</si>
  <si>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</si>
  <si>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</si>
  <si>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</si>
  <si>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</si>
  <si>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</si>
  <si>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</si>
  <si>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</si>
  <si>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</si>
  <si>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</si>
  <si>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</si>
  <si>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</si>
  <si>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</si>
  <si>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</si>
  <si>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</si>
  <si>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</si>
  <si>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</si>
  <si>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</si>
  <si>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</si>
  <si>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</si>
  <si>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</si>
  <si>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</si>
  <si>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</si>
  <si>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</si>
  <si>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</si>
  <si>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</si>
  <si>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</si>
  <si>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</si>
  <si>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</si>
  <si>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</si>
  <si>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</si>
  <si>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</si>
  <si>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</si>
  <si>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</si>
  <si>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</si>
  <si>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</si>
  <si>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</si>
  <si>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</si>
  <si>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</si>
  <si>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</si>
  <si>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</si>
  <si>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</si>
  <si>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</si>
  <si>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</si>
  <si>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</si>
  <si>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</si>
  <si>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</si>
  <si>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</si>
  <si>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</si>
  <si>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</si>
  <si>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</si>
  <si>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</si>
  <si>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</si>
  <si>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</si>
  <si>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</si>
  <si>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</si>
  <si>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</si>
  <si>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</si>
  <si>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</si>
  <si>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</si>
  <si>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</si>
  <si>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</si>
  <si>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</si>
  <si>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</si>
  <si>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</si>
  <si>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</si>
  <si>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</si>
  <si>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</si>
  <si>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</si>
  <si>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</si>
  <si>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</si>
  <si>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</si>
  <si>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</si>
  <si>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</si>
  <si>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</si>
  <si>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</si>
  <si>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</si>
  <si>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</si>
  <si>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</si>
  <si>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</si>
  <si>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</si>
  <si>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</si>
  <si>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</si>
  <si>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</si>
  <si>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</si>
  <si>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</si>
  <si>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</si>
  <si>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</si>
  <si>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</si>
  <si>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</si>
  <si>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</si>
  <si>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</si>
  <si>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</si>
  <si>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</si>
  <si>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</si>
  <si>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</si>
  <si>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</si>
  <si>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</si>
  <si>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</si>
  <si>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</si>
  <si>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</si>
  <si>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</si>
  <si>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</si>
  <si>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</si>
  <si>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</si>
  <si>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</si>
  <si>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</si>
  <si>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</si>
  <si>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</si>
  <si>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</si>
  <si>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</si>
  <si>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</si>
  <si>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</si>
  <si>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</si>
  <si>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</si>
  <si>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</si>
  <si>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</si>
  <si>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</si>
  <si>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</si>
  <si>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</si>
  <si>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</si>
  <si>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</si>
  <si>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</si>
  <si>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</si>
  <si>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</si>
  <si>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</si>
  <si>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</si>
  <si>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</si>
  <si>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</si>
  <si>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</si>
  <si>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</si>
  <si>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</si>
  <si>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</si>
  <si>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</si>
  <si>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</si>
  <si>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</si>
  <si>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</si>
  <si>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</si>
  <si>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</si>
  <si>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</si>
  <si>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</si>
  <si>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</si>
  <si>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</si>
  <si>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</si>
  <si>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</si>
  <si>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</si>
  <si>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</si>
  <si>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</si>
  <si>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</si>
  <si>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</si>
  <si>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</si>
  <si>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</si>
  <si>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</si>
  <si>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</si>
  <si>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</si>
  <si>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</si>
  <si>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</si>
  <si>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</si>
  <si>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</si>
  <si>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</si>
  <si>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</si>
  <si>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</si>
  <si>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</si>
  <si>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</si>
  <si>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</si>
  <si>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</si>
  <si>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</si>
  <si>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</si>
  <si>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</si>
  <si>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</si>
  <si>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</si>
  <si>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</si>
  <si>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</si>
  <si>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</si>
  <si>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</si>
  <si>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</si>
  <si>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</si>
  <si>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</si>
  <si>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</si>
  <si>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</si>
  <si>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</si>
  <si>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</si>
  <si>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</si>
  <si>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</si>
  <si>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</si>
  <si>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</si>
  <si>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</si>
  <si>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</si>
  <si>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</si>
  <si>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</si>
  <si>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</si>
  <si>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</si>
  <si>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</si>
  <si>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</si>
  <si>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</si>
  <si>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</si>
  <si>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</si>
  <si>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</si>
  <si>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</si>
  <si>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</si>
  <si>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</si>
  <si>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</si>
  <si>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</si>
  <si>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</si>
  <si>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</si>
  <si>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</si>
  <si>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</si>
  <si>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</si>
  <si>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</si>
  <si>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</si>
  <si>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</si>
  <si>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</si>
  <si>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</si>
  <si>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</si>
  <si>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</si>
  <si>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</si>
  <si>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</si>
  <si>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</si>
  <si>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</si>
  <si>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</si>
  <si>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</si>
  <si>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</si>
  <si>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</si>
  <si>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</si>
  <si>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</si>
  <si>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</si>
  <si>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</si>
  <si>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</si>
  <si>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</si>
  <si>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</si>
  <si>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</si>
  <si>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</si>
  <si>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</si>
  <si>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</si>
  <si>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</si>
  <si>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</si>
  <si>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</si>
  <si>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</si>
  <si>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</si>
  <si>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</si>
  <si>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</si>
  <si>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</si>
  <si>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</si>
  <si>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</si>
  <si>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</si>
  <si>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</si>
  <si>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</si>
  <si>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</si>
  <si>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</si>
  <si>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</si>
  <si>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</si>
  <si>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</si>
  <si>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</si>
  <si>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</si>
  <si>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</si>
  <si>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</si>
  <si>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</si>
  <si>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</si>
  <si>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</si>
  <si>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</si>
  <si>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</si>
  <si>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</si>
  <si>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</si>
  <si>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</si>
  <si>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</si>
  <si>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</si>
  <si>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</si>
  <si>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</si>
  <si>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</si>
  <si>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</si>
  <si>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</si>
  <si>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</si>
  <si>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</si>
  <si>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</si>
  <si>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</si>
  <si>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</si>
  <si>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</si>
  <si>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</si>
  <si>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</si>
  <si>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</si>
  <si>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</si>
  <si>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</si>
  <si>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</si>
  <si>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</si>
  <si>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</si>
  <si>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</si>
  <si>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</si>
  <si>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</si>
  <si>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</si>
  <si>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</si>
  <si>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</si>
  <si>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</si>
  <si>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</si>
  <si>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</si>
  <si>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</si>
  <si>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</si>
  <si>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</si>
  <si>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</si>
  <si>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</si>
  <si>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</si>
  <si>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</si>
  <si>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</si>
  <si>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</si>
  <si>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</si>
  <si>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</si>
  <si>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</si>
  <si>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</si>
  <si>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</si>
  <si>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</si>
  <si>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</si>
  <si>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</si>
  <si>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</si>
  <si>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</si>
  <si>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</si>
  <si>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</si>
  <si>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</si>
  <si>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</si>
  <si>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</si>
  <si>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</si>
  <si>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</si>
  <si>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</si>
  <si>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</si>
  <si>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</si>
  <si>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</si>
  <si>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</si>
  <si>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</si>
  <si>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</si>
  <si>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</si>
  <si>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</si>
  <si>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</si>
  <si>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</si>
  <si>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</si>
  <si>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</si>
  <si>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</si>
  <si>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</si>
  <si>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</si>
  <si>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</si>
  <si>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</si>
  <si>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</si>
  <si>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</si>
  <si>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</si>
  <si>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</si>
  <si>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</si>
  <si>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</si>
  <si>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</si>
  <si>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</si>
  <si>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</si>
  <si>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</si>
  <si>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</si>
  <si>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</si>
  <si>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</si>
  <si>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</si>
  <si>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</si>
  <si>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</si>
  <si>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</si>
  <si>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</si>
  <si>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</si>
  <si>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</si>
  <si>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</si>
  <si>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</si>
  <si>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</si>
  <si>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</si>
  <si>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</si>
  <si>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</si>
  <si>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</si>
  <si>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</si>
  <si>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</si>
  <si>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</si>
  <si>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</si>
  <si>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</si>
  <si>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</si>
  <si>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</si>
  <si>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</si>
  <si>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</si>
  <si>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</si>
  <si>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</si>
  <si>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</si>
  <si>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</si>
  <si>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</si>
  <si>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</si>
  <si>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</si>
  <si>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</si>
  <si>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</si>
  <si>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</si>
  <si>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</si>
  <si>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</si>
  <si>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</si>
  <si>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</si>
  <si>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</si>
  <si>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</si>
  <si>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</si>
  <si>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</si>
  <si>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</si>
  <si>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</si>
  <si>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</si>
  <si>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</si>
  <si>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</si>
  <si>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</si>
  <si>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</si>
  <si>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</si>
  <si>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</si>
  <si>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</si>
  <si>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</si>
  <si>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</si>
  <si>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</si>
  <si>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</si>
  <si>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</si>
  <si>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</si>
  <si>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</si>
  <si>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</si>
  <si>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</si>
  <si>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</si>
  <si>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</si>
  <si>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</si>
  <si>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</si>
  <si>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</si>
  <si>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</si>
  <si>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</si>
  <si>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</si>
  <si>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</si>
  <si>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</si>
  <si>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</si>
  <si>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</si>
  <si>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</si>
  <si>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</si>
  <si>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</si>
  <si>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</si>
  <si>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</si>
  <si>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</si>
  <si>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</si>
  <si>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</si>
  <si>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</si>
  <si>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</si>
  <si>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</si>
  <si>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</si>
  <si>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</si>
  <si>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</si>
  <si>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</si>
  <si>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</si>
  <si>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</si>
  <si>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</si>
  <si>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</si>
  <si>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</si>
  <si>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</si>
  <si>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</si>
  <si>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</si>
  <si>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</si>
  <si>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</si>
  <si>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</si>
  <si>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</si>
  <si>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</si>
  <si>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</si>
  <si>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</si>
  <si>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</si>
  <si>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</si>
  <si>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</si>
  <si>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</si>
  <si>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</si>
  <si>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</si>
  <si>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</si>
  <si>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</si>
  <si>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</si>
  <si>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</si>
  <si>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</si>
  <si>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</si>
  <si>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</si>
  <si>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</si>
  <si>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</si>
  <si>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</si>
  <si>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</si>
  <si>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</si>
  <si>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</si>
  <si>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</si>
  <si>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</si>
  <si>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</si>
  <si>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</si>
  <si>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</si>
  <si>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</si>
  <si>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</si>
  <si>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</si>
  <si>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</si>
  <si>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</si>
  <si>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</si>
  <si>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</si>
  <si>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</si>
  <si>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</si>
  <si>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</si>
  <si>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</si>
  <si>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</si>
  <si>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</si>
  <si>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</si>
  <si>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</si>
  <si>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</si>
  <si>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</si>
  <si>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</si>
  <si>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</si>
  <si>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</si>
  <si>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</si>
  <si>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</si>
  <si>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</si>
  <si>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</si>
  <si>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</si>
  <si>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</si>
  <si>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</si>
  <si>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</si>
  <si>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</si>
  <si>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</si>
  <si>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</si>
  <si>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</si>
  <si>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</si>
  <si>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</si>
  <si>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</si>
  <si>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</si>
  <si>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</si>
  <si>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</si>
  <si>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</si>
  <si>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</si>
  <si>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</si>
  <si>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</si>
  <si>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</si>
  <si>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</si>
  <si>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</si>
  <si>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</si>
  <si>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</si>
  <si>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</si>
  <si>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</si>
  <si>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</si>
  <si>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</si>
  <si>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</si>
  <si>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</si>
  <si>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</si>
  <si>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</si>
  <si>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</si>
  <si>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</si>
  <si>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</si>
  <si>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</si>
  <si>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</si>
  <si>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</si>
  <si>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</si>
  <si>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</si>
  <si>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</si>
  <si>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</si>
  <si>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</si>
  <si>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</si>
  <si>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</si>
  <si>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</si>
  <si>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</si>
  <si>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</si>
  <si>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</si>
  <si>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</si>
  <si>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</si>
  <si>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</si>
  <si>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</si>
  <si>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</si>
  <si>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</si>
  <si>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</si>
  <si>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</si>
  <si>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</si>
  <si>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</si>
  <si>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</si>
  <si>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</si>
  <si>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</si>
  <si>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</si>
  <si>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</si>
  <si>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</si>
  <si>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</si>
  <si>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</si>
  <si>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</si>
  <si>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</si>
  <si>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</si>
  <si>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</si>
  <si>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</si>
  <si>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</si>
  <si>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</si>
  <si>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</si>
  <si>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</si>
  <si>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</si>
  <si>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</si>
  <si>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</si>
  <si>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</si>
  <si>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</si>
  <si>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</si>
  <si>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</si>
  <si>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</si>
  <si>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</si>
  <si>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</si>
  <si>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</si>
  <si>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</si>
  <si>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</si>
  <si>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</si>
  <si>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</si>
  <si>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</si>
  <si>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</si>
  <si>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</si>
  <si>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</si>
  <si>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</si>
  <si>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</si>
  <si>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</si>
  <si>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</si>
  <si>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</si>
  <si>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</si>
  <si>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</si>
  <si>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</si>
  <si>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</si>
  <si>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</si>
  <si>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</si>
  <si>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</si>
  <si>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</si>
  <si>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</si>
  <si>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</si>
  <si>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</si>
  <si>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</si>
  <si>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</si>
  <si>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</si>
  <si>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</si>
  <si>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</si>
  <si>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</si>
  <si>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</si>
  <si>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</si>
  <si>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</si>
  <si>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</si>
  <si>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</si>
  <si>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</si>
  <si>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</si>
  <si>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</si>
  <si>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</si>
  <si>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</si>
  <si>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</si>
  <si>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</si>
  <si>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</si>
  <si>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</si>
  <si>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</si>
  <si>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</si>
  <si>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</si>
  <si>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</si>
  <si>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</si>
  <si>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</si>
  <si>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</si>
  <si>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</si>
  <si>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</si>
  <si>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</si>
  <si>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</si>
  <si>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</si>
  <si>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</si>
  <si>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</si>
  <si>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</si>
  <si>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</si>
  <si>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</si>
  <si>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</si>
  <si>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</si>
  <si>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</si>
  <si>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</si>
  <si>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</si>
  <si>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</si>
  <si>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</si>
  <si>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</si>
  <si>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</si>
  <si>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</si>
  <si>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</si>
  <si>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</si>
  <si>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</si>
  <si>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</si>
  <si>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</si>
  <si>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</si>
  <si>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</si>
  <si>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</si>
  <si>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</si>
  <si>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</si>
  <si>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</si>
  <si>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</si>
  <si>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</si>
  <si>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</si>
  <si>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</si>
  <si>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</si>
  <si>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</si>
  <si>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</si>
  <si>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</si>
  <si>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</si>
  <si>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</si>
  <si>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</si>
  <si>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</si>
  <si>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</si>
  <si>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</si>
  <si>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</si>
  <si>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</si>
  <si>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</si>
  <si>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</si>
  <si>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</si>
  <si>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</si>
  <si>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</si>
  <si>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</si>
  <si>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</si>
  <si>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</si>
  <si>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</si>
  <si>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</si>
  <si>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</si>
  <si>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</si>
  <si>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</si>
  <si>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</si>
  <si>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</si>
  <si>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</si>
  <si>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</si>
  <si>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</si>
  <si>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</si>
  <si>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</si>
  <si>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</si>
  <si>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</si>
  <si>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</si>
  <si>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</si>
  <si>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</si>
  <si>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</si>
  <si>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</si>
  <si>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</si>
  <si>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</si>
  <si>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</si>
  <si>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</si>
  <si>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</si>
  <si>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</si>
  <si>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</si>
  <si>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</si>
  <si>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</si>
  <si>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</si>
  <si>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</si>
  <si>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</si>
  <si>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</si>
  <si>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</si>
  <si>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</si>
  <si>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</si>
  <si>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</si>
  <si>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</si>
  <si>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</si>
  <si>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</si>
  <si>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</si>
  <si>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</si>
  <si>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</si>
  <si>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</si>
  <si>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</si>
  <si>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</si>
  <si>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</si>
  <si>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</si>
  <si>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</si>
  <si>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</si>
  <si>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</si>
  <si>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</si>
  <si>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</si>
  <si>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</si>
  <si>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</si>
  <si>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</si>
  <si>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</si>
  <si>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</si>
  <si>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</si>
  <si>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</si>
  <si>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</si>
  <si>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</si>
  <si>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</si>
  <si>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</si>
  <si>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</si>
  <si>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</si>
  <si>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</si>
  <si>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</si>
  <si>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</si>
  <si>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</si>
  <si>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</si>
  <si>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</si>
  <si>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</si>
  <si>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</si>
  <si>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</si>
  <si>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</si>
  <si>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</si>
  <si>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</si>
  <si>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</si>
  <si>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</si>
  <si>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</si>
  <si>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</si>
  <si>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</si>
  <si>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</si>
  <si>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</si>
  <si>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</si>
  <si>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</si>
  <si>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</si>
  <si>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</si>
  <si>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</si>
  <si>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</si>
  <si>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</si>
  <si>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</si>
  <si>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</si>
  <si>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</si>
  <si>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</si>
  <si>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</si>
  <si>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</si>
  <si>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</si>
  <si>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</si>
  <si>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</si>
  <si>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</si>
  <si>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</si>
  <si>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</si>
  <si>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</si>
  <si>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</si>
  <si>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</si>
  <si>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</si>
  <si>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</si>
  <si>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</si>
  <si>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</si>
  <si>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</si>
  <si>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</si>
  <si>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</si>
  <si>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</si>
  <si>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</si>
  <si>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</si>
  <si>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</si>
  <si>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</si>
  <si>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</si>
  <si>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</si>
  <si>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</si>
  <si>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</si>
  <si>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</si>
  <si>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</si>
  <si>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</si>
  <si>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</si>
  <si>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</si>
  <si>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</si>
  <si>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</si>
  <si>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</si>
  <si>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</si>
  <si>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</si>
  <si>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</si>
  <si>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</si>
  <si>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</si>
  <si>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</si>
  <si>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</si>
  <si>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</si>
  <si>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</si>
  <si>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</si>
  <si>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</si>
  <si>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</si>
  <si>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</si>
  <si>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</si>
  <si>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</si>
  <si>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</si>
  <si>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</si>
  <si>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</si>
  <si>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</si>
  <si>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</si>
  <si>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</si>
  <si>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</si>
  <si>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</si>
  <si>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</si>
  <si>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</si>
  <si>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</si>
  <si>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</si>
  <si>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</si>
  <si>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</si>
  <si>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</si>
  <si>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</si>
  <si>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</si>
  <si>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</si>
  <si>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</si>
  <si>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</si>
  <si>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</si>
  <si>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</si>
  <si>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</si>
  <si>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</si>
  <si>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</si>
  <si>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</si>
  <si>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</si>
  <si>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</si>
  <si>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</si>
  <si>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</si>
  <si>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</si>
  <si>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</si>
  <si>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</si>
  <si>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</si>
  <si>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</si>
  <si>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</si>
  <si>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</si>
  <si>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</si>
  <si>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</si>
  <si>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</si>
  <si>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</si>
  <si>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</si>
  <si>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</si>
  <si>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</si>
  <si>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</si>
  <si>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</si>
  <si>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</si>
  <si>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</si>
  <si>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</si>
  <si>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</si>
  <si>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</si>
  <si>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</si>
  <si>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</si>
  <si>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</si>
  <si>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</si>
  <si>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</si>
  <si>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</si>
  <si>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</si>
  <si>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</si>
  <si>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</si>
  <si>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</si>
  <si>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</si>
  <si>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</si>
  <si>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</si>
  <si>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</si>
  <si>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</si>
  <si>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</si>
  <si>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</si>
  <si>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</si>
  <si>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</si>
  <si>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</si>
  <si>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</si>
  <si>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</si>
  <si>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</si>
  <si>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</si>
  <si>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</si>
  <si>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</si>
  <si>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</si>
  <si>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</si>
  <si>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</si>
  <si>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</si>
  <si>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</si>
  <si>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</si>
  <si>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</si>
  <si>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</si>
  <si>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</si>
  <si>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</si>
  <si>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</si>
  <si>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</si>
  <si>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</si>
  <si>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</si>
  <si>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</si>
  <si>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</si>
  <si>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</si>
  <si>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</si>
  <si>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</si>
  <si>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</si>
  <si>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</si>
  <si>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</si>
  <si>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</si>
  <si>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</si>
  <si>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</si>
  <si>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</si>
  <si>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</si>
  <si>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</si>
  <si>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</si>
  <si>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</si>
  <si>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</si>
  <si>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</si>
  <si>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</si>
  <si>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</si>
  <si>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</si>
  <si>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</si>
  <si>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</si>
  <si>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</si>
  <si>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</si>
  <si>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</si>
  <si>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</si>
  <si>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</si>
  <si>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</si>
  <si>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</si>
  <si>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</si>
  <si>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</si>
  <si>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</si>
  <si>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</si>
  <si>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</si>
  <si>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</si>
  <si>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</si>
  <si>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</si>
  <si>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</si>
  <si>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</si>
  <si>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</si>
  <si>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</si>
  <si>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</si>
  <si>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</si>
  <si>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</si>
  <si>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</si>
  <si>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</si>
  <si>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</si>
  <si>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</si>
  <si>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</si>
  <si>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</si>
  <si>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</si>
  <si>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</si>
  <si>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</si>
  <si>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</si>
  <si>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</si>
  <si>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</si>
  <si>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</si>
  <si>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</si>
  <si>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</si>
  <si>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</si>
  <si>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</si>
  <si>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</si>
  <si>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</si>
  <si>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</si>
  <si>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</si>
  <si>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</si>
  <si>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</si>
  <si>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</si>
  <si>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</si>
  <si>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</si>
  <si>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</si>
  <si>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</si>
  <si>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</si>
  <si>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</si>
  <si>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</si>
  <si>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</si>
  <si>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</si>
  <si>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</si>
  <si>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</si>
  <si>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</si>
  <si>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</si>
  <si>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</si>
  <si>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</si>
  <si>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</si>
  <si>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</si>
  <si>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</si>
  <si>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</si>
  <si>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</si>
  <si>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</si>
  <si>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</si>
  <si>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</si>
  <si>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</si>
  <si>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</si>
  <si>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</si>
  <si>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</si>
  <si>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</si>
  <si>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</si>
  <si>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</si>
  <si>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</si>
  <si>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</si>
  <si>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</si>
  <si>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</si>
  <si>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</si>
  <si>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</si>
  <si>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</si>
  <si>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</si>
  <si>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</si>
  <si>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</si>
  <si>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</si>
  <si>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</si>
  <si>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</si>
  <si>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</si>
  <si>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</si>
  <si>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</si>
  <si>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</si>
  <si>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</si>
  <si>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</si>
  <si>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</si>
  <si>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</si>
  <si>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</si>
  <si>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</si>
  <si>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</si>
  <si>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</si>
  <si>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</si>
  <si>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</si>
  <si>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</si>
  <si>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</si>
  <si>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</si>
  <si>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</si>
  <si>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</si>
  <si>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</si>
  <si>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</si>
  <si>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</si>
  <si>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</si>
  <si>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</si>
  <si>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</si>
  <si>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</si>
  <si>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</si>
  <si>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</si>
  <si>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</si>
  <si>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</si>
  <si>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</si>
  <si>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</si>
  <si>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</si>
  <si>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</si>
  <si>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</si>
  <si>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</si>
  <si>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</si>
  <si>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</si>
  <si>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</si>
  <si>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</si>
  <si>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</si>
  <si>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</si>
  <si>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</si>
  <si>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</si>
  <si>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</si>
  <si>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</si>
  <si>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</si>
  <si>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</si>
  <si>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</si>
  <si>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</si>
  <si>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</si>
  <si>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</si>
  <si>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</si>
  <si>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</si>
  <si>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</si>
  <si>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</si>
  <si>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</si>
  <si>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</si>
  <si>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</si>
  <si>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</si>
  <si>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</si>
  <si>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</si>
  <si>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</si>
  <si>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</si>
  <si>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</si>
  <si>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</si>
  <si>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</si>
  <si>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</si>
  <si>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</si>
  <si>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</si>
  <si>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</si>
  <si>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</si>
  <si>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</si>
  <si>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</si>
  <si>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</si>
  <si>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</si>
  <si>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</si>
  <si>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</si>
  <si>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</si>
  <si>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</si>
  <si>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</si>
  <si>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</si>
  <si>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</si>
  <si>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</si>
  <si>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</si>
  <si>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</si>
  <si>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</si>
  <si>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</si>
  <si>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</si>
  <si>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</si>
  <si>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</si>
  <si>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</si>
  <si>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</si>
  <si>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</si>
  <si>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</si>
  <si>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</si>
  <si>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</si>
  <si>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</si>
  <si>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</si>
  <si>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</si>
  <si>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</si>
  <si>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</si>
  <si>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</si>
  <si>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</si>
  <si>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</si>
  <si>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</si>
  <si>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</si>
  <si>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</si>
  <si>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</si>
  <si>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</si>
  <si>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</si>
  <si>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</si>
  <si>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</si>
  <si>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</si>
  <si>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</si>
  <si>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</si>
  <si>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</si>
  <si>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</si>
  <si>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</si>
  <si>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</si>
  <si>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</si>
  <si>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</si>
  <si>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</si>
  <si>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</si>
  <si>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</si>
  <si>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</si>
  <si>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</si>
  <si>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</si>
  <si>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</si>
  <si>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</si>
  <si>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</si>
  <si>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</si>
  <si>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</si>
  <si>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</si>
  <si>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</si>
  <si>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</si>
  <si>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</si>
  <si>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</si>
  <si>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</si>
  <si>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</si>
  <si>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</si>
  <si>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</si>
  <si>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</si>
  <si>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</si>
  <si>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</si>
  <si>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</si>
  <si>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</si>
  <si>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</si>
  <si>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</si>
  <si>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</si>
  <si>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</si>
  <si>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</si>
  <si>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</si>
  <si>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</si>
  <si>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</si>
  <si>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</si>
  <si>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</si>
  <si>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</si>
  <si>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</si>
  <si>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</si>
  <si>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</si>
  <si>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</si>
  <si>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</si>
  <si>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</si>
  <si>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</si>
  <si>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</si>
  <si>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</si>
  <si>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</si>
  <si>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</si>
  <si>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</si>
  <si>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</si>
  <si>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</si>
  <si>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</si>
  <si>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</si>
  <si>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</si>
  <si>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</si>
  <si>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</si>
  <si>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</si>
  <si>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</si>
  <si>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</si>
  <si>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</si>
  <si>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</si>
  <si>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</si>
  <si>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</si>
  <si>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</si>
  <si>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</si>
  <si>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</si>
  <si>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</si>
  <si>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</si>
  <si>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</si>
  <si>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</si>
  <si>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</si>
  <si>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</si>
  <si>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</si>
  <si>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</si>
  <si>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</si>
  <si>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</si>
  <si>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</si>
  <si>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</si>
  <si>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</si>
  <si>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</si>
  <si>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</si>
  <si>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</si>
  <si>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</si>
  <si>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</si>
  <si>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</si>
  <si>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</si>
  <si>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</si>
  <si>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</si>
  <si>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</si>
  <si>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</si>
  <si>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</si>
  <si>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</si>
  <si>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</si>
  <si>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</si>
  <si>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</si>
  <si>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</si>
  <si>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</si>
  <si>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</si>
  <si>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</si>
  <si>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</si>
  <si>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</si>
  <si>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</si>
  <si>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</si>
  <si>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</si>
  <si>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</si>
  <si>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</si>
  <si>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</si>
  <si>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</si>
  <si>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</si>
  <si>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</si>
  <si>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</si>
  <si>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</si>
  <si>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</si>
  <si>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</si>
  <si>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</si>
  <si>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</si>
  <si>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</si>
  <si>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</si>
  <si>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</si>
  <si>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</si>
  <si>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</si>
  <si>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</si>
  <si>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</si>
  <si>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</si>
  <si>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</si>
  <si>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</si>
  <si>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</si>
  <si>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</si>
  <si>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</si>
  <si>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</si>
  <si>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</si>
  <si>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</si>
  <si>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</si>
  <si>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</si>
  <si>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</si>
  <si>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</si>
  <si>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</si>
  <si>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</si>
  <si>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</si>
  <si>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</si>
  <si>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</si>
  <si>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</si>
  <si>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</si>
  <si>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</si>
  <si>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</si>
  <si>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</si>
  <si>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</si>
  <si>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</si>
  <si>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</si>
  <si>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</si>
  <si>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</si>
  <si>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</si>
  <si>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</si>
  <si>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</si>
  <si>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</si>
  <si>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</si>
  <si>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</si>
  <si>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</si>
  <si>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</si>
  <si>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</si>
  <si>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</si>
  <si>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</si>
  <si>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</si>
  <si>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</si>
  <si>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</si>
  <si>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</si>
  <si>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</si>
  <si>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</si>
  <si>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</si>
  <si>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</si>
  <si>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</si>
  <si>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</si>
  <si>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</si>
  <si>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</si>
  <si>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</si>
  <si>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</si>
  <si>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</si>
  <si>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</si>
  <si>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</si>
  <si>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</si>
  <si>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</si>
  <si>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</si>
  <si>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</si>
  <si>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</si>
  <si>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</si>
  <si>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</si>
  <si>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</si>
  <si>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</si>
  <si>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</si>
  <si>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</si>
  <si>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</si>
  <si>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</si>
  <si>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</si>
  <si>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</si>
  <si>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</si>
  <si>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</si>
  <si>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</si>
  <si>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</si>
  <si>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</si>
  <si>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</si>
  <si>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</si>
  <si>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</si>
  <si>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</si>
  <si>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</si>
  <si>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</si>
  <si>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</si>
  <si>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</si>
  <si>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</si>
  <si>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</si>
  <si>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</si>
  <si>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</si>
  <si>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</si>
  <si>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</si>
  <si>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</si>
  <si>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</si>
  <si>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</si>
  <si>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</si>
  <si>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</si>
  <si>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</si>
  <si>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</si>
  <si>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</si>
  <si>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</si>
  <si>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</si>
  <si>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</si>
  <si>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</si>
  <si>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</si>
  <si>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</si>
  <si>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</si>
  <si>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</si>
  <si>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</si>
  <si>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</si>
  <si>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</si>
  <si>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</si>
  <si>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</si>
  <si>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</si>
  <si>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</si>
  <si>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</si>
  <si>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</si>
  <si>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</si>
  <si>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</si>
  <si>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</si>
  <si>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</si>
  <si>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</si>
  <si>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</si>
  <si>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</si>
  <si>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</si>
  <si>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</si>
  <si>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</si>
  <si>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</si>
  <si>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</si>
  <si>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</si>
  <si>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</si>
  <si>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</si>
  <si>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</si>
  <si>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</si>
  <si>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</si>
  <si>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</si>
  <si>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</si>
  <si>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</si>
  <si>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</si>
  <si>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</si>
  <si>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</si>
  <si>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</si>
  <si>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</si>
  <si>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</si>
  <si>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</si>
  <si>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</si>
  <si>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</si>
  <si>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</si>
  <si>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</si>
  <si>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</si>
  <si>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</si>
  <si>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</si>
  <si>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</si>
  <si>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</si>
  <si>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</si>
  <si>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</si>
  <si>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</si>
  <si>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</si>
  <si>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</si>
  <si>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</si>
  <si>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</si>
  <si>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</si>
  <si>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</si>
  <si>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</si>
  <si>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</si>
  <si>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</si>
  <si>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</si>
  <si>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</si>
  <si>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</si>
  <si>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</si>
  <si>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</si>
  <si>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</si>
  <si>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</si>
  <si>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</si>
  <si>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</si>
  <si>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</si>
  <si>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</si>
  <si>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</si>
  <si>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</si>
  <si>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</si>
  <si>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</si>
  <si>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</si>
  <si>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</si>
  <si>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</si>
  <si>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</si>
  <si>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</si>
  <si>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</si>
  <si>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</si>
  <si>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</si>
  <si>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</si>
  <si>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</si>
  <si>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</si>
  <si>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</si>
  <si>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</si>
  <si>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</si>
  <si>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</si>
  <si>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</si>
  <si>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</si>
  <si>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</si>
  <si>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</si>
  <si>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</si>
  <si>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</si>
  <si>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</si>
  <si>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</si>
  <si>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</si>
  <si>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</si>
  <si>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</si>
  <si>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</si>
  <si>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</si>
  <si>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</si>
  <si>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</si>
  <si>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</si>
  <si>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</si>
  <si>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</si>
  <si>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</si>
  <si>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</si>
  <si>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</si>
  <si>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</si>
  <si>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</si>
  <si>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</si>
  <si>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</si>
  <si>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</si>
  <si>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</si>
  <si>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</si>
  <si>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</si>
  <si>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</si>
  <si>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</si>
  <si>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</si>
  <si>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</si>
  <si>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</si>
  <si>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</si>
  <si>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</si>
  <si>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</si>
  <si>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</si>
  <si>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</si>
  <si>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</si>
  <si>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</si>
  <si>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</si>
  <si>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</si>
  <si>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</si>
  <si>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</si>
  <si>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</si>
  <si>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</si>
  <si>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</si>
  <si>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</si>
  <si>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</si>
  <si>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</si>
  <si>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</si>
  <si>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</si>
  <si>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</si>
  <si>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</si>
  <si>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</si>
  <si>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</si>
  <si>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</si>
  <si>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</si>
  <si>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</si>
  <si>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</si>
  <si>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</si>
  <si>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</si>
  <si>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</si>
  <si>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</si>
  <si>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</si>
  <si>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</si>
  <si>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</si>
  <si>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</si>
  <si>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</si>
  <si>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</si>
  <si>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</si>
  <si>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</si>
  <si>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</si>
  <si>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</si>
  <si>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</si>
  <si>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</si>
  <si>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</si>
  <si>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</si>
  <si>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</si>
  <si>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</si>
  <si>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</si>
  <si>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</si>
  <si>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</si>
  <si>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</si>
  <si>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</si>
  <si>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</si>
  <si>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</si>
  <si>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</si>
  <si>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</si>
  <si>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</si>
  <si>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</si>
  <si>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</si>
  <si>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</si>
  <si>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</si>
  <si>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</si>
  <si>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</si>
  <si>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</si>
  <si>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</si>
  <si>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</si>
  <si>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</si>
  <si>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</si>
  <si>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</si>
  <si>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</si>
  <si>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</si>
  <si>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</si>
  <si>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</si>
  <si>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</si>
  <si>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</si>
  <si>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</si>
  <si>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</si>
  <si>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</si>
  <si>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</si>
  <si>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</si>
  <si>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</si>
  <si>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</si>
  <si>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</si>
  <si>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</si>
  <si>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</si>
  <si>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</si>
  <si>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</si>
  <si>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</si>
  <si>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</si>
  <si>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</si>
  <si>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</si>
  <si>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</si>
  <si>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</si>
  <si>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</si>
  <si>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</si>
  <si>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</si>
  <si>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</si>
  <si>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</si>
  <si>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</si>
  <si>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</si>
  <si>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</si>
  <si>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</si>
  <si>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</si>
  <si>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</si>
  <si>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</si>
  <si>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</si>
  <si>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</si>
  <si>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</si>
  <si>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</si>
  <si>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</si>
  <si>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</si>
  <si>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</si>
  <si>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</si>
  <si>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</si>
  <si>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</si>
  <si>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</si>
  <si>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</si>
  <si>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</si>
  <si>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</si>
  <si>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</si>
  <si>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</si>
  <si>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</si>
  <si>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</si>
  <si>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</si>
  <si>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</si>
  <si>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</si>
  <si>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</si>
  <si>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</si>
  <si>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</si>
  <si>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</si>
  <si>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</si>
  <si>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</si>
  <si>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</si>
  <si>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</si>
  <si>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</si>
  <si>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</si>
  <si>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</si>
  <si>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</si>
  <si>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</si>
  <si>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</si>
  <si>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</si>
  <si>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</si>
  <si>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</si>
  <si>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</si>
  <si>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</si>
  <si>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</si>
  <si>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</si>
  <si>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</si>
  <si>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</si>
  <si>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</si>
  <si>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</si>
  <si>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</si>
  <si>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</si>
  <si>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</si>
  <si>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</si>
  <si>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</si>
  <si>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</si>
  <si>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</si>
  <si>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</si>
  <si>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</si>
  <si>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</si>
  <si>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</si>
  <si>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</si>
  <si>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</si>
  <si>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</si>
  <si>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</si>
  <si>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</si>
  <si>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</si>
  <si>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</si>
  <si>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</si>
  <si>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</si>
  <si>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</si>
  <si>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</si>
  <si>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</si>
  <si>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</si>
  <si>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</si>
  <si>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</si>
  <si>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</si>
  <si>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</si>
  <si>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</si>
  <si>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</si>
  <si>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</si>
  <si>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</si>
  <si>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</si>
  <si>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</si>
  <si>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</si>
  <si>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</si>
  <si>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</si>
  <si>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</si>
  <si>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</si>
  <si>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</si>
  <si>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</si>
  <si>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</si>
  <si>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</si>
  <si>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</si>
  <si>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</si>
  <si>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</si>
  <si>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</si>
  <si>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</si>
  <si>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</si>
  <si>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</si>
  <si>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</si>
  <si>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</si>
  <si>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</si>
  <si>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</si>
  <si>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</si>
  <si>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</si>
  <si>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</si>
  <si>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</si>
  <si>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</si>
  <si>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</si>
  <si>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</si>
  <si>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</si>
  <si>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</si>
  <si>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</si>
  <si>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</si>
  <si>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</si>
  <si>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</si>
  <si>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</si>
  <si>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</si>
  <si>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</si>
  <si>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</si>
  <si>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</si>
  <si>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</si>
  <si>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</si>
  <si>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</si>
  <si>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</si>
  <si>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</si>
  <si>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</si>
  <si>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</si>
  <si>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</si>
  <si>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</si>
  <si>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</si>
  <si>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</si>
  <si>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</si>
  <si>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</si>
  <si>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</si>
  <si>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</si>
  <si>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</si>
  <si>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</si>
  <si>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</si>
  <si>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</si>
  <si>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</si>
  <si>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</si>
  <si>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</si>
  <si>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</si>
  <si>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</si>
  <si>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</si>
  <si>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</si>
  <si>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</si>
  <si>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</si>
  <si>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</si>
  <si>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</si>
  <si>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</si>
  <si>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</si>
  <si>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</si>
  <si>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</si>
  <si>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</si>
  <si>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</si>
  <si>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</si>
  <si>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</si>
  <si>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</si>
  <si>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</si>
  <si>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</si>
  <si>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</si>
  <si>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</si>
  <si>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</si>
  <si>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</si>
  <si>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</si>
  <si>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</si>
  <si>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</si>
  <si>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</si>
  <si>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</si>
  <si>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</si>
  <si>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</si>
  <si>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</si>
  <si>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</si>
  <si>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</si>
  <si>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</si>
  <si>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</si>
  <si>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</si>
  <si>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</si>
  <si>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</si>
  <si>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</si>
  <si>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</si>
  <si>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</si>
  <si>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</si>
  <si>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</si>
  <si>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</si>
  <si>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</si>
  <si>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</si>
  <si>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</si>
  <si>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</si>
  <si>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</si>
  <si>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</si>
  <si>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</si>
  <si>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</si>
  <si>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</si>
  <si>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</si>
  <si>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</si>
  <si>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</si>
  <si>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</si>
  <si>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</si>
  <si>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</si>
  <si>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</si>
  <si>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</si>
  <si>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</si>
  <si>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</si>
  <si>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</si>
  <si>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</si>
  <si>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</si>
  <si>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</si>
  <si>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</si>
  <si>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</si>
  <si>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</si>
  <si>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</si>
  <si>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</si>
  <si>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</si>
  <si>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</si>
  <si>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</si>
  <si>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</si>
  <si>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</si>
  <si>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</si>
  <si>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</si>
  <si>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</si>
  <si>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</si>
  <si>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</si>
  <si>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</si>
  <si>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</si>
  <si>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</si>
  <si>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</si>
  <si>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</si>
  <si>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</si>
  <si>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</si>
  <si>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</si>
  <si>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</si>
  <si>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</si>
  <si>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</si>
  <si>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</si>
  <si>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</si>
  <si>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</si>
  <si>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</si>
  <si>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</si>
  <si>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</si>
  <si>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</si>
  <si>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</si>
  <si>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</si>
  <si>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</si>
  <si>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</si>
  <si>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</si>
  <si>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</si>
  <si>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</si>
  <si>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</si>
  <si>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</si>
  <si>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</si>
  <si>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</si>
  <si>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</si>
  <si>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</si>
  <si>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</si>
  <si>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</si>
  <si>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</si>
  <si>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</si>
  <si>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</si>
  <si>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</si>
  <si>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</si>
  <si>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</si>
  <si>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</si>
  <si>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</si>
  <si>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</si>
  <si>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</si>
  <si>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</si>
  <si>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</si>
  <si>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</si>
  <si>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</si>
  <si>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</si>
  <si>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</si>
  <si>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</si>
  <si>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</si>
  <si>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</si>
  <si>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</si>
  <si>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</si>
  <si>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</si>
  <si>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</si>
  <si>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</si>
  <si>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</si>
  <si>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</si>
  <si>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</si>
  <si>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</si>
  <si>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</si>
  <si>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</si>
  <si>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</si>
  <si>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</si>
  <si>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</si>
  <si>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</si>
  <si>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</si>
  <si>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</si>
  <si>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</si>
  <si>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</si>
  <si>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</si>
  <si>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</si>
  <si>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</si>
  <si>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</si>
  <si>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</si>
  <si>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</si>
  <si>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</si>
  <si>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</si>
  <si>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</si>
  <si>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</si>
  <si>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</si>
  <si>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</si>
  <si>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</si>
  <si>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</si>
  <si>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</si>
  <si>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</si>
  <si>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</si>
  <si>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</si>
  <si>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</si>
  <si>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</si>
  <si>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</si>
  <si>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</si>
  <si>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</si>
  <si>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</si>
  <si>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</si>
  <si>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</si>
  <si>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</si>
  <si>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</si>
  <si>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</si>
  <si>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</si>
  <si>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</si>
  <si>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</si>
  <si>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</si>
  <si>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</si>
  <si>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</si>
  <si>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</si>
  <si>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</si>
  <si>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</si>
  <si>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</si>
  <si>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</si>
  <si>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</si>
  <si>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</si>
  <si>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</si>
  <si>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</si>
  <si>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</si>
  <si>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</si>
  <si>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</si>
  <si>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</si>
  <si>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</si>
  <si>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</si>
  <si>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</si>
  <si>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</si>
  <si>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</si>
  <si>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</si>
  <si>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</si>
  <si>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</si>
  <si>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</si>
  <si>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</si>
  <si>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</si>
  <si>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</si>
  <si>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</si>
  <si>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</si>
  <si>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</si>
  <si>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</si>
  <si>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</si>
  <si>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</si>
  <si>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</si>
  <si>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</si>
  <si>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</si>
  <si>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</si>
  <si>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</si>
  <si>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</si>
  <si>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</si>
  <si>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</si>
  <si>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</si>
  <si>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</si>
  <si>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</si>
  <si>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</si>
  <si>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</si>
  <si>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</si>
  <si>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</si>
  <si>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</si>
  <si>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</si>
  <si>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</si>
  <si>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</si>
  <si>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</si>
  <si>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</si>
  <si>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</si>
  <si>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</si>
  <si>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</si>
  <si>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</si>
  <si>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</si>
  <si>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</si>
  <si>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</si>
  <si>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</si>
  <si>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</si>
  <si>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</si>
  <si>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</si>
  <si>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</si>
  <si>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</si>
  <si>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</si>
  <si>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</si>
  <si>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</si>
  <si>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</si>
  <si>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</si>
  <si>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</si>
  <si>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</si>
  <si>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</si>
  <si>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</si>
  <si>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</si>
  <si>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</si>
  <si>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</si>
  <si>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</si>
  <si>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</si>
  <si>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</si>
  <si>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</si>
  <si>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</si>
  <si>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</si>
  <si>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</si>
  <si>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</si>
  <si>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</si>
  <si>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</si>
  <si>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</si>
  <si>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</si>
  <si>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</si>
  <si>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</si>
  <si>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</si>
  <si>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</si>
  <si>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</si>
  <si>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</si>
  <si>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</si>
  <si>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</si>
  <si>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</si>
  <si>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</si>
  <si>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</si>
  <si>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</si>
  <si>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</si>
  <si>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</si>
  <si>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</si>
  <si>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</si>
  <si>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</si>
  <si>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</si>
  <si>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</si>
  <si>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</si>
  <si>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</si>
  <si>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</si>
  <si>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</si>
  <si>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</si>
  <si>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</si>
  <si>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</si>
  <si>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</si>
  <si>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</si>
  <si>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</si>
  <si>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</si>
  <si>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</si>
  <si>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</si>
  <si>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</si>
  <si>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</si>
  <si>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</si>
  <si>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</si>
  <si>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</si>
  <si>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</si>
  <si>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</si>
  <si>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</si>
  <si>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</si>
  <si>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</si>
  <si>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</si>
  <si>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</si>
  <si>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</si>
  <si>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</si>
  <si>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</si>
  <si>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</si>
  <si>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</si>
  <si>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</si>
  <si>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</si>
  <si>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</si>
  <si>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</si>
  <si>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</si>
  <si>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</si>
  <si>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</si>
  <si>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</si>
  <si>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</si>
  <si>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</si>
  <si>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</si>
  <si>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</si>
  <si>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</si>
  <si>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</si>
  <si>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</si>
  <si>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</si>
  <si>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</si>
  <si>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</si>
  <si>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</si>
  <si>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</si>
  <si>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</si>
  <si>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</si>
  <si>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</si>
  <si>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</si>
  <si>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</si>
  <si>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</si>
  <si>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</si>
  <si>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</si>
  <si>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</si>
  <si>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</si>
  <si>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</si>
  <si>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</si>
  <si>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</si>
  <si>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</si>
  <si>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</si>
  <si>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</si>
  <si>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</si>
  <si>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</si>
  <si>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</si>
  <si>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</si>
  <si>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</si>
  <si>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</si>
  <si>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</si>
  <si>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</si>
  <si>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</si>
  <si>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</si>
  <si>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</si>
  <si>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</si>
  <si>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</si>
  <si>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</si>
  <si>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</si>
  <si>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</si>
  <si>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</si>
  <si>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</si>
  <si>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</si>
  <si>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</si>
  <si>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</si>
  <si>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</si>
  <si>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</si>
  <si>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</si>
  <si>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</si>
  <si>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</si>
  <si>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</si>
  <si>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</si>
  <si>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</si>
  <si>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</si>
  <si>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</si>
  <si>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</si>
  <si>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</si>
  <si>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</si>
  <si>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</si>
  <si>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</si>
  <si>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</si>
  <si>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</si>
  <si>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</si>
  <si>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</si>
  <si>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</si>
  <si>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</si>
  <si>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</si>
  <si>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</si>
  <si>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</si>
  <si>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</si>
  <si>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</si>
  <si>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</si>
  <si>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</si>
  <si>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</si>
  <si>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</si>
  <si>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</si>
  <si>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</si>
  <si>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</si>
  <si>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</si>
  <si>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</si>
  <si>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</si>
  <si>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</si>
  <si>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</si>
  <si>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</si>
  <si>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</si>
  <si>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</si>
  <si>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</si>
  <si>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</si>
  <si>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</si>
  <si>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</si>
  <si>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</si>
  <si>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</si>
  <si>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</si>
  <si>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</si>
  <si>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</si>
  <si>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</si>
  <si>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</si>
  <si>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</si>
  <si>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</si>
  <si>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</si>
  <si>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</si>
  <si>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</si>
  <si>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</si>
  <si>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</si>
  <si>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</si>
  <si>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</si>
  <si>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</si>
  <si>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</si>
  <si>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</si>
  <si>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</si>
  <si>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</si>
  <si>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</si>
  <si>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</si>
  <si>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</si>
  <si>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</si>
  <si>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</si>
  <si>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</si>
  <si>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</si>
  <si>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</si>
  <si>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</si>
  <si>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</si>
  <si>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</si>
  <si>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</si>
  <si>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</si>
  <si>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</si>
  <si>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</si>
  <si>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</si>
  <si>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</si>
  <si>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</si>
  <si>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</si>
  <si>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</si>
  <si>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</si>
  <si>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</si>
  <si>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</si>
  <si>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</si>
  <si>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</si>
  <si>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</si>
  <si>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</si>
  <si>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</si>
  <si>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</si>
  <si>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</si>
  <si>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</si>
  <si>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</si>
  <si>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</si>
  <si>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</si>
  <si>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</si>
  <si>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</si>
  <si>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</si>
  <si>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</si>
  <si>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</si>
  <si>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</si>
  <si>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</si>
  <si>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</si>
  <si>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</si>
  <si>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</si>
  <si>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</si>
  <si>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</si>
  <si>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</si>
  <si>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</si>
  <si>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</si>
  <si>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</si>
  <si>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</si>
  <si>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</si>
  <si>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</si>
  <si>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</si>
  <si>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</si>
  <si>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</si>
  <si>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</si>
  <si>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</si>
  <si>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</si>
  <si>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</si>
  <si>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</si>
  <si>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</si>
  <si>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</si>
  <si>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</si>
  <si>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</si>
  <si>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</si>
  <si>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</si>
  <si>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</si>
  <si>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</si>
  <si>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</si>
  <si>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</si>
  <si>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</si>
  <si>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</si>
  <si>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</si>
  <si>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</si>
  <si>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</si>
  <si>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</si>
  <si>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</si>
  <si>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</si>
  <si>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</si>
  <si>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</si>
  <si>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</si>
  <si>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</si>
  <si>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</si>
  <si>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</si>
  <si>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</si>
  <si>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</si>
  <si>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</si>
  <si>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</si>
  <si>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</si>
  <si>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</si>
  <si>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</si>
  <si>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</si>
  <si>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</si>
  <si>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</si>
  <si>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</si>
  <si>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</si>
  <si>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</si>
  <si>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</si>
  <si>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</si>
  <si>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</si>
  <si>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</si>
  <si>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</si>
  <si>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</si>
  <si>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</si>
  <si>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</si>
  <si>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</si>
  <si>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</si>
  <si>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</si>
  <si>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</si>
  <si>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</si>
  <si>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</si>
  <si>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</si>
  <si>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</si>
  <si>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</si>
  <si>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</si>
  <si>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</si>
  <si>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</si>
  <si>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</si>
  <si>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</si>
  <si>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</si>
  <si>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</si>
  <si>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</si>
  <si>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</si>
  <si>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</si>
  <si>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</si>
  <si>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</si>
  <si>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</si>
  <si>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</si>
  <si>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</si>
  <si>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</si>
  <si>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</si>
  <si>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</si>
  <si>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</si>
  <si>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</si>
  <si>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</si>
  <si>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</si>
  <si>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</si>
  <si>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</si>
  <si>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</si>
  <si>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</si>
  <si>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</si>
  <si>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</si>
  <si>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</si>
  <si>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</si>
  <si>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</si>
  <si>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</si>
  <si>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</si>
  <si>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</si>
  <si>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</si>
  <si>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</si>
  <si>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</si>
  <si>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</si>
  <si>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</si>
  <si>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</si>
  <si>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</si>
  <si>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</si>
  <si>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</si>
  <si>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</si>
  <si>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</si>
  <si>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</si>
  <si>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</si>
  <si>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</si>
  <si>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</si>
  <si>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</si>
  <si>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</si>
  <si>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</si>
  <si>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</si>
  <si>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</si>
  <si>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</si>
  <si>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</si>
  <si>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</si>
  <si>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</si>
  <si>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</si>
  <si>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</si>
  <si>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</si>
  <si>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</si>
  <si>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</si>
  <si>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</si>
  <si>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</si>
  <si>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</si>
  <si>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</si>
  <si>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</si>
  <si>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</si>
  <si>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</si>
  <si>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</si>
  <si>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</si>
  <si>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</si>
  <si>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</si>
  <si>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</si>
  <si>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</si>
  <si>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</si>
  <si>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</si>
  <si>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</si>
  <si>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</si>
  <si>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</si>
  <si>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</si>
  <si>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</si>
  <si>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</si>
  <si>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</si>
  <si>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</si>
  <si>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</si>
  <si>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</si>
  <si>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</si>
  <si>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</si>
  <si>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</si>
  <si>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</si>
  <si>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</si>
  <si>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</si>
  <si>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</si>
  <si>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</si>
  <si>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</si>
  <si>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</si>
  <si>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</si>
  <si>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</si>
  <si>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</si>
  <si>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</si>
  <si>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</si>
  <si>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</si>
  <si>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</si>
  <si>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</si>
  <si>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</si>
  <si>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</si>
  <si>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</si>
  <si>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</si>
  <si>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</si>
  <si>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</si>
  <si>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</si>
  <si>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</si>
  <si>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</si>
  <si>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</si>
  <si>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</si>
  <si>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</si>
  <si>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</si>
  <si>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</si>
  <si>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</si>
  <si>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</si>
  <si>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</si>
  <si>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</si>
  <si>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</si>
  <si>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</si>
  <si>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</si>
  <si>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Del Nido Apartments</t>
  </si>
  <si>
    <t>City of Santa Rosa</t>
  </si>
  <si>
    <t>Megan Basinger</t>
  </si>
  <si>
    <t>90 Santa Rosa Ave/P.O. Box 1806</t>
  </si>
  <si>
    <t>Santa Rosa</t>
  </si>
  <si>
    <t>707 543 3303</t>
  </si>
  <si>
    <t>707 543 3353</t>
  </si>
  <si>
    <t>mbasinger@srcity.org</t>
  </si>
  <si>
    <t>850 Russell Avenue</t>
  </si>
  <si>
    <t>015-111-023, 015-501-020</t>
  </si>
  <si>
    <t>22645 Grand Street</t>
  </si>
  <si>
    <t>Hayward</t>
  </si>
  <si>
    <t>CA</t>
  </si>
  <si>
    <t>510-247-8176</t>
  </si>
  <si>
    <t>Eden Housing, Inc.</t>
  </si>
  <si>
    <t>New Del Nido, LLC</t>
  </si>
  <si>
    <t>Managing GP</t>
  </si>
  <si>
    <t>Hayward, CA, 94541</t>
  </si>
  <si>
    <t>1611 Telegraph Avenue, Suite 200</t>
  </si>
  <si>
    <t>Oakland, CA, 94612</t>
  </si>
  <si>
    <t>Curtis Caton</t>
  </si>
  <si>
    <t>510-465-7010</t>
  </si>
  <si>
    <t>ccaton@pyatok.com</t>
  </si>
  <si>
    <t>Gubb &amp; Barshay</t>
  </si>
  <si>
    <t>Evan Gross</t>
  </si>
  <si>
    <t>415-781-6600</t>
  </si>
  <si>
    <t>egross@gubbandbarshay.com</t>
  </si>
  <si>
    <t>TBD</t>
  </si>
  <si>
    <t>San Francisco, CA 94105</t>
  </si>
  <si>
    <t>California Housing Partnership Corporation</t>
  </si>
  <si>
    <t>James G. Palmer Appraisals, Inc.</t>
  </si>
  <si>
    <t>1285 W. Shaw Ave, Suite 108</t>
  </si>
  <si>
    <t>Fresno, CA 93711</t>
  </si>
  <si>
    <t>Gregg Palmer</t>
  </si>
  <si>
    <t>559-226-5020</t>
  </si>
  <si>
    <t>559-226-5063</t>
  </si>
  <si>
    <t>gregg@jgpinc.com</t>
  </si>
  <si>
    <t xml:space="preserve">Eden Housing Management, Inc. </t>
  </si>
  <si>
    <t>Hayward, CA 94541</t>
  </si>
  <si>
    <t>Kasey Archey</t>
  </si>
  <si>
    <t>510-247-8114</t>
  </si>
  <si>
    <t>kasey.archey@edenhousing.org</t>
  </si>
  <si>
    <t>Laurin Associates</t>
  </si>
  <si>
    <t>1501 Sprots Drive, Suite A</t>
  </si>
  <si>
    <t>Sacramento, CA 95834</t>
  </si>
  <si>
    <t>Stefanie Williams</t>
  </si>
  <si>
    <t>916-372-6100</t>
  </si>
  <si>
    <t>swilliams@laurinassociates.com</t>
  </si>
  <si>
    <t>Appraisal</t>
  </si>
  <si>
    <t>43 yrs</t>
  </si>
  <si>
    <t>One-story apartment buildings for low-income households.</t>
  </si>
  <si>
    <t>Multi Family Residential</t>
  </si>
  <si>
    <t>(if yes, explain here) low and moderate income housing?</t>
  </si>
  <si>
    <t>Not Applicable</t>
  </si>
  <si>
    <t>Provided</t>
  </si>
  <si>
    <t>New Del Nido LLC</t>
  </si>
  <si>
    <t>49 Stevenson Street, Suite 500</t>
  </si>
  <si>
    <t>Thai-An Ngo</t>
  </si>
  <si>
    <t>415-715-7867</t>
  </si>
  <si>
    <t>tngo@chpc.net</t>
  </si>
  <si>
    <t>235 Montgomery Street, Suite 1110</t>
  </si>
  <si>
    <t xml:space="preserve">San Francisco, CA 94104										</t>
  </si>
  <si>
    <t>U.S Bank Tax Exempt Perm Loan</t>
  </si>
  <si>
    <t>(Misc. Admin)</t>
  </si>
  <si>
    <t>(Payroll Taxes/Benefits)</t>
  </si>
  <si>
    <t>Seller Carryback Loan</t>
  </si>
  <si>
    <t>Acccrued Deferred Interest - Seller Carry</t>
  </si>
  <si>
    <t>Costs Deferred Until Conversion</t>
  </si>
  <si>
    <t>GP Capital - Sponsor</t>
  </si>
  <si>
    <t>Accrued Deferred Interest - Seller Carryback</t>
  </si>
  <si>
    <t>GP Perm Loan</t>
  </si>
  <si>
    <t>Income from Operations</t>
  </si>
  <si>
    <t>Project-based vouchers (PBVs)</t>
  </si>
  <si>
    <t>Section 8</t>
  </si>
  <si>
    <t>U.S Department of Housing and Urban Development</t>
  </si>
  <si>
    <t>aosgood@edenhousing.org</t>
  </si>
  <si>
    <t>Andrea Osgood</t>
  </si>
  <si>
    <t>Chief of Real Estate Development</t>
  </si>
  <si>
    <t>Low Resource</t>
  </si>
  <si>
    <t>40%/60%</t>
  </si>
  <si>
    <t>Pyatok Architecture &amp; Urban Design</t>
  </si>
  <si>
    <t>Cohn Resnick</t>
  </si>
  <si>
    <t>621 Capital Mall Ste 2150</t>
  </si>
  <si>
    <t>Sacramento, CA 95814</t>
  </si>
  <si>
    <t>Brian Brewer, CPA</t>
  </si>
  <si>
    <t>916-930-5758</t>
  </si>
  <si>
    <t>916-442-9103</t>
  </si>
  <si>
    <t>Biran.Brewer@CohnReznick.com</t>
  </si>
  <si>
    <t>California Municipal Finance Authority</t>
  </si>
  <si>
    <t>Anthony Stubbs</t>
  </si>
  <si>
    <t>760-930-1333</t>
  </si>
  <si>
    <t>760-683-3390</t>
  </si>
  <si>
    <t>astubbs@cmfa-ca.com</t>
  </si>
  <si>
    <t>2111 Palomar Airport Rd, Suite 320</t>
  </si>
  <si>
    <t>Carlsbad, CA 92011</t>
  </si>
  <si>
    <t>Consulting Solutions Inc.</t>
  </si>
  <si>
    <t>Samuel Strom</t>
  </si>
  <si>
    <t>312-859-9106</t>
  </si>
  <si>
    <t>sstrom@consultingsolutionsinc.com</t>
  </si>
  <si>
    <t xml:space="preserve"> Eden Housing, Inc.</t>
  </si>
  <si>
    <t xml:space="preserve">510-247-8103  </t>
  </si>
  <si>
    <t>Eden Del Nido, L.P.</t>
  </si>
  <si>
    <t>22645 Grand St. Hayward CA 94541</t>
  </si>
  <si>
    <t>510-247-8117</t>
  </si>
  <si>
    <t>Site is currently owned by developer</t>
  </si>
  <si>
    <t>Secured by Fee Interest</t>
  </si>
  <si>
    <t>The property consists of 20 one-story apartment buildings, comprised of 206 units, a one-story leasing office, and one-story pool structure that will be substantially rehabilitated.</t>
  </si>
  <si>
    <t>R3-15</t>
  </si>
  <si>
    <t>505 N Dunton Ave</t>
  </si>
  <si>
    <t>Arlington Heights, IL 60004</t>
  </si>
  <si>
    <t>1 parking space per one-bedroom or studio</t>
  </si>
  <si>
    <t>N/A existing building</t>
  </si>
  <si>
    <t>Santa Rosa Housing Authority Section 8 Vouchers</t>
  </si>
  <si>
    <t>Joshua Evju</t>
  </si>
  <si>
    <t>US Bank Tax-Exempt Construction Loan</t>
  </si>
  <si>
    <t>Variable</t>
  </si>
  <si>
    <t>Seller Financing</t>
  </si>
  <si>
    <t>LP Equity</t>
  </si>
  <si>
    <t>Recontributed Reserves</t>
  </si>
  <si>
    <t>Owner Deferred Costs</t>
  </si>
  <si>
    <t>Developer Financing</t>
  </si>
  <si>
    <t>GP Financing</t>
  </si>
  <si>
    <t>Santa Rosa Housing Authority</t>
  </si>
  <si>
    <t>Project-based contract (PBC)</t>
  </si>
  <si>
    <t>Eden Housing Management, Inc.</t>
  </si>
  <si>
    <t>1 bedroom</t>
  </si>
  <si>
    <t>Eden Housing Inc, Andrea Osgood</t>
  </si>
  <si>
    <t>Chief of Real Estate</t>
  </si>
  <si>
    <t>One or Two Story Garden</t>
  </si>
  <si>
    <t>LIHTC Equity</t>
  </si>
  <si>
    <t>Construction Loan</t>
  </si>
  <si>
    <t>Permanent Loan</t>
  </si>
  <si>
    <t>US Bank TE Recycled Bonds Construction Loan</t>
  </si>
  <si>
    <t>Fixed</t>
  </si>
  <si>
    <t>GP Capital - Acq reserves</t>
  </si>
  <si>
    <t>Other: Bond Premium</t>
  </si>
  <si>
    <t>Other: Owner's Rep</t>
  </si>
  <si>
    <t>Other: GC Consultant</t>
  </si>
  <si>
    <t>Other: Owner Legal</t>
  </si>
  <si>
    <t>Other: Owner Acq/Capitalized Replacement Reserve</t>
  </si>
  <si>
    <t>Other: Conversion Fee</t>
  </si>
  <si>
    <t>Other Bond Issuer and Trustee Fee:</t>
  </si>
  <si>
    <t>Other: Acq legal/transfer tax/title</t>
  </si>
  <si>
    <t>300 Pringle, Ste 200</t>
  </si>
  <si>
    <t>Walnut Creek</t>
  </si>
  <si>
    <t>925.947.2491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</si>
</sst>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2045">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254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0" fontId="13" fillId="5" borderId="6" xfId="0"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0" xfId="0" applyFont="1" applyAlignment="1">
      <alignment horizontal="left"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2045">
    <cellStyle name="20% - Accent1" xfId="1" builtinId="30" customBuiltin="1"/>
    <cellStyle name="20% - Accent1 10" xfId="4505" xr:uid="{00000000-0005-0000-0000-000001000000}"/>
    <cellStyle name="20% - Accent1 11" xfId="8726" xr:uid="{0BB982F3-41DA-4251-BCA0-F8B093AD7B1C}"/>
    <cellStyle name="20% - Accent1 2" xfId="2" xr:uid="{00000000-0005-0000-0000-000002000000}"/>
    <cellStyle name="20% - Accent1 2 10" xfId="8727" xr:uid="{05CAD368-4C4F-4F7E-8474-8F123A642F8F}"/>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1635" xr:uid="{93D43EC1-9D58-4C7D-AC39-5699C7A34FB5}"/>
    <cellStyle name="20% - Accent1 2 2 2 2 2 3" xfId="9977" xr:uid="{EB322D92-404B-481C-91A0-19B8B0082737}"/>
    <cellStyle name="20% - Accent1 2 2 2 2 3" xfId="4922" xr:uid="{00000000-0005-0000-0000-000008000000}"/>
    <cellStyle name="20% - Accent1 2 2 2 2 3 2" xfId="10806" xr:uid="{3D922E50-F731-4E9D-B998-6608A49D069A}"/>
    <cellStyle name="20% - Accent1 2 2 2 2 4" xfId="9146" xr:uid="{4293D2DD-F03C-49DF-BA53-505843214842}"/>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3" xfId="11219" xr:uid="{07B72FF4-B419-4590-9FCD-DE10AFF86BF2}"/>
    <cellStyle name="20% - Accent1 2 2 2 3 3" xfId="5335" xr:uid="{00000000-0005-0000-0000-00000C000000}"/>
    <cellStyle name="20% - Accent1 2 2 2 3 4" xfId="9561" xr:uid="{1DE36E22-570D-4773-B5FA-CD0CF322277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4 4" xfId="10390" xr:uid="{E0C42704-C370-41A6-98DF-B5FA729EA58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2 8" xfId="8729" xr:uid="{AF132F48-B026-4713-9BEC-43340F819FAA}"/>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1634" xr:uid="{602418C2-DC82-400C-A821-E923FC3C13AD}"/>
    <cellStyle name="20% - Accent1 2 2 3 2 3" xfId="9976" xr:uid="{E1201CB2-BB46-4BDB-B45E-46E76BD9A71D}"/>
    <cellStyle name="20% - Accent1 2 2 3 3" xfId="4921" xr:uid="{00000000-0005-0000-0000-00001B000000}"/>
    <cellStyle name="20% - Accent1 2 2 3 3 2" xfId="10805" xr:uid="{B2FF5EA5-E086-44C1-AEB8-83B1B685E4C2}"/>
    <cellStyle name="20% - Accent1 2 2 3 4" xfId="9145" xr:uid="{2B9725AA-2C67-40A9-A524-B1E14CCA2E03}"/>
    <cellStyle name="20% - Accent1 2 2 4" xfId="1025" xr:uid="{00000000-0005-0000-0000-00001C000000}"/>
    <cellStyle name="20% - Accent1 2 2 4 2" xfId="3256" xr:uid="{00000000-0005-0000-0000-00001D000000}"/>
    <cellStyle name="20% - Accent1 2 2 4 2 2" xfId="7479" xr:uid="{00000000-0005-0000-0000-00001E000000}"/>
    <cellStyle name="20% - Accent1 2 2 4 2 3" xfId="11218" xr:uid="{E586831D-2DAF-4CEB-BEAC-168904427D44}"/>
    <cellStyle name="20% - Accent1 2 2 4 3" xfId="5334" xr:uid="{00000000-0005-0000-0000-00001F000000}"/>
    <cellStyle name="20% - Accent1 2 2 4 4" xfId="9560" xr:uid="{2B57EB23-6AC9-4D27-A21D-DC4FB459305C}"/>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5 4" xfId="10389" xr:uid="{78780248-1514-49C6-84B9-7A71D64159E8}"/>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2 9" xfId="8728" xr:uid="{3418CC68-6EE6-46CF-AD0D-06FE64146F59}"/>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1636" xr:uid="{910213C9-0513-4F2C-8ECA-2475A8AD64EB}"/>
    <cellStyle name="20% - Accent1 2 3 2 2 3" xfId="9978" xr:uid="{A94E8835-FB9C-4374-A3A7-3F181C91BE26}"/>
    <cellStyle name="20% - Accent1 2 3 2 3" xfId="4923" xr:uid="{00000000-0005-0000-0000-00002F000000}"/>
    <cellStyle name="20% - Accent1 2 3 2 3 2" xfId="10807" xr:uid="{55711869-1C96-4567-854C-592F021E9B4E}"/>
    <cellStyle name="20% - Accent1 2 3 2 4" xfId="9147" xr:uid="{4635511A-2017-4B8A-9980-2C4A0408AAEE}"/>
    <cellStyle name="20% - Accent1 2 3 3" xfId="1027" xr:uid="{00000000-0005-0000-0000-000030000000}"/>
    <cellStyle name="20% - Accent1 2 3 3 2" xfId="3258" xr:uid="{00000000-0005-0000-0000-000031000000}"/>
    <cellStyle name="20% - Accent1 2 3 3 2 2" xfId="7481" xr:uid="{00000000-0005-0000-0000-000032000000}"/>
    <cellStyle name="20% - Accent1 2 3 3 2 3" xfId="11220" xr:uid="{F5C8108E-35B7-49D5-9424-EAFDE581F92C}"/>
    <cellStyle name="20% - Accent1 2 3 3 3" xfId="5336" xr:uid="{00000000-0005-0000-0000-000033000000}"/>
    <cellStyle name="20% - Accent1 2 3 3 4" xfId="9562" xr:uid="{79A179F8-FE76-426E-8248-D61120D167F2}"/>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4 4" xfId="10391" xr:uid="{37891D62-3E42-4BD2-9867-CFB8953BDF42}"/>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3 8" xfId="8730" xr:uid="{1890ACFD-EC31-410B-8686-64324279A56B}"/>
    <cellStyle name="20% - Accent1 2 4" xfId="571" xr:uid="{00000000-0005-0000-0000-00003F000000}"/>
    <cellStyle name="20% - Accent1 2 4 2" xfId="2842" xr:uid="{00000000-0005-0000-0000-000040000000}"/>
    <cellStyle name="20% - Accent1 2 4 2 2" xfId="7065" xr:uid="{00000000-0005-0000-0000-000041000000}"/>
    <cellStyle name="20% - Accent1 2 4 2 2 2" xfId="11633" xr:uid="{D22D5B3D-4823-4D93-8933-3EEF5BF22A65}"/>
    <cellStyle name="20% - Accent1 2 4 2 3" xfId="9975" xr:uid="{DEECD9BE-7C7A-4F70-ABBD-282F9C2822A4}"/>
    <cellStyle name="20% - Accent1 2 4 3" xfId="4920" xr:uid="{00000000-0005-0000-0000-000042000000}"/>
    <cellStyle name="20% - Accent1 2 4 3 2" xfId="10804" xr:uid="{8789135E-167C-442C-A502-6E2E6C96132D}"/>
    <cellStyle name="20% - Accent1 2 4 4" xfId="9144" xr:uid="{0938812F-014C-41BF-9CEC-E8B780FA4DF2}"/>
    <cellStyle name="20% - Accent1 2 5" xfId="1024" xr:uid="{00000000-0005-0000-0000-000043000000}"/>
    <cellStyle name="20% - Accent1 2 5 2" xfId="3255" xr:uid="{00000000-0005-0000-0000-000044000000}"/>
    <cellStyle name="20% - Accent1 2 5 2 2" xfId="7478" xr:uid="{00000000-0005-0000-0000-000045000000}"/>
    <cellStyle name="20% - Accent1 2 5 2 3" xfId="11217" xr:uid="{030DB9DC-2519-4078-91E1-7D9748ABCC64}"/>
    <cellStyle name="20% - Accent1 2 5 3" xfId="5333" xr:uid="{00000000-0005-0000-0000-000046000000}"/>
    <cellStyle name="20% - Accent1 2 5 4" xfId="9559" xr:uid="{8064D7DD-C077-4616-8881-1E7277DDB0AB}"/>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6 4" xfId="10388" xr:uid="{F6AC15A7-3C30-4176-85D0-BA84D9AE46F9}"/>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1638" xr:uid="{36668603-9F51-4D6E-B28F-AB576906C797}"/>
    <cellStyle name="20% - Accent1 3 2 2 2 3" xfId="9980" xr:uid="{3EB1B61C-3E39-4032-83FB-C4AFC2E56941}"/>
    <cellStyle name="20% - Accent1 3 2 2 3" xfId="4925" xr:uid="{00000000-0005-0000-0000-000057000000}"/>
    <cellStyle name="20% - Accent1 3 2 2 3 2" xfId="10809" xr:uid="{F2875570-2BE4-4E0B-9819-FFAA4110B78E}"/>
    <cellStyle name="20% - Accent1 3 2 2 4" xfId="9149" xr:uid="{A759BA6F-E485-43C8-89DB-CC851F0D2727}"/>
    <cellStyle name="20% - Accent1 3 2 3" xfId="1029" xr:uid="{00000000-0005-0000-0000-000058000000}"/>
    <cellStyle name="20% - Accent1 3 2 3 2" xfId="3260" xr:uid="{00000000-0005-0000-0000-000059000000}"/>
    <cellStyle name="20% - Accent1 3 2 3 2 2" xfId="7483" xr:uid="{00000000-0005-0000-0000-00005A000000}"/>
    <cellStyle name="20% - Accent1 3 2 3 2 3" xfId="11222" xr:uid="{5F08AB35-C384-45D2-A585-431A14DB1267}"/>
    <cellStyle name="20% - Accent1 3 2 3 3" xfId="5338" xr:uid="{00000000-0005-0000-0000-00005B000000}"/>
    <cellStyle name="20% - Accent1 3 2 3 4" xfId="9564" xr:uid="{DCDBD605-53B3-44D0-B571-176FD3139266}"/>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4 4" xfId="10393" xr:uid="{F0B64A2A-723E-4619-8DA8-BE988DFBC1A6}"/>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2 8" xfId="8732" xr:uid="{A326DD64-7ADA-47A5-9BFF-06978E78DD75}"/>
    <cellStyle name="20% - Accent1 3 3" xfId="575" xr:uid="{00000000-0005-0000-0000-000067000000}"/>
    <cellStyle name="20% - Accent1 3 3 2" xfId="2846" xr:uid="{00000000-0005-0000-0000-000068000000}"/>
    <cellStyle name="20% - Accent1 3 3 2 2" xfId="7069" xr:uid="{00000000-0005-0000-0000-000069000000}"/>
    <cellStyle name="20% - Accent1 3 3 2 2 2" xfId="11637" xr:uid="{D8E6361D-18CA-43B6-9DA9-CD1FF5FB4A74}"/>
    <cellStyle name="20% - Accent1 3 3 2 3" xfId="9979" xr:uid="{C36D37C3-D65F-4B1E-9698-C5DAC5B17E31}"/>
    <cellStyle name="20% - Accent1 3 3 3" xfId="4924" xr:uid="{00000000-0005-0000-0000-00006A000000}"/>
    <cellStyle name="20% - Accent1 3 3 3 2" xfId="10808" xr:uid="{A7F5F2E9-E909-4830-B0A1-103B303603B8}"/>
    <cellStyle name="20% - Accent1 3 3 4" xfId="9148" xr:uid="{D21826C7-5932-4D28-AB35-90411D7D91B0}"/>
    <cellStyle name="20% - Accent1 3 4" xfId="1028" xr:uid="{00000000-0005-0000-0000-00006B000000}"/>
    <cellStyle name="20% - Accent1 3 4 2" xfId="3259" xr:uid="{00000000-0005-0000-0000-00006C000000}"/>
    <cellStyle name="20% - Accent1 3 4 2 2" xfId="7482" xr:uid="{00000000-0005-0000-0000-00006D000000}"/>
    <cellStyle name="20% - Accent1 3 4 2 3" xfId="11221" xr:uid="{CD4B3A5B-E9F7-4FA1-84CB-CC56860ED667}"/>
    <cellStyle name="20% - Accent1 3 4 3" xfId="5337" xr:uid="{00000000-0005-0000-0000-00006E000000}"/>
    <cellStyle name="20% - Accent1 3 4 4" xfId="9563" xr:uid="{E36925D5-9906-4E08-BFB3-20FFCBA4539D}"/>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5 4" xfId="10392" xr:uid="{31F0B590-CCD5-4F13-8C3A-D0850FCCDFEE}"/>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3 9" xfId="8731" xr:uid="{7254CBFB-54C9-4E8F-B06B-A7127851D4DA}"/>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1639" xr:uid="{4B5CD086-078C-436E-9026-EBC083757381}"/>
    <cellStyle name="20% - Accent1 4 2 2 3" xfId="9981" xr:uid="{4CFB37BC-6239-4646-B250-12319F2C06DA}"/>
    <cellStyle name="20% - Accent1 4 2 3" xfId="4926" xr:uid="{00000000-0005-0000-0000-00007E000000}"/>
    <cellStyle name="20% - Accent1 4 2 3 2" xfId="10810" xr:uid="{AA4AAEC5-142A-4B66-B55E-BEABBEA14330}"/>
    <cellStyle name="20% - Accent1 4 2 4" xfId="9150" xr:uid="{22D7E03A-3360-4BC2-BB86-E4D3810DFEA4}"/>
    <cellStyle name="20% - Accent1 4 3" xfId="1030" xr:uid="{00000000-0005-0000-0000-00007F000000}"/>
    <cellStyle name="20% - Accent1 4 3 2" xfId="3261" xr:uid="{00000000-0005-0000-0000-000080000000}"/>
    <cellStyle name="20% - Accent1 4 3 2 2" xfId="7484" xr:uid="{00000000-0005-0000-0000-000081000000}"/>
    <cellStyle name="20% - Accent1 4 3 2 3" xfId="11223" xr:uid="{FA11E078-F11B-4285-B83F-341388ED831A}"/>
    <cellStyle name="20% - Accent1 4 3 3" xfId="5339" xr:uid="{00000000-0005-0000-0000-000082000000}"/>
    <cellStyle name="20% - Accent1 4 3 4" xfId="9565" xr:uid="{AA345A34-DECC-4C02-9533-65D889ECFF6B}"/>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4 4" xfId="10394" xr:uid="{079F2DF5-6AD2-4FE3-8EFA-ADCB85E18483}"/>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4 8" xfId="8733" xr:uid="{342B3470-E4AC-40C5-9DE8-6CF4EF3D75BB}"/>
    <cellStyle name="20% - Accent1 5" xfId="570" xr:uid="{00000000-0005-0000-0000-00008E000000}"/>
    <cellStyle name="20% - Accent1 5 2" xfId="2841" xr:uid="{00000000-0005-0000-0000-00008F000000}"/>
    <cellStyle name="20% - Accent1 5 2 2" xfId="7064" xr:uid="{00000000-0005-0000-0000-000090000000}"/>
    <cellStyle name="20% - Accent1 5 2 2 2" xfId="11632" xr:uid="{F0B3BC8E-3E9A-496D-8A87-803670ADFDD0}"/>
    <cellStyle name="20% - Accent1 5 2 3" xfId="9974" xr:uid="{86D509B4-8EE2-486E-AB9C-A53B3B0301CD}"/>
    <cellStyle name="20% - Accent1 5 3" xfId="4919" xr:uid="{00000000-0005-0000-0000-000091000000}"/>
    <cellStyle name="20% - Accent1 5 3 2" xfId="10803" xr:uid="{5C9245D1-D7E6-4DA3-ACC7-B9D693F5832B}"/>
    <cellStyle name="20% - Accent1 5 4" xfId="9143" xr:uid="{33CD0107-E221-462A-B367-86689E63D551}"/>
    <cellStyle name="20% - Accent1 6" xfId="1023" xr:uid="{00000000-0005-0000-0000-000092000000}"/>
    <cellStyle name="20% - Accent1 6 2" xfId="3254" xr:uid="{00000000-0005-0000-0000-000093000000}"/>
    <cellStyle name="20% - Accent1 6 2 2" xfId="7477" xr:uid="{00000000-0005-0000-0000-000094000000}"/>
    <cellStyle name="20% - Accent1 6 2 3" xfId="11216" xr:uid="{E8937BE5-8F8E-4141-9660-D33B15D3D464}"/>
    <cellStyle name="20% - Accent1 6 3" xfId="5332" xr:uid="{00000000-0005-0000-0000-000095000000}"/>
    <cellStyle name="20% - Accent1 6 4" xfId="9558" xr:uid="{216569F6-F2B7-4D5D-B996-2B42CC441992}"/>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7 4" xfId="10387" xr:uid="{7DC1C560-D32E-4B02-AE48-6505E6922EB8}"/>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11" xfId="8734" xr:uid="{20461BBE-9A51-42EB-8A17-C11621443904}"/>
    <cellStyle name="20% - Accent2 2" xfId="10" xr:uid="{00000000-0005-0000-0000-0000A2000000}"/>
    <cellStyle name="20% - Accent2 2 10" xfId="8735" xr:uid="{9D9B1D82-0383-40FB-9132-2207354FEA3D}"/>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1643" xr:uid="{2136730F-B1DA-40C8-8274-07426E80C12B}"/>
    <cellStyle name="20% - Accent2 2 2 2 2 2 3" xfId="9985" xr:uid="{0564BA61-C953-4591-80DC-D3EA9B3157C7}"/>
    <cellStyle name="20% - Accent2 2 2 2 2 3" xfId="4930" xr:uid="{00000000-0005-0000-0000-0000A8000000}"/>
    <cellStyle name="20% - Accent2 2 2 2 2 3 2" xfId="10814" xr:uid="{A296BA75-64C5-401A-B87B-47EC9F156328}"/>
    <cellStyle name="20% - Accent2 2 2 2 2 4" xfId="9154" xr:uid="{AAB049E5-E2CA-4B71-B9AD-B183C021907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3" xfId="11227" xr:uid="{A96B821D-25AA-49BC-A856-67FF401F6F84}"/>
    <cellStyle name="20% - Accent2 2 2 2 3 3" xfId="5343" xr:uid="{00000000-0005-0000-0000-0000AC000000}"/>
    <cellStyle name="20% - Accent2 2 2 2 3 4" xfId="9569" xr:uid="{F25EB939-85CC-4335-A8F1-4EF674931D6B}"/>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4 4" xfId="10398" xr:uid="{A9865D98-5C58-4CB5-AC0C-ECE9A134AA9C}"/>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2 8" xfId="8737" xr:uid="{6EAE6010-2EEE-4D17-8F92-885556CEE474}"/>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1642" xr:uid="{ABC9714B-5234-4F99-A8CA-5A23960ED0C8}"/>
    <cellStyle name="20% - Accent2 2 2 3 2 3" xfId="9984" xr:uid="{90A09B5E-4BAD-426F-B28B-1099DEDCF533}"/>
    <cellStyle name="20% - Accent2 2 2 3 3" xfId="4929" xr:uid="{00000000-0005-0000-0000-0000BB000000}"/>
    <cellStyle name="20% - Accent2 2 2 3 3 2" xfId="10813" xr:uid="{552AF7FF-5EB5-4FA3-9A00-EC5B43F5C528}"/>
    <cellStyle name="20% - Accent2 2 2 3 4" xfId="9153" xr:uid="{407C35F8-074C-4FBC-ABF1-4C54A3F9AB95}"/>
    <cellStyle name="20% - Accent2 2 2 4" xfId="1033" xr:uid="{00000000-0005-0000-0000-0000BC000000}"/>
    <cellStyle name="20% - Accent2 2 2 4 2" xfId="3264" xr:uid="{00000000-0005-0000-0000-0000BD000000}"/>
    <cellStyle name="20% - Accent2 2 2 4 2 2" xfId="7487" xr:uid="{00000000-0005-0000-0000-0000BE000000}"/>
    <cellStyle name="20% - Accent2 2 2 4 2 3" xfId="11226" xr:uid="{4C20F8E4-9202-434A-8FD1-16ADA55E6F39}"/>
    <cellStyle name="20% - Accent2 2 2 4 3" xfId="5342" xr:uid="{00000000-0005-0000-0000-0000BF000000}"/>
    <cellStyle name="20% - Accent2 2 2 4 4" xfId="9568" xr:uid="{3282900C-1732-4743-A3A4-1EA5F6D903C5}"/>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5 4" xfId="10397" xr:uid="{CF16CF49-9238-419B-B562-6F9A77271B58}"/>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2 9" xfId="8736" xr:uid="{56768BCF-A206-4C14-947F-B1CD9E673775}"/>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1644" xr:uid="{094D1565-CDA5-43DD-A8F9-882C8F4B66F7}"/>
    <cellStyle name="20% - Accent2 2 3 2 2 3" xfId="9986" xr:uid="{D9D29E6A-848E-4FB1-8EB7-FC50714B7503}"/>
    <cellStyle name="20% - Accent2 2 3 2 3" xfId="4931" xr:uid="{00000000-0005-0000-0000-0000CF000000}"/>
    <cellStyle name="20% - Accent2 2 3 2 3 2" xfId="10815" xr:uid="{57D95989-1EFB-45BC-B92D-1B90B43D8E6C}"/>
    <cellStyle name="20% - Accent2 2 3 2 4" xfId="9155" xr:uid="{05C74047-A95C-49E8-A048-9DA96242EC74}"/>
    <cellStyle name="20% - Accent2 2 3 3" xfId="1035" xr:uid="{00000000-0005-0000-0000-0000D0000000}"/>
    <cellStyle name="20% - Accent2 2 3 3 2" xfId="3266" xr:uid="{00000000-0005-0000-0000-0000D1000000}"/>
    <cellStyle name="20% - Accent2 2 3 3 2 2" xfId="7489" xr:uid="{00000000-0005-0000-0000-0000D2000000}"/>
    <cellStyle name="20% - Accent2 2 3 3 2 3" xfId="11228" xr:uid="{58F25F0E-E3E5-47FA-92DA-B65042831FCD}"/>
    <cellStyle name="20% - Accent2 2 3 3 3" xfId="5344" xr:uid="{00000000-0005-0000-0000-0000D3000000}"/>
    <cellStyle name="20% - Accent2 2 3 3 4" xfId="9570" xr:uid="{A4D483D6-7876-4AF5-AC7E-1EBD42158BD7}"/>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4 4" xfId="10399" xr:uid="{E16DC111-FE34-449F-A3E7-181ECFCB7604}"/>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3 8" xfId="8738" xr:uid="{EFC8DDE7-AB25-4B74-A9F6-08FD3F3DA68C}"/>
    <cellStyle name="20% - Accent2 2 4" xfId="579" xr:uid="{00000000-0005-0000-0000-0000DF000000}"/>
    <cellStyle name="20% - Accent2 2 4 2" xfId="2850" xr:uid="{00000000-0005-0000-0000-0000E0000000}"/>
    <cellStyle name="20% - Accent2 2 4 2 2" xfId="7073" xr:uid="{00000000-0005-0000-0000-0000E1000000}"/>
    <cellStyle name="20% - Accent2 2 4 2 2 2" xfId="11641" xr:uid="{AA82D156-0CD8-4222-9669-EBDA9B0AD874}"/>
    <cellStyle name="20% - Accent2 2 4 2 3" xfId="9983" xr:uid="{A793308F-2B33-44B8-A0D9-22D0D78E8B4C}"/>
    <cellStyle name="20% - Accent2 2 4 3" xfId="4928" xr:uid="{00000000-0005-0000-0000-0000E2000000}"/>
    <cellStyle name="20% - Accent2 2 4 3 2" xfId="10812" xr:uid="{25B5FDC2-5F6C-415F-809E-BF2ADB06A63D}"/>
    <cellStyle name="20% - Accent2 2 4 4" xfId="9152" xr:uid="{C7BDBA53-9317-4699-BB1E-DF9F6790AA97}"/>
    <cellStyle name="20% - Accent2 2 5" xfId="1032" xr:uid="{00000000-0005-0000-0000-0000E3000000}"/>
    <cellStyle name="20% - Accent2 2 5 2" xfId="3263" xr:uid="{00000000-0005-0000-0000-0000E4000000}"/>
    <cellStyle name="20% - Accent2 2 5 2 2" xfId="7486" xr:uid="{00000000-0005-0000-0000-0000E5000000}"/>
    <cellStyle name="20% - Accent2 2 5 2 3" xfId="11225" xr:uid="{6D1F669C-7462-4152-B964-70B8504A4DED}"/>
    <cellStyle name="20% - Accent2 2 5 3" xfId="5341" xr:uid="{00000000-0005-0000-0000-0000E6000000}"/>
    <cellStyle name="20% - Accent2 2 5 4" xfId="9567" xr:uid="{F9AB1B03-1D59-47B2-9CF3-2044AD3AFA1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6 4" xfId="10396" xr:uid="{AEB10210-B02A-4362-AFDE-8849AB9843A4}"/>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1646" xr:uid="{20FF2E5B-EAC7-4DE4-B431-CD34A895539A}"/>
    <cellStyle name="20% - Accent2 3 2 2 2 3" xfId="9988" xr:uid="{138C8FCB-608F-46A9-90F7-E0C06E7507EF}"/>
    <cellStyle name="20% - Accent2 3 2 2 3" xfId="4933" xr:uid="{00000000-0005-0000-0000-0000F7000000}"/>
    <cellStyle name="20% - Accent2 3 2 2 3 2" xfId="10817" xr:uid="{A0DD2E3A-6089-4EAA-8BEE-493FCF706B40}"/>
    <cellStyle name="20% - Accent2 3 2 2 4" xfId="9157" xr:uid="{1DC71B2C-65F4-466F-A14F-DFA8933D8A24}"/>
    <cellStyle name="20% - Accent2 3 2 3" xfId="1037" xr:uid="{00000000-0005-0000-0000-0000F8000000}"/>
    <cellStyle name="20% - Accent2 3 2 3 2" xfId="3268" xr:uid="{00000000-0005-0000-0000-0000F9000000}"/>
    <cellStyle name="20% - Accent2 3 2 3 2 2" xfId="7491" xr:uid="{00000000-0005-0000-0000-0000FA000000}"/>
    <cellStyle name="20% - Accent2 3 2 3 2 3" xfId="11230" xr:uid="{D7EF6C1B-5205-4DED-81A5-4A4F6B90822F}"/>
    <cellStyle name="20% - Accent2 3 2 3 3" xfId="5346" xr:uid="{00000000-0005-0000-0000-0000FB000000}"/>
    <cellStyle name="20% - Accent2 3 2 3 4" xfId="9572" xr:uid="{49A00AE1-C92A-45F2-9AF2-DBB410A12133}"/>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4 4" xfId="10401" xr:uid="{1E7984DF-87D3-4B76-A92F-145EA576D8C2}"/>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2 8" xfId="8740" xr:uid="{7E14B55C-6817-4628-A01E-3C68A00FB55A}"/>
    <cellStyle name="20% - Accent2 3 3" xfId="583" xr:uid="{00000000-0005-0000-0000-000007010000}"/>
    <cellStyle name="20% - Accent2 3 3 2" xfId="2854" xr:uid="{00000000-0005-0000-0000-000008010000}"/>
    <cellStyle name="20% - Accent2 3 3 2 2" xfId="7077" xr:uid="{00000000-0005-0000-0000-000009010000}"/>
    <cellStyle name="20% - Accent2 3 3 2 2 2" xfId="11645" xr:uid="{EA4A75CF-2D68-48D4-940C-EC010FC14A73}"/>
    <cellStyle name="20% - Accent2 3 3 2 3" xfId="9987" xr:uid="{56411558-3A0B-488B-AACA-183691467F9D}"/>
    <cellStyle name="20% - Accent2 3 3 3" xfId="4932" xr:uid="{00000000-0005-0000-0000-00000A010000}"/>
    <cellStyle name="20% - Accent2 3 3 3 2" xfId="10816" xr:uid="{E171913C-06ED-47FE-9252-CB6935824065}"/>
    <cellStyle name="20% - Accent2 3 3 4" xfId="9156" xr:uid="{35D3ADCD-43CE-47AB-90B9-AF2A7637D301}"/>
    <cellStyle name="20% - Accent2 3 4" xfId="1036" xr:uid="{00000000-0005-0000-0000-00000B010000}"/>
    <cellStyle name="20% - Accent2 3 4 2" xfId="3267" xr:uid="{00000000-0005-0000-0000-00000C010000}"/>
    <cellStyle name="20% - Accent2 3 4 2 2" xfId="7490" xr:uid="{00000000-0005-0000-0000-00000D010000}"/>
    <cellStyle name="20% - Accent2 3 4 2 3" xfId="11229" xr:uid="{AE4BE103-6477-4D2F-BE4C-130AD8225DE9}"/>
    <cellStyle name="20% - Accent2 3 4 3" xfId="5345" xr:uid="{00000000-0005-0000-0000-00000E010000}"/>
    <cellStyle name="20% - Accent2 3 4 4" xfId="9571" xr:uid="{ECD029F4-A5EA-4030-9FBD-2C0763DD90B7}"/>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5 4" xfId="10400" xr:uid="{71023BCC-DFE8-4721-8DA4-D2D6F9FA1C7A}"/>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3 9" xfId="8739" xr:uid="{05F82A2E-47A7-4A90-B50E-920F3610A742}"/>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1647" xr:uid="{CE9014CA-B14B-46BF-B770-197DA267EA10}"/>
    <cellStyle name="20% - Accent2 4 2 2 3" xfId="9989" xr:uid="{C07D25AC-60C4-49DF-B2BC-FCF74C49217A}"/>
    <cellStyle name="20% - Accent2 4 2 3" xfId="4934" xr:uid="{00000000-0005-0000-0000-00001E010000}"/>
    <cellStyle name="20% - Accent2 4 2 3 2" xfId="10818" xr:uid="{510C840E-2B3A-4168-91E1-8F5649F54E2B}"/>
    <cellStyle name="20% - Accent2 4 2 4" xfId="9158" xr:uid="{446BD15B-4685-47C1-94B0-E488488C98A7}"/>
    <cellStyle name="20% - Accent2 4 3" xfId="1038" xr:uid="{00000000-0005-0000-0000-00001F010000}"/>
    <cellStyle name="20% - Accent2 4 3 2" xfId="3269" xr:uid="{00000000-0005-0000-0000-000020010000}"/>
    <cellStyle name="20% - Accent2 4 3 2 2" xfId="7492" xr:uid="{00000000-0005-0000-0000-000021010000}"/>
    <cellStyle name="20% - Accent2 4 3 2 3" xfId="11231" xr:uid="{50B694DA-6FA4-41ED-9FDE-3D5D5036FC1E}"/>
    <cellStyle name="20% - Accent2 4 3 3" xfId="5347" xr:uid="{00000000-0005-0000-0000-000022010000}"/>
    <cellStyle name="20% - Accent2 4 3 4" xfId="9573" xr:uid="{6F835BAD-2FA1-4E77-BCC8-36A5BE8408CE}"/>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4 4" xfId="10402" xr:uid="{6CBBDAEB-7C49-4823-B6C2-E5CA2D710E09}"/>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4 8" xfId="8741" xr:uid="{7A4424B9-7AF2-4825-9D77-0AD9E4EDD7E3}"/>
    <cellStyle name="20% - Accent2 5" xfId="578" xr:uid="{00000000-0005-0000-0000-00002E010000}"/>
    <cellStyle name="20% - Accent2 5 2" xfId="2849" xr:uid="{00000000-0005-0000-0000-00002F010000}"/>
    <cellStyle name="20% - Accent2 5 2 2" xfId="7072" xr:uid="{00000000-0005-0000-0000-000030010000}"/>
    <cellStyle name="20% - Accent2 5 2 2 2" xfId="11640" xr:uid="{923E075E-5F81-4F8B-B709-8AFC2EEAEA5D}"/>
    <cellStyle name="20% - Accent2 5 2 3" xfId="9982" xr:uid="{7C777579-3E5E-4FD4-8AB0-8E6573D35702}"/>
    <cellStyle name="20% - Accent2 5 3" xfId="4927" xr:uid="{00000000-0005-0000-0000-000031010000}"/>
    <cellStyle name="20% - Accent2 5 3 2" xfId="10811" xr:uid="{676C8B4E-6F56-4B94-B5A7-73C06E4A0522}"/>
    <cellStyle name="20% - Accent2 5 4" xfId="9151" xr:uid="{FC47A46E-C9C3-4C75-8C0B-85EBD3B4F026}"/>
    <cellStyle name="20% - Accent2 6" xfId="1031" xr:uid="{00000000-0005-0000-0000-000032010000}"/>
    <cellStyle name="20% - Accent2 6 2" xfId="3262" xr:uid="{00000000-0005-0000-0000-000033010000}"/>
    <cellStyle name="20% - Accent2 6 2 2" xfId="7485" xr:uid="{00000000-0005-0000-0000-000034010000}"/>
    <cellStyle name="20% - Accent2 6 2 3" xfId="11224" xr:uid="{2CAB5294-BAFE-4A9B-BC89-DBDAC0D55D71}"/>
    <cellStyle name="20% - Accent2 6 3" xfId="5340" xr:uid="{00000000-0005-0000-0000-000035010000}"/>
    <cellStyle name="20% - Accent2 6 4" xfId="9566" xr:uid="{91E1E171-BAD4-4F6F-ACC2-5AE4449C32E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7 4" xfId="10395" xr:uid="{1A29A6C5-D30C-42A0-8335-CE49881AA75B}"/>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11" xfId="8742" xr:uid="{77556853-35B8-4682-92CC-70ED6CAE984B}"/>
    <cellStyle name="20% - Accent3 2" xfId="18" xr:uid="{00000000-0005-0000-0000-000042010000}"/>
    <cellStyle name="20% - Accent3 2 10" xfId="8743" xr:uid="{29011AE3-A385-4B67-AE3E-72518D6BF45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1651" xr:uid="{5B14AA75-2070-4BAC-A839-640DCEBDACA7}"/>
    <cellStyle name="20% - Accent3 2 2 2 2 2 3" xfId="9993" xr:uid="{CCDB0FC5-5E2D-45E2-9EBC-3B5B11086368}"/>
    <cellStyle name="20% - Accent3 2 2 2 2 3" xfId="4938" xr:uid="{00000000-0005-0000-0000-000048010000}"/>
    <cellStyle name="20% - Accent3 2 2 2 2 3 2" xfId="10822" xr:uid="{2B463FCA-AB46-40E8-A605-64D2415D6CD6}"/>
    <cellStyle name="20% - Accent3 2 2 2 2 4" xfId="9162" xr:uid="{5E6BF65C-D519-4458-B5B2-00E9F7BF3FB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3" xfId="11235" xr:uid="{BAE4A9EE-572B-471E-A41D-E2078AB80F7F}"/>
    <cellStyle name="20% - Accent3 2 2 2 3 3" xfId="5351" xr:uid="{00000000-0005-0000-0000-00004C010000}"/>
    <cellStyle name="20% - Accent3 2 2 2 3 4" xfId="9577" xr:uid="{6074024E-B6B5-495A-84C7-45D38E21FBEB}"/>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4 4" xfId="10406" xr:uid="{DDC3C98E-6FE9-480A-8157-D15E57C109A8}"/>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2 8" xfId="8745" xr:uid="{CA7FF071-8F1A-499A-96E7-B85D8E6B080B}"/>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1650" xr:uid="{4B4ACEDF-B2A0-41E0-ABFE-E1EF659D32F0}"/>
    <cellStyle name="20% - Accent3 2 2 3 2 3" xfId="9992" xr:uid="{4EC02E07-5808-4509-9941-4DCD57078C2F}"/>
    <cellStyle name="20% - Accent3 2 2 3 3" xfId="4937" xr:uid="{00000000-0005-0000-0000-00005B010000}"/>
    <cellStyle name="20% - Accent3 2 2 3 3 2" xfId="10821" xr:uid="{66774084-5BA3-4B17-950F-F38294E8AF61}"/>
    <cellStyle name="20% - Accent3 2 2 3 4" xfId="9161" xr:uid="{561136F1-065C-4DFA-BA96-C65037DA24C2}"/>
    <cellStyle name="20% - Accent3 2 2 4" xfId="1041" xr:uid="{00000000-0005-0000-0000-00005C010000}"/>
    <cellStyle name="20% - Accent3 2 2 4 2" xfId="3272" xr:uid="{00000000-0005-0000-0000-00005D010000}"/>
    <cellStyle name="20% - Accent3 2 2 4 2 2" xfId="7495" xr:uid="{00000000-0005-0000-0000-00005E010000}"/>
    <cellStyle name="20% - Accent3 2 2 4 2 3" xfId="11234" xr:uid="{DDE4B9B0-D4E8-459A-AF80-A2630244F97E}"/>
    <cellStyle name="20% - Accent3 2 2 4 3" xfId="5350" xr:uid="{00000000-0005-0000-0000-00005F010000}"/>
    <cellStyle name="20% - Accent3 2 2 4 4" xfId="9576" xr:uid="{E12E56FE-E2F0-492B-9492-A8BC13288D9E}"/>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5 4" xfId="10405" xr:uid="{B6D1DCEC-1A1E-4F75-BAB2-7E0783550F84}"/>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2 9" xfId="8744" xr:uid="{9024F63F-6229-4A18-98DA-F9FC6BA98FC1}"/>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1652" xr:uid="{B6B2564C-FBF6-4F3C-A28F-FF73CD8541BF}"/>
    <cellStyle name="20% - Accent3 2 3 2 2 3" xfId="9994" xr:uid="{42D3253E-2D41-4046-BF2F-A2A5C36EC113}"/>
    <cellStyle name="20% - Accent3 2 3 2 3" xfId="4939" xr:uid="{00000000-0005-0000-0000-00006F010000}"/>
    <cellStyle name="20% - Accent3 2 3 2 3 2" xfId="10823" xr:uid="{21C31646-1C9C-49E6-8A39-8A60CE81F460}"/>
    <cellStyle name="20% - Accent3 2 3 2 4" xfId="9163" xr:uid="{802391A3-C21D-4EA4-845E-27E0CEA8A110}"/>
    <cellStyle name="20% - Accent3 2 3 3" xfId="1043" xr:uid="{00000000-0005-0000-0000-000070010000}"/>
    <cellStyle name="20% - Accent3 2 3 3 2" xfId="3274" xr:uid="{00000000-0005-0000-0000-000071010000}"/>
    <cellStyle name="20% - Accent3 2 3 3 2 2" xfId="7497" xr:uid="{00000000-0005-0000-0000-000072010000}"/>
    <cellStyle name="20% - Accent3 2 3 3 2 3" xfId="11236" xr:uid="{01B2F638-777F-4C6D-8B0A-A7C250DF0317}"/>
    <cellStyle name="20% - Accent3 2 3 3 3" xfId="5352" xr:uid="{00000000-0005-0000-0000-000073010000}"/>
    <cellStyle name="20% - Accent3 2 3 3 4" xfId="9578" xr:uid="{287C9425-823A-4A7D-B4DC-545004FFCE1F}"/>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4 4" xfId="10407" xr:uid="{21135BB5-04DE-429D-9CB9-3178A4689F5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3 8" xfId="8746" xr:uid="{7F264D4D-421B-4940-AD7D-50BDBF4FD597}"/>
    <cellStyle name="20% - Accent3 2 4" xfId="587" xr:uid="{00000000-0005-0000-0000-00007F010000}"/>
    <cellStyle name="20% - Accent3 2 4 2" xfId="2858" xr:uid="{00000000-0005-0000-0000-000080010000}"/>
    <cellStyle name="20% - Accent3 2 4 2 2" xfId="7081" xr:uid="{00000000-0005-0000-0000-000081010000}"/>
    <cellStyle name="20% - Accent3 2 4 2 2 2" xfId="11649" xr:uid="{4F518EEB-FF01-45C5-A409-44EDF2B9B07D}"/>
    <cellStyle name="20% - Accent3 2 4 2 3" xfId="9991" xr:uid="{78158DEA-A0FA-4CFD-A594-5D06DAC666AA}"/>
    <cellStyle name="20% - Accent3 2 4 3" xfId="4936" xr:uid="{00000000-0005-0000-0000-000082010000}"/>
    <cellStyle name="20% - Accent3 2 4 3 2" xfId="10820" xr:uid="{1D1B0F86-6796-432F-A25A-91B5C437F3C8}"/>
    <cellStyle name="20% - Accent3 2 4 4" xfId="9160" xr:uid="{59D97D17-38AE-4DA1-ACB4-A2B4D95BB57C}"/>
    <cellStyle name="20% - Accent3 2 5" xfId="1040" xr:uid="{00000000-0005-0000-0000-000083010000}"/>
    <cellStyle name="20% - Accent3 2 5 2" xfId="3271" xr:uid="{00000000-0005-0000-0000-000084010000}"/>
    <cellStyle name="20% - Accent3 2 5 2 2" xfId="7494" xr:uid="{00000000-0005-0000-0000-000085010000}"/>
    <cellStyle name="20% - Accent3 2 5 2 3" xfId="11233" xr:uid="{DA41375E-59F5-4622-B895-24EE21120052}"/>
    <cellStyle name="20% - Accent3 2 5 3" xfId="5349" xr:uid="{00000000-0005-0000-0000-000086010000}"/>
    <cellStyle name="20% - Accent3 2 5 4" xfId="9575" xr:uid="{7BE8F46B-49A2-4E0A-8093-3391C4A0DBFF}"/>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6 4" xfId="10404" xr:uid="{C7CFA396-0A14-45C0-8833-BD48A79DFA37}"/>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1654" xr:uid="{85338823-BA63-42CA-B662-B17568D763E8}"/>
    <cellStyle name="20% - Accent3 3 2 2 2 3" xfId="9996" xr:uid="{B32BB019-2C46-4C27-8986-64196504A59B}"/>
    <cellStyle name="20% - Accent3 3 2 2 3" xfId="4941" xr:uid="{00000000-0005-0000-0000-000097010000}"/>
    <cellStyle name="20% - Accent3 3 2 2 3 2" xfId="10825" xr:uid="{5810D793-84BA-44A5-96B5-6BBBD21675A4}"/>
    <cellStyle name="20% - Accent3 3 2 2 4" xfId="9165" xr:uid="{4AFFA801-51EA-452F-B956-F50A0DA447F1}"/>
    <cellStyle name="20% - Accent3 3 2 3" xfId="1045" xr:uid="{00000000-0005-0000-0000-000098010000}"/>
    <cellStyle name="20% - Accent3 3 2 3 2" xfId="3276" xr:uid="{00000000-0005-0000-0000-000099010000}"/>
    <cellStyle name="20% - Accent3 3 2 3 2 2" xfId="7499" xr:uid="{00000000-0005-0000-0000-00009A010000}"/>
    <cellStyle name="20% - Accent3 3 2 3 2 3" xfId="11238" xr:uid="{D8E4DCF7-8BF7-4370-8FC9-114E7DE029F1}"/>
    <cellStyle name="20% - Accent3 3 2 3 3" xfId="5354" xr:uid="{00000000-0005-0000-0000-00009B010000}"/>
    <cellStyle name="20% - Accent3 3 2 3 4" xfId="9580" xr:uid="{5BB4B744-3C36-45D5-9352-887F7E4FBB0C}"/>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4 4" xfId="10409" xr:uid="{86027151-5D2F-49E6-8F8A-E961CC4F75AE}"/>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2 8" xfId="8748" xr:uid="{96F17D14-41F5-4363-8976-9207925446EB}"/>
    <cellStyle name="20% - Accent3 3 3" xfId="591" xr:uid="{00000000-0005-0000-0000-0000A7010000}"/>
    <cellStyle name="20% - Accent3 3 3 2" xfId="2862" xr:uid="{00000000-0005-0000-0000-0000A8010000}"/>
    <cellStyle name="20% - Accent3 3 3 2 2" xfId="7085" xr:uid="{00000000-0005-0000-0000-0000A9010000}"/>
    <cellStyle name="20% - Accent3 3 3 2 2 2" xfId="11653" xr:uid="{D6A70CB0-4CD3-4140-A3FE-921CB46613FD}"/>
    <cellStyle name="20% - Accent3 3 3 2 3" xfId="9995" xr:uid="{7DAAAB67-D028-4A09-A8FB-A771A5A5CD51}"/>
    <cellStyle name="20% - Accent3 3 3 3" xfId="4940" xr:uid="{00000000-0005-0000-0000-0000AA010000}"/>
    <cellStyle name="20% - Accent3 3 3 3 2" xfId="10824" xr:uid="{5E13AB90-EE81-4C14-98B2-D5D4E57A82F2}"/>
    <cellStyle name="20% - Accent3 3 3 4" xfId="9164" xr:uid="{FF1A2EF3-9CF1-4D8C-AC23-7052DD3562DC}"/>
    <cellStyle name="20% - Accent3 3 4" xfId="1044" xr:uid="{00000000-0005-0000-0000-0000AB010000}"/>
    <cellStyle name="20% - Accent3 3 4 2" xfId="3275" xr:uid="{00000000-0005-0000-0000-0000AC010000}"/>
    <cellStyle name="20% - Accent3 3 4 2 2" xfId="7498" xr:uid="{00000000-0005-0000-0000-0000AD010000}"/>
    <cellStyle name="20% - Accent3 3 4 2 3" xfId="11237" xr:uid="{23E13565-DB14-4004-B408-5F34A0EF83B2}"/>
    <cellStyle name="20% - Accent3 3 4 3" xfId="5353" xr:uid="{00000000-0005-0000-0000-0000AE010000}"/>
    <cellStyle name="20% - Accent3 3 4 4" xfId="9579" xr:uid="{0E96D0F4-BCBF-48F8-A2A5-BCF0C1EA9E92}"/>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5 4" xfId="10408" xr:uid="{4A73BAA0-811D-470B-901B-E59DFFD2966C}"/>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3 9" xfId="8747" xr:uid="{D3550E3A-3CEC-4164-93AE-44398B78785F}"/>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1655" xr:uid="{D5F093AC-1439-41B3-8EB8-B78E067FB445}"/>
    <cellStyle name="20% - Accent3 4 2 2 3" xfId="9997" xr:uid="{B03A9E01-6AE5-42A1-90BD-C5ADB5CA1D13}"/>
    <cellStyle name="20% - Accent3 4 2 3" xfId="4942" xr:uid="{00000000-0005-0000-0000-0000BE010000}"/>
    <cellStyle name="20% - Accent3 4 2 3 2" xfId="10826" xr:uid="{92A44E18-C915-4498-9DE5-429447B55324}"/>
    <cellStyle name="20% - Accent3 4 2 4" xfId="9166" xr:uid="{B544F1DF-90A0-4C36-A283-1A5C42D44D55}"/>
    <cellStyle name="20% - Accent3 4 3" xfId="1046" xr:uid="{00000000-0005-0000-0000-0000BF010000}"/>
    <cellStyle name="20% - Accent3 4 3 2" xfId="3277" xr:uid="{00000000-0005-0000-0000-0000C0010000}"/>
    <cellStyle name="20% - Accent3 4 3 2 2" xfId="7500" xr:uid="{00000000-0005-0000-0000-0000C1010000}"/>
    <cellStyle name="20% - Accent3 4 3 2 3" xfId="11239" xr:uid="{34E76099-01CC-4A74-9598-CC1F57719537}"/>
    <cellStyle name="20% - Accent3 4 3 3" xfId="5355" xr:uid="{00000000-0005-0000-0000-0000C2010000}"/>
    <cellStyle name="20% - Accent3 4 3 4" xfId="9581" xr:uid="{8D87B59D-C832-48DC-BE8C-6D2867E0F6F1}"/>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4 4" xfId="10410" xr:uid="{C1DCCFE7-2BC0-42D7-91A9-9A2A7EE1574E}"/>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4 8" xfId="8749" xr:uid="{9A877788-89E0-4431-A247-4557538AE95A}"/>
    <cellStyle name="20% - Accent3 5" xfId="586" xr:uid="{00000000-0005-0000-0000-0000CE010000}"/>
    <cellStyle name="20% - Accent3 5 2" xfId="2857" xr:uid="{00000000-0005-0000-0000-0000CF010000}"/>
    <cellStyle name="20% - Accent3 5 2 2" xfId="7080" xr:uid="{00000000-0005-0000-0000-0000D0010000}"/>
    <cellStyle name="20% - Accent3 5 2 2 2" xfId="11648" xr:uid="{CDE4D01D-01C2-4316-913D-2109A3877B10}"/>
    <cellStyle name="20% - Accent3 5 2 3" xfId="9990" xr:uid="{38F7E18E-321A-4F5D-A987-7327E56710CB}"/>
    <cellStyle name="20% - Accent3 5 3" xfId="4935" xr:uid="{00000000-0005-0000-0000-0000D1010000}"/>
    <cellStyle name="20% - Accent3 5 3 2" xfId="10819" xr:uid="{501FA85D-37DD-4BC9-B2E1-0C413055520D}"/>
    <cellStyle name="20% - Accent3 5 4" xfId="9159" xr:uid="{FA082A2E-57DC-4A8E-B45D-02AF3EDEE700}"/>
    <cellStyle name="20% - Accent3 6" xfId="1039" xr:uid="{00000000-0005-0000-0000-0000D2010000}"/>
    <cellStyle name="20% - Accent3 6 2" xfId="3270" xr:uid="{00000000-0005-0000-0000-0000D3010000}"/>
    <cellStyle name="20% - Accent3 6 2 2" xfId="7493" xr:uid="{00000000-0005-0000-0000-0000D4010000}"/>
    <cellStyle name="20% - Accent3 6 2 3" xfId="11232" xr:uid="{78BA338F-A382-42FA-B846-5134BC378469}"/>
    <cellStyle name="20% - Accent3 6 3" xfId="5348" xr:uid="{00000000-0005-0000-0000-0000D5010000}"/>
    <cellStyle name="20% - Accent3 6 4" xfId="9574" xr:uid="{C726CDE2-49C1-46D7-8D40-2FC7CBB1A2B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7 4" xfId="10403" xr:uid="{85438549-C9CE-482E-84C9-75C18DC94A29}"/>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11" xfId="8750" xr:uid="{AD52B6CA-BCC1-4065-81DA-F621734EE4C0}"/>
    <cellStyle name="20% - Accent4 2" xfId="26" xr:uid="{00000000-0005-0000-0000-0000E2010000}"/>
    <cellStyle name="20% - Accent4 2 10" xfId="8751" xr:uid="{66C6B88F-B21D-4CAA-9557-AD4EAE27E1FE}"/>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1659" xr:uid="{886E94D9-D43A-4364-A31C-9583594CA6CA}"/>
    <cellStyle name="20% - Accent4 2 2 2 2 2 3" xfId="10001" xr:uid="{74ABC1FD-53FC-4BC7-8764-42634AA2CEE5}"/>
    <cellStyle name="20% - Accent4 2 2 2 2 3" xfId="4946" xr:uid="{00000000-0005-0000-0000-0000E8010000}"/>
    <cellStyle name="20% - Accent4 2 2 2 2 3 2" xfId="10830" xr:uid="{C055C2C3-9A55-4323-BFBC-2A2E9D7A050D}"/>
    <cellStyle name="20% - Accent4 2 2 2 2 4" xfId="9170" xr:uid="{4C2A630A-1D33-4FD5-B256-1864A7F260E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3" xfId="11243" xr:uid="{E109FB59-5B39-4D8B-A15A-B38F364BF660}"/>
    <cellStyle name="20% - Accent4 2 2 2 3 3" xfId="5359" xr:uid="{00000000-0005-0000-0000-0000EC010000}"/>
    <cellStyle name="20% - Accent4 2 2 2 3 4" xfId="9585" xr:uid="{48048667-54B1-4C8F-A50C-FD308FA0951C}"/>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4 4" xfId="10414" xr:uid="{717B92F2-418B-4526-912B-847E6913BA74}"/>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2 8" xfId="8753" xr:uid="{84A70AE9-4B25-436D-9152-AE059412139F}"/>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1658" xr:uid="{826F0B71-9807-4919-80CF-36652D5B7C91}"/>
    <cellStyle name="20% - Accent4 2 2 3 2 3" xfId="10000" xr:uid="{AC4A6993-1004-4665-890B-4C522F41638A}"/>
    <cellStyle name="20% - Accent4 2 2 3 3" xfId="4945" xr:uid="{00000000-0005-0000-0000-0000FB010000}"/>
    <cellStyle name="20% - Accent4 2 2 3 3 2" xfId="10829" xr:uid="{99A39B29-9D32-46FA-B21B-0D833B4E840F}"/>
    <cellStyle name="20% - Accent4 2 2 3 4" xfId="9169" xr:uid="{A2277ADE-F9B7-44FD-99A3-FDB3A1A631A1}"/>
    <cellStyle name="20% - Accent4 2 2 4" xfId="1049" xr:uid="{00000000-0005-0000-0000-0000FC010000}"/>
    <cellStyle name="20% - Accent4 2 2 4 2" xfId="3280" xr:uid="{00000000-0005-0000-0000-0000FD010000}"/>
    <cellStyle name="20% - Accent4 2 2 4 2 2" xfId="7503" xr:uid="{00000000-0005-0000-0000-0000FE010000}"/>
    <cellStyle name="20% - Accent4 2 2 4 2 3" xfId="11242" xr:uid="{A227AB6B-199F-46A8-BE5E-287D42035BF6}"/>
    <cellStyle name="20% - Accent4 2 2 4 3" xfId="5358" xr:uid="{00000000-0005-0000-0000-0000FF010000}"/>
    <cellStyle name="20% - Accent4 2 2 4 4" xfId="9584" xr:uid="{7F3F7BC7-373E-4D2A-8475-1DB474B42D8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5 4" xfId="10413" xr:uid="{4C418C7E-BB84-406B-8112-4E9A8129CF12}"/>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2 9" xfId="8752" xr:uid="{5424E5CA-06EC-4A84-BE09-285761BB892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1660" xr:uid="{6D9A0A1A-213B-49D9-A307-6C106DA51F5D}"/>
    <cellStyle name="20% - Accent4 2 3 2 2 3" xfId="10002" xr:uid="{15A9F1F9-686E-47C0-AB98-B6844FAAECDE}"/>
    <cellStyle name="20% - Accent4 2 3 2 3" xfId="4947" xr:uid="{00000000-0005-0000-0000-00000F020000}"/>
    <cellStyle name="20% - Accent4 2 3 2 3 2" xfId="10831" xr:uid="{B7D71F06-03ED-48E0-85BC-0800EDA15F0A}"/>
    <cellStyle name="20% - Accent4 2 3 2 4" xfId="9171" xr:uid="{B6184E9F-1731-4336-8BC0-5272A0EBBA65}"/>
    <cellStyle name="20% - Accent4 2 3 3" xfId="1051" xr:uid="{00000000-0005-0000-0000-000010020000}"/>
    <cellStyle name="20% - Accent4 2 3 3 2" xfId="3282" xr:uid="{00000000-0005-0000-0000-000011020000}"/>
    <cellStyle name="20% - Accent4 2 3 3 2 2" xfId="7505" xr:uid="{00000000-0005-0000-0000-000012020000}"/>
    <cellStyle name="20% - Accent4 2 3 3 2 3" xfId="11244" xr:uid="{3028D004-AA5F-4548-8D06-D0B00E52D221}"/>
    <cellStyle name="20% - Accent4 2 3 3 3" xfId="5360" xr:uid="{00000000-0005-0000-0000-000013020000}"/>
    <cellStyle name="20% - Accent4 2 3 3 4" xfId="9586" xr:uid="{69D898F4-7D8D-4FD7-B66A-841C50B7DC65}"/>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4 4" xfId="10415" xr:uid="{56125088-93CD-473D-BDE6-3B87896EAFBF}"/>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3 8" xfId="8754" xr:uid="{FF11DF8A-83DE-4A53-A720-ED22AD446706}"/>
    <cellStyle name="20% - Accent4 2 4" xfId="595" xr:uid="{00000000-0005-0000-0000-00001F020000}"/>
    <cellStyle name="20% - Accent4 2 4 2" xfId="2866" xr:uid="{00000000-0005-0000-0000-000020020000}"/>
    <cellStyle name="20% - Accent4 2 4 2 2" xfId="7089" xr:uid="{00000000-0005-0000-0000-000021020000}"/>
    <cellStyle name="20% - Accent4 2 4 2 2 2" xfId="11657" xr:uid="{F18E644A-9A37-4FA4-83B0-48E59FA7D451}"/>
    <cellStyle name="20% - Accent4 2 4 2 3" xfId="9999" xr:uid="{B046F301-A22B-48F6-9D7E-965BFA684435}"/>
    <cellStyle name="20% - Accent4 2 4 3" xfId="4944" xr:uid="{00000000-0005-0000-0000-000022020000}"/>
    <cellStyle name="20% - Accent4 2 4 3 2" xfId="10828" xr:uid="{D8BF02AE-7839-4315-BE61-AFF7020F7E04}"/>
    <cellStyle name="20% - Accent4 2 4 4" xfId="9168" xr:uid="{BAECC13B-6F7F-47F0-9306-9CD9771FF163}"/>
    <cellStyle name="20% - Accent4 2 5" xfId="1048" xr:uid="{00000000-0005-0000-0000-000023020000}"/>
    <cellStyle name="20% - Accent4 2 5 2" xfId="3279" xr:uid="{00000000-0005-0000-0000-000024020000}"/>
    <cellStyle name="20% - Accent4 2 5 2 2" xfId="7502" xr:uid="{00000000-0005-0000-0000-000025020000}"/>
    <cellStyle name="20% - Accent4 2 5 2 3" xfId="11241" xr:uid="{0D1E40EA-B25B-41D1-94C7-FDE3E744545C}"/>
    <cellStyle name="20% - Accent4 2 5 3" xfId="5357" xr:uid="{00000000-0005-0000-0000-000026020000}"/>
    <cellStyle name="20% - Accent4 2 5 4" xfId="9583" xr:uid="{FD430844-AFA7-42AD-BD2E-A2024544F35D}"/>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6 4" xfId="10412" xr:uid="{D958FE8D-7E14-4E61-834C-E73C7FB55486}"/>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1662" xr:uid="{6F470A27-7466-4AF1-9FA9-A1DBB9BC73EA}"/>
    <cellStyle name="20% - Accent4 3 2 2 2 3" xfId="10004" xr:uid="{BEB8EDE7-EB10-4BD5-94ED-4B04FFCEF76C}"/>
    <cellStyle name="20% - Accent4 3 2 2 3" xfId="4949" xr:uid="{00000000-0005-0000-0000-000037020000}"/>
    <cellStyle name="20% - Accent4 3 2 2 3 2" xfId="10833" xr:uid="{DE222230-92E9-41AE-95EA-D5283C81322E}"/>
    <cellStyle name="20% - Accent4 3 2 2 4" xfId="9173" xr:uid="{BB9D9434-DA4F-4103-A284-F2B91EE70614}"/>
    <cellStyle name="20% - Accent4 3 2 3" xfId="1053" xr:uid="{00000000-0005-0000-0000-000038020000}"/>
    <cellStyle name="20% - Accent4 3 2 3 2" xfId="3284" xr:uid="{00000000-0005-0000-0000-000039020000}"/>
    <cellStyle name="20% - Accent4 3 2 3 2 2" xfId="7507" xr:uid="{00000000-0005-0000-0000-00003A020000}"/>
    <cellStyle name="20% - Accent4 3 2 3 2 3" xfId="11246" xr:uid="{D941E9E5-9169-48B7-8A09-2114BC92B57D}"/>
    <cellStyle name="20% - Accent4 3 2 3 3" xfId="5362" xr:uid="{00000000-0005-0000-0000-00003B020000}"/>
    <cellStyle name="20% - Accent4 3 2 3 4" xfId="9588" xr:uid="{0EC25D15-560A-4F5A-9EDB-0F26DFC602E9}"/>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4 4" xfId="10417" xr:uid="{EB81CC0F-9A03-468F-8E0E-C5B2EF053CE4}"/>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2 8" xfId="8756" xr:uid="{EB4D7E33-3A04-4366-8783-5211FD8F4648}"/>
    <cellStyle name="20% - Accent4 3 3" xfId="599" xr:uid="{00000000-0005-0000-0000-000047020000}"/>
    <cellStyle name="20% - Accent4 3 3 2" xfId="2870" xr:uid="{00000000-0005-0000-0000-000048020000}"/>
    <cellStyle name="20% - Accent4 3 3 2 2" xfId="7093" xr:uid="{00000000-0005-0000-0000-000049020000}"/>
    <cellStyle name="20% - Accent4 3 3 2 2 2" xfId="11661" xr:uid="{4C88E0FF-51BD-4E92-801B-205ADACF3170}"/>
    <cellStyle name="20% - Accent4 3 3 2 3" xfId="10003" xr:uid="{4324160A-7F3D-4394-9F19-930EFD6AE8A5}"/>
    <cellStyle name="20% - Accent4 3 3 3" xfId="4948" xr:uid="{00000000-0005-0000-0000-00004A020000}"/>
    <cellStyle name="20% - Accent4 3 3 3 2" xfId="10832" xr:uid="{5194217A-F478-42E6-8596-17991E5DA379}"/>
    <cellStyle name="20% - Accent4 3 3 4" xfId="9172" xr:uid="{FBA9CF8F-FC66-42E5-8184-DD7C3BC06375}"/>
    <cellStyle name="20% - Accent4 3 4" xfId="1052" xr:uid="{00000000-0005-0000-0000-00004B020000}"/>
    <cellStyle name="20% - Accent4 3 4 2" xfId="3283" xr:uid="{00000000-0005-0000-0000-00004C020000}"/>
    <cellStyle name="20% - Accent4 3 4 2 2" xfId="7506" xr:uid="{00000000-0005-0000-0000-00004D020000}"/>
    <cellStyle name="20% - Accent4 3 4 2 3" xfId="11245" xr:uid="{14651EE6-D1C4-49F3-B376-2695F93194E8}"/>
    <cellStyle name="20% - Accent4 3 4 3" xfId="5361" xr:uid="{00000000-0005-0000-0000-00004E020000}"/>
    <cellStyle name="20% - Accent4 3 4 4" xfId="9587" xr:uid="{78CE82D0-5D82-42D5-85AA-947118715EFE}"/>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5 4" xfId="10416" xr:uid="{3FD3685E-AADB-4E65-AFD3-BA2B5E01608F}"/>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3 9" xfId="8755" xr:uid="{F807C633-092E-4702-A8D1-69EAAB07F919}"/>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1663" xr:uid="{F666419C-7B8C-4EE0-8F03-624D68E7CE7A}"/>
    <cellStyle name="20% - Accent4 4 2 2 3" xfId="10005" xr:uid="{6EBA6D69-9D0F-41B4-AB62-8206C021E6C8}"/>
    <cellStyle name="20% - Accent4 4 2 3" xfId="4950" xr:uid="{00000000-0005-0000-0000-00005E020000}"/>
    <cellStyle name="20% - Accent4 4 2 3 2" xfId="10834" xr:uid="{E1B7CEBB-4EB8-4883-8895-39C76596EF94}"/>
    <cellStyle name="20% - Accent4 4 2 4" xfId="9174" xr:uid="{AC01C662-F71E-406A-873A-5D9C8767E779}"/>
    <cellStyle name="20% - Accent4 4 3" xfId="1054" xr:uid="{00000000-0005-0000-0000-00005F020000}"/>
    <cellStyle name="20% - Accent4 4 3 2" xfId="3285" xr:uid="{00000000-0005-0000-0000-000060020000}"/>
    <cellStyle name="20% - Accent4 4 3 2 2" xfId="7508" xr:uid="{00000000-0005-0000-0000-000061020000}"/>
    <cellStyle name="20% - Accent4 4 3 2 3" xfId="11247" xr:uid="{49B704BF-8898-4EBC-A861-175DCD0E590D}"/>
    <cellStyle name="20% - Accent4 4 3 3" xfId="5363" xr:uid="{00000000-0005-0000-0000-000062020000}"/>
    <cellStyle name="20% - Accent4 4 3 4" xfId="9589" xr:uid="{293B4350-B877-45FC-B8C1-AC63EAE51F03}"/>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4 4" xfId="10418" xr:uid="{E4B10128-5B10-4721-9110-44A234398D86}"/>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4 8" xfId="8757" xr:uid="{1415FA1E-E9B5-4999-8015-90560A84369B}"/>
    <cellStyle name="20% - Accent4 5" xfId="594" xr:uid="{00000000-0005-0000-0000-00006E020000}"/>
    <cellStyle name="20% - Accent4 5 2" xfId="2865" xr:uid="{00000000-0005-0000-0000-00006F020000}"/>
    <cellStyle name="20% - Accent4 5 2 2" xfId="7088" xr:uid="{00000000-0005-0000-0000-000070020000}"/>
    <cellStyle name="20% - Accent4 5 2 2 2" xfId="11656" xr:uid="{833136BC-F6ED-44F7-A97C-9500A6990B1B}"/>
    <cellStyle name="20% - Accent4 5 2 3" xfId="9998" xr:uid="{0BD70825-45AA-4CBB-9E95-FE8566D0550B}"/>
    <cellStyle name="20% - Accent4 5 3" xfId="4943" xr:uid="{00000000-0005-0000-0000-000071020000}"/>
    <cellStyle name="20% - Accent4 5 3 2" xfId="10827" xr:uid="{1431145E-B1D5-4426-BDCA-BE76A41F5158}"/>
    <cellStyle name="20% - Accent4 5 4" xfId="9167" xr:uid="{E2662E7E-A693-412A-9649-F157FCB84AF7}"/>
    <cellStyle name="20% - Accent4 6" xfId="1047" xr:uid="{00000000-0005-0000-0000-000072020000}"/>
    <cellStyle name="20% - Accent4 6 2" xfId="3278" xr:uid="{00000000-0005-0000-0000-000073020000}"/>
    <cellStyle name="20% - Accent4 6 2 2" xfId="7501" xr:uid="{00000000-0005-0000-0000-000074020000}"/>
    <cellStyle name="20% - Accent4 6 2 3" xfId="11240" xr:uid="{A8AE6C33-419B-4893-A78C-882A8FA6D638}"/>
    <cellStyle name="20% - Accent4 6 3" xfId="5356" xr:uid="{00000000-0005-0000-0000-000075020000}"/>
    <cellStyle name="20% - Accent4 6 4" xfId="9582" xr:uid="{45D91DED-E65B-42E4-AECE-59AA2919ED54}"/>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7 4" xfId="10411" xr:uid="{8481EB95-3F04-4084-9AE9-410E4372CF34}"/>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11" xfId="8758" xr:uid="{FD614BF1-3578-4EF1-8A03-F0533E38472E}"/>
    <cellStyle name="20% - Accent5 2" xfId="34" xr:uid="{00000000-0005-0000-0000-000082020000}"/>
    <cellStyle name="20% - Accent5 2 10" xfId="8759" xr:uid="{F0BF6C0E-353A-4010-B237-7C6E117A461C}"/>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1667" xr:uid="{7E478BA7-E5FA-4A6C-B8BA-14FA64FA47EA}"/>
    <cellStyle name="20% - Accent5 2 2 2 2 2 3" xfId="10009" xr:uid="{CF1871DA-1BB5-4573-BF1C-E6FA943DACF8}"/>
    <cellStyle name="20% - Accent5 2 2 2 2 3" xfId="4954" xr:uid="{00000000-0005-0000-0000-000088020000}"/>
    <cellStyle name="20% - Accent5 2 2 2 2 3 2" xfId="10838" xr:uid="{AC56311A-8C98-4AF8-97E0-5A10B9A1B4BB}"/>
    <cellStyle name="20% - Accent5 2 2 2 2 4" xfId="9178" xr:uid="{3EC49D1B-A13F-403E-8949-E48B97399195}"/>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3" xfId="11251" xr:uid="{FFBC1810-3BE3-4B77-84E9-3BCFCCC990E0}"/>
    <cellStyle name="20% - Accent5 2 2 2 3 3" xfId="5367" xr:uid="{00000000-0005-0000-0000-00008C020000}"/>
    <cellStyle name="20% - Accent5 2 2 2 3 4" xfId="9593" xr:uid="{6CBAA829-A988-462E-89C7-EB27FEB45D5D}"/>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4 4" xfId="10422" xr:uid="{FF20B48C-EDF3-4392-B34B-D68C8469DD8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2 8" xfId="8761" xr:uid="{E753F958-73F3-4228-B563-3B7AAE78E8E7}"/>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1666" xr:uid="{10D402AD-4BE3-445E-9083-54B9F2BEA7A0}"/>
    <cellStyle name="20% - Accent5 2 2 3 2 3" xfId="10008" xr:uid="{A130D793-C8C5-43DF-8DBF-1C53DBD15EBC}"/>
    <cellStyle name="20% - Accent5 2 2 3 3" xfId="4953" xr:uid="{00000000-0005-0000-0000-00009B020000}"/>
    <cellStyle name="20% - Accent5 2 2 3 3 2" xfId="10837" xr:uid="{34CECC2D-64F5-4A91-8921-CA9DFDF48C05}"/>
    <cellStyle name="20% - Accent5 2 2 3 4" xfId="9177" xr:uid="{7BABDBB3-62EF-4C48-8661-74B02005E5F0}"/>
    <cellStyle name="20% - Accent5 2 2 4" xfId="1057" xr:uid="{00000000-0005-0000-0000-00009C020000}"/>
    <cellStyle name="20% - Accent5 2 2 4 2" xfId="3288" xr:uid="{00000000-0005-0000-0000-00009D020000}"/>
    <cellStyle name="20% - Accent5 2 2 4 2 2" xfId="7511" xr:uid="{00000000-0005-0000-0000-00009E020000}"/>
    <cellStyle name="20% - Accent5 2 2 4 2 3" xfId="11250" xr:uid="{02BF50D4-0CF8-454C-9ADC-183FB472E33B}"/>
    <cellStyle name="20% - Accent5 2 2 4 3" xfId="5366" xr:uid="{00000000-0005-0000-0000-00009F020000}"/>
    <cellStyle name="20% - Accent5 2 2 4 4" xfId="9592" xr:uid="{94E35739-D286-4BE0-8673-FFB59C837A49}"/>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5 4" xfId="10421" xr:uid="{20074CAC-5064-4F46-871A-E5117F604144}"/>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2 9" xfId="8760" xr:uid="{781686D4-800A-4476-A667-9DDEBEF79FCF}"/>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1668" xr:uid="{5E328815-C22B-4269-80EC-12E979381D43}"/>
    <cellStyle name="20% - Accent5 2 3 2 2 3" xfId="10010" xr:uid="{E5E88FC7-68F1-4E44-8EF9-58944BC22E52}"/>
    <cellStyle name="20% - Accent5 2 3 2 3" xfId="4955" xr:uid="{00000000-0005-0000-0000-0000AF020000}"/>
    <cellStyle name="20% - Accent5 2 3 2 3 2" xfId="10839" xr:uid="{6663538D-B5F8-49E1-8F56-A8DFC5AFEAC7}"/>
    <cellStyle name="20% - Accent5 2 3 2 4" xfId="9179" xr:uid="{08A2AABA-AD69-43C4-845F-A3BFB496AF57}"/>
    <cellStyle name="20% - Accent5 2 3 3" xfId="1059" xr:uid="{00000000-0005-0000-0000-0000B0020000}"/>
    <cellStyle name="20% - Accent5 2 3 3 2" xfId="3290" xr:uid="{00000000-0005-0000-0000-0000B1020000}"/>
    <cellStyle name="20% - Accent5 2 3 3 2 2" xfId="7513" xr:uid="{00000000-0005-0000-0000-0000B2020000}"/>
    <cellStyle name="20% - Accent5 2 3 3 2 3" xfId="11252" xr:uid="{533D7CBA-3CB5-4836-AEED-B3A1CBD14F61}"/>
    <cellStyle name="20% - Accent5 2 3 3 3" xfId="5368" xr:uid="{00000000-0005-0000-0000-0000B3020000}"/>
    <cellStyle name="20% - Accent5 2 3 3 4" xfId="9594" xr:uid="{FF8FBA76-DD13-4F5D-83C5-DA1B1043F437}"/>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4 4" xfId="10423" xr:uid="{5C71FBBB-EABA-4F8B-8791-B104488F6C9C}"/>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3 8" xfId="8762" xr:uid="{77C514DA-35B8-4AA2-985C-2183F6C6FC92}"/>
    <cellStyle name="20% - Accent5 2 4" xfId="603" xr:uid="{00000000-0005-0000-0000-0000BF020000}"/>
    <cellStyle name="20% - Accent5 2 4 2" xfId="2874" xr:uid="{00000000-0005-0000-0000-0000C0020000}"/>
    <cellStyle name="20% - Accent5 2 4 2 2" xfId="7097" xr:uid="{00000000-0005-0000-0000-0000C1020000}"/>
    <cellStyle name="20% - Accent5 2 4 2 2 2" xfId="11665" xr:uid="{1450B80E-3D10-4918-9C90-EDE14D15B716}"/>
    <cellStyle name="20% - Accent5 2 4 2 3" xfId="10007" xr:uid="{7FBD85B6-8B50-4C28-AA6C-E1387F028C90}"/>
    <cellStyle name="20% - Accent5 2 4 3" xfId="4952" xr:uid="{00000000-0005-0000-0000-0000C2020000}"/>
    <cellStyle name="20% - Accent5 2 4 3 2" xfId="10836" xr:uid="{0F76FFC2-47BA-45AB-886E-45CD075689A1}"/>
    <cellStyle name="20% - Accent5 2 4 4" xfId="9176" xr:uid="{22C699FB-7D9A-4EDD-A7E4-BBED5E5E121A}"/>
    <cellStyle name="20% - Accent5 2 5" xfId="1056" xr:uid="{00000000-0005-0000-0000-0000C3020000}"/>
    <cellStyle name="20% - Accent5 2 5 2" xfId="3287" xr:uid="{00000000-0005-0000-0000-0000C4020000}"/>
    <cellStyle name="20% - Accent5 2 5 2 2" xfId="7510" xr:uid="{00000000-0005-0000-0000-0000C5020000}"/>
    <cellStyle name="20% - Accent5 2 5 2 3" xfId="11249" xr:uid="{9F5C79C0-D8BC-407C-B30E-889AA16ADD32}"/>
    <cellStyle name="20% - Accent5 2 5 3" xfId="5365" xr:uid="{00000000-0005-0000-0000-0000C6020000}"/>
    <cellStyle name="20% - Accent5 2 5 4" xfId="9591" xr:uid="{6F312524-29A2-4C41-A30B-B0B8662CD1AB}"/>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6 4" xfId="10420" xr:uid="{6BE8094D-84C9-404E-BBF2-C1A2F27FE81E}"/>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1670" xr:uid="{7D23D3D0-302E-449F-AA40-F0210C370628}"/>
    <cellStyle name="20% - Accent5 3 2 2 2 3" xfId="10012" xr:uid="{2134EB9B-1F21-4FB8-BB18-62FC1A3DA64B}"/>
    <cellStyle name="20% - Accent5 3 2 2 3" xfId="4957" xr:uid="{00000000-0005-0000-0000-0000D7020000}"/>
    <cellStyle name="20% - Accent5 3 2 2 3 2" xfId="10841" xr:uid="{89A75B74-01F6-4D49-B016-FD1484252C7F}"/>
    <cellStyle name="20% - Accent5 3 2 2 4" xfId="9181" xr:uid="{6B836B30-BD77-4B4B-BD18-7372A97E4EDA}"/>
    <cellStyle name="20% - Accent5 3 2 3" xfId="1061" xr:uid="{00000000-0005-0000-0000-0000D8020000}"/>
    <cellStyle name="20% - Accent5 3 2 3 2" xfId="3292" xr:uid="{00000000-0005-0000-0000-0000D9020000}"/>
    <cellStyle name="20% - Accent5 3 2 3 2 2" xfId="7515" xr:uid="{00000000-0005-0000-0000-0000DA020000}"/>
    <cellStyle name="20% - Accent5 3 2 3 2 3" xfId="11254" xr:uid="{A22F20D2-A852-41DC-B9F6-206A0BAD1625}"/>
    <cellStyle name="20% - Accent5 3 2 3 3" xfId="5370" xr:uid="{00000000-0005-0000-0000-0000DB020000}"/>
    <cellStyle name="20% - Accent5 3 2 3 4" xfId="9596" xr:uid="{812D2B1E-4ABD-42DE-884D-CF09F965839F}"/>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4 4" xfId="10425" xr:uid="{C7D18E5A-B433-417D-AA18-F6D71E8617B3}"/>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2 8" xfId="8764" xr:uid="{CE7072FD-BF46-4AA6-A15A-8CDB9295C3B1}"/>
    <cellStyle name="20% - Accent5 3 3" xfId="607" xr:uid="{00000000-0005-0000-0000-0000E7020000}"/>
    <cellStyle name="20% - Accent5 3 3 2" xfId="2878" xr:uid="{00000000-0005-0000-0000-0000E8020000}"/>
    <cellStyle name="20% - Accent5 3 3 2 2" xfId="7101" xr:uid="{00000000-0005-0000-0000-0000E9020000}"/>
    <cellStyle name="20% - Accent5 3 3 2 2 2" xfId="11669" xr:uid="{A0449803-8007-4CA3-8C11-84FB0E95380B}"/>
    <cellStyle name="20% - Accent5 3 3 2 3" xfId="10011" xr:uid="{5344AC4A-E5A8-49F0-9BDA-B157B2A78EFB}"/>
    <cellStyle name="20% - Accent5 3 3 3" xfId="4956" xr:uid="{00000000-0005-0000-0000-0000EA020000}"/>
    <cellStyle name="20% - Accent5 3 3 3 2" xfId="10840" xr:uid="{0679E7D6-1459-4251-8A9E-D4E73D76F617}"/>
    <cellStyle name="20% - Accent5 3 3 4" xfId="9180" xr:uid="{59E6077C-E747-4719-8807-8E99C65A3411}"/>
    <cellStyle name="20% - Accent5 3 4" xfId="1060" xr:uid="{00000000-0005-0000-0000-0000EB020000}"/>
    <cellStyle name="20% - Accent5 3 4 2" xfId="3291" xr:uid="{00000000-0005-0000-0000-0000EC020000}"/>
    <cellStyle name="20% - Accent5 3 4 2 2" xfId="7514" xr:uid="{00000000-0005-0000-0000-0000ED020000}"/>
    <cellStyle name="20% - Accent5 3 4 2 3" xfId="11253" xr:uid="{6A6DD532-D30C-4119-86C4-A6C71DDC5612}"/>
    <cellStyle name="20% - Accent5 3 4 3" xfId="5369" xr:uid="{00000000-0005-0000-0000-0000EE020000}"/>
    <cellStyle name="20% - Accent5 3 4 4" xfId="9595" xr:uid="{90EA7645-E84F-45A2-93EA-F09F6AC3AC9A}"/>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5 4" xfId="10424" xr:uid="{A0D3845F-0080-4D78-ABCF-20C696BDF9E8}"/>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3 9" xfId="8763" xr:uid="{9ED09C86-E46B-4633-BFD3-026598537626}"/>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1671" xr:uid="{FA2DED1E-B8C8-4AFE-92D4-E3179C20CA57}"/>
    <cellStyle name="20% - Accent5 4 2 2 3" xfId="10013" xr:uid="{05DF5A94-CC21-498C-BD62-3D2DD89E6B47}"/>
    <cellStyle name="20% - Accent5 4 2 3" xfId="4958" xr:uid="{00000000-0005-0000-0000-0000FE020000}"/>
    <cellStyle name="20% - Accent5 4 2 3 2" xfId="10842" xr:uid="{14B4861C-AE16-42CF-9A0A-CED0322C03B4}"/>
    <cellStyle name="20% - Accent5 4 2 4" xfId="9182" xr:uid="{48298B69-2CC1-4C08-BC35-1F24542C0089}"/>
    <cellStyle name="20% - Accent5 4 3" xfId="1062" xr:uid="{00000000-0005-0000-0000-0000FF020000}"/>
    <cellStyle name="20% - Accent5 4 3 2" xfId="3293" xr:uid="{00000000-0005-0000-0000-000000030000}"/>
    <cellStyle name="20% - Accent5 4 3 2 2" xfId="7516" xr:uid="{00000000-0005-0000-0000-000001030000}"/>
    <cellStyle name="20% - Accent5 4 3 2 3" xfId="11255" xr:uid="{B0B75BFB-EC92-4A47-BD16-6DE3EB583F87}"/>
    <cellStyle name="20% - Accent5 4 3 3" xfId="5371" xr:uid="{00000000-0005-0000-0000-000002030000}"/>
    <cellStyle name="20% - Accent5 4 3 4" xfId="9597" xr:uid="{99A2F647-2012-4E42-A7EB-6F3583435285}"/>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4 4" xfId="10426" xr:uid="{AA802797-BAC1-4BAD-B38C-8222709CD55D}"/>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4 8" xfId="8765" xr:uid="{73E85264-E190-47E2-88B7-637937E46D8E}"/>
    <cellStyle name="20% - Accent5 5" xfId="602" xr:uid="{00000000-0005-0000-0000-00000E030000}"/>
    <cellStyle name="20% - Accent5 5 2" xfId="2873" xr:uid="{00000000-0005-0000-0000-00000F030000}"/>
    <cellStyle name="20% - Accent5 5 2 2" xfId="7096" xr:uid="{00000000-0005-0000-0000-000010030000}"/>
    <cellStyle name="20% - Accent5 5 2 2 2" xfId="11664" xr:uid="{DD18F4DF-F96F-48D7-80E5-049440CB59EA}"/>
    <cellStyle name="20% - Accent5 5 2 3" xfId="10006" xr:uid="{440B87F1-22A7-489B-98F8-8CB568FD1940}"/>
    <cellStyle name="20% - Accent5 5 3" xfId="4951" xr:uid="{00000000-0005-0000-0000-000011030000}"/>
    <cellStyle name="20% - Accent5 5 3 2" xfId="10835" xr:uid="{CEEDF651-F176-4522-AD9E-27E0E85C26A9}"/>
    <cellStyle name="20% - Accent5 5 4" xfId="9175" xr:uid="{6E4A286D-F602-4B4B-8DFF-12C2136558D5}"/>
    <cellStyle name="20% - Accent5 6" xfId="1055" xr:uid="{00000000-0005-0000-0000-000012030000}"/>
    <cellStyle name="20% - Accent5 6 2" xfId="3286" xr:uid="{00000000-0005-0000-0000-000013030000}"/>
    <cellStyle name="20% - Accent5 6 2 2" xfId="7509" xr:uid="{00000000-0005-0000-0000-000014030000}"/>
    <cellStyle name="20% - Accent5 6 2 3" xfId="11248" xr:uid="{44BD4C89-253D-4708-8E15-CDC60BF44F17}"/>
    <cellStyle name="20% - Accent5 6 3" xfId="5364" xr:uid="{00000000-0005-0000-0000-000015030000}"/>
    <cellStyle name="20% - Accent5 6 4" xfId="9590" xr:uid="{F27BA9A3-37EF-4184-8C07-C06C46D131F8}"/>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7 4" xfId="10419" xr:uid="{83AF90BC-B0A7-4427-BEF8-797403DA2B49}"/>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11" xfId="8766" xr:uid="{DEC0B966-9202-4701-9CFC-AB0C403F7754}"/>
    <cellStyle name="20% - Accent6 2" xfId="42" xr:uid="{00000000-0005-0000-0000-000022030000}"/>
    <cellStyle name="20% - Accent6 2 10" xfId="8767" xr:uid="{F4BDC8A3-6F7F-45DE-9D4D-7EC54C8C92D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1675" xr:uid="{A5E0AE6C-3033-440E-A02B-F405F2133AB9}"/>
    <cellStyle name="20% - Accent6 2 2 2 2 2 3" xfId="10017" xr:uid="{9291D186-A1CC-4AF9-8FB9-C015E214DAC5}"/>
    <cellStyle name="20% - Accent6 2 2 2 2 3" xfId="4962" xr:uid="{00000000-0005-0000-0000-000028030000}"/>
    <cellStyle name="20% - Accent6 2 2 2 2 3 2" xfId="10846" xr:uid="{5BE11C67-8CC4-4FF8-81CE-B6ADCE1CA179}"/>
    <cellStyle name="20% - Accent6 2 2 2 2 4" xfId="9186" xr:uid="{CEE32675-CB33-46E4-AD12-C0250E6135BA}"/>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3" xfId="11259" xr:uid="{FE90B7E3-A6C5-4C04-B184-6ADA070E021E}"/>
    <cellStyle name="20% - Accent6 2 2 2 3 3" xfId="5375" xr:uid="{00000000-0005-0000-0000-00002C030000}"/>
    <cellStyle name="20% - Accent6 2 2 2 3 4" xfId="9601" xr:uid="{BDCC9A8C-5F89-41BA-9FA0-619B4F00B722}"/>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4 4" xfId="10430" xr:uid="{2A908243-9BAB-4EAF-98C6-A2E16B7543E8}"/>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2 8" xfId="8769" xr:uid="{A6AE57E3-0D00-4741-8268-1C66510F5AB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1674" xr:uid="{0FB6FE7B-ED42-4AE4-AC86-94DAA9134A0A}"/>
    <cellStyle name="20% - Accent6 2 2 3 2 3" xfId="10016" xr:uid="{BA13B0CD-2FE2-4B2E-A69F-009D175B9BDC}"/>
    <cellStyle name="20% - Accent6 2 2 3 3" xfId="4961" xr:uid="{00000000-0005-0000-0000-00003B030000}"/>
    <cellStyle name="20% - Accent6 2 2 3 3 2" xfId="10845" xr:uid="{1E7C5636-C4F0-4870-926E-2B7FCFB62348}"/>
    <cellStyle name="20% - Accent6 2 2 3 4" xfId="9185" xr:uid="{EB39DB2E-ADBD-44B7-B325-E15498E9487C}"/>
    <cellStyle name="20% - Accent6 2 2 4" xfId="1065" xr:uid="{00000000-0005-0000-0000-00003C030000}"/>
    <cellStyle name="20% - Accent6 2 2 4 2" xfId="3296" xr:uid="{00000000-0005-0000-0000-00003D030000}"/>
    <cellStyle name="20% - Accent6 2 2 4 2 2" xfId="7519" xr:uid="{00000000-0005-0000-0000-00003E030000}"/>
    <cellStyle name="20% - Accent6 2 2 4 2 3" xfId="11258" xr:uid="{AD8F3E56-A58A-4152-9A9A-3F8D27A7B430}"/>
    <cellStyle name="20% - Accent6 2 2 4 3" xfId="5374" xr:uid="{00000000-0005-0000-0000-00003F030000}"/>
    <cellStyle name="20% - Accent6 2 2 4 4" xfId="9600" xr:uid="{0F38E5E2-7999-4750-A663-C52B59191378}"/>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5 4" xfId="10429" xr:uid="{390811E6-5117-498B-9D5A-BAE2FD462F74}"/>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2 9" xfId="8768" xr:uid="{8794C08E-C278-4EA1-A1F7-E1648DAA65D3}"/>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1676" xr:uid="{02C7A3B3-026C-4BF2-9C85-EBD1AB3F27EB}"/>
    <cellStyle name="20% - Accent6 2 3 2 2 3" xfId="10018" xr:uid="{050AE133-CD1A-4D0B-810E-7AC5FA85F674}"/>
    <cellStyle name="20% - Accent6 2 3 2 3" xfId="4963" xr:uid="{00000000-0005-0000-0000-00004F030000}"/>
    <cellStyle name="20% - Accent6 2 3 2 3 2" xfId="10847" xr:uid="{7E3D9A80-EB00-4ACD-BD17-7FA3C420D69F}"/>
    <cellStyle name="20% - Accent6 2 3 2 4" xfId="9187" xr:uid="{B3D1BACE-3D10-4A37-A765-A3BD9D17CFDE}"/>
    <cellStyle name="20% - Accent6 2 3 3" xfId="1067" xr:uid="{00000000-0005-0000-0000-000050030000}"/>
    <cellStyle name="20% - Accent6 2 3 3 2" xfId="3298" xr:uid="{00000000-0005-0000-0000-000051030000}"/>
    <cellStyle name="20% - Accent6 2 3 3 2 2" xfId="7521" xr:uid="{00000000-0005-0000-0000-000052030000}"/>
    <cellStyle name="20% - Accent6 2 3 3 2 3" xfId="11260" xr:uid="{634633D0-6740-4C65-9311-DB53652FD229}"/>
    <cellStyle name="20% - Accent6 2 3 3 3" xfId="5376" xr:uid="{00000000-0005-0000-0000-000053030000}"/>
    <cellStyle name="20% - Accent6 2 3 3 4" xfId="9602" xr:uid="{4C3779EA-BBC7-4CBD-9D42-B3C86AA0A55A}"/>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4 4" xfId="10431" xr:uid="{B3FEBA61-A391-44A9-9812-8215D1940146}"/>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3 8" xfId="8770" xr:uid="{F5F49C5E-8FAD-4CA8-A872-53B71A2D5547}"/>
    <cellStyle name="20% - Accent6 2 4" xfId="611" xr:uid="{00000000-0005-0000-0000-00005F030000}"/>
    <cellStyle name="20% - Accent6 2 4 2" xfId="2882" xr:uid="{00000000-0005-0000-0000-000060030000}"/>
    <cellStyle name="20% - Accent6 2 4 2 2" xfId="7105" xr:uid="{00000000-0005-0000-0000-000061030000}"/>
    <cellStyle name="20% - Accent6 2 4 2 2 2" xfId="11673" xr:uid="{8CD7987A-6C0C-4DB1-9235-4390A725A685}"/>
    <cellStyle name="20% - Accent6 2 4 2 3" xfId="10015" xr:uid="{E6E8DE38-9D4E-4FD3-AEB6-ED44D787DF53}"/>
    <cellStyle name="20% - Accent6 2 4 3" xfId="4960" xr:uid="{00000000-0005-0000-0000-000062030000}"/>
    <cellStyle name="20% - Accent6 2 4 3 2" xfId="10844" xr:uid="{5FD152F7-AAAC-4DC5-9C57-0D073B9745CE}"/>
    <cellStyle name="20% - Accent6 2 4 4" xfId="9184" xr:uid="{731FBC4E-53D7-442B-9FE3-FA10C785BF36}"/>
    <cellStyle name="20% - Accent6 2 5" xfId="1064" xr:uid="{00000000-0005-0000-0000-000063030000}"/>
    <cellStyle name="20% - Accent6 2 5 2" xfId="3295" xr:uid="{00000000-0005-0000-0000-000064030000}"/>
    <cellStyle name="20% - Accent6 2 5 2 2" xfId="7518" xr:uid="{00000000-0005-0000-0000-000065030000}"/>
    <cellStyle name="20% - Accent6 2 5 2 3" xfId="11257" xr:uid="{DB078C9A-79FB-4561-B5DD-6A5234F5C835}"/>
    <cellStyle name="20% - Accent6 2 5 3" xfId="5373" xr:uid="{00000000-0005-0000-0000-000066030000}"/>
    <cellStyle name="20% - Accent6 2 5 4" xfId="9599" xr:uid="{2A11CB51-2965-47C9-B1A2-02B13F934B4B}"/>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6 4" xfId="10428" xr:uid="{288C2022-3F74-4D9E-93D4-EE66BA33F8CE}"/>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1678" xr:uid="{DDC91FD4-236E-43CE-ABC0-B080CE383E06}"/>
    <cellStyle name="20% - Accent6 3 2 2 2 3" xfId="10020" xr:uid="{6CAB6BED-A46E-40A5-B5A7-EFACAE3CDCAC}"/>
    <cellStyle name="20% - Accent6 3 2 2 3" xfId="4965" xr:uid="{00000000-0005-0000-0000-000077030000}"/>
    <cellStyle name="20% - Accent6 3 2 2 3 2" xfId="10849" xr:uid="{D866649B-BEAC-4407-B727-FA956FACD52E}"/>
    <cellStyle name="20% - Accent6 3 2 2 4" xfId="9189" xr:uid="{23167F1E-C269-4516-86AB-C88ADD552F73}"/>
    <cellStyle name="20% - Accent6 3 2 3" xfId="1069" xr:uid="{00000000-0005-0000-0000-000078030000}"/>
    <cellStyle name="20% - Accent6 3 2 3 2" xfId="3300" xr:uid="{00000000-0005-0000-0000-000079030000}"/>
    <cellStyle name="20% - Accent6 3 2 3 2 2" xfId="7523" xr:uid="{00000000-0005-0000-0000-00007A030000}"/>
    <cellStyle name="20% - Accent6 3 2 3 2 3" xfId="11262" xr:uid="{767C00E2-63DB-4EA7-B40F-72042A8E9CD1}"/>
    <cellStyle name="20% - Accent6 3 2 3 3" xfId="5378" xr:uid="{00000000-0005-0000-0000-00007B030000}"/>
    <cellStyle name="20% - Accent6 3 2 3 4" xfId="9604" xr:uid="{DEF6EF89-F2F2-482D-BBCA-7797A46743D5}"/>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4 4" xfId="10433" xr:uid="{B5EF3E24-2EDC-405A-A42A-BF19B277893B}"/>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2 8" xfId="8772" xr:uid="{0031C38C-1319-4D73-87F6-6756180C41CA}"/>
    <cellStyle name="20% - Accent6 3 3" xfId="615" xr:uid="{00000000-0005-0000-0000-000087030000}"/>
    <cellStyle name="20% - Accent6 3 3 2" xfId="2886" xr:uid="{00000000-0005-0000-0000-000088030000}"/>
    <cellStyle name="20% - Accent6 3 3 2 2" xfId="7109" xr:uid="{00000000-0005-0000-0000-000089030000}"/>
    <cellStyle name="20% - Accent6 3 3 2 2 2" xfId="11677" xr:uid="{D893D2EC-4BBF-4F09-8B1D-1481B5ED0666}"/>
    <cellStyle name="20% - Accent6 3 3 2 3" xfId="10019" xr:uid="{B2F3D600-A0B1-4A5D-8A29-E4186DE5B4A2}"/>
    <cellStyle name="20% - Accent6 3 3 3" xfId="4964" xr:uid="{00000000-0005-0000-0000-00008A030000}"/>
    <cellStyle name="20% - Accent6 3 3 3 2" xfId="10848" xr:uid="{EB2BBBBE-62E2-4B90-B192-6945D2A17781}"/>
    <cellStyle name="20% - Accent6 3 3 4" xfId="9188" xr:uid="{862F8E3F-CC34-4BCD-A669-EA32F5D29541}"/>
    <cellStyle name="20% - Accent6 3 4" xfId="1068" xr:uid="{00000000-0005-0000-0000-00008B030000}"/>
    <cellStyle name="20% - Accent6 3 4 2" xfId="3299" xr:uid="{00000000-0005-0000-0000-00008C030000}"/>
    <cellStyle name="20% - Accent6 3 4 2 2" xfId="7522" xr:uid="{00000000-0005-0000-0000-00008D030000}"/>
    <cellStyle name="20% - Accent6 3 4 2 3" xfId="11261" xr:uid="{45CD65AB-A196-4D43-B907-842855C2BC63}"/>
    <cellStyle name="20% - Accent6 3 4 3" xfId="5377" xr:uid="{00000000-0005-0000-0000-00008E030000}"/>
    <cellStyle name="20% - Accent6 3 4 4" xfId="9603" xr:uid="{058B82FD-AAED-4A8D-A5B2-4749EA7B54DD}"/>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5 4" xfId="10432" xr:uid="{CD4F335F-3313-49E4-AE79-43DB8F6955DC}"/>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3 9" xfId="8771" xr:uid="{47D49B07-3E73-4A00-8CFA-446F02D70155}"/>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1679" xr:uid="{F4620C5E-380B-46C0-9393-F4FAA32DC247}"/>
    <cellStyle name="20% - Accent6 4 2 2 3" xfId="10021" xr:uid="{2B74AAB3-308A-4192-9272-6B1F9B9DB5D3}"/>
    <cellStyle name="20% - Accent6 4 2 3" xfId="4966" xr:uid="{00000000-0005-0000-0000-00009E030000}"/>
    <cellStyle name="20% - Accent6 4 2 3 2" xfId="10850" xr:uid="{A6F0DABB-7CB3-49D9-B7ED-E9C429E005BA}"/>
    <cellStyle name="20% - Accent6 4 2 4" xfId="9190" xr:uid="{E824E84E-2175-474D-BE3D-3A31CFEF8489}"/>
    <cellStyle name="20% - Accent6 4 3" xfId="1070" xr:uid="{00000000-0005-0000-0000-00009F030000}"/>
    <cellStyle name="20% - Accent6 4 3 2" xfId="3301" xr:uid="{00000000-0005-0000-0000-0000A0030000}"/>
    <cellStyle name="20% - Accent6 4 3 2 2" xfId="7524" xr:uid="{00000000-0005-0000-0000-0000A1030000}"/>
    <cellStyle name="20% - Accent6 4 3 2 3" xfId="11263" xr:uid="{7D5C0BE9-6362-4C40-AF9F-4B2A71173EAA}"/>
    <cellStyle name="20% - Accent6 4 3 3" xfId="5379" xr:uid="{00000000-0005-0000-0000-0000A2030000}"/>
    <cellStyle name="20% - Accent6 4 3 4" xfId="9605" xr:uid="{95390D2A-B654-4F15-90FF-B232C95B4F82}"/>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4 4" xfId="10434" xr:uid="{67784150-F543-48D8-9217-CF267F9D3179}"/>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4 8" xfId="8773" xr:uid="{56BB0C56-1D32-454B-A01C-51ECC06CDA49}"/>
    <cellStyle name="20% - Accent6 5" xfId="610" xr:uid="{00000000-0005-0000-0000-0000AE030000}"/>
    <cellStyle name="20% - Accent6 5 2" xfId="2881" xr:uid="{00000000-0005-0000-0000-0000AF030000}"/>
    <cellStyle name="20% - Accent6 5 2 2" xfId="7104" xr:uid="{00000000-0005-0000-0000-0000B0030000}"/>
    <cellStyle name="20% - Accent6 5 2 2 2" xfId="11672" xr:uid="{5C3BCCE3-01D2-44C3-9C7A-E1AFB0A77FAE}"/>
    <cellStyle name="20% - Accent6 5 2 3" xfId="10014" xr:uid="{B3137739-5E7A-4D6B-B34A-05060A3DE406}"/>
    <cellStyle name="20% - Accent6 5 3" xfId="4959" xr:uid="{00000000-0005-0000-0000-0000B1030000}"/>
    <cellStyle name="20% - Accent6 5 3 2" xfId="10843" xr:uid="{41EF727C-49E9-4718-AE8E-AA8D5272875B}"/>
    <cellStyle name="20% - Accent6 5 4" xfId="9183" xr:uid="{E3B35009-C1CC-4511-90EC-60CC34D2CFFA}"/>
    <cellStyle name="20% - Accent6 6" xfId="1063" xr:uid="{00000000-0005-0000-0000-0000B2030000}"/>
    <cellStyle name="20% - Accent6 6 2" xfId="3294" xr:uid="{00000000-0005-0000-0000-0000B3030000}"/>
    <cellStyle name="20% - Accent6 6 2 2" xfId="7517" xr:uid="{00000000-0005-0000-0000-0000B4030000}"/>
    <cellStyle name="20% - Accent6 6 2 3" xfId="11256" xr:uid="{796F98B0-9E18-4B7C-93E5-F897BB7C932E}"/>
    <cellStyle name="20% - Accent6 6 3" xfId="5372" xr:uid="{00000000-0005-0000-0000-0000B5030000}"/>
    <cellStyle name="20% - Accent6 6 4" xfId="9598" xr:uid="{2F337DCB-83D3-4039-BC2D-37821042C0F2}"/>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7 4" xfId="10427" xr:uid="{9BEB0D70-7D1F-4185-B91B-A0FC1D6195C9}"/>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11" xfId="8774" xr:uid="{A7A1E4D1-7CA3-44F0-B226-03C273B8CF30}"/>
    <cellStyle name="40% - Accent1 2" xfId="50" xr:uid="{00000000-0005-0000-0000-0000C2030000}"/>
    <cellStyle name="40% - Accent1 2 10" xfId="8775" xr:uid="{8DB2D426-A3B4-4A7E-BBB5-59D0D1DF553D}"/>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1683" xr:uid="{DF646108-369B-4BD4-A81E-6C4C655DAC34}"/>
    <cellStyle name="40% - Accent1 2 2 2 2 2 3" xfId="10025" xr:uid="{AD261275-B594-45FA-82EF-957A1D0C28E0}"/>
    <cellStyle name="40% - Accent1 2 2 2 2 3" xfId="4970" xr:uid="{00000000-0005-0000-0000-0000C8030000}"/>
    <cellStyle name="40% - Accent1 2 2 2 2 3 2" xfId="10854" xr:uid="{9D2E7F11-111B-45A5-891A-EB16E9212D92}"/>
    <cellStyle name="40% - Accent1 2 2 2 2 4" xfId="9194" xr:uid="{303E7AC8-8E8A-4CB7-B47D-AC4BDAF545E5}"/>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3" xfId="11267" xr:uid="{9E7E0B79-D21C-42D2-BD2D-BF313B6B61C5}"/>
    <cellStyle name="40% - Accent1 2 2 2 3 3" xfId="5383" xr:uid="{00000000-0005-0000-0000-0000CC030000}"/>
    <cellStyle name="40% - Accent1 2 2 2 3 4" xfId="9609" xr:uid="{1FFDA866-1C7C-40A9-928C-4992356468D4}"/>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4 4" xfId="10438" xr:uid="{3C443643-B62A-4918-A6B4-54DA1EAD4941}"/>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2 8" xfId="8777" xr:uid="{6878CECD-FE8D-4E3B-9667-3ACF28CDBBAC}"/>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1682" xr:uid="{BD8244DE-9E5E-49C5-813D-4BA24D646EB3}"/>
    <cellStyle name="40% - Accent1 2 2 3 2 3" xfId="10024" xr:uid="{6225F23B-4C67-42B9-80BD-68E4E8AD1DD3}"/>
    <cellStyle name="40% - Accent1 2 2 3 3" xfId="4969" xr:uid="{00000000-0005-0000-0000-0000DB030000}"/>
    <cellStyle name="40% - Accent1 2 2 3 3 2" xfId="10853" xr:uid="{544ED0F7-3D07-4B38-AE16-9B3F4BCF50BC}"/>
    <cellStyle name="40% - Accent1 2 2 3 4" xfId="9193" xr:uid="{51762BDE-77A3-4043-82E4-0DDEDEACE9E1}"/>
    <cellStyle name="40% - Accent1 2 2 4" xfId="1073" xr:uid="{00000000-0005-0000-0000-0000DC030000}"/>
    <cellStyle name="40% - Accent1 2 2 4 2" xfId="3304" xr:uid="{00000000-0005-0000-0000-0000DD030000}"/>
    <cellStyle name="40% - Accent1 2 2 4 2 2" xfId="7527" xr:uid="{00000000-0005-0000-0000-0000DE030000}"/>
    <cellStyle name="40% - Accent1 2 2 4 2 3" xfId="11266" xr:uid="{5EA9C3D5-9D03-4DCF-95E2-37B8045B2B2A}"/>
    <cellStyle name="40% - Accent1 2 2 4 3" xfId="5382" xr:uid="{00000000-0005-0000-0000-0000DF030000}"/>
    <cellStyle name="40% - Accent1 2 2 4 4" xfId="9608" xr:uid="{89FAB2EF-5E1E-4535-ADCC-A65BE36766F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5 4" xfId="10437" xr:uid="{9515BC81-BA81-4DDE-98C9-369A8E15FBCC}"/>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2 9" xfId="8776" xr:uid="{7CD54831-66DA-4F25-B456-DBB13FC02C0D}"/>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1684" xr:uid="{8045B794-A4E9-4CE0-B8B6-8071854CB7E4}"/>
    <cellStyle name="40% - Accent1 2 3 2 2 3" xfId="10026" xr:uid="{DE6639F4-B9DF-45C8-9532-C8E24DD4234C}"/>
    <cellStyle name="40% - Accent1 2 3 2 3" xfId="4971" xr:uid="{00000000-0005-0000-0000-0000EF030000}"/>
    <cellStyle name="40% - Accent1 2 3 2 3 2" xfId="10855" xr:uid="{CDF81795-095A-4111-8E6C-E94CFDB020CF}"/>
    <cellStyle name="40% - Accent1 2 3 2 4" xfId="9195" xr:uid="{B5CD4B32-7BE0-46E6-AAA6-F07909189B1A}"/>
    <cellStyle name="40% - Accent1 2 3 3" xfId="1075" xr:uid="{00000000-0005-0000-0000-0000F0030000}"/>
    <cellStyle name="40% - Accent1 2 3 3 2" xfId="3306" xr:uid="{00000000-0005-0000-0000-0000F1030000}"/>
    <cellStyle name="40% - Accent1 2 3 3 2 2" xfId="7529" xr:uid="{00000000-0005-0000-0000-0000F2030000}"/>
    <cellStyle name="40% - Accent1 2 3 3 2 3" xfId="11268" xr:uid="{61022451-2897-4A99-BEEC-DF5476965B72}"/>
    <cellStyle name="40% - Accent1 2 3 3 3" xfId="5384" xr:uid="{00000000-0005-0000-0000-0000F3030000}"/>
    <cellStyle name="40% - Accent1 2 3 3 4" xfId="9610" xr:uid="{182404FA-CD98-43F1-94C0-7A3CCC1E83D4}"/>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4 4" xfId="10439" xr:uid="{4F887F19-FBC9-4553-8C0C-C17B9AE18F06}"/>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3 8" xfId="8778" xr:uid="{9DA1573F-E170-43BE-8FE5-EA0F087DD111}"/>
    <cellStyle name="40% - Accent1 2 4" xfId="619" xr:uid="{00000000-0005-0000-0000-0000FF030000}"/>
    <cellStyle name="40% - Accent1 2 4 2" xfId="2890" xr:uid="{00000000-0005-0000-0000-000000040000}"/>
    <cellStyle name="40% - Accent1 2 4 2 2" xfId="7113" xr:uid="{00000000-0005-0000-0000-000001040000}"/>
    <cellStyle name="40% - Accent1 2 4 2 2 2" xfId="11681" xr:uid="{FA8E16FD-AE77-4A17-A5AB-7FB063585323}"/>
    <cellStyle name="40% - Accent1 2 4 2 3" xfId="10023" xr:uid="{18FE1608-3508-42E2-9E5B-A9B583B846FE}"/>
    <cellStyle name="40% - Accent1 2 4 3" xfId="4968" xr:uid="{00000000-0005-0000-0000-000002040000}"/>
    <cellStyle name="40% - Accent1 2 4 3 2" xfId="10852" xr:uid="{DFA12321-8153-4971-BD4F-CE0B37621B24}"/>
    <cellStyle name="40% - Accent1 2 4 4" xfId="9192" xr:uid="{901BC183-9BC6-47D9-BA8E-3501CC7B1307}"/>
    <cellStyle name="40% - Accent1 2 5" xfId="1072" xr:uid="{00000000-0005-0000-0000-000003040000}"/>
    <cellStyle name="40% - Accent1 2 5 2" xfId="3303" xr:uid="{00000000-0005-0000-0000-000004040000}"/>
    <cellStyle name="40% - Accent1 2 5 2 2" xfId="7526" xr:uid="{00000000-0005-0000-0000-000005040000}"/>
    <cellStyle name="40% - Accent1 2 5 2 3" xfId="11265" xr:uid="{08D23FCB-6032-4373-8594-50C9C20F4F12}"/>
    <cellStyle name="40% - Accent1 2 5 3" xfId="5381" xr:uid="{00000000-0005-0000-0000-000006040000}"/>
    <cellStyle name="40% - Accent1 2 5 4" xfId="9607" xr:uid="{D7D3BE0D-08DE-4E60-BD34-373D403F5EB5}"/>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6 4" xfId="10436" xr:uid="{B009F4B1-E874-4BE6-8280-A37F3087C9D3}"/>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1686" xr:uid="{C9F45918-0083-4CBC-B84D-36E8BF2BF20F}"/>
    <cellStyle name="40% - Accent1 3 2 2 2 3" xfId="10028" xr:uid="{0CD5AB9B-0C85-490F-8C90-D118DA004871}"/>
    <cellStyle name="40% - Accent1 3 2 2 3" xfId="4973" xr:uid="{00000000-0005-0000-0000-000017040000}"/>
    <cellStyle name="40% - Accent1 3 2 2 3 2" xfId="10857" xr:uid="{D04E30A5-4F7A-4D20-8978-F22C0D06706E}"/>
    <cellStyle name="40% - Accent1 3 2 2 4" xfId="9197" xr:uid="{94C63DA8-1D3E-4F50-93F7-4003770532EA}"/>
    <cellStyle name="40% - Accent1 3 2 3" xfId="1077" xr:uid="{00000000-0005-0000-0000-000018040000}"/>
    <cellStyle name="40% - Accent1 3 2 3 2" xfId="3308" xr:uid="{00000000-0005-0000-0000-000019040000}"/>
    <cellStyle name="40% - Accent1 3 2 3 2 2" xfId="7531" xr:uid="{00000000-0005-0000-0000-00001A040000}"/>
    <cellStyle name="40% - Accent1 3 2 3 2 3" xfId="11270" xr:uid="{16D9B70B-9BC2-4F6C-A7C8-8CE3DE49CB6C}"/>
    <cellStyle name="40% - Accent1 3 2 3 3" xfId="5386" xr:uid="{00000000-0005-0000-0000-00001B040000}"/>
    <cellStyle name="40% - Accent1 3 2 3 4" xfId="9612" xr:uid="{65DBA5EC-7CE9-40CE-A930-C6C5CEF1CD6B}"/>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4 4" xfId="10441" xr:uid="{07DAC2F6-CBEF-4C92-988A-4284888C72D6}"/>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2 8" xfId="8780" xr:uid="{4E8194E2-B9D4-4E5F-8C7E-37A70CC15603}"/>
    <cellStyle name="40% - Accent1 3 3" xfId="623" xr:uid="{00000000-0005-0000-0000-000027040000}"/>
    <cellStyle name="40% - Accent1 3 3 2" xfId="2894" xr:uid="{00000000-0005-0000-0000-000028040000}"/>
    <cellStyle name="40% - Accent1 3 3 2 2" xfId="7117" xr:uid="{00000000-0005-0000-0000-000029040000}"/>
    <cellStyle name="40% - Accent1 3 3 2 2 2" xfId="11685" xr:uid="{B3EF097D-D066-448E-9195-8A88F881DCC9}"/>
    <cellStyle name="40% - Accent1 3 3 2 3" xfId="10027" xr:uid="{E45981CE-0BDD-49CE-9569-A7467282C14E}"/>
    <cellStyle name="40% - Accent1 3 3 3" xfId="4972" xr:uid="{00000000-0005-0000-0000-00002A040000}"/>
    <cellStyle name="40% - Accent1 3 3 3 2" xfId="10856" xr:uid="{63EAF38A-65E5-4C33-9382-F3594D4E0403}"/>
    <cellStyle name="40% - Accent1 3 3 4" xfId="9196" xr:uid="{5F7468E3-BF9C-4465-BFD3-84EC6FD41B79}"/>
    <cellStyle name="40% - Accent1 3 4" xfId="1076" xr:uid="{00000000-0005-0000-0000-00002B040000}"/>
    <cellStyle name="40% - Accent1 3 4 2" xfId="3307" xr:uid="{00000000-0005-0000-0000-00002C040000}"/>
    <cellStyle name="40% - Accent1 3 4 2 2" xfId="7530" xr:uid="{00000000-0005-0000-0000-00002D040000}"/>
    <cellStyle name="40% - Accent1 3 4 2 3" xfId="11269" xr:uid="{650C7546-FA55-48A1-91F2-70A8D770FE40}"/>
    <cellStyle name="40% - Accent1 3 4 3" xfId="5385" xr:uid="{00000000-0005-0000-0000-00002E040000}"/>
    <cellStyle name="40% - Accent1 3 4 4" xfId="9611" xr:uid="{DAC7E325-85CD-4FA0-AF46-0537DF3F8444}"/>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5 4" xfId="10440" xr:uid="{307D4391-4CB3-4BC6-AFE2-9EC291F55455}"/>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3 9" xfId="8779" xr:uid="{74823F16-DD0C-4827-9307-63854EBF42B4}"/>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1687" xr:uid="{63E5BFC4-CCD9-4FE1-8102-6637DDFB8738}"/>
    <cellStyle name="40% - Accent1 4 2 2 3" xfId="10029" xr:uid="{9B9AE154-1D23-4857-9D6C-E85BCDF802C5}"/>
    <cellStyle name="40% - Accent1 4 2 3" xfId="4974" xr:uid="{00000000-0005-0000-0000-00003E040000}"/>
    <cellStyle name="40% - Accent1 4 2 3 2" xfId="10858" xr:uid="{BC23825B-3AE7-42AF-B09A-CAB4CEEC6977}"/>
    <cellStyle name="40% - Accent1 4 2 4" xfId="9198" xr:uid="{74EF5882-7C38-441E-9E88-193FFA61E5B9}"/>
    <cellStyle name="40% - Accent1 4 3" xfId="1078" xr:uid="{00000000-0005-0000-0000-00003F040000}"/>
    <cellStyle name="40% - Accent1 4 3 2" xfId="3309" xr:uid="{00000000-0005-0000-0000-000040040000}"/>
    <cellStyle name="40% - Accent1 4 3 2 2" xfId="7532" xr:uid="{00000000-0005-0000-0000-000041040000}"/>
    <cellStyle name="40% - Accent1 4 3 2 3" xfId="11271" xr:uid="{C16AF2FB-E39B-4321-90D5-A1D5095DDEC0}"/>
    <cellStyle name="40% - Accent1 4 3 3" xfId="5387" xr:uid="{00000000-0005-0000-0000-000042040000}"/>
    <cellStyle name="40% - Accent1 4 3 4" xfId="9613" xr:uid="{938555BF-F37B-48D1-82C9-32C7C5B1EBE3}"/>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4 4" xfId="10442" xr:uid="{6027DCA9-271B-4F34-9243-B8B6E98A968A}"/>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4 8" xfId="8781" xr:uid="{56BF5EE0-12E2-4CD4-BE4B-22B154DB09A6}"/>
    <cellStyle name="40% - Accent1 5" xfId="618" xr:uid="{00000000-0005-0000-0000-00004E040000}"/>
    <cellStyle name="40% - Accent1 5 2" xfId="2889" xr:uid="{00000000-0005-0000-0000-00004F040000}"/>
    <cellStyle name="40% - Accent1 5 2 2" xfId="7112" xr:uid="{00000000-0005-0000-0000-000050040000}"/>
    <cellStyle name="40% - Accent1 5 2 2 2" xfId="11680" xr:uid="{FD51EECF-318A-4EAF-9700-0F110157CC03}"/>
    <cellStyle name="40% - Accent1 5 2 3" xfId="10022" xr:uid="{B5A0FA0E-0367-44A7-8B14-9EC49DDA34A2}"/>
    <cellStyle name="40% - Accent1 5 3" xfId="4967" xr:uid="{00000000-0005-0000-0000-000051040000}"/>
    <cellStyle name="40% - Accent1 5 3 2" xfId="10851" xr:uid="{B8EFB23C-B9D3-40D4-AEFC-7F16EC6A8651}"/>
    <cellStyle name="40% - Accent1 5 4" xfId="9191" xr:uid="{14A1638E-521A-4ECB-B8B0-76F54AF54CAF}"/>
    <cellStyle name="40% - Accent1 6" xfId="1071" xr:uid="{00000000-0005-0000-0000-000052040000}"/>
    <cellStyle name="40% - Accent1 6 2" xfId="3302" xr:uid="{00000000-0005-0000-0000-000053040000}"/>
    <cellStyle name="40% - Accent1 6 2 2" xfId="7525" xr:uid="{00000000-0005-0000-0000-000054040000}"/>
    <cellStyle name="40% - Accent1 6 2 3" xfId="11264" xr:uid="{3B01A45B-A6E6-4F2C-A455-51CE04862339}"/>
    <cellStyle name="40% - Accent1 6 3" xfId="5380" xr:uid="{00000000-0005-0000-0000-000055040000}"/>
    <cellStyle name="40% - Accent1 6 4" xfId="9606" xr:uid="{2974F381-1593-4045-B551-202FE2319398}"/>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7 4" xfId="10435" xr:uid="{B5C21797-FF97-4081-A5BC-11FCF60BACDF}"/>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11" xfId="8782" xr:uid="{05380902-2D14-410F-8C5D-1799280BA137}"/>
    <cellStyle name="40% - Accent2 2" xfId="58" xr:uid="{00000000-0005-0000-0000-000062040000}"/>
    <cellStyle name="40% - Accent2 2 10" xfId="8783" xr:uid="{D08F2F90-6016-43E4-9A98-1F379F0D6E3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1691" xr:uid="{FECAFDA5-741C-4924-A240-43C6B7FDE712}"/>
    <cellStyle name="40% - Accent2 2 2 2 2 2 3" xfId="10033" xr:uid="{F773F036-E6A2-4AB5-92C0-C4F0EB8D5FEE}"/>
    <cellStyle name="40% - Accent2 2 2 2 2 3" xfId="4978" xr:uid="{00000000-0005-0000-0000-000068040000}"/>
    <cellStyle name="40% - Accent2 2 2 2 2 3 2" xfId="10862" xr:uid="{A18689ED-88B1-4C58-8F9B-B7AE34ECB308}"/>
    <cellStyle name="40% - Accent2 2 2 2 2 4" xfId="9202" xr:uid="{275F9D96-D37C-4599-AF87-C72EB1B775A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3" xfId="11275" xr:uid="{92004810-1DA4-4349-B33D-E8660CCAD6F0}"/>
    <cellStyle name="40% - Accent2 2 2 2 3 3" xfId="5391" xr:uid="{00000000-0005-0000-0000-00006C040000}"/>
    <cellStyle name="40% - Accent2 2 2 2 3 4" xfId="9617" xr:uid="{7217EEE0-AA99-4483-A96A-744D771FA11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4 4" xfId="10446" xr:uid="{6ECAD0BF-BAE1-4E55-ADDD-EFF0F548DD48}"/>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2 8" xfId="8785" xr:uid="{6E6672A2-1AAB-4920-BB62-15D2559B1C89}"/>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1690" xr:uid="{5B351301-CE32-4074-9494-EE4DE34509E1}"/>
    <cellStyle name="40% - Accent2 2 2 3 2 3" xfId="10032" xr:uid="{3D69DFD5-3C34-4E86-A349-493F39270D87}"/>
    <cellStyle name="40% - Accent2 2 2 3 3" xfId="4977" xr:uid="{00000000-0005-0000-0000-00007B040000}"/>
    <cellStyle name="40% - Accent2 2 2 3 3 2" xfId="10861" xr:uid="{04B91D98-4DFE-4B41-9E82-4E9E2F5BB854}"/>
    <cellStyle name="40% - Accent2 2 2 3 4" xfId="9201" xr:uid="{0C418482-C632-4659-95F0-5F227A32C301}"/>
    <cellStyle name="40% - Accent2 2 2 4" xfId="1081" xr:uid="{00000000-0005-0000-0000-00007C040000}"/>
    <cellStyle name="40% - Accent2 2 2 4 2" xfId="3312" xr:uid="{00000000-0005-0000-0000-00007D040000}"/>
    <cellStyle name="40% - Accent2 2 2 4 2 2" xfId="7535" xr:uid="{00000000-0005-0000-0000-00007E040000}"/>
    <cellStyle name="40% - Accent2 2 2 4 2 3" xfId="11274" xr:uid="{60FF6BD5-32DA-4254-8269-3467AAC8347B}"/>
    <cellStyle name="40% - Accent2 2 2 4 3" xfId="5390" xr:uid="{00000000-0005-0000-0000-00007F040000}"/>
    <cellStyle name="40% - Accent2 2 2 4 4" xfId="9616" xr:uid="{8CB03795-7845-40B4-9E15-81D2F3BA8A61}"/>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5 4" xfId="10445" xr:uid="{80A27C53-7E7B-4974-87E7-CF5559BE78FC}"/>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2 9" xfId="8784" xr:uid="{D95240AF-96CD-45D6-8E02-0788F7B94E09}"/>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1692" xr:uid="{07D279BE-928B-4BF9-B8D1-287AECC11F2E}"/>
    <cellStyle name="40% - Accent2 2 3 2 2 3" xfId="10034" xr:uid="{F1C1A539-3480-4AA9-B36A-3D1A0021569C}"/>
    <cellStyle name="40% - Accent2 2 3 2 3" xfId="4979" xr:uid="{00000000-0005-0000-0000-00008F040000}"/>
    <cellStyle name="40% - Accent2 2 3 2 3 2" xfId="10863" xr:uid="{31E4C433-5170-4945-860D-C892B35FEDEA}"/>
    <cellStyle name="40% - Accent2 2 3 2 4" xfId="9203" xr:uid="{F83EF01C-FC32-4168-BF80-DD3500BEC3D2}"/>
    <cellStyle name="40% - Accent2 2 3 3" xfId="1083" xr:uid="{00000000-0005-0000-0000-000090040000}"/>
    <cellStyle name="40% - Accent2 2 3 3 2" xfId="3314" xr:uid="{00000000-0005-0000-0000-000091040000}"/>
    <cellStyle name="40% - Accent2 2 3 3 2 2" xfId="7537" xr:uid="{00000000-0005-0000-0000-000092040000}"/>
    <cellStyle name="40% - Accent2 2 3 3 2 3" xfId="11276" xr:uid="{5FD50104-E899-42D4-A5B4-EB7197894733}"/>
    <cellStyle name="40% - Accent2 2 3 3 3" xfId="5392" xr:uid="{00000000-0005-0000-0000-000093040000}"/>
    <cellStyle name="40% - Accent2 2 3 3 4" xfId="9618" xr:uid="{576ABE6B-2FF2-40C0-8E5C-53772E503C6B}"/>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4 4" xfId="10447" xr:uid="{CA9780CE-031D-4C1E-9541-6100E0B025C9}"/>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3 8" xfId="8786" xr:uid="{B1C5A298-A743-497A-A0BF-F6E70FE2DB98}"/>
    <cellStyle name="40% - Accent2 2 4" xfId="627" xr:uid="{00000000-0005-0000-0000-00009F040000}"/>
    <cellStyle name="40% - Accent2 2 4 2" xfId="2898" xr:uid="{00000000-0005-0000-0000-0000A0040000}"/>
    <cellStyle name="40% - Accent2 2 4 2 2" xfId="7121" xr:uid="{00000000-0005-0000-0000-0000A1040000}"/>
    <cellStyle name="40% - Accent2 2 4 2 2 2" xfId="11689" xr:uid="{DECC5DE9-3962-475A-BB17-26968D5C6FBD}"/>
    <cellStyle name="40% - Accent2 2 4 2 3" xfId="10031" xr:uid="{DB0980AE-89B2-41FE-8D0A-207A7D307224}"/>
    <cellStyle name="40% - Accent2 2 4 3" xfId="4976" xr:uid="{00000000-0005-0000-0000-0000A2040000}"/>
    <cellStyle name="40% - Accent2 2 4 3 2" xfId="10860" xr:uid="{29876CE7-81BC-4031-A589-5C79FC5DC437}"/>
    <cellStyle name="40% - Accent2 2 4 4" xfId="9200" xr:uid="{BA359E65-8F2E-4654-BC95-4E5DD3BE98B3}"/>
    <cellStyle name="40% - Accent2 2 5" xfId="1080" xr:uid="{00000000-0005-0000-0000-0000A3040000}"/>
    <cellStyle name="40% - Accent2 2 5 2" xfId="3311" xr:uid="{00000000-0005-0000-0000-0000A4040000}"/>
    <cellStyle name="40% - Accent2 2 5 2 2" xfId="7534" xr:uid="{00000000-0005-0000-0000-0000A5040000}"/>
    <cellStyle name="40% - Accent2 2 5 2 3" xfId="11273" xr:uid="{5080F76B-F576-4E14-B29D-4EA05093BB87}"/>
    <cellStyle name="40% - Accent2 2 5 3" xfId="5389" xr:uid="{00000000-0005-0000-0000-0000A6040000}"/>
    <cellStyle name="40% - Accent2 2 5 4" xfId="9615" xr:uid="{87C90733-F860-4280-A2C5-45B271AD7678}"/>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6 4" xfId="10444" xr:uid="{0C0705CE-1E8A-4A10-9246-E1C5FDEA0DB3}"/>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1694" xr:uid="{DF78FC4C-7A10-4A98-8741-E1EEE8DA9147}"/>
    <cellStyle name="40% - Accent2 3 2 2 2 3" xfId="10036" xr:uid="{145E0F7F-F3CF-40DE-8D61-3B9A240EBDC7}"/>
    <cellStyle name="40% - Accent2 3 2 2 3" xfId="4981" xr:uid="{00000000-0005-0000-0000-0000B7040000}"/>
    <cellStyle name="40% - Accent2 3 2 2 3 2" xfId="10865" xr:uid="{9023CC65-C0E1-4FA0-A914-7E0A53A292FF}"/>
    <cellStyle name="40% - Accent2 3 2 2 4" xfId="9205" xr:uid="{621B252F-FB0F-4C2E-A1FD-754D1E82DB56}"/>
    <cellStyle name="40% - Accent2 3 2 3" xfId="1085" xr:uid="{00000000-0005-0000-0000-0000B8040000}"/>
    <cellStyle name="40% - Accent2 3 2 3 2" xfId="3316" xr:uid="{00000000-0005-0000-0000-0000B9040000}"/>
    <cellStyle name="40% - Accent2 3 2 3 2 2" xfId="7539" xr:uid="{00000000-0005-0000-0000-0000BA040000}"/>
    <cellStyle name="40% - Accent2 3 2 3 2 3" xfId="11278" xr:uid="{A0A998CD-FDC7-47C3-B63A-D45F4B19C215}"/>
    <cellStyle name="40% - Accent2 3 2 3 3" xfId="5394" xr:uid="{00000000-0005-0000-0000-0000BB040000}"/>
    <cellStyle name="40% - Accent2 3 2 3 4" xfId="9620" xr:uid="{7483770A-7685-455C-9367-CC42DFF9EA8C}"/>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4 4" xfId="10449" xr:uid="{826BAAB0-8107-4BBB-9E52-8252B04BF628}"/>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2 8" xfId="8788" xr:uid="{36E395FC-BAB0-454A-B6BC-5CC59A1D2776}"/>
    <cellStyle name="40% - Accent2 3 3" xfId="631" xr:uid="{00000000-0005-0000-0000-0000C7040000}"/>
    <cellStyle name="40% - Accent2 3 3 2" xfId="2902" xr:uid="{00000000-0005-0000-0000-0000C8040000}"/>
    <cellStyle name="40% - Accent2 3 3 2 2" xfId="7125" xr:uid="{00000000-0005-0000-0000-0000C9040000}"/>
    <cellStyle name="40% - Accent2 3 3 2 2 2" xfId="11693" xr:uid="{B88CE602-F4D9-45FA-B29D-A0AC019FB873}"/>
    <cellStyle name="40% - Accent2 3 3 2 3" xfId="10035" xr:uid="{950D4B54-B6BE-440A-A483-5433BDAE149D}"/>
    <cellStyle name="40% - Accent2 3 3 3" xfId="4980" xr:uid="{00000000-0005-0000-0000-0000CA040000}"/>
    <cellStyle name="40% - Accent2 3 3 3 2" xfId="10864" xr:uid="{37488674-0573-48F1-A564-1D2AF7BCDAF2}"/>
    <cellStyle name="40% - Accent2 3 3 4" xfId="9204" xr:uid="{2E905732-AA39-4839-B2AD-1B24881A8432}"/>
    <cellStyle name="40% - Accent2 3 4" xfId="1084" xr:uid="{00000000-0005-0000-0000-0000CB040000}"/>
    <cellStyle name="40% - Accent2 3 4 2" xfId="3315" xr:uid="{00000000-0005-0000-0000-0000CC040000}"/>
    <cellStyle name="40% - Accent2 3 4 2 2" xfId="7538" xr:uid="{00000000-0005-0000-0000-0000CD040000}"/>
    <cellStyle name="40% - Accent2 3 4 2 3" xfId="11277" xr:uid="{DDF70DE4-2EDB-4BA3-A92A-8CC2F4E46920}"/>
    <cellStyle name="40% - Accent2 3 4 3" xfId="5393" xr:uid="{00000000-0005-0000-0000-0000CE040000}"/>
    <cellStyle name="40% - Accent2 3 4 4" xfId="9619" xr:uid="{5D757F82-96C5-4DC7-ADAA-A8B987438BE1}"/>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5 4" xfId="10448" xr:uid="{CE792EF5-EC40-4DA0-B8D7-1D3F666A1633}"/>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3 9" xfId="8787" xr:uid="{B499284C-BB30-4C15-A2DF-BA03332EEFB7}"/>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1695" xr:uid="{2ACC269B-B7B0-4506-8D57-0BB286268E72}"/>
    <cellStyle name="40% - Accent2 4 2 2 3" xfId="10037" xr:uid="{41AD35FE-7FF5-4214-A951-D4924154D560}"/>
    <cellStyle name="40% - Accent2 4 2 3" xfId="4982" xr:uid="{00000000-0005-0000-0000-0000DE040000}"/>
    <cellStyle name="40% - Accent2 4 2 3 2" xfId="10866" xr:uid="{180E1D63-B94E-413C-8059-48F602315B52}"/>
    <cellStyle name="40% - Accent2 4 2 4" xfId="9206" xr:uid="{D61BAB8A-1944-4716-8EDD-FBEE2D0C883C}"/>
    <cellStyle name="40% - Accent2 4 3" xfId="1086" xr:uid="{00000000-0005-0000-0000-0000DF040000}"/>
    <cellStyle name="40% - Accent2 4 3 2" xfId="3317" xr:uid="{00000000-0005-0000-0000-0000E0040000}"/>
    <cellStyle name="40% - Accent2 4 3 2 2" xfId="7540" xr:uid="{00000000-0005-0000-0000-0000E1040000}"/>
    <cellStyle name="40% - Accent2 4 3 2 3" xfId="11279" xr:uid="{D8DADBA8-773C-45B5-A5C7-C6FCFA9F7A1F}"/>
    <cellStyle name="40% - Accent2 4 3 3" xfId="5395" xr:uid="{00000000-0005-0000-0000-0000E2040000}"/>
    <cellStyle name="40% - Accent2 4 3 4" xfId="9621" xr:uid="{EB43207F-7D54-484F-80FA-60DFB342045D}"/>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4 4" xfId="10450" xr:uid="{199EB97F-57CB-4F54-A15E-8B549253E21B}"/>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4 8" xfId="8789" xr:uid="{30295E2E-7F84-4EE6-B8B4-A0F8D9DA149A}"/>
    <cellStyle name="40% - Accent2 5" xfId="626" xr:uid="{00000000-0005-0000-0000-0000EE040000}"/>
    <cellStyle name="40% - Accent2 5 2" xfId="2897" xr:uid="{00000000-0005-0000-0000-0000EF040000}"/>
    <cellStyle name="40% - Accent2 5 2 2" xfId="7120" xr:uid="{00000000-0005-0000-0000-0000F0040000}"/>
    <cellStyle name="40% - Accent2 5 2 2 2" xfId="11688" xr:uid="{EF046DC7-B62D-4C4F-8ED0-E04739CAB4CA}"/>
    <cellStyle name="40% - Accent2 5 2 3" xfId="10030" xr:uid="{6D76D4DB-5B9A-4A22-B285-9A5285F53857}"/>
    <cellStyle name="40% - Accent2 5 3" xfId="4975" xr:uid="{00000000-0005-0000-0000-0000F1040000}"/>
    <cellStyle name="40% - Accent2 5 3 2" xfId="10859" xr:uid="{86E43875-825B-4701-A68E-2B6BF3E51B43}"/>
    <cellStyle name="40% - Accent2 5 4" xfId="9199" xr:uid="{94C3211D-9754-42B3-8292-B2E6B657DBB7}"/>
    <cellStyle name="40% - Accent2 6" xfId="1079" xr:uid="{00000000-0005-0000-0000-0000F2040000}"/>
    <cellStyle name="40% - Accent2 6 2" xfId="3310" xr:uid="{00000000-0005-0000-0000-0000F3040000}"/>
    <cellStyle name="40% - Accent2 6 2 2" xfId="7533" xr:uid="{00000000-0005-0000-0000-0000F4040000}"/>
    <cellStyle name="40% - Accent2 6 2 3" xfId="11272" xr:uid="{1B92058B-5205-4295-A690-CB2A4CC34B61}"/>
    <cellStyle name="40% - Accent2 6 3" xfId="5388" xr:uid="{00000000-0005-0000-0000-0000F5040000}"/>
    <cellStyle name="40% - Accent2 6 4" xfId="9614" xr:uid="{01B90A27-223B-4D29-8F90-CC18F9B42DC3}"/>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7 4" xfId="10443" xr:uid="{FF43007A-9CFB-4758-B6A1-25062E38481A}"/>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11" xfId="8790" xr:uid="{FAB8EFF9-9B1F-4A02-8278-0089CBE3DE77}"/>
    <cellStyle name="40% - Accent3 2" xfId="66" xr:uid="{00000000-0005-0000-0000-000002050000}"/>
    <cellStyle name="40% - Accent3 2 10" xfId="8791" xr:uid="{316B0B06-42E3-4966-B3CA-2D981731BBE4}"/>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1699" xr:uid="{0A6C9A62-1C8A-45DE-B1B0-205AAD1C1232}"/>
    <cellStyle name="40% - Accent3 2 2 2 2 2 3" xfId="10041" xr:uid="{73B15313-B22B-4090-8C43-FECFF4E2ADDD}"/>
    <cellStyle name="40% - Accent3 2 2 2 2 3" xfId="4986" xr:uid="{00000000-0005-0000-0000-000008050000}"/>
    <cellStyle name="40% - Accent3 2 2 2 2 3 2" xfId="10870" xr:uid="{1D8D49FD-485C-4862-8E79-7FA32B3766E1}"/>
    <cellStyle name="40% - Accent3 2 2 2 2 4" xfId="9210" xr:uid="{32C34979-859C-4764-8B99-3541A8162991}"/>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3" xfId="11283" xr:uid="{FDB28FD1-E17A-4957-BE0D-270BEF8A79E0}"/>
    <cellStyle name="40% - Accent3 2 2 2 3 3" xfId="5399" xr:uid="{00000000-0005-0000-0000-00000C050000}"/>
    <cellStyle name="40% - Accent3 2 2 2 3 4" xfId="9625" xr:uid="{837E09A5-F5B6-465A-BB8E-771A88700A2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4 4" xfId="10454" xr:uid="{4A83E28F-77DF-4A5A-AE82-88C9C9E06309}"/>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2 8" xfId="8793" xr:uid="{B32BB71C-C4EE-49A1-85EB-6E052522A67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1698" xr:uid="{F6477E26-6223-4123-AB46-BCE3E376AC8E}"/>
    <cellStyle name="40% - Accent3 2 2 3 2 3" xfId="10040" xr:uid="{B4AC76A7-E1C9-434A-8E25-12E9A8BABA52}"/>
    <cellStyle name="40% - Accent3 2 2 3 3" xfId="4985" xr:uid="{00000000-0005-0000-0000-00001B050000}"/>
    <cellStyle name="40% - Accent3 2 2 3 3 2" xfId="10869" xr:uid="{EF112114-7218-4A2F-A1AC-458054B0C516}"/>
    <cellStyle name="40% - Accent3 2 2 3 4" xfId="9209" xr:uid="{593C3CA1-F445-48D3-95C5-10858C6AA7A7}"/>
    <cellStyle name="40% - Accent3 2 2 4" xfId="1089" xr:uid="{00000000-0005-0000-0000-00001C050000}"/>
    <cellStyle name="40% - Accent3 2 2 4 2" xfId="3320" xr:uid="{00000000-0005-0000-0000-00001D050000}"/>
    <cellStyle name="40% - Accent3 2 2 4 2 2" xfId="7543" xr:uid="{00000000-0005-0000-0000-00001E050000}"/>
    <cellStyle name="40% - Accent3 2 2 4 2 3" xfId="11282" xr:uid="{47E1D42D-7BC9-41DC-9C13-98CA96D70F02}"/>
    <cellStyle name="40% - Accent3 2 2 4 3" xfId="5398" xr:uid="{00000000-0005-0000-0000-00001F050000}"/>
    <cellStyle name="40% - Accent3 2 2 4 4" xfId="9624" xr:uid="{1499C020-CE70-47B2-A697-68CFCED99AB7}"/>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5 4" xfId="10453" xr:uid="{E1C30FCD-34F8-486D-8E80-71CADB3A0526}"/>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2 9" xfId="8792" xr:uid="{1291D232-96CF-42C7-8C86-D941EEEC5B16}"/>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1700" xr:uid="{99AEDA81-9734-48D7-80A5-947EF5E0D08A}"/>
    <cellStyle name="40% - Accent3 2 3 2 2 3" xfId="10042" xr:uid="{3ABC0A67-8281-4156-AB23-6E49478A41BA}"/>
    <cellStyle name="40% - Accent3 2 3 2 3" xfId="4987" xr:uid="{00000000-0005-0000-0000-00002F050000}"/>
    <cellStyle name="40% - Accent3 2 3 2 3 2" xfId="10871" xr:uid="{35CE408F-95C9-4A3D-B581-ADA21A233B4B}"/>
    <cellStyle name="40% - Accent3 2 3 2 4" xfId="9211" xr:uid="{BF41D466-9E1C-4C68-AC97-D030D1774DA2}"/>
    <cellStyle name="40% - Accent3 2 3 3" xfId="1091" xr:uid="{00000000-0005-0000-0000-000030050000}"/>
    <cellStyle name="40% - Accent3 2 3 3 2" xfId="3322" xr:uid="{00000000-0005-0000-0000-000031050000}"/>
    <cellStyle name="40% - Accent3 2 3 3 2 2" xfId="7545" xr:uid="{00000000-0005-0000-0000-000032050000}"/>
    <cellStyle name="40% - Accent3 2 3 3 2 3" xfId="11284" xr:uid="{CE539082-9371-46EA-B731-3EBE2CB7B8ED}"/>
    <cellStyle name="40% - Accent3 2 3 3 3" xfId="5400" xr:uid="{00000000-0005-0000-0000-000033050000}"/>
    <cellStyle name="40% - Accent3 2 3 3 4" xfId="9626" xr:uid="{6CDE3DA6-E3EE-4B0F-B480-3F5D256549A5}"/>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4 4" xfId="10455" xr:uid="{178CFFA4-1B5D-40BF-A428-5D603F7A0308}"/>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3 8" xfId="8794" xr:uid="{C989FB1D-4E0E-4297-A40B-A5068C034EC6}"/>
    <cellStyle name="40% - Accent3 2 4" xfId="635" xr:uid="{00000000-0005-0000-0000-00003F050000}"/>
    <cellStyle name="40% - Accent3 2 4 2" xfId="2906" xr:uid="{00000000-0005-0000-0000-000040050000}"/>
    <cellStyle name="40% - Accent3 2 4 2 2" xfId="7129" xr:uid="{00000000-0005-0000-0000-000041050000}"/>
    <cellStyle name="40% - Accent3 2 4 2 2 2" xfId="11697" xr:uid="{BE863EF0-F7B0-4C5B-80D6-BA3CF941B5EE}"/>
    <cellStyle name="40% - Accent3 2 4 2 3" xfId="10039" xr:uid="{BC7503F1-6FFC-4EC9-9DFA-CDF09591F63B}"/>
    <cellStyle name="40% - Accent3 2 4 3" xfId="4984" xr:uid="{00000000-0005-0000-0000-000042050000}"/>
    <cellStyle name="40% - Accent3 2 4 3 2" xfId="10868" xr:uid="{5539EE29-0918-49B5-8F84-C83F73F574E3}"/>
    <cellStyle name="40% - Accent3 2 4 4" xfId="9208" xr:uid="{7A229801-8CBB-4FD6-859B-4EE496163522}"/>
    <cellStyle name="40% - Accent3 2 5" xfId="1088" xr:uid="{00000000-0005-0000-0000-000043050000}"/>
    <cellStyle name="40% - Accent3 2 5 2" xfId="3319" xr:uid="{00000000-0005-0000-0000-000044050000}"/>
    <cellStyle name="40% - Accent3 2 5 2 2" xfId="7542" xr:uid="{00000000-0005-0000-0000-000045050000}"/>
    <cellStyle name="40% - Accent3 2 5 2 3" xfId="11281" xr:uid="{FE22014A-C6A9-4052-BA3F-4076D378D2C3}"/>
    <cellStyle name="40% - Accent3 2 5 3" xfId="5397" xr:uid="{00000000-0005-0000-0000-000046050000}"/>
    <cellStyle name="40% - Accent3 2 5 4" xfId="9623" xr:uid="{96495A2D-2F77-4C8A-B4E4-5B6694934BDA}"/>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6 4" xfId="10452" xr:uid="{905AB09B-B2B9-4918-9289-8AA5D6AE04D1}"/>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1702" xr:uid="{FC8C5B49-1B67-46CD-A6B2-32A2C9DE8B3B}"/>
    <cellStyle name="40% - Accent3 3 2 2 2 3" xfId="10044" xr:uid="{A8B6FBBE-836B-4817-B190-4EDDDB77D98D}"/>
    <cellStyle name="40% - Accent3 3 2 2 3" xfId="4989" xr:uid="{00000000-0005-0000-0000-000057050000}"/>
    <cellStyle name="40% - Accent3 3 2 2 3 2" xfId="10873" xr:uid="{9D5AA253-0CA1-4F63-872A-30A38EBE0D2E}"/>
    <cellStyle name="40% - Accent3 3 2 2 4" xfId="9213" xr:uid="{221684E4-004B-46B1-AC99-FBB0F581A69B}"/>
    <cellStyle name="40% - Accent3 3 2 3" xfId="1093" xr:uid="{00000000-0005-0000-0000-000058050000}"/>
    <cellStyle name="40% - Accent3 3 2 3 2" xfId="3324" xr:uid="{00000000-0005-0000-0000-000059050000}"/>
    <cellStyle name="40% - Accent3 3 2 3 2 2" xfId="7547" xr:uid="{00000000-0005-0000-0000-00005A050000}"/>
    <cellStyle name="40% - Accent3 3 2 3 2 3" xfId="11286" xr:uid="{918D9C8C-9FC6-4559-835C-242C5A76376C}"/>
    <cellStyle name="40% - Accent3 3 2 3 3" xfId="5402" xr:uid="{00000000-0005-0000-0000-00005B050000}"/>
    <cellStyle name="40% - Accent3 3 2 3 4" xfId="9628" xr:uid="{EB70123B-D1A7-4300-806E-609643630B2B}"/>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4 4" xfId="10457" xr:uid="{9A1CECAE-6CAF-4D4B-99D1-02A5F0ACD467}"/>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2 8" xfId="8796" xr:uid="{75C29E53-E0B6-4014-A644-4604B41B5ABB}"/>
    <cellStyle name="40% - Accent3 3 3" xfId="639" xr:uid="{00000000-0005-0000-0000-000067050000}"/>
    <cellStyle name="40% - Accent3 3 3 2" xfId="2910" xr:uid="{00000000-0005-0000-0000-000068050000}"/>
    <cellStyle name="40% - Accent3 3 3 2 2" xfId="7133" xr:uid="{00000000-0005-0000-0000-000069050000}"/>
    <cellStyle name="40% - Accent3 3 3 2 2 2" xfId="11701" xr:uid="{4D5C52C6-3678-4C2D-A43D-DCAF43F07E8B}"/>
    <cellStyle name="40% - Accent3 3 3 2 3" xfId="10043" xr:uid="{A1151559-504F-4453-9E32-B3EDCBBBC66A}"/>
    <cellStyle name="40% - Accent3 3 3 3" xfId="4988" xr:uid="{00000000-0005-0000-0000-00006A050000}"/>
    <cellStyle name="40% - Accent3 3 3 3 2" xfId="10872" xr:uid="{5BB2D854-F082-4674-8512-E00B47CCD092}"/>
    <cellStyle name="40% - Accent3 3 3 4" xfId="9212" xr:uid="{76F4D82F-9DA6-4159-8C32-1FCFCA1A560F}"/>
    <cellStyle name="40% - Accent3 3 4" xfId="1092" xr:uid="{00000000-0005-0000-0000-00006B050000}"/>
    <cellStyle name="40% - Accent3 3 4 2" xfId="3323" xr:uid="{00000000-0005-0000-0000-00006C050000}"/>
    <cellStyle name="40% - Accent3 3 4 2 2" xfId="7546" xr:uid="{00000000-0005-0000-0000-00006D050000}"/>
    <cellStyle name="40% - Accent3 3 4 2 3" xfId="11285" xr:uid="{72A2CB5C-92C7-4D26-AFE4-4868A56C63FF}"/>
    <cellStyle name="40% - Accent3 3 4 3" xfId="5401" xr:uid="{00000000-0005-0000-0000-00006E050000}"/>
    <cellStyle name="40% - Accent3 3 4 4" xfId="9627" xr:uid="{D64B6DFA-C33F-47FF-AD35-D0C92E5C6B1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5 4" xfId="10456" xr:uid="{0B0B2F0B-8996-43CF-9EE9-7609DAB423C4}"/>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3 9" xfId="8795" xr:uid="{5DB42B8B-2B4B-4758-8CED-089BBFDEDF69}"/>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1703" xr:uid="{0A6274AD-5D2E-48B8-9442-8D78354FF962}"/>
    <cellStyle name="40% - Accent3 4 2 2 3" xfId="10045" xr:uid="{4A604429-409D-458B-8FF2-E21C9C83FCFF}"/>
    <cellStyle name="40% - Accent3 4 2 3" xfId="4990" xr:uid="{00000000-0005-0000-0000-00007E050000}"/>
    <cellStyle name="40% - Accent3 4 2 3 2" xfId="10874" xr:uid="{5DEEE977-52AA-4B24-9096-D9E49842D19F}"/>
    <cellStyle name="40% - Accent3 4 2 4" xfId="9214" xr:uid="{D7CE08AA-84B3-432A-A41D-F8A0BEB88B43}"/>
    <cellStyle name="40% - Accent3 4 3" xfId="1094" xr:uid="{00000000-0005-0000-0000-00007F050000}"/>
    <cellStyle name="40% - Accent3 4 3 2" xfId="3325" xr:uid="{00000000-0005-0000-0000-000080050000}"/>
    <cellStyle name="40% - Accent3 4 3 2 2" xfId="7548" xr:uid="{00000000-0005-0000-0000-000081050000}"/>
    <cellStyle name="40% - Accent3 4 3 2 3" xfId="11287" xr:uid="{D8A98B4A-F72C-4A64-BAE0-5FB43D04C0F6}"/>
    <cellStyle name="40% - Accent3 4 3 3" xfId="5403" xr:uid="{00000000-0005-0000-0000-000082050000}"/>
    <cellStyle name="40% - Accent3 4 3 4" xfId="9629" xr:uid="{A0C9147F-3306-47FD-A4EE-8BB6748BE384}"/>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4 4" xfId="10458" xr:uid="{85FBB21D-D3A8-4DA0-B42F-B8091D604974}"/>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4 8" xfId="8797" xr:uid="{94C98C35-3351-4DE3-BBB9-182C267AFF1D}"/>
    <cellStyle name="40% - Accent3 5" xfId="634" xr:uid="{00000000-0005-0000-0000-00008E050000}"/>
    <cellStyle name="40% - Accent3 5 2" xfId="2905" xr:uid="{00000000-0005-0000-0000-00008F050000}"/>
    <cellStyle name="40% - Accent3 5 2 2" xfId="7128" xr:uid="{00000000-0005-0000-0000-000090050000}"/>
    <cellStyle name="40% - Accent3 5 2 2 2" xfId="11696" xr:uid="{0E307E20-4B57-455B-90A4-081A0FFF1B8B}"/>
    <cellStyle name="40% - Accent3 5 2 3" xfId="10038" xr:uid="{85CCEB2E-7128-4A73-8BC5-E44F97FA5012}"/>
    <cellStyle name="40% - Accent3 5 3" xfId="4983" xr:uid="{00000000-0005-0000-0000-000091050000}"/>
    <cellStyle name="40% - Accent3 5 3 2" xfId="10867" xr:uid="{ECFF7CB2-B61A-496B-B818-5858F2393933}"/>
    <cellStyle name="40% - Accent3 5 4" xfId="9207" xr:uid="{7CF4CB8E-4F8A-4D5E-BD91-75DFCD2F267B}"/>
    <cellStyle name="40% - Accent3 6" xfId="1087" xr:uid="{00000000-0005-0000-0000-000092050000}"/>
    <cellStyle name="40% - Accent3 6 2" xfId="3318" xr:uid="{00000000-0005-0000-0000-000093050000}"/>
    <cellStyle name="40% - Accent3 6 2 2" xfId="7541" xr:uid="{00000000-0005-0000-0000-000094050000}"/>
    <cellStyle name="40% - Accent3 6 2 3" xfId="11280" xr:uid="{7EE4CEA0-9E46-420B-BA21-592D23AE8454}"/>
    <cellStyle name="40% - Accent3 6 3" xfId="5396" xr:uid="{00000000-0005-0000-0000-000095050000}"/>
    <cellStyle name="40% - Accent3 6 4" xfId="9622" xr:uid="{F965EE6A-0E81-45BE-A5F8-CC53D69F6007}"/>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7 4" xfId="10451" xr:uid="{1F80C89D-7997-4FA0-9ACF-691E83561C2A}"/>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11" xfId="8798" xr:uid="{F7CC8A61-6673-43C2-90CB-4DD646AD6C70}"/>
    <cellStyle name="40% - Accent4 2" xfId="74" xr:uid="{00000000-0005-0000-0000-0000A2050000}"/>
    <cellStyle name="40% - Accent4 2 10" xfId="8799" xr:uid="{3082018C-D7FE-43C9-8B6A-0B20CBE99662}"/>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1707" xr:uid="{A24A198A-9E96-4CED-A78B-042389FDA4D6}"/>
    <cellStyle name="40% - Accent4 2 2 2 2 2 3" xfId="10049" xr:uid="{8B302744-7C4A-4CA4-8431-9F4633DDF158}"/>
    <cellStyle name="40% - Accent4 2 2 2 2 3" xfId="4994" xr:uid="{00000000-0005-0000-0000-0000A8050000}"/>
    <cellStyle name="40% - Accent4 2 2 2 2 3 2" xfId="10878" xr:uid="{9C737F4E-A25B-4141-BC88-B993D65640ED}"/>
    <cellStyle name="40% - Accent4 2 2 2 2 4" xfId="9218" xr:uid="{FD743E4B-D8F6-425F-97D2-BA541C29BC89}"/>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3" xfId="11291" xr:uid="{AB1C6C89-B57C-49FD-8AE5-13FD8A49EA9F}"/>
    <cellStyle name="40% - Accent4 2 2 2 3 3" xfId="5407" xr:uid="{00000000-0005-0000-0000-0000AC050000}"/>
    <cellStyle name="40% - Accent4 2 2 2 3 4" xfId="9633" xr:uid="{EA12A863-98CB-4C72-AEC3-4DE3731707F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4 4" xfId="10462" xr:uid="{E86F7852-BC24-4ECF-A26D-948923CDDC63}"/>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2 8" xfId="8801" xr:uid="{2D5C9115-033A-4CF4-872E-C6FED6A8426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1706" xr:uid="{EB9158E7-CDC4-482F-97DC-9F8F96ED69AE}"/>
    <cellStyle name="40% - Accent4 2 2 3 2 3" xfId="10048" xr:uid="{03641C55-A50C-43C6-AC54-AE983D0F578F}"/>
    <cellStyle name="40% - Accent4 2 2 3 3" xfId="4993" xr:uid="{00000000-0005-0000-0000-0000BB050000}"/>
    <cellStyle name="40% - Accent4 2 2 3 3 2" xfId="10877" xr:uid="{5214206F-4040-451D-8B16-005504CA4B00}"/>
    <cellStyle name="40% - Accent4 2 2 3 4" xfId="9217" xr:uid="{2F54BA3E-880D-41E7-A10A-CD263692E61F}"/>
    <cellStyle name="40% - Accent4 2 2 4" xfId="1097" xr:uid="{00000000-0005-0000-0000-0000BC050000}"/>
    <cellStyle name="40% - Accent4 2 2 4 2" xfId="3328" xr:uid="{00000000-0005-0000-0000-0000BD050000}"/>
    <cellStyle name="40% - Accent4 2 2 4 2 2" xfId="7551" xr:uid="{00000000-0005-0000-0000-0000BE050000}"/>
    <cellStyle name="40% - Accent4 2 2 4 2 3" xfId="11290" xr:uid="{B743CF88-9807-4298-ADAE-5447DC1036B6}"/>
    <cellStyle name="40% - Accent4 2 2 4 3" xfId="5406" xr:uid="{00000000-0005-0000-0000-0000BF050000}"/>
    <cellStyle name="40% - Accent4 2 2 4 4" xfId="9632" xr:uid="{FF878088-2505-447B-A7CD-B725E5BA5E8D}"/>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5 4" xfId="10461" xr:uid="{70DADBF4-1E09-4AE6-9C05-176F9A3775EC}"/>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2 9" xfId="8800" xr:uid="{305DB3A3-4B7A-4B3B-81AF-815F5544D18A}"/>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1708" xr:uid="{E80B449A-ABD4-4801-9135-42FEFACDF821}"/>
    <cellStyle name="40% - Accent4 2 3 2 2 3" xfId="10050" xr:uid="{1E5AC4F2-3226-4C03-9AF0-F994A633FDC1}"/>
    <cellStyle name="40% - Accent4 2 3 2 3" xfId="4995" xr:uid="{00000000-0005-0000-0000-0000CF050000}"/>
    <cellStyle name="40% - Accent4 2 3 2 3 2" xfId="10879" xr:uid="{4940FC02-54CD-439D-9E51-A268019FACA7}"/>
    <cellStyle name="40% - Accent4 2 3 2 4" xfId="9219" xr:uid="{DFF2C488-44D8-4C44-96F2-932A376A5137}"/>
    <cellStyle name="40% - Accent4 2 3 3" xfId="1099" xr:uid="{00000000-0005-0000-0000-0000D0050000}"/>
    <cellStyle name="40% - Accent4 2 3 3 2" xfId="3330" xr:uid="{00000000-0005-0000-0000-0000D1050000}"/>
    <cellStyle name="40% - Accent4 2 3 3 2 2" xfId="7553" xr:uid="{00000000-0005-0000-0000-0000D2050000}"/>
    <cellStyle name="40% - Accent4 2 3 3 2 3" xfId="11292" xr:uid="{B3367D42-26E3-48B3-8358-AE01D7D969AA}"/>
    <cellStyle name="40% - Accent4 2 3 3 3" xfId="5408" xr:uid="{00000000-0005-0000-0000-0000D3050000}"/>
    <cellStyle name="40% - Accent4 2 3 3 4" xfId="9634" xr:uid="{2386939C-D204-46D7-818B-DA184A938D3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4 4" xfId="10463" xr:uid="{72FDA7B2-5081-46FA-A7AC-B7719610B2C1}"/>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3 8" xfId="8802" xr:uid="{D4B38336-B7BF-4BCC-AF1F-18A537380A3F}"/>
    <cellStyle name="40% - Accent4 2 4" xfId="643" xr:uid="{00000000-0005-0000-0000-0000DF050000}"/>
    <cellStyle name="40% - Accent4 2 4 2" xfId="2914" xr:uid="{00000000-0005-0000-0000-0000E0050000}"/>
    <cellStyle name="40% - Accent4 2 4 2 2" xfId="7137" xr:uid="{00000000-0005-0000-0000-0000E1050000}"/>
    <cellStyle name="40% - Accent4 2 4 2 2 2" xfId="11705" xr:uid="{6756B2D2-46B9-42E8-889F-59614E1EE4C4}"/>
    <cellStyle name="40% - Accent4 2 4 2 3" xfId="10047" xr:uid="{D0804313-9272-4556-8FF3-8EEA8510C7FE}"/>
    <cellStyle name="40% - Accent4 2 4 3" xfId="4992" xr:uid="{00000000-0005-0000-0000-0000E2050000}"/>
    <cellStyle name="40% - Accent4 2 4 3 2" xfId="10876" xr:uid="{F4C28505-0A98-4EA6-BA01-E68E879BD6E0}"/>
    <cellStyle name="40% - Accent4 2 4 4" xfId="9216" xr:uid="{FB7DC7D5-71E8-4466-B6B8-EA6F591E6160}"/>
    <cellStyle name="40% - Accent4 2 5" xfId="1096" xr:uid="{00000000-0005-0000-0000-0000E3050000}"/>
    <cellStyle name="40% - Accent4 2 5 2" xfId="3327" xr:uid="{00000000-0005-0000-0000-0000E4050000}"/>
    <cellStyle name="40% - Accent4 2 5 2 2" xfId="7550" xr:uid="{00000000-0005-0000-0000-0000E5050000}"/>
    <cellStyle name="40% - Accent4 2 5 2 3" xfId="11289" xr:uid="{1FA46D26-3B30-4DE0-A668-347865B84755}"/>
    <cellStyle name="40% - Accent4 2 5 3" xfId="5405" xr:uid="{00000000-0005-0000-0000-0000E6050000}"/>
    <cellStyle name="40% - Accent4 2 5 4" xfId="9631" xr:uid="{B1251A44-39C7-4861-88DA-46DAF3A0E378}"/>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6 4" xfId="10460" xr:uid="{D0505D26-DB61-417C-958C-62BF4831939C}"/>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1710" xr:uid="{25137904-8B27-43B5-9CB2-1C613EA21239}"/>
    <cellStyle name="40% - Accent4 3 2 2 2 3" xfId="10052" xr:uid="{BF4B2A53-2974-404C-B68A-091862C86611}"/>
    <cellStyle name="40% - Accent4 3 2 2 3" xfId="4997" xr:uid="{00000000-0005-0000-0000-0000F7050000}"/>
    <cellStyle name="40% - Accent4 3 2 2 3 2" xfId="10881" xr:uid="{4746A5B7-4573-4712-B00E-07A6C30EB764}"/>
    <cellStyle name="40% - Accent4 3 2 2 4" xfId="9221" xr:uid="{8B6B0D68-765A-4664-8450-C74C8A63D0BD}"/>
    <cellStyle name="40% - Accent4 3 2 3" xfId="1101" xr:uid="{00000000-0005-0000-0000-0000F8050000}"/>
    <cellStyle name="40% - Accent4 3 2 3 2" xfId="3332" xr:uid="{00000000-0005-0000-0000-0000F9050000}"/>
    <cellStyle name="40% - Accent4 3 2 3 2 2" xfId="7555" xr:uid="{00000000-0005-0000-0000-0000FA050000}"/>
    <cellStyle name="40% - Accent4 3 2 3 2 3" xfId="11294" xr:uid="{6ABCA8B7-5037-4FE0-9004-883FC24B34CF}"/>
    <cellStyle name="40% - Accent4 3 2 3 3" xfId="5410" xr:uid="{00000000-0005-0000-0000-0000FB050000}"/>
    <cellStyle name="40% - Accent4 3 2 3 4" xfId="9636" xr:uid="{0073F344-1146-4814-A8BB-A15F0C7773F5}"/>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4 4" xfId="10465" xr:uid="{010B46A2-6FF1-4B46-ADDD-7653AB832FDD}"/>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2 8" xfId="8804" xr:uid="{FDFBE20F-815E-4BD5-98DE-787838519447}"/>
    <cellStyle name="40% - Accent4 3 3" xfId="647" xr:uid="{00000000-0005-0000-0000-000007060000}"/>
    <cellStyle name="40% - Accent4 3 3 2" xfId="2918" xr:uid="{00000000-0005-0000-0000-000008060000}"/>
    <cellStyle name="40% - Accent4 3 3 2 2" xfId="7141" xr:uid="{00000000-0005-0000-0000-000009060000}"/>
    <cellStyle name="40% - Accent4 3 3 2 2 2" xfId="11709" xr:uid="{B71CA667-D9DD-4FD5-8A1F-D48EFB6B929A}"/>
    <cellStyle name="40% - Accent4 3 3 2 3" xfId="10051" xr:uid="{2AC3DB7A-99F2-4FD1-B687-EE120647A889}"/>
    <cellStyle name="40% - Accent4 3 3 3" xfId="4996" xr:uid="{00000000-0005-0000-0000-00000A060000}"/>
    <cellStyle name="40% - Accent4 3 3 3 2" xfId="10880" xr:uid="{300764BB-3129-4785-B2EC-18ACB682D018}"/>
    <cellStyle name="40% - Accent4 3 3 4" xfId="9220" xr:uid="{FEAC12B7-46EE-4847-A576-C41014A393AE}"/>
    <cellStyle name="40% - Accent4 3 4" xfId="1100" xr:uid="{00000000-0005-0000-0000-00000B060000}"/>
    <cellStyle name="40% - Accent4 3 4 2" xfId="3331" xr:uid="{00000000-0005-0000-0000-00000C060000}"/>
    <cellStyle name="40% - Accent4 3 4 2 2" xfId="7554" xr:uid="{00000000-0005-0000-0000-00000D060000}"/>
    <cellStyle name="40% - Accent4 3 4 2 3" xfId="11293" xr:uid="{A17BF3AF-26E0-429B-96DC-2A224C0255F7}"/>
    <cellStyle name="40% - Accent4 3 4 3" xfId="5409" xr:uid="{00000000-0005-0000-0000-00000E060000}"/>
    <cellStyle name="40% - Accent4 3 4 4" xfId="9635" xr:uid="{BBFBCA1B-4371-4804-94B9-907BD70E8ED9}"/>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5 4" xfId="10464" xr:uid="{A7372BB2-A578-4BFA-9EC5-449BA503E41F}"/>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3 9" xfId="8803" xr:uid="{418564C2-D6A3-45BD-977F-38E06974DC5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1711" xr:uid="{BCECB365-B435-4A8D-8BC7-C309F1C4C941}"/>
    <cellStyle name="40% - Accent4 4 2 2 3" xfId="10053" xr:uid="{8A65B784-6E02-44E8-9A48-CE6F9B62087D}"/>
    <cellStyle name="40% - Accent4 4 2 3" xfId="4998" xr:uid="{00000000-0005-0000-0000-00001E060000}"/>
    <cellStyle name="40% - Accent4 4 2 3 2" xfId="10882" xr:uid="{0773F21E-A862-4CE3-8697-1FD8C3C5FF8D}"/>
    <cellStyle name="40% - Accent4 4 2 4" xfId="9222" xr:uid="{5A97B534-1FC6-4BEC-98FB-968B2D4DFCF6}"/>
    <cellStyle name="40% - Accent4 4 3" xfId="1102" xr:uid="{00000000-0005-0000-0000-00001F060000}"/>
    <cellStyle name="40% - Accent4 4 3 2" xfId="3333" xr:uid="{00000000-0005-0000-0000-000020060000}"/>
    <cellStyle name="40% - Accent4 4 3 2 2" xfId="7556" xr:uid="{00000000-0005-0000-0000-000021060000}"/>
    <cellStyle name="40% - Accent4 4 3 2 3" xfId="11295" xr:uid="{328757BF-C8BC-4703-8D06-E97FE9CF56CF}"/>
    <cellStyle name="40% - Accent4 4 3 3" xfId="5411" xr:uid="{00000000-0005-0000-0000-000022060000}"/>
    <cellStyle name="40% - Accent4 4 3 4" xfId="9637" xr:uid="{DCC92E89-EDF8-400B-AE91-F0F26F2F009B}"/>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4 4" xfId="10466" xr:uid="{55A1EAC1-D259-4B96-B05F-51A49CF5BF86}"/>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4 8" xfId="8805" xr:uid="{900DE9CA-03BA-495D-8702-46E5F5E45887}"/>
    <cellStyle name="40% - Accent4 5" xfId="642" xr:uid="{00000000-0005-0000-0000-00002E060000}"/>
    <cellStyle name="40% - Accent4 5 2" xfId="2913" xr:uid="{00000000-0005-0000-0000-00002F060000}"/>
    <cellStyle name="40% - Accent4 5 2 2" xfId="7136" xr:uid="{00000000-0005-0000-0000-000030060000}"/>
    <cellStyle name="40% - Accent4 5 2 2 2" xfId="11704" xr:uid="{39A6B830-F555-46F7-AAAB-E148AF55BE51}"/>
    <cellStyle name="40% - Accent4 5 2 3" xfId="10046" xr:uid="{CE5F8398-AA08-44AF-80B0-40A6F3DB28CE}"/>
    <cellStyle name="40% - Accent4 5 3" xfId="4991" xr:uid="{00000000-0005-0000-0000-000031060000}"/>
    <cellStyle name="40% - Accent4 5 3 2" xfId="10875" xr:uid="{9975E76E-8C59-456B-B698-0FCC4C1699D4}"/>
    <cellStyle name="40% - Accent4 5 4" xfId="9215" xr:uid="{688B4FB1-A9E9-49AF-AC7F-2ADB644102E1}"/>
    <cellStyle name="40% - Accent4 6" xfId="1095" xr:uid="{00000000-0005-0000-0000-000032060000}"/>
    <cellStyle name="40% - Accent4 6 2" xfId="3326" xr:uid="{00000000-0005-0000-0000-000033060000}"/>
    <cellStyle name="40% - Accent4 6 2 2" xfId="7549" xr:uid="{00000000-0005-0000-0000-000034060000}"/>
    <cellStyle name="40% - Accent4 6 2 3" xfId="11288" xr:uid="{A2D1661B-65C3-448D-B7DB-30D18B3C4743}"/>
    <cellStyle name="40% - Accent4 6 3" xfId="5404" xr:uid="{00000000-0005-0000-0000-000035060000}"/>
    <cellStyle name="40% - Accent4 6 4" xfId="9630" xr:uid="{9E362FEC-6AE8-4E14-96D3-A8CF4651AFF4}"/>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7 4" xfId="10459" xr:uid="{630B9389-B9B6-427E-B84B-5079C08F2995}"/>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11" xfId="8806" xr:uid="{3C9244B6-B4FF-470D-8476-98A0133FEF10}"/>
    <cellStyle name="40% - Accent5 2" xfId="82" xr:uid="{00000000-0005-0000-0000-000042060000}"/>
    <cellStyle name="40% - Accent5 2 10" xfId="8807" xr:uid="{7C717D43-B93B-4FAE-9298-8ABE1D20FDD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1715" xr:uid="{28A4846A-3F67-4F57-A99B-F1227EB6A1FF}"/>
    <cellStyle name="40% - Accent5 2 2 2 2 2 3" xfId="10057" xr:uid="{1852781F-43C1-40CD-A90B-1407FD7F7E4F}"/>
    <cellStyle name="40% - Accent5 2 2 2 2 3" xfId="5002" xr:uid="{00000000-0005-0000-0000-000048060000}"/>
    <cellStyle name="40% - Accent5 2 2 2 2 3 2" xfId="10886" xr:uid="{F4A1F3D6-2AF4-439E-9E3D-5E08EA0F3268}"/>
    <cellStyle name="40% - Accent5 2 2 2 2 4" xfId="9226" xr:uid="{937354BE-3096-4897-AD22-6D3AE5CE937D}"/>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3" xfId="11299" xr:uid="{1A27D15C-5B55-49F6-AFAE-D27A504E8D43}"/>
    <cellStyle name="40% - Accent5 2 2 2 3 3" xfId="5415" xr:uid="{00000000-0005-0000-0000-00004C060000}"/>
    <cellStyle name="40% - Accent5 2 2 2 3 4" xfId="9641" xr:uid="{6C209721-76DB-44F4-BB61-11F122B8D39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4 4" xfId="10470" xr:uid="{6CDC73B9-BC7F-41D8-8E49-53E37C1EDA87}"/>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2 8" xfId="8809" xr:uid="{44A03982-E25E-4F19-8063-2C05D7458129}"/>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1714" xr:uid="{7AC313B0-8528-4E81-B205-3D659F45AAF0}"/>
    <cellStyle name="40% - Accent5 2 2 3 2 3" xfId="10056" xr:uid="{D9C8F031-1A33-4B50-9A5C-A7F81201C42E}"/>
    <cellStyle name="40% - Accent5 2 2 3 3" xfId="5001" xr:uid="{00000000-0005-0000-0000-00005B060000}"/>
    <cellStyle name="40% - Accent5 2 2 3 3 2" xfId="10885" xr:uid="{D1C22186-B573-41E9-9FE5-A2A6D69695C5}"/>
    <cellStyle name="40% - Accent5 2 2 3 4" xfId="9225" xr:uid="{1C236D90-F589-4E49-9D46-2E83883AA52F}"/>
    <cellStyle name="40% - Accent5 2 2 4" xfId="1105" xr:uid="{00000000-0005-0000-0000-00005C060000}"/>
    <cellStyle name="40% - Accent5 2 2 4 2" xfId="3336" xr:uid="{00000000-0005-0000-0000-00005D060000}"/>
    <cellStyle name="40% - Accent5 2 2 4 2 2" xfId="7559" xr:uid="{00000000-0005-0000-0000-00005E060000}"/>
    <cellStyle name="40% - Accent5 2 2 4 2 3" xfId="11298" xr:uid="{F1C51468-64BE-43E8-B6D0-4ECA1BC0C1A6}"/>
    <cellStyle name="40% - Accent5 2 2 4 3" xfId="5414" xr:uid="{00000000-0005-0000-0000-00005F060000}"/>
    <cellStyle name="40% - Accent5 2 2 4 4" xfId="9640" xr:uid="{8A913D3B-8EE7-448E-8E5A-ED33FAF57964}"/>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5 4" xfId="10469" xr:uid="{F29D80A1-007E-47A5-8320-C08363F2AD7D}"/>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2 9" xfId="8808" xr:uid="{18B33B36-0C67-41FD-889B-769FB57903C1}"/>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1716" xr:uid="{4AE70F09-D659-45A2-9158-359713D2D1C2}"/>
    <cellStyle name="40% - Accent5 2 3 2 2 3" xfId="10058" xr:uid="{0AFE67E7-DFD3-492D-92CA-8170F2B0D6C0}"/>
    <cellStyle name="40% - Accent5 2 3 2 3" xfId="5003" xr:uid="{00000000-0005-0000-0000-00006F060000}"/>
    <cellStyle name="40% - Accent5 2 3 2 3 2" xfId="10887" xr:uid="{EE79FDC7-9872-4EA9-80F0-E8C327D69CF6}"/>
    <cellStyle name="40% - Accent5 2 3 2 4" xfId="9227" xr:uid="{EAE47873-4D24-4BCB-A274-E9BE8C5D60E5}"/>
    <cellStyle name="40% - Accent5 2 3 3" xfId="1107" xr:uid="{00000000-0005-0000-0000-000070060000}"/>
    <cellStyle name="40% - Accent5 2 3 3 2" xfId="3338" xr:uid="{00000000-0005-0000-0000-000071060000}"/>
    <cellStyle name="40% - Accent5 2 3 3 2 2" xfId="7561" xr:uid="{00000000-0005-0000-0000-000072060000}"/>
    <cellStyle name="40% - Accent5 2 3 3 2 3" xfId="11300" xr:uid="{F3B82EBA-27F9-4C96-B398-AD8F9FC86C3A}"/>
    <cellStyle name="40% - Accent5 2 3 3 3" xfId="5416" xr:uid="{00000000-0005-0000-0000-000073060000}"/>
    <cellStyle name="40% - Accent5 2 3 3 4" xfId="9642" xr:uid="{33076B0E-280C-404F-8D39-709D7FB1F6F5}"/>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4 4" xfId="10471" xr:uid="{7A45F149-B587-49C1-99F8-2D0391FD996C}"/>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3 8" xfId="8810" xr:uid="{3DA26C48-D189-44A4-A229-10592AF09A7D}"/>
    <cellStyle name="40% - Accent5 2 4" xfId="651" xr:uid="{00000000-0005-0000-0000-00007F060000}"/>
    <cellStyle name="40% - Accent5 2 4 2" xfId="2922" xr:uid="{00000000-0005-0000-0000-000080060000}"/>
    <cellStyle name="40% - Accent5 2 4 2 2" xfId="7145" xr:uid="{00000000-0005-0000-0000-000081060000}"/>
    <cellStyle name="40% - Accent5 2 4 2 2 2" xfId="11713" xr:uid="{33B3A530-6A3D-4FA6-AFE5-873BBF82C22D}"/>
    <cellStyle name="40% - Accent5 2 4 2 3" xfId="10055" xr:uid="{9D5FB0A9-7872-400C-90CB-7E11BC224A93}"/>
    <cellStyle name="40% - Accent5 2 4 3" xfId="5000" xr:uid="{00000000-0005-0000-0000-000082060000}"/>
    <cellStyle name="40% - Accent5 2 4 3 2" xfId="10884" xr:uid="{8289C60E-D5B9-42DC-B578-1D1C769D31B4}"/>
    <cellStyle name="40% - Accent5 2 4 4" xfId="9224" xr:uid="{32FDDCC8-0510-4893-AE6B-F86BDBC83B1E}"/>
    <cellStyle name="40% - Accent5 2 5" xfId="1104" xr:uid="{00000000-0005-0000-0000-000083060000}"/>
    <cellStyle name="40% - Accent5 2 5 2" xfId="3335" xr:uid="{00000000-0005-0000-0000-000084060000}"/>
    <cellStyle name="40% - Accent5 2 5 2 2" xfId="7558" xr:uid="{00000000-0005-0000-0000-000085060000}"/>
    <cellStyle name="40% - Accent5 2 5 2 3" xfId="11297" xr:uid="{A220AAEA-B2C4-4009-90FD-38C96CFB448B}"/>
    <cellStyle name="40% - Accent5 2 5 3" xfId="5413" xr:uid="{00000000-0005-0000-0000-000086060000}"/>
    <cellStyle name="40% - Accent5 2 5 4" xfId="9639" xr:uid="{E7702A05-84A3-4F05-B536-EEC6E3183F1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6 4" xfId="10468" xr:uid="{869F4ADB-5537-4302-A640-B8BEB227D4AD}"/>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1718" xr:uid="{AA51038B-5BE2-4215-A939-E2BF150C3C03}"/>
    <cellStyle name="40% - Accent5 3 2 2 2 3" xfId="10060" xr:uid="{22B09001-A1AE-403A-BFBA-A33213883654}"/>
    <cellStyle name="40% - Accent5 3 2 2 3" xfId="5005" xr:uid="{00000000-0005-0000-0000-000097060000}"/>
    <cellStyle name="40% - Accent5 3 2 2 3 2" xfId="10889" xr:uid="{FDD3E64F-D12B-4D37-89C2-68C42E6A0A05}"/>
    <cellStyle name="40% - Accent5 3 2 2 4" xfId="9229" xr:uid="{D7D2533A-38A1-4FD5-B535-D9F2E3AD2E53}"/>
    <cellStyle name="40% - Accent5 3 2 3" xfId="1109" xr:uid="{00000000-0005-0000-0000-000098060000}"/>
    <cellStyle name="40% - Accent5 3 2 3 2" xfId="3340" xr:uid="{00000000-0005-0000-0000-000099060000}"/>
    <cellStyle name="40% - Accent5 3 2 3 2 2" xfId="7563" xr:uid="{00000000-0005-0000-0000-00009A060000}"/>
    <cellStyle name="40% - Accent5 3 2 3 2 3" xfId="11302" xr:uid="{FB9FE27E-717B-4299-82E1-B2B9E2A4C5D7}"/>
    <cellStyle name="40% - Accent5 3 2 3 3" xfId="5418" xr:uid="{00000000-0005-0000-0000-00009B060000}"/>
    <cellStyle name="40% - Accent5 3 2 3 4" xfId="9644" xr:uid="{9875BB4B-B5D8-44AF-8DAD-D742E3F06CAB}"/>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4 4" xfId="10473" xr:uid="{2A3A49EB-7DBD-4942-9ABC-90ED868104B4}"/>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2 8" xfId="8812" xr:uid="{E539C4DA-C983-486D-AA70-7E57E9B5E0C2}"/>
    <cellStyle name="40% - Accent5 3 3" xfId="655" xr:uid="{00000000-0005-0000-0000-0000A7060000}"/>
    <cellStyle name="40% - Accent5 3 3 2" xfId="2926" xr:uid="{00000000-0005-0000-0000-0000A8060000}"/>
    <cellStyle name="40% - Accent5 3 3 2 2" xfId="7149" xr:uid="{00000000-0005-0000-0000-0000A9060000}"/>
    <cellStyle name="40% - Accent5 3 3 2 2 2" xfId="11717" xr:uid="{F8255509-7A69-4074-B5A1-8ECDB175E435}"/>
    <cellStyle name="40% - Accent5 3 3 2 3" xfId="10059" xr:uid="{E2E95C06-C405-4D59-B0A1-D5D292E5D758}"/>
    <cellStyle name="40% - Accent5 3 3 3" xfId="5004" xr:uid="{00000000-0005-0000-0000-0000AA060000}"/>
    <cellStyle name="40% - Accent5 3 3 3 2" xfId="10888" xr:uid="{6B4D6838-387A-42DB-9035-82DDDFB0A0AF}"/>
    <cellStyle name="40% - Accent5 3 3 4" xfId="9228" xr:uid="{C9512573-432C-43D5-951D-99108CFA16A8}"/>
    <cellStyle name="40% - Accent5 3 4" xfId="1108" xr:uid="{00000000-0005-0000-0000-0000AB060000}"/>
    <cellStyle name="40% - Accent5 3 4 2" xfId="3339" xr:uid="{00000000-0005-0000-0000-0000AC060000}"/>
    <cellStyle name="40% - Accent5 3 4 2 2" xfId="7562" xr:uid="{00000000-0005-0000-0000-0000AD060000}"/>
    <cellStyle name="40% - Accent5 3 4 2 3" xfId="11301" xr:uid="{9BBA3624-5A2E-4CE3-A153-4851BCD299FD}"/>
    <cellStyle name="40% - Accent5 3 4 3" xfId="5417" xr:uid="{00000000-0005-0000-0000-0000AE060000}"/>
    <cellStyle name="40% - Accent5 3 4 4" xfId="9643" xr:uid="{A0607646-ACF0-430C-96B5-596694008CBD}"/>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5 4" xfId="10472" xr:uid="{96A2C8CF-9A6A-4BAE-BF97-2F602FF678B7}"/>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3 9" xfId="8811" xr:uid="{8A5EC23B-4BE5-4A4F-8A97-91DC3BC78442}"/>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1719" xr:uid="{81227158-8999-407F-AD81-AAB9DB5B3891}"/>
    <cellStyle name="40% - Accent5 4 2 2 3" xfId="10061" xr:uid="{012E392B-BA60-4C8E-AE3C-CE37BB71EC6D}"/>
    <cellStyle name="40% - Accent5 4 2 3" xfId="5006" xr:uid="{00000000-0005-0000-0000-0000BE060000}"/>
    <cellStyle name="40% - Accent5 4 2 3 2" xfId="10890" xr:uid="{82285792-73B1-42F0-AC95-427CCDDD4E71}"/>
    <cellStyle name="40% - Accent5 4 2 4" xfId="9230" xr:uid="{6A74CDFC-4B8F-4D49-9F54-2A30897532A4}"/>
    <cellStyle name="40% - Accent5 4 3" xfId="1110" xr:uid="{00000000-0005-0000-0000-0000BF060000}"/>
    <cellStyle name="40% - Accent5 4 3 2" xfId="3341" xr:uid="{00000000-0005-0000-0000-0000C0060000}"/>
    <cellStyle name="40% - Accent5 4 3 2 2" xfId="7564" xr:uid="{00000000-0005-0000-0000-0000C1060000}"/>
    <cellStyle name="40% - Accent5 4 3 2 3" xfId="11303" xr:uid="{2876907E-85A1-47B7-9663-FFD33F16F019}"/>
    <cellStyle name="40% - Accent5 4 3 3" xfId="5419" xr:uid="{00000000-0005-0000-0000-0000C2060000}"/>
    <cellStyle name="40% - Accent5 4 3 4" xfId="9645" xr:uid="{529E2BB1-FEDF-4074-91C6-C06BA3321B07}"/>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4 4" xfId="10474" xr:uid="{EC54114C-2F62-444C-9AD1-E6500A0BBE0E}"/>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4 8" xfId="8813" xr:uid="{0901F58D-E22E-44E8-AE9D-7C73D5868704}"/>
    <cellStyle name="40% - Accent5 5" xfId="650" xr:uid="{00000000-0005-0000-0000-0000CE060000}"/>
    <cellStyle name="40% - Accent5 5 2" xfId="2921" xr:uid="{00000000-0005-0000-0000-0000CF060000}"/>
    <cellStyle name="40% - Accent5 5 2 2" xfId="7144" xr:uid="{00000000-0005-0000-0000-0000D0060000}"/>
    <cellStyle name="40% - Accent5 5 2 2 2" xfId="11712" xr:uid="{A7C88B13-DBB9-4B5E-AA52-637B4C5ACC15}"/>
    <cellStyle name="40% - Accent5 5 2 3" xfId="10054" xr:uid="{556C1857-801C-47C4-9E1F-AA3FEE3B3263}"/>
    <cellStyle name="40% - Accent5 5 3" xfId="4999" xr:uid="{00000000-0005-0000-0000-0000D1060000}"/>
    <cellStyle name="40% - Accent5 5 3 2" xfId="10883" xr:uid="{D983330C-6AC2-41EE-B0E4-4591CC1E3539}"/>
    <cellStyle name="40% - Accent5 5 4" xfId="9223" xr:uid="{25F8AE57-BD18-4BD9-B998-3A869A6A6EED}"/>
    <cellStyle name="40% - Accent5 6" xfId="1103" xr:uid="{00000000-0005-0000-0000-0000D2060000}"/>
    <cellStyle name="40% - Accent5 6 2" xfId="3334" xr:uid="{00000000-0005-0000-0000-0000D3060000}"/>
    <cellStyle name="40% - Accent5 6 2 2" xfId="7557" xr:uid="{00000000-0005-0000-0000-0000D4060000}"/>
    <cellStyle name="40% - Accent5 6 2 3" xfId="11296" xr:uid="{7FCE573D-6B68-4C01-8CDA-093282E39022}"/>
    <cellStyle name="40% - Accent5 6 3" xfId="5412" xr:uid="{00000000-0005-0000-0000-0000D5060000}"/>
    <cellStyle name="40% - Accent5 6 4" xfId="9638" xr:uid="{4F660EF8-759E-4B1D-9FA2-794763435251}"/>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7 4" xfId="10467" xr:uid="{65C2D1FC-3B72-4284-BABF-472417C82877}"/>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11" xfId="8814" xr:uid="{8DE54007-60B3-45EF-8F82-EDB5E09C8B63}"/>
    <cellStyle name="40% - Accent6 2" xfId="90" xr:uid="{00000000-0005-0000-0000-0000E2060000}"/>
    <cellStyle name="40% - Accent6 2 10" xfId="8815" xr:uid="{BD0010DA-E94A-4E5E-9F60-7AFB15760DE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1723" xr:uid="{8B980B9A-0544-48F3-A370-82FE83FDEC89}"/>
    <cellStyle name="40% - Accent6 2 2 2 2 2 3" xfId="10065" xr:uid="{B7BAA052-A982-4846-AC7C-A2AA24885127}"/>
    <cellStyle name="40% - Accent6 2 2 2 2 3" xfId="5010" xr:uid="{00000000-0005-0000-0000-0000E8060000}"/>
    <cellStyle name="40% - Accent6 2 2 2 2 3 2" xfId="10894" xr:uid="{FC976A81-BD68-4637-B638-607A581EEDEC}"/>
    <cellStyle name="40% - Accent6 2 2 2 2 4" xfId="9234" xr:uid="{3AC69AD2-203B-4242-9505-55CFCD7161FC}"/>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3" xfId="11307" xr:uid="{25E94634-164D-4A62-9E18-484ABA668FB6}"/>
    <cellStyle name="40% - Accent6 2 2 2 3 3" xfId="5423" xr:uid="{00000000-0005-0000-0000-0000EC060000}"/>
    <cellStyle name="40% - Accent6 2 2 2 3 4" xfId="9649" xr:uid="{3C149CBA-0FDE-410F-8896-45151D2806CD}"/>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4 4" xfId="10478" xr:uid="{BF59BBA8-E314-467C-949B-9DB23C75591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2 8" xfId="8817" xr:uid="{2EA8B463-198E-49A3-977D-29F5A8895899}"/>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1722" xr:uid="{0364C489-0884-4CBC-859C-054B74674F22}"/>
    <cellStyle name="40% - Accent6 2 2 3 2 3" xfId="10064" xr:uid="{7990F12A-58AA-45B5-8518-1A34E8ADC041}"/>
    <cellStyle name="40% - Accent6 2 2 3 3" xfId="5009" xr:uid="{00000000-0005-0000-0000-0000FB060000}"/>
    <cellStyle name="40% - Accent6 2 2 3 3 2" xfId="10893" xr:uid="{35510BE0-4243-4A0D-8EE7-772C8DEDE82B}"/>
    <cellStyle name="40% - Accent6 2 2 3 4" xfId="9233" xr:uid="{7CED33DE-5FAC-458C-8E78-3F53E3594214}"/>
    <cellStyle name="40% - Accent6 2 2 4" xfId="1113" xr:uid="{00000000-0005-0000-0000-0000FC060000}"/>
    <cellStyle name="40% - Accent6 2 2 4 2" xfId="3344" xr:uid="{00000000-0005-0000-0000-0000FD060000}"/>
    <cellStyle name="40% - Accent6 2 2 4 2 2" xfId="7567" xr:uid="{00000000-0005-0000-0000-0000FE060000}"/>
    <cellStyle name="40% - Accent6 2 2 4 2 3" xfId="11306" xr:uid="{683AF85C-C405-401F-8904-F26796D4748C}"/>
    <cellStyle name="40% - Accent6 2 2 4 3" xfId="5422" xr:uid="{00000000-0005-0000-0000-0000FF060000}"/>
    <cellStyle name="40% - Accent6 2 2 4 4" xfId="9648" xr:uid="{A376F308-5A77-48F3-9057-348ABF549EC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5 4" xfId="10477" xr:uid="{01E9FFF0-7558-489F-A343-23F6361540FB}"/>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2 9" xfId="8816" xr:uid="{2D9E2FD6-6F43-4E4F-A01D-69CC5D921DF1}"/>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1724" xr:uid="{77E7C008-6ADC-449B-98F2-A63E3F1F4894}"/>
    <cellStyle name="40% - Accent6 2 3 2 2 3" xfId="10066" xr:uid="{51C48A08-B2CA-41F2-AD1D-63B3CBC7AE30}"/>
    <cellStyle name="40% - Accent6 2 3 2 3" xfId="5011" xr:uid="{00000000-0005-0000-0000-00000F070000}"/>
    <cellStyle name="40% - Accent6 2 3 2 3 2" xfId="10895" xr:uid="{3B7B85D1-DB04-4C14-BFBA-6BED3C697F3A}"/>
    <cellStyle name="40% - Accent6 2 3 2 4" xfId="9235" xr:uid="{AF2A7632-246F-494F-9B1B-A30BCAC00BEC}"/>
    <cellStyle name="40% - Accent6 2 3 3" xfId="1115" xr:uid="{00000000-0005-0000-0000-000010070000}"/>
    <cellStyle name="40% - Accent6 2 3 3 2" xfId="3346" xr:uid="{00000000-0005-0000-0000-000011070000}"/>
    <cellStyle name="40% - Accent6 2 3 3 2 2" xfId="7569" xr:uid="{00000000-0005-0000-0000-000012070000}"/>
    <cellStyle name="40% - Accent6 2 3 3 2 3" xfId="11308" xr:uid="{D7D871AF-0360-4845-BEBC-79EDE1946427}"/>
    <cellStyle name="40% - Accent6 2 3 3 3" xfId="5424" xr:uid="{00000000-0005-0000-0000-000013070000}"/>
    <cellStyle name="40% - Accent6 2 3 3 4" xfId="9650" xr:uid="{80A69854-9BD5-42FE-A499-0157CEDE3121}"/>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4 4" xfId="10479" xr:uid="{7CAB17A0-B99D-439C-888D-85F7AD4555C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3 8" xfId="8818" xr:uid="{3B5C77E8-40D6-4A61-8653-E7419492FD7F}"/>
    <cellStyle name="40% - Accent6 2 4" xfId="659" xr:uid="{00000000-0005-0000-0000-00001F070000}"/>
    <cellStyle name="40% - Accent6 2 4 2" xfId="2930" xr:uid="{00000000-0005-0000-0000-000020070000}"/>
    <cellStyle name="40% - Accent6 2 4 2 2" xfId="7153" xr:uid="{00000000-0005-0000-0000-000021070000}"/>
    <cellStyle name="40% - Accent6 2 4 2 2 2" xfId="11721" xr:uid="{0966C76D-11A8-4186-8F2A-B8B10B7F9D44}"/>
    <cellStyle name="40% - Accent6 2 4 2 3" xfId="10063" xr:uid="{672A9E19-2DAA-4036-82E8-B2D668DA7D12}"/>
    <cellStyle name="40% - Accent6 2 4 3" xfId="5008" xr:uid="{00000000-0005-0000-0000-000022070000}"/>
    <cellStyle name="40% - Accent6 2 4 3 2" xfId="10892" xr:uid="{C052C037-6228-4053-874D-92BF13E290F6}"/>
    <cellStyle name="40% - Accent6 2 4 4" xfId="9232" xr:uid="{B12DBD8E-D99E-420A-B98C-220B7B70F146}"/>
    <cellStyle name="40% - Accent6 2 5" xfId="1112" xr:uid="{00000000-0005-0000-0000-000023070000}"/>
    <cellStyle name="40% - Accent6 2 5 2" xfId="3343" xr:uid="{00000000-0005-0000-0000-000024070000}"/>
    <cellStyle name="40% - Accent6 2 5 2 2" xfId="7566" xr:uid="{00000000-0005-0000-0000-000025070000}"/>
    <cellStyle name="40% - Accent6 2 5 2 3" xfId="11305" xr:uid="{27F00253-2596-47A6-AF18-51DFA61E638D}"/>
    <cellStyle name="40% - Accent6 2 5 3" xfId="5421" xr:uid="{00000000-0005-0000-0000-000026070000}"/>
    <cellStyle name="40% - Accent6 2 5 4" xfId="9647" xr:uid="{C68824EE-A436-4DFF-8590-3790E7BCA8C4}"/>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6 4" xfId="10476" xr:uid="{B737AB30-6DCF-4366-ADF8-F34460B2721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1726" xr:uid="{80E49871-68E6-4408-AE6B-20F93714AEA6}"/>
    <cellStyle name="40% - Accent6 3 2 2 2 3" xfId="10068" xr:uid="{C9C641AC-ECF0-4FF6-AFB9-F68BF99356D0}"/>
    <cellStyle name="40% - Accent6 3 2 2 3" xfId="5013" xr:uid="{00000000-0005-0000-0000-000037070000}"/>
    <cellStyle name="40% - Accent6 3 2 2 3 2" xfId="10897" xr:uid="{D4C692F5-5008-4CAD-99DB-C4187274FFFA}"/>
    <cellStyle name="40% - Accent6 3 2 2 4" xfId="9237" xr:uid="{26BC3CCB-B496-456F-A788-2F0CB7488473}"/>
    <cellStyle name="40% - Accent6 3 2 3" xfId="1117" xr:uid="{00000000-0005-0000-0000-000038070000}"/>
    <cellStyle name="40% - Accent6 3 2 3 2" xfId="3348" xr:uid="{00000000-0005-0000-0000-000039070000}"/>
    <cellStyle name="40% - Accent6 3 2 3 2 2" xfId="7571" xr:uid="{00000000-0005-0000-0000-00003A070000}"/>
    <cellStyle name="40% - Accent6 3 2 3 2 3" xfId="11310" xr:uid="{1B4136C8-E668-4048-87DD-AA6E1B641D3C}"/>
    <cellStyle name="40% - Accent6 3 2 3 3" xfId="5426" xr:uid="{00000000-0005-0000-0000-00003B070000}"/>
    <cellStyle name="40% - Accent6 3 2 3 4" xfId="9652" xr:uid="{A04426E4-F42C-4AA1-9327-43193374B032}"/>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4 4" xfId="10481" xr:uid="{80537BED-0111-4C53-9B9E-CDC8CEB9C7C9}"/>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2 8" xfId="8820" xr:uid="{4D1C59EC-A12A-48F3-B222-550EF6800BC4}"/>
    <cellStyle name="40% - Accent6 3 3" xfId="663" xr:uid="{00000000-0005-0000-0000-000047070000}"/>
    <cellStyle name="40% - Accent6 3 3 2" xfId="2934" xr:uid="{00000000-0005-0000-0000-000048070000}"/>
    <cellStyle name="40% - Accent6 3 3 2 2" xfId="7157" xr:uid="{00000000-0005-0000-0000-000049070000}"/>
    <cellStyle name="40% - Accent6 3 3 2 2 2" xfId="11725" xr:uid="{D74C59E4-E6C7-4760-B562-52D5BBD29930}"/>
    <cellStyle name="40% - Accent6 3 3 2 3" xfId="10067" xr:uid="{73666E88-4E21-4DB5-877D-70DA6D223AF9}"/>
    <cellStyle name="40% - Accent6 3 3 3" xfId="5012" xr:uid="{00000000-0005-0000-0000-00004A070000}"/>
    <cellStyle name="40% - Accent6 3 3 3 2" xfId="10896" xr:uid="{643B2005-E6E0-47DE-A714-FA934CCB48D1}"/>
    <cellStyle name="40% - Accent6 3 3 4" xfId="9236" xr:uid="{3898CDC6-16BF-4C8F-A4DD-E7FABCCC1871}"/>
    <cellStyle name="40% - Accent6 3 4" xfId="1116" xr:uid="{00000000-0005-0000-0000-00004B070000}"/>
    <cellStyle name="40% - Accent6 3 4 2" xfId="3347" xr:uid="{00000000-0005-0000-0000-00004C070000}"/>
    <cellStyle name="40% - Accent6 3 4 2 2" xfId="7570" xr:uid="{00000000-0005-0000-0000-00004D070000}"/>
    <cellStyle name="40% - Accent6 3 4 2 3" xfId="11309" xr:uid="{F03451FD-3737-4B88-AF8D-62540F9BDEFF}"/>
    <cellStyle name="40% - Accent6 3 4 3" xfId="5425" xr:uid="{00000000-0005-0000-0000-00004E070000}"/>
    <cellStyle name="40% - Accent6 3 4 4" xfId="9651" xr:uid="{EA03AB1F-4E4F-42BB-A22F-C3419A70D033}"/>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5 4" xfId="10480" xr:uid="{F3AFAEF5-F7A5-44AE-A3D5-A4368BC31B76}"/>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3 9" xfId="8819" xr:uid="{1B1BE923-4685-4399-B9FD-354E43824CB6}"/>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1727" xr:uid="{8507DB95-D1E7-492C-B08A-D2A073719E6B}"/>
    <cellStyle name="40% - Accent6 4 2 2 3" xfId="10069" xr:uid="{F572506D-8F5D-4390-8BF4-8BE4B7220B97}"/>
    <cellStyle name="40% - Accent6 4 2 3" xfId="5014" xr:uid="{00000000-0005-0000-0000-00005E070000}"/>
    <cellStyle name="40% - Accent6 4 2 3 2" xfId="10898" xr:uid="{FFF64065-BC6E-4B95-8604-530EEF1D9F5A}"/>
    <cellStyle name="40% - Accent6 4 2 4" xfId="9238" xr:uid="{6758D93F-2F31-483D-8A54-1DA5A7E7B155}"/>
    <cellStyle name="40% - Accent6 4 3" xfId="1118" xr:uid="{00000000-0005-0000-0000-00005F070000}"/>
    <cellStyle name="40% - Accent6 4 3 2" xfId="3349" xr:uid="{00000000-0005-0000-0000-000060070000}"/>
    <cellStyle name="40% - Accent6 4 3 2 2" xfId="7572" xr:uid="{00000000-0005-0000-0000-000061070000}"/>
    <cellStyle name="40% - Accent6 4 3 2 3" xfId="11311" xr:uid="{1FBC7BC0-5903-4AC5-85E6-54537E42D562}"/>
    <cellStyle name="40% - Accent6 4 3 3" xfId="5427" xr:uid="{00000000-0005-0000-0000-000062070000}"/>
    <cellStyle name="40% - Accent6 4 3 4" xfId="9653" xr:uid="{90C7EE44-46B1-4F38-86F4-A48B451241F5}"/>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4 4" xfId="10482" xr:uid="{B1E92D5A-58E5-470A-8763-F1030A5046FD}"/>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4 8" xfId="8821" xr:uid="{07AD31E1-162F-44FF-A852-2CD4CBA2C6F5}"/>
    <cellStyle name="40% - Accent6 5" xfId="658" xr:uid="{00000000-0005-0000-0000-00006E070000}"/>
    <cellStyle name="40% - Accent6 5 2" xfId="2929" xr:uid="{00000000-0005-0000-0000-00006F070000}"/>
    <cellStyle name="40% - Accent6 5 2 2" xfId="7152" xr:uid="{00000000-0005-0000-0000-000070070000}"/>
    <cellStyle name="40% - Accent6 5 2 2 2" xfId="11720" xr:uid="{A2D41F37-40C2-4118-BF91-CDAA53A2A40E}"/>
    <cellStyle name="40% - Accent6 5 2 3" xfId="10062" xr:uid="{01A885F7-F97D-4954-A522-3937C04A4C92}"/>
    <cellStyle name="40% - Accent6 5 3" xfId="5007" xr:uid="{00000000-0005-0000-0000-000071070000}"/>
    <cellStyle name="40% - Accent6 5 3 2" xfId="10891" xr:uid="{1D0D8911-ACB0-4031-A84A-B74E55F54BDD}"/>
    <cellStyle name="40% - Accent6 5 4" xfId="9231" xr:uid="{E3AC4575-5770-4AFF-B2C4-6E9D6E60F2F4}"/>
    <cellStyle name="40% - Accent6 6" xfId="1111" xr:uid="{00000000-0005-0000-0000-000072070000}"/>
    <cellStyle name="40% - Accent6 6 2" xfId="3342" xr:uid="{00000000-0005-0000-0000-000073070000}"/>
    <cellStyle name="40% - Accent6 6 2 2" xfId="7565" xr:uid="{00000000-0005-0000-0000-000074070000}"/>
    <cellStyle name="40% - Accent6 6 2 3" xfId="11304" xr:uid="{E1D3899A-F0D6-4E4B-868B-D9C6EDAF70B3}"/>
    <cellStyle name="40% - Accent6 6 3" xfId="5420" xr:uid="{00000000-0005-0000-0000-000075070000}"/>
    <cellStyle name="40% - Accent6 6 4" xfId="9646" xr:uid="{5E97E625-C91A-4860-B7FF-9A4773A763A8}"/>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7 4" xfId="10475" xr:uid="{2B0E7E50-FEAB-4316-AD0B-34C2177D49CF}"/>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12" xfId="8822" xr:uid="{62FA1C47-069D-4B6C-8633-E831A050948B}"/>
    <cellStyle name="Comma 4 2 2 2 2" xfId="129" xr:uid="{00000000-0005-0000-0000-0000A4070000}"/>
    <cellStyle name="Comma 4 2 2 2 2 10" xfId="4602" xr:uid="{00000000-0005-0000-0000-0000A5070000}"/>
    <cellStyle name="Comma 4 2 2 2 2 11" xfId="8823" xr:uid="{CA972896-DE99-4A8C-97FF-7B915DF00C09}"/>
    <cellStyle name="Comma 4 2 2 2 2 2" xfId="130" xr:uid="{00000000-0005-0000-0000-0000A6070000}"/>
    <cellStyle name="Comma 4 2 2 2 2 2 10" xfId="8824" xr:uid="{3DF8F180-4107-448C-AB99-24269AE0325C}"/>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1730" xr:uid="{84FB3AFC-E1C7-42FB-84F8-24CFBEAAB3E7}"/>
    <cellStyle name="Comma 4 2 2 2 2 2 2 2 3" xfId="10072" xr:uid="{3CE4D6B0-B554-4DC6-982D-8D2FFF774E2F}"/>
    <cellStyle name="Comma 4 2 2 2 2 2 2 3" xfId="5017" xr:uid="{00000000-0005-0000-0000-0000AA070000}"/>
    <cellStyle name="Comma 4 2 2 2 2 2 2 3 2" xfId="10901" xr:uid="{166D287F-F8A5-465D-A224-0D2F9B79189B}"/>
    <cellStyle name="Comma 4 2 2 2 2 2 2 4" xfId="9241" xr:uid="{1DDF22B9-90F3-4672-AB61-5A968A5D5752}"/>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3" xfId="11314" xr:uid="{E1F9B552-9F3A-4805-80D0-F44707431B94}"/>
    <cellStyle name="Comma 4 2 2 2 2 2 3 3" xfId="5430" xr:uid="{00000000-0005-0000-0000-0000AE070000}"/>
    <cellStyle name="Comma 4 2 2 2 2 2 3 4" xfId="9656" xr:uid="{54354E66-79B2-422A-80C8-58AAECC7BA63}"/>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4 4" xfId="10485" xr:uid="{B4DEBBCC-CCB6-4788-AC1B-53CCBB0FAE5F}"/>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1729" xr:uid="{13FD51F7-1E84-41D6-ACA6-B2AC553F3568}"/>
    <cellStyle name="Comma 4 2 2 2 2 3 2 3" xfId="10071" xr:uid="{133D43C2-2227-464C-9465-0B52ED6357B3}"/>
    <cellStyle name="Comma 4 2 2 2 2 3 3" xfId="5016" xr:uid="{00000000-0005-0000-0000-0000C0070000}"/>
    <cellStyle name="Comma 4 2 2 2 2 3 3 2" xfId="10900" xr:uid="{6DE10FDE-A0FF-4C36-9D2C-5FBA0048A6FB}"/>
    <cellStyle name="Comma 4 2 2 2 2 3 4" xfId="9240" xr:uid="{F7B1C9E0-A4D0-4508-BFC1-86D8FDAD0488}"/>
    <cellStyle name="Comma 4 2 2 2 2 4" xfId="1120" xr:uid="{00000000-0005-0000-0000-0000C1070000}"/>
    <cellStyle name="Comma 4 2 2 2 2 4 2" xfId="3351" xr:uid="{00000000-0005-0000-0000-0000C2070000}"/>
    <cellStyle name="Comma 4 2 2 2 2 4 2 2" xfId="7574" xr:uid="{00000000-0005-0000-0000-0000C3070000}"/>
    <cellStyle name="Comma 4 2 2 2 2 4 2 3" xfId="11313" xr:uid="{5C3EBEE5-78DB-476A-8231-81B2B0E0BC04}"/>
    <cellStyle name="Comma 4 2 2 2 2 4 3" xfId="5429" xr:uid="{00000000-0005-0000-0000-0000C4070000}"/>
    <cellStyle name="Comma 4 2 2 2 2 4 4" xfId="9655" xr:uid="{DDDF0E95-56A1-43BB-BAE0-1150B62A259E}"/>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5 4" xfId="10484" xr:uid="{2334F0C9-0AF9-4251-A6DB-9D88636B619E}"/>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10" xfId="8825" xr:uid="{A32BD29B-F699-4135-A174-C511F30A9A2D}"/>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1731" xr:uid="{176CCD0D-8BCB-433E-A0C8-BB3812A44586}"/>
    <cellStyle name="Comma 4 2 2 2 3 2 2 3" xfId="10073" xr:uid="{BCB88716-8D6A-4D69-BC91-2C11E72A7884}"/>
    <cellStyle name="Comma 4 2 2 2 3 2 3" xfId="5018" xr:uid="{00000000-0005-0000-0000-0000D6070000}"/>
    <cellStyle name="Comma 4 2 2 2 3 2 3 2" xfId="10902" xr:uid="{520AA90C-D449-4550-BBC4-EA2CEA975D67}"/>
    <cellStyle name="Comma 4 2 2 2 3 2 4" xfId="9242" xr:uid="{789B31F5-C6DF-4913-AD00-860CB3D71C36}"/>
    <cellStyle name="Comma 4 2 2 2 3 3" xfId="1122" xr:uid="{00000000-0005-0000-0000-0000D7070000}"/>
    <cellStyle name="Comma 4 2 2 2 3 3 2" xfId="3353" xr:uid="{00000000-0005-0000-0000-0000D8070000}"/>
    <cellStyle name="Comma 4 2 2 2 3 3 2 2" xfId="7576" xr:uid="{00000000-0005-0000-0000-0000D9070000}"/>
    <cellStyle name="Comma 4 2 2 2 3 3 2 3" xfId="11315" xr:uid="{BEF41B7D-6303-4FC0-8A21-D4DDF515F2A4}"/>
    <cellStyle name="Comma 4 2 2 2 3 3 3" xfId="5431" xr:uid="{00000000-0005-0000-0000-0000DA070000}"/>
    <cellStyle name="Comma 4 2 2 2 3 3 4" xfId="9657" xr:uid="{A30C4D7B-4C11-4D87-9997-D04CF75498B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4 4" xfId="10486" xr:uid="{97116DAA-40CA-4216-94A6-8B090AF4D7C7}"/>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2 2 2" xfId="11728" xr:uid="{ECCCD34B-B6B1-41D8-B0C0-91BA1C719F86}"/>
    <cellStyle name="Comma 4 2 2 2 4 2 3" xfId="10070" xr:uid="{59644603-75DE-4049-9BFF-A685116E7F57}"/>
    <cellStyle name="Comma 4 2 2 2 4 3" xfId="5015" xr:uid="{00000000-0005-0000-0000-0000EC070000}"/>
    <cellStyle name="Comma 4 2 2 2 4 3 2" xfId="10899" xr:uid="{C76C7DA0-0509-44ED-BD1C-253B79614CE2}"/>
    <cellStyle name="Comma 4 2 2 2 4 4" xfId="9239" xr:uid="{BF10EA08-D7E9-4FDD-8996-C2C799FC0284}"/>
    <cellStyle name="Comma 4 2 2 2 5" xfId="1119" xr:uid="{00000000-0005-0000-0000-0000ED070000}"/>
    <cellStyle name="Comma 4 2 2 2 5 2" xfId="3350" xr:uid="{00000000-0005-0000-0000-0000EE070000}"/>
    <cellStyle name="Comma 4 2 2 2 5 2 2" xfId="7573" xr:uid="{00000000-0005-0000-0000-0000EF070000}"/>
    <cellStyle name="Comma 4 2 2 2 5 2 3" xfId="11312" xr:uid="{A6B648D0-F475-422F-8F40-B9FC6A1DCEBB}"/>
    <cellStyle name="Comma 4 2 2 2 5 3" xfId="5428" xr:uid="{00000000-0005-0000-0000-0000F0070000}"/>
    <cellStyle name="Comma 4 2 2 2 5 4" xfId="9654" xr:uid="{3EA1029B-93F6-4AF4-BE4E-3C1C0D43835B}"/>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6 4" xfId="10483" xr:uid="{587EE8B3-07BE-449F-A002-796015D01EF1}"/>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11" xfId="8826" xr:uid="{F1DA5E52-AA2E-462D-AC0E-FC739B7F89B8}"/>
    <cellStyle name="Comma 4 2 2 3 2" xfId="133" xr:uid="{00000000-0005-0000-0000-0000FE070000}"/>
    <cellStyle name="Comma 4 2 2 3 2 10" xfId="8827" xr:uid="{0969DF50-32D5-410F-8BDD-F5229316ED81}"/>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1733" xr:uid="{14994385-96DF-4CA8-9435-61743A086A6C}"/>
    <cellStyle name="Comma 4 2 2 3 2 2 2 3" xfId="10075" xr:uid="{0135C0DA-A822-4E04-9C79-985B447FB9C0}"/>
    <cellStyle name="Comma 4 2 2 3 2 2 3" xfId="5020" xr:uid="{00000000-0005-0000-0000-000002080000}"/>
    <cellStyle name="Comma 4 2 2 3 2 2 3 2" xfId="10904" xr:uid="{6B324D82-AA16-4641-84A7-332B820F1F41}"/>
    <cellStyle name="Comma 4 2 2 3 2 2 4" xfId="9244" xr:uid="{DB040EF1-45ED-47CF-97FF-94B274B16B20}"/>
    <cellStyle name="Comma 4 2 2 3 2 3" xfId="1124" xr:uid="{00000000-0005-0000-0000-000003080000}"/>
    <cellStyle name="Comma 4 2 2 3 2 3 2" xfId="3355" xr:uid="{00000000-0005-0000-0000-000004080000}"/>
    <cellStyle name="Comma 4 2 2 3 2 3 2 2" xfId="7578" xr:uid="{00000000-0005-0000-0000-000005080000}"/>
    <cellStyle name="Comma 4 2 2 3 2 3 2 3" xfId="11317" xr:uid="{7E220142-17FB-4CE1-91A8-8239E8645996}"/>
    <cellStyle name="Comma 4 2 2 3 2 3 3" xfId="5433" xr:uid="{00000000-0005-0000-0000-000006080000}"/>
    <cellStyle name="Comma 4 2 2 3 2 3 4" xfId="9659" xr:uid="{55A0EC5F-0A5C-406C-B0F3-1A75421DDBF1}"/>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4 4" xfId="10488" xr:uid="{B8F91FE5-07AA-4D1B-AE0C-4BB3F82F5345}"/>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2 2 2" xfId="11732" xr:uid="{97A28A5D-E225-4684-A67E-BE92252E0464}"/>
    <cellStyle name="Comma 4 2 2 3 3 2 3" xfId="10074" xr:uid="{1E74086F-F9EE-46A7-ADC1-3EAD3B96983B}"/>
    <cellStyle name="Comma 4 2 2 3 3 3" xfId="5019" xr:uid="{00000000-0005-0000-0000-000018080000}"/>
    <cellStyle name="Comma 4 2 2 3 3 3 2" xfId="10903" xr:uid="{7990B8B8-C5E6-497C-99B5-3EBF2303DE8C}"/>
    <cellStyle name="Comma 4 2 2 3 3 4" xfId="9243" xr:uid="{22E6043B-438B-4814-B2F9-943F4C9E605B}"/>
    <cellStyle name="Comma 4 2 2 3 4" xfId="1123" xr:uid="{00000000-0005-0000-0000-000019080000}"/>
    <cellStyle name="Comma 4 2 2 3 4 2" xfId="3354" xr:uid="{00000000-0005-0000-0000-00001A080000}"/>
    <cellStyle name="Comma 4 2 2 3 4 2 2" xfId="7577" xr:uid="{00000000-0005-0000-0000-00001B080000}"/>
    <cellStyle name="Comma 4 2 2 3 4 2 3" xfId="11316" xr:uid="{E21CA196-E231-46DC-8165-0BF8D9F15163}"/>
    <cellStyle name="Comma 4 2 2 3 4 3" xfId="5432" xr:uid="{00000000-0005-0000-0000-00001C080000}"/>
    <cellStyle name="Comma 4 2 2 3 4 4" xfId="9658" xr:uid="{D2B4953D-AE99-4300-8171-ECE86A8A55DA}"/>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5 4" xfId="10487" xr:uid="{6B652FC5-84D4-47B2-9A1E-EC4E01612413}"/>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10" xfId="8828" xr:uid="{117827E5-3BBD-467B-AB6B-79822A5677FD}"/>
    <cellStyle name="Comma 4 2 2 4 2" xfId="672" xr:uid="{00000000-0005-0000-0000-00002B080000}"/>
    <cellStyle name="Comma 4 2 2 4 2 2" xfId="2943" xr:uid="{00000000-0005-0000-0000-00002C080000}"/>
    <cellStyle name="Comma 4 2 2 4 2 2 2" xfId="7166" xr:uid="{00000000-0005-0000-0000-00002D080000}"/>
    <cellStyle name="Comma 4 2 2 4 2 2 2 2" xfId="11734" xr:uid="{105179E1-5AAF-44CF-AE10-1318C2307D09}"/>
    <cellStyle name="Comma 4 2 2 4 2 2 3" xfId="10076" xr:uid="{97E0112A-FCB8-41CD-A039-7743DC54EF86}"/>
    <cellStyle name="Comma 4 2 2 4 2 3" xfId="5021" xr:uid="{00000000-0005-0000-0000-00002E080000}"/>
    <cellStyle name="Comma 4 2 2 4 2 3 2" xfId="10905" xr:uid="{C1E63D34-E841-4C12-9E36-13876FDBF1CD}"/>
    <cellStyle name="Comma 4 2 2 4 2 4" xfId="9245" xr:uid="{698D0999-2337-404E-984D-EC1F6C78A989}"/>
    <cellStyle name="Comma 4 2 2 4 3" xfId="1125" xr:uid="{00000000-0005-0000-0000-00002F080000}"/>
    <cellStyle name="Comma 4 2 2 4 3 2" xfId="3356" xr:uid="{00000000-0005-0000-0000-000030080000}"/>
    <cellStyle name="Comma 4 2 2 4 3 2 2" xfId="7579" xr:uid="{00000000-0005-0000-0000-000031080000}"/>
    <cellStyle name="Comma 4 2 2 4 3 2 3" xfId="11318" xr:uid="{8BC90323-2D93-4FC3-9D46-87AB8DD57C01}"/>
    <cellStyle name="Comma 4 2 2 4 3 3" xfId="5434" xr:uid="{00000000-0005-0000-0000-000032080000}"/>
    <cellStyle name="Comma 4 2 2 4 3 4" xfId="9660" xr:uid="{579F665A-680B-4566-B509-814B36ECDDD2}"/>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4 4" xfId="10489" xr:uid="{C531CC3B-630E-4265-8757-9516C4BACEF6}"/>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10" xfId="8829" xr:uid="{0FC52929-F272-4F70-95C9-E79A3CE71305}"/>
    <cellStyle name="Comma 4 2 2 5 2" xfId="673" xr:uid="{00000000-0005-0000-0000-000042080000}"/>
    <cellStyle name="Comma 4 2 2 5 2 2" xfId="2944" xr:uid="{00000000-0005-0000-0000-000043080000}"/>
    <cellStyle name="Comma 4 2 2 5 2 2 2" xfId="7167" xr:uid="{00000000-0005-0000-0000-000044080000}"/>
    <cellStyle name="Comma 4 2 2 5 2 2 2 2" xfId="11735" xr:uid="{E8372342-24AA-4E26-95A8-D23C1BC06347}"/>
    <cellStyle name="Comma 4 2 2 5 2 2 3" xfId="10077" xr:uid="{4617234E-00D8-4AF5-8064-3C178E70FB9C}"/>
    <cellStyle name="Comma 4 2 2 5 2 3" xfId="5022" xr:uid="{00000000-0005-0000-0000-000045080000}"/>
    <cellStyle name="Comma 4 2 2 5 2 3 2" xfId="10906" xr:uid="{302A7F3C-B04D-4A08-ADAF-0AF3E2149FC9}"/>
    <cellStyle name="Comma 4 2 2 5 2 4" xfId="9246" xr:uid="{5D68B029-7194-4F53-87C2-A8002AC0B984}"/>
    <cellStyle name="Comma 4 2 2 5 3" xfId="1126" xr:uid="{00000000-0005-0000-0000-000046080000}"/>
    <cellStyle name="Comma 4 2 2 5 3 2" xfId="3357" xr:uid="{00000000-0005-0000-0000-000047080000}"/>
    <cellStyle name="Comma 4 2 2 5 3 2 2" xfId="7580" xr:uid="{00000000-0005-0000-0000-000048080000}"/>
    <cellStyle name="Comma 4 2 2 5 3 2 3" xfId="11319" xr:uid="{849CDD34-58F4-406A-AC68-2E083C873843}"/>
    <cellStyle name="Comma 4 2 2 5 3 3" xfId="5435" xr:uid="{00000000-0005-0000-0000-000049080000}"/>
    <cellStyle name="Comma 4 2 2 5 3 4" xfId="9661" xr:uid="{642276C7-152C-4A96-AD88-58976F6DC0DE}"/>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4 4" xfId="10490" xr:uid="{6EE3AFC7-674B-483B-8BA4-D81131D06C9A}"/>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12" xfId="8830" xr:uid="{5A3DB5A0-1091-4C58-B642-864E9E633690}"/>
    <cellStyle name="Comma 4 2 3 2" xfId="137" xr:uid="{00000000-0005-0000-0000-00005C080000}"/>
    <cellStyle name="Comma 4 2 3 2 10" xfId="4610" xr:uid="{00000000-0005-0000-0000-00005D080000}"/>
    <cellStyle name="Comma 4 2 3 2 11" xfId="8831" xr:uid="{9CE340A4-1010-49C9-91BE-5A0D6859F973}"/>
    <cellStyle name="Comma 4 2 3 2 2" xfId="138" xr:uid="{00000000-0005-0000-0000-00005E080000}"/>
    <cellStyle name="Comma 4 2 3 2 2 10" xfId="8832" xr:uid="{4E9A2A75-C2E1-4085-B5C4-4B04F346604C}"/>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1738" xr:uid="{58846F14-7E09-44D4-B60F-E3F4F8C4D454}"/>
    <cellStyle name="Comma 4 2 3 2 2 2 2 3" xfId="10080" xr:uid="{B63AE668-2F45-4AF1-B84F-70818D4AD46B}"/>
    <cellStyle name="Comma 4 2 3 2 2 2 3" xfId="5025" xr:uid="{00000000-0005-0000-0000-000062080000}"/>
    <cellStyle name="Comma 4 2 3 2 2 2 3 2" xfId="10909" xr:uid="{B4A3E176-8023-4FDF-85B0-5D4C15FA16F7}"/>
    <cellStyle name="Comma 4 2 3 2 2 2 4" xfId="9249" xr:uid="{30038877-28C0-48A8-B2E2-5FCE8E7EC54B}"/>
    <cellStyle name="Comma 4 2 3 2 2 3" xfId="1129" xr:uid="{00000000-0005-0000-0000-000063080000}"/>
    <cellStyle name="Comma 4 2 3 2 2 3 2" xfId="3360" xr:uid="{00000000-0005-0000-0000-000064080000}"/>
    <cellStyle name="Comma 4 2 3 2 2 3 2 2" xfId="7583" xr:uid="{00000000-0005-0000-0000-000065080000}"/>
    <cellStyle name="Comma 4 2 3 2 2 3 2 3" xfId="11322" xr:uid="{5C9680F6-B293-4C4F-934C-BD60D9014F67}"/>
    <cellStyle name="Comma 4 2 3 2 2 3 3" xfId="5438" xr:uid="{00000000-0005-0000-0000-000066080000}"/>
    <cellStyle name="Comma 4 2 3 2 2 3 4" xfId="9664" xr:uid="{7A59AD3E-6FBA-4ADB-8046-BF9D3F77E80C}"/>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4 4" xfId="10493" xr:uid="{AAD5677B-7A20-411F-8E8A-ED6398E0D1E2}"/>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2 2 2" xfId="11737" xr:uid="{BA5EA642-8E13-4CC8-826C-AF987F7AA201}"/>
    <cellStyle name="Comma 4 2 3 2 3 2 3" xfId="10079" xr:uid="{A3748ECD-6940-468D-94A1-EE2332F30310}"/>
    <cellStyle name="Comma 4 2 3 2 3 3" xfId="5024" xr:uid="{00000000-0005-0000-0000-000078080000}"/>
    <cellStyle name="Comma 4 2 3 2 3 3 2" xfId="10908" xr:uid="{87F3536E-1E69-4FA9-8673-7B93F4BB8FFE}"/>
    <cellStyle name="Comma 4 2 3 2 3 4" xfId="9248" xr:uid="{8CD7900C-E698-4BA2-AF60-B24DE30C1E76}"/>
    <cellStyle name="Comma 4 2 3 2 4" xfId="1128" xr:uid="{00000000-0005-0000-0000-000079080000}"/>
    <cellStyle name="Comma 4 2 3 2 4 2" xfId="3359" xr:uid="{00000000-0005-0000-0000-00007A080000}"/>
    <cellStyle name="Comma 4 2 3 2 4 2 2" xfId="7582" xr:uid="{00000000-0005-0000-0000-00007B080000}"/>
    <cellStyle name="Comma 4 2 3 2 4 2 3" xfId="11321" xr:uid="{C63D1DE1-82C5-40FC-8548-43889315D37B}"/>
    <cellStyle name="Comma 4 2 3 2 4 3" xfId="5437" xr:uid="{00000000-0005-0000-0000-00007C080000}"/>
    <cellStyle name="Comma 4 2 3 2 4 4" xfId="9663" xr:uid="{07A29137-D39A-4A47-8945-8E861FBB2464}"/>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5 4" xfId="10492" xr:uid="{94663948-2C67-438C-BA0A-8AE2F245A613}"/>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10" xfId="8833" xr:uid="{8C7D92A0-E4CB-444E-8336-20E986AC2890}"/>
    <cellStyle name="Comma 4 2 3 3 2" xfId="677" xr:uid="{00000000-0005-0000-0000-00008B080000}"/>
    <cellStyle name="Comma 4 2 3 3 2 2" xfId="2948" xr:uid="{00000000-0005-0000-0000-00008C080000}"/>
    <cellStyle name="Comma 4 2 3 3 2 2 2" xfId="7171" xr:uid="{00000000-0005-0000-0000-00008D080000}"/>
    <cellStyle name="Comma 4 2 3 3 2 2 2 2" xfId="11739" xr:uid="{D98121E7-FF2F-4E0A-9488-3E6DAF7C955A}"/>
    <cellStyle name="Comma 4 2 3 3 2 2 3" xfId="10081" xr:uid="{033A2A61-57EB-46B3-90AA-0767A2DB2107}"/>
    <cellStyle name="Comma 4 2 3 3 2 3" xfId="5026" xr:uid="{00000000-0005-0000-0000-00008E080000}"/>
    <cellStyle name="Comma 4 2 3 3 2 3 2" xfId="10910" xr:uid="{A73879B0-D8E6-4081-99C4-4593CDC8BF76}"/>
    <cellStyle name="Comma 4 2 3 3 2 4" xfId="9250" xr:uid="{9810988E-AEA8-432F-B9C0-8E2142779C1A}"/>
    <cellStyle name="Comma 4 2 3 3 3" xfId="1130" xr:uid="{00000000-0005-0000-0000-00008F080000}"/>
    <cellStyle name="Comma 4 2 3 3 3 2" xfId="3361" xr:uid="{00000000-0005-0000-0000-000090080000}"/>
    <cellStyle name="Comma 4 2 3 3 3 2 2" xfId="7584" xr:uid="{00000000-0005-0000-0000-000091080000}"/>
    <cellStyle name="Comma 4 2 3 3 3 2 3" xfId="11323" xr:uid="{8AB935B2-B657-4E92-85A7-E91407B1558C}"/>
    <cellStyle name="Comma 4 2 3 3 3 3" xfId="5439" xr:uid="{00000000-0005-0000-0000-000092080000}"/>
    <cellStyle name="Comma 4 2 3 3 3 4" xfId="9665" xr:uid="{88C59F29-B97E-4524-B317-9185F5CCDFA7}"/>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4 4" xfId="10494" xr:uid="{D0837581-6B9D-4CD1-BC01-AC752C0D34E3}"/>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2 2 2" xfId="11736" xr:uid="{4B6AA0E5-C819-4B6F-AD72-A524E1D523CD}"/>
    <cellStyle name="Comma 4 2 3 4 2 3" xfId="10078" xr:uid="{447497F5-8F22-46BB-839B-011DBAC76905}"/>
    <cellStyle name="Comma 4 2 3 4 3" xfId="5023" xr:uid="{00000000-0005-0000-0000-0000A4080000}"/>
    <cellStyle name="Comma 4 2 3 4 3 2" xfId="10907" xr:uid="{D95D2EFC-C829-4301-BE14-357C0691097E}"/>
    <cellStyle name="Comma 4 2 3 4 4" xfId="9247" xr:uid="{523ADFEA-C74B-4F7E-9A0E-9478766A4E0E}"/>
    <cellStyle name="Comma 4 2 3 5" xfId="1127" xr:uid="{00000000-0005-0000-0000-0000A5080000}"/>
    <cellStyle name="Comma 4 2 3 5 2" xfId="3358" xr:uid="{00000000-0005-0000-0000-0000A6080000}"/>
    <cellStyle name="Comma 4 2 3 5 2 2" xfId="7581" xr:uid="{00000000-0005-0000-0000-0000A7080000}"/>
    <cellStyle name="Comma 4 2 3 5 2 3" xfId="11320" xr:uid="{79A5B40C-2D53-47FB-8FE5-508EE861FF7D}"/>
    <cellStyle name="Comma 4 2 3 5 3" xfId="5436" xr:uid="{00000000-0005-0000-0000-0000A8080000}"/>
    <cellStyle name="Comma 4 2 3 5 4" xfId="9662" xr:uid="{D48757CF-5DD8-4AE2-8454-8FA0C7E3D673}"/>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6 4" xfId="10491" xr:uid="{B84BC4A2-B011-4D42-82D3-BF0F3FF20DD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11" xfId="8834" xr:uid="{F233E87E-BF94-47B5-8B28-BE8F81010665}"/>
    <cellStyle name="Comma 4 2 4 2" xfId="141" xr:uid="{00000000-0005-0000-0000-0000B6080000}"/>
    <cellStyle name="Comma 4 2 4 2 10" xfId="8835" xr:uid="{B0673640-2F7C-4D88-95DF-4B7229D4CC5C}"/>
    <cellStyle name="Comma 4 2 4 2 2" xfId="679" xr:uid="{00000000-0005-0000-0000-0000B7080000}"/>
    <cellStyle name="Comma 4 2 4 2 2 2" xfId="2950" xr:uid="{00000000-0005-0000-0000-0000B8080000}"/>
    <cellStyle name="Comma 4 2 4 2 2 2 2" xfId="7173" xr:uid="{00000000-0005-0000-0000-0000B9080000}"/>
    <cellStyle name="Comma 4 2 4 2 2 2 2 2" xfId="11741" xr:uid="{22A68C85-156C-464D-AC3C-4311966A1D7B}"/>
    <cellStyle name="Comma 4 2 4 2 2 2 3" xfId="10083" xr:uid="{3AC2F1EE-3B09-4514-AFC2-A4B429C18B72}"/>
    <cellStyle name="Comma 4 2 4 2 2 3" xfId="5028" xr:uid="{00000000-0005-0000-0000-0000BA080000}"/>
    <cellStyle name="Comma 4 2 4 2 2 3 2" xfId="10912" xr:uid="{828457BD-F23A-4F2C-A3CC-ADCB464A9768}"/>
    <cellStyle name="Comma 4 2 4 2 2 4" xfId="9252" xr:uid="{A8CEE2FA-7E18-474B-AE4F-E5A28E83C6F4}"/>
    <cellStyle name="Comma 4 2 4 2 3" xfId="1132" xr:uid="{00000000-0005-0000-0000-0000BB080000}"/>
    <cellStyle name="Comma 4 2 4 2 3 2" xfId="3363" xr:uid="{00000000-0005-0000-0000-0000BC080000}"/>
    <cellStyle name="Comma 4 2 4 2 3 2 2" xfId="7586" xr:uid="{00000000-0005-0000-0000-0000BD080000}"/>
    <cellStyle name="Comma 4 2 4 2 3 2 3" xfId="11325" xr:uid="{93EA6EEB-5673-4C4D-B9C2-5D7C8AFDAA22}"/>
    <cellStyle name="Comma 4 2 4 2 3 3" xfId="5441" xr:uid="{00000000-0005-0000-0000-0000BE080000}"/>
    <cellStyle name="Comma 4 2 4 2 3 4" xfId="9667" xr:uid="{15A9A4AA-D964-4236-BF47-B0A696E99205}"/>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4 4" xfId="10496" xr:uid="{8149F2F2-0E50-4340-9FA6-B6B4745276F2}"/>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2 2 2" xfId="11740" xr:uid="{53CA5093-5385-4522-9190-DB96A47D381C}"/>
    <cellStyle name="Comma 4 2 4 3 2 3" xfId="10082" xr:uid="{32CBD9EE-8130-4463-A977-3DB497DD7721}"/>
    <cellStyle name="Comma 4 2 4 3 3" xfId="5027" xr:uid="{00000000-0005-0000-0000-0000D0080000}"/>
    <cellStyle name="Comma 4 2 4 3 3 2" xfId="10911" xr:uid="{7AB896A0-9B16-4EBD-BBA8-1CD7B427235B}"/>
    <cellStyle name="Comma 4 2 4 3 4" xfId="9251" xr:uid="{88BE18FD-1081-4B9B-9B6D-FF61A538E936}"/>
    <cellStyle name="Comma 4 2 4 4" xfId="1131" xr:uid="{00000000-0005-0000-0000-0000D1080000}"/>
    <cellStyle name="Comma 4 2 4 4 2" xfId="3362" xr:uid="{00000000-0005-0000-0000-0000D2080000}"/>
    <cellStyle name="Comma 4 2 4 4 2 2" xfId="7585" xr:uid="{00000000-0005-0000-0000-0000D3080000}"/>
    <cellStyle name="Comma 4 2 4 4 2 3" xfId="11324" xr:uid="{6D72B2A3-B9C4-405F-A315-AABF2DFCA366}"/>
    <cellStyle name="Comma 4 2 4 4 3" xfId="5440" xr:uid="{00000000-0005-0000-0000-0000D4080000}"/>
    <cellStyle name="Comma 4 2 4 4 4" xfId="9666" xr:uid="{0FAEB43E-7129-4ECF-B2D4-636E846A657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5 4" xfId="10495" xr:uid="{8E1930F8-F064-4018-A13D-5452719F9E0F}"/>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10" xfId="8836" xr:uid="{D4879D90-8167-4EC0-854D-93A76A9201DA}"/>
    <cellStyle name="Comma 4 2 5 2" xfId="680" xr:uid="{00000000-0005-0000-0000-0000E3080000}"/>
    <cellStyle name="Comma 4 2 5 2 2" xfId="2951" xr:uid="{00000000-0005-0000-0000-0000E4080000}"/>
    <cellStyle name="Comma 4 2 5 2 2 2" xfId="7174" xr:uid="{00000000-0005-0000-0000-0000E5080000}"/>
    <cellStyle name="Comma 4 2 5 2 2 2 2" xfId="11742" xr:uid="{CF5D1708-F5D1-4735-90C1-7FD4704D5A6C}"/>
    <cellStyle name="Comma 4 2 5 2 2 3" xfId="10084" xr:uid="{4EFD2D28-8900-4A0D-A984-3A4D78026DD3}"/>
    <cellStyle name="Comma 4 2 5 2 3" xfId="5029" xr:uid="{00000000-0005-0000-0000-0000E6080000}"/>
    <cellStyle name="Comma 4 2 5 2 3 2" xfId="10913" xr:uid="{49646709-967D-498C-84E1-A8B936F427EB}"/>
    <cellStyle name="Comma 4 2 5 2 4" xfId="9253" xr:uid="{639F6E67-D275-4503-8FF3-1CA5019AFC74}"/>
    <cellStyle name="Comma 4 2 5 3" xfId="1133" xr:uid="{00000000-0005-0000-0000-0000E7080000}"/>
    <cellStyle name="Comma 4 2 5 3 2" xfId="3364" xr:uid="{00000000-0005-0000-0000-0000E8080000}"/>
    <cellStyle name="Comma 4 2 5 3 2 2" xfId="7587" xr:uid="{00000000-0005-0000-0000-0000E9080000}"/>
    <cellStyle name="Comma 4 2 5 3 2 3" xfId="11326" xr:uid="{05FE265F-6390-4996-9C8A-65AAFAAACAE3}"/>
    <cellStyle name="Comma 4 2 5 3 3" xfId="5442" xr:uid="{00000000-0005-0000-0000-0000EA080000}"/>
    <cellStyle name="Comma 4 2 5 3 4" xfId="9668" xr:uid="{D82C7444-29D1-4326-AFED-AD35F2678D8C}"/>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4 4" xfId="10497" xr:uid="{2A2FEADF-738B-4522-B0CB-75429DCB57C7}"/>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10" xfId="8837" xr:uid="{78814477-6B8D-48DD-9543-2E092BCBADB0}"/>
    <cellStyle name="Comma 4 2 6 2" xfId="681" xr:uid="{00000000-0005-0000-0000-0000FA080000}"/>
    <cellStyle name="Comma 4 2 6 2 2" xfId="2952" xr:uid="{00000000-0005-0000-0000-0000FB080000}"/>
    <cellStyle name="Comma 4 2 6 2 2 2" xfId="7175" xr:uid="{00000000-0005-0000-0000-0000FC080000}"/>
    <cellStyle name="Comma 4 2 6 2 2 2 2" xfId="11743" xr:uid="{7CFB43CA-098F-477B-8647-A75BC92FDEFA}"/>
    <cellStyle name="Comma 4 2 6 2 2 3" xfId="10085" xr:uid="{FAD7899D-66A5-4D2A-8C51-BC291AFD5254}"/>
    <cellStyle name="Comma 4 2 6 2 3" xfId="5030" xr:uid="{00000000-0005-0000-0000-0000FD080000}"/>
    <cellStyle name="Comma 4 2 6 2 3 2" xfId="10914" xr:uid="{52047E30-E1DC-42A1-B952-3F478AB02CC2}"/>
    <cellStyle name="Comma 4 2 6 2 4" xfId="9254" xr:uid="{6274D268-FFA4-4685-8354-B2EDF99B8953}"/>
    <cellStyle name="Comma 4 2 6 3" xfId="1134" xr:uid="{00000000-0005-0000-0000-0000FE080000}"/>
    <cellStyle name="Comma 4 2 6 3 2" xfId="3365" xr:uid="{00000000-0005-0000-0000-0000FF080000}"/>
    <cellStyle name="Comma 4 2 6 3 2 2" xfId="7588" xr:uid="{00000000-0005-0000-0000-000000090000}"/>
    <cellStyle name="Comma 4 2 6 3 2 3" xfId="11327" xr:uid="{E47F091A-12E9-4066-9754-EDE797FD86CD}"/>
    <cellStyle name="Comma 4 2 6 3 3" xfId="5443" xr:uid="{00000000-0005-0000-0000-000001090000}"/>
    <cellStyle name="Comma 4 2 6 3 4" xfId="9669" xr:uid="{218C37EB-2307-400E-8C30-C0A59C08EB0A}"/>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4 4" xfId="10498" xr:uid="{3710B029-2DCD-4B73-A72B-9F284AA7D0A4}"/>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12" xfId="8838" xr:uid="{556EBC3F-54B1-411C-9EB7-B85CD1C98E26}"/>
    <cellStyle name="Comma 4 3 2 2" xfId="146" xr:uid="{00000000-0005-0000-0000-000015090000}"/>
    <cellStyle name="Comma 4 3 2 2 10" xfId="4618" xr:uid="{00000000-0005-0000-0000-000016090000}"/>
    <cellStyle name="Comma 4 3 2 2 11" xfId="8839" xr:uid="{38A62234-B327-4C9F-AA1E-ACF4A2BCE50D}"/>
    <cellStyle name="Comma 4 3 2 2 2" xfId="147" xr:uid="{00000000-0005-0000-0000-000017090000}"/>
    <cellStyle name="Comma 4 3 2 2 2 10" xfId="8840" xr:uid="{577393BC-392F-4330-A31F-E813C8FCFF5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1746" xr:uid="{7B95AA7B-EC30-4CD8-9456-5C4E4B72163B}"/>
    <cellStyle name="Comma 4 3 2 2 2 2 2 3" xfId="10088" xr:uid="{8C71094D-37BE-4972-8546-4BBE6856B815}"/>
    <cellStyle name="Comma 4 3 2 2 2 2 3" xfId="5033" xr:uid="{00000000-0005-0000-0000-00001B090000}"/>
    <cellStyle name="Comma 4 3 2 2 2 2 3 2" xfId="10917" xr:uid="{BF5AEBD2-A04B-48BD-92A9-2646E3E48661}"/>
    <cellStyle name="Comma 4 3 2 2 2 2 4" xfId="9257" xr:uid="{933BCBA9-5B27-4631-BC27-66539947E5EF}"/>
    <cellStyle name="Comma 4 3 2 2 2 3" xfId="1137" xr:uid="{00000000-0005-0000-0000-00001C090000}"/>
    <cellStyle name="Comma 4 3 2 2 2 3 2" xfId="3368" xr:uid="{00000000-0005-0000-0000-00001D090000}"/>
    <cellStyle name="Comma 4 3 2 2 2 3 2 2" xfId="7591" xr:uid="{00000000-0005-0000-0000-00001E090000}"/>
    <cellStyle name="Comma 4 3 2 2 2 3 2 3" xfId="11330" xr:uid="{A313C9E9-A2C7-4F74-AFC8-3682ACD28AF1}"/>
    <cellStyle name="Comma 4 3 2 2 2 3 3" xfId="5446" xr:uid="{00000000-0005-0000-0000-00001F090000}"/>
    <cellStyle name="Comma 4 3 2 2 2 3 4" xfId="9672" xr:uid="{BE465EEF-365E-4D03-A5A5-296C4D154097}"/>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4 4" xfId="10501" xr:uid="{1593605F-A501-4D5A-BFE3-7930C675E034}"/>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2 2 2" xfId="11745" xr:uid="{92E6A0BF-CA0D-43CE-B5B4-2C75AFA40EDD}"/>
    <cellStyle name="Comma 4 3 2 2 3 2 3" xfId="10087" xr:uid="{4C62D86F-FDCE-4884-AFD8-E9AC0AFB18B1}"/>
    <cellStyle name="Comma 4 3 2 2 3 3" xfId="5032" xr:uid="{00000000-0005-0000-0000-000031090000}"/>
    <cellStyle name="Comma 4 3 2 2 3 3 2" xfId="10916" xr:uid="{FB8306EF-8B4B-46E1-A3AF-3496F4151C27}"/>
    <cellStyle name="Comma 4 3 2 2 3 4" xfId="9256" xr:uid="{07750ADB-350A-446A-A03A-D092012CE3FB}"/>
    <cellStyle name="Comma 4 3 2 2 4" xfId="1136" xr:uid="{00000000-0005-0000-0000-000032090000}"/>
    <cellStyle name="Comma 4 3 2 2 4 2" xfId="3367" xr:uid="{00000000-0005-0000-0000-000033090000}"/>
    <cellStyle name="Comma 4 3 2 2 4 2 2" xfId="7590" xr:uid="{00000000-0005-0000-0000-000034090000}"/>
    <cellStyle name="Comma 4 3 2 2 4 2 3" xfId="11329" xr:uid="{E7E30617-F549-49FB-A0E2-DB3CAEFD5016}"/>
    <cellStyle name="Comma 4 3 2 2 4 3" xfId="5445" xr:uid="{00000000-0005-0000-0000-000035090000}"/>
    <cellStyle name="Comma 4 3 2 2 4 4" xfId="9671" xr:uid="{897C635A-CC6F-4696-9F91-665B47D77258}"/>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5 4" xfId="10500" xr:uid="{A647FB9A-46B1-46D1-AC24-FB26CABE6016}"/>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10" xfId="8841" xr:uid="{344FDBD1-46C2-4E07-BDC2-BD78C6EC8995}"/>
    <cellStyle name="Comma 4 3 2 3 2" xfId="685" xr:uid="{00000000-0005-0000-0000-000044090000}"/>
    <cellStyle name="Comma 4 3 2 3 2 2" xfId="2956" xr:uid="{00000000-0005-0000-0000-000045090000}"/>
    <cellStyle name="Comma 4 3 2 3 2 2 2" xfId="7179" xr:uid="{00000000-0005-0000-0000-000046090000}"/>
    <cellStyle name="Comma 4 3 2 3 2 2 2 2" xfId="11747" xr:uid="{F951A4CC-FF57-441D-91D6-C4A7DEBF6DDB}"/>
    <cellStyle name="Comma 4 3 2 3 2 2 3" xfId="10089" xr:uid="{20CAF8BA-86A6-474B-AA95-675B7A812B4A}"/>
    <cellStyle name="Comma 4 3 2 3 2 3" xfId="5034" xr:uid="{00000000-0005-0000-0000-000047090000}"/>
    <cellStyle name="Comma 4 3 2 3 2 3 2" xfId="10918" xr:uid="{2222E4D3-AC8C-422B-A44B-31FBCCF5734C}"/>
    <cellStyle name="Comma 4 3 2 3 2 4" xfId="9258" xr:uid="{FBB166D2-8E05-4EE0-BF63-C56C750DB3C6}"/>
    <cellStyle name="Comma 4 3 2 3 3" xfId="1138" xr:uid="{00000000-0005-0000-0000-000048090000}"/>
    <cellStyle name="Comma 4 3 2 3 3 2" xfId="3369" xr:uid="{00000000-0005-0000-0000-000049090000}"/>
    <cellStyle name="Comma 4 3 2 3 3 2 2" xfId="7592" xr:uid="{00000000-0005-0000-0000-00004A090000}"/>
    <cellStyle name="Comma 4 3 2 3 3 2 3" xfId="11331" xr:uid="{6CF5F1B8-210F-46AF-90C2-4817AA9B786C}"/>
    <cellStyle name="Comma 4 3 2 3 3 3" xfId="5447" xr:uid="{00000000-0005-0000-0000-00004B090000}"/>
    <cellStyle name="Comma 4 3 2 3 3 4" xfId="9673" xr:uid="{E7153D95-FFC8-4BB3-BEFE-FAC5DCFED6D9}"/>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4 4" xfId="10502" xr:uid="{7DC85406-0F07-43A6-80FD-4204A57EDD77}"/>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2 2 2" xfId="11744" xr:uid="{8714E88A-86B9-4567-B6A3-1D26E4532E41}"/>
    <cellStyle name="Comma 4 3 2 4 2 3" xfId="10086" xr:uid="{2130EA54-5BD1-4FE5-A0FE-F6CAA65C3FCA}"/>
    <cellStyle name="Comma 4 3 2 4 3" xfId="5031" xr:uid="{00000000-0005-0000-0000-00005D090000}"/>
    <cellStyle name="Comma 4 3 2 4 3 2" xfId="10915" xr:uid="{49D989DB-E201-4343-B04B-BEB377EFBFD8}"/>
    <cellStyle name="Comma 4 3 2 4 4" xfId="9255" xr:uid="{29A20A43-883C-48DF-95E0-84B487CDD021}"/>
    <cellStyle name="Comma 4 3 2 5" xfId="1135" xr:uid="{00000000-0005-0000-0000-00005E090000}"/>
    <cellStyle name="Comma 4 3 2 5 2" xfId="3366" xr:uid="{00000000-0005-0000-0000-00005F090000}"/>
    <cellStyle name="Comma 4 3 2 5 2 2" xfId="7589" xr:uid="{00000000-0005-0000-0000-000060090000}"/>
    <cellStyle name="Comma 4 3 2 5 2 3" xfId="11328" xr:uid="{E5D3FA3E-C37C-42BB-A513-9CC1B716A794}"/>
    <cellStyle name="Comma 4 3 2 5 3" xfId="5444" xr:uid="{00000000-0005-0000-0000-000061090000}"/>
    <cellStyle name="Comma 4 3 2 5 4" xfId="9670" xr:uid="{AEAC0A78-9596-4DC1-85DF-8090885D0076}"/>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6 4" xfId="10499" xr:uid="{2BB3418F-D4FB-4591-A651-E422068FCEA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11" xfId="8842" xr:uid="{C9DBF8BA-34FB-480D-AFC5-22278BE3C15E}"/>
    <cellStyle name="Comma 4 3 3 2" xfId="150" xr:uid="{00000000-0005-0000-0000-00006F090000}"/>
    <cellStyle name="Comma 4 3 3 2 10" xfId="8843" xr:uid="{57B8A1BD-297B-4063-A21C-6BA271D3D8DE}"/>
    <cellStyle name="Comma 4 3 3 2 2" xfId="687" xr:uid="{00000000-0005-0000-0000-000070090000}"/>
    <cellStyle name="Comma 4 3 3 2 2 2" xfId="2958" xr:uid="{00000000-0005-0000-0000-000071090000}"/>
    <cellStyle name="Comma 4 3 3 2 2 2 2" xfId="7181" xr:uid="{00000000-0005-0000-0000-000072090000}"/>
    <cellStyle name="Comma 4 3 3 2 2 2 2 2" xfId="11749" xr:uid="{C86F3C08-9203-4A40-AB19-77E1094B0E13}"/>
    <cellStyle name="Comma 4 3 3 2 2 2 3" xfId="10091" xr:uid="{13D2F375-AEF2-4769-BF9F-7B4463DF1388}"/>
    <cellStyle name="Comma 4 3 3 2 2 3" xfId="5036" xr:uid="{00000000-0005-0000-0000-000073090000}"/>
    <cellStyle name="Comma 4 3 3 2 2 3 2" xfId="10920" xr:uid="{A53285FA-A1CA-4AF5-A0D9-EE42E83149F9}"/>
    <cellStyle name="Comma 4 3 3 2 2 4" xfId="9260" xr:uid="{8D1C5702-D924-4563-B822-148E820EF0AA}"/>
    <cellStyle name="Comma 4 3 3 2 3" xfId="1140" xr:uid="{00000000-0005-0000-0000-000074090000}"/>
    <cellStyle name="Comma 4 3 3 2 3 2" xfId="3371" xr:uid="{00000000-0005-0000-0000-000075090000}"/>
    <cellStyle name="Comma 4 3 3 2 3 2 2" xfId="7594" xr:uid="{00000000-0005-0000-0000-000076090000}"/>
    <cellStyle name="Comma 4 3 3 2 3 2 3" xfId="11333" xr:uid="{1F752B49-0008-4648-A1F7-DF81F19286D1}"/>
    <cellStyle name="Comma 4 3 3 2 3 3" xfId="5449" xr:uid="{00000000-0005-0000-0000-000077090000}"/>
    <cellStyle name="Comma 4 3 3 2 3 4" xfId="9675" xr:uid="{9C489A2E-E733-4372-9C1D-297A503C9D76}"/>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4 4" xfId="10504" xr:uid="{7A0214F0-2F12-4AF7-A8EF-E8AC2BA49E32}"/>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2 2 2" xfId="11748" xr:uid="{0956E46E-509A-4FCD-B934-7E3B022F8749}"/>
    <cellStyle name="Comma 4 3 3 3 2 3" xfId="10090" xr:uid="{01093E74-B0B8-4A4D-AA44-4358EAB04CA6}"/>
    <cellStyle name="Comma 4 3 3 3 3" xfId="5035" xr:uid="{00000000-0005-0000-0000-000089090000}"/>
    <cellStyle name="Comma 4 3 3 3 3 2" xfId="10919" xr:uid="{FF34A197-9901-4042-BCD4-8D31C02B6D43}"/>
    <cellStyle name="Comma 4 3 3 3 4" xfId="9259" xr:uid="{1AEFE5A6-F7E4-4FE6-BC85-AF2B5E3E92DE}"/>
    <cellStyle name="Comma 4 3 3 4" xfId="1139" xr:uid="{00000000-0005-0000-0000-00008A090000}"/>
    <cellStyle name="Comma 4 3 3 4 2" xfId="3370" xr:uid="{00000000-0005-0000-0000-00008B090000}"/>
    <cellStyle name="Comma 4 3 3 4 2 2" xfId="7593" xr:uid="{00000000-0005-0000-0000-00008C090000}"/>
    <cellStyle name="Comma 4 3 3 4 2 3" xfId="11332" xr:uid="{E4958B31-1226-4787-BB35-1E157FAFF8D2}"/>
    <cellStyle name="Comma 4 3 3 4 3" xfId="5448" xr:uid="{00000000-0005-0000-0000-00008D090000}"/>
    <cellStyle name="Comma 4 3 3 4 4" xfId="9674" xr:uid="{2A9E9F5F-8903-4366-B2DA-5A75C945B98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5 4" xfId="10503" xr:uid="{9664B0FB-F0E1-422D-9091-1D0EAC34201A}"/>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10" xfId="8844" xr:uid="{2E8ED9B9-9A94-4072-A439-33587DB2E6D9}"/>
    <cellStyle name="Comma 4 3 4 2" xfId="688" xr:uid="{00000000-0005-0000-0000-00009C090000}"/>
    <cellStyle name="Comma 4 3 4 2 2" xfId="2959" xr:uid="{00000000-0005-0000-0000-00009D090000}"/>
    <cellStyle name="Comma 4 3 4 2 2 2" xfId="7182" xr:uid="{00000000-0005-0000-0000-00009E090000}"/>
    <cellStyle name="Comma 4 3 4 2 2 2 2" xfId="11750" xr:uid="{FD12154A-C8C8-4219-901B-2DF78FBF46E8}"/>
    <cellStyle name="Comma 4 3 4 2 2 3" xfId="10092" xr:uid="{9889DF2A-9CE2-4367-868B-6AC41AFC853B}"/>
    <cellStyle name="Comma 4 3 4 2 3" xfId="5037" xr:uid="{00000000-0005-0000-0000-00009F090000}"/>
    <cellStyle name="Comma 4 3 4 2 3 2" xfId="10921" xr:uid="{D8348FD8-9BDD-4C2C-B5B7-26A91276AF6E}"/>
    <cellStyle name="Comma 4 3 4 2 4" xfId="9261" xr:uid="{5C0AF321-970A-4CA4-A73A-DE85ABB7EBC3}"/>
    <cellStyle name="Comma 4 3 4 3" xfId="1141" xr:uid="{00000000-0005-0000-0000-0000A0090000}"/>
    <cellStyle name="Comma 4 3 4 3 2" xfId="3372" xr:uid="{00000000-0005-0000-0000-0000A1090000}"/>
    <cellStyle name="Comma 4 3 4 3 2 2" xfId="7595" xr:uid="{00000000-0005-0000-0000-0000A2090000}"/>
    <cellStyle name="Comma 4 3 4 3 2 3" xfId="11334" xr:uid="{13097258-B901-49EA-AD9B-72EC6C9346BD}"/>
    <cellStyle name="Comma 4 3 4 3 3" xfId="5450" xr:uid="{00000000-0005-0000-0000-0000A3090000}"/>
    <cellStyle name="Comma 4 3 4 3 4" xfId="9676" xr:uid="{A3B43E56-7CC9-40DD-B75C-EE2E6D9D57F8}"/>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4 4" xfId="10505" xr:uid="{14D9A154-02C5-4090-BEFA-90E291BEEC35}"/>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10" xfId="8845" xr:uid="{8DD1713A-A0C6-47EF-9E5F-264D1220BC1E}"/>
    <cellStyle name="Comma 4 3 5 2" xfId="689" xr:uid="{00000000-0005-0000-0000-0000B3090000}"/>
    <cellStyle name="Comma 4 3 5 2 2" xfId="2960" xr:uid="{00000000-0005-0000-0000-0000B4090000}"/>
    <cellStyle name="Comma 4 3 5 2 2 2" xfId="7183" xr:uid="{00000000-0005-0000-0000-0000B5090000}"/>
    <cellStyle name="Comma 4 3 5 2 2 2 2" xfId="11751" xr:uid="{D3B845B4-52FE-4D32-828F-042D16761416}"/>
    <cellStyle name="Comma 4 3 5 2 2 3" xfId="10093" xr:uid="{8CD3A6FA-9626-423C-BD1F-A8B288AB9457}"/>
    <cellStyle name="Comma 4 3 5 2 3" xfId="5038" xr:uid="{00000000-0005-0000-0000-0000B6090000}"/>
    <cellStyle name="Comma 4 3 5 2 3 2" xfId="10922" xr:uid="{BFDC4A7C-249F-4163-B805-6AF6E977B956}"/>
    <cellStyle name="Comma 4 3 5 2 4" xfId="9262" xr:uid="{64A9E80A-183D-45D9-850E-2FEB044D2C6C}"/>
    <cellStyle name="Comma 4 3 5 3" xfId="1142" xr:uid="{00000000-0005-0000-0000-0000B7090000}"/>
    <cellStyle name="Comma 4 3 5 3 2" xfId="3373" xr:uid="{00000000-0005-0000-0000-0000B8090000}"/>
    <cellStyle name="Comma 4 3 5 3 2 2" xfId="7596" xr:uid="{00000000-0005-0000-0000-0000B9090000}"/>
    <cellStyle name="Comma 4 3 5 3 2 3" xfId="11335" xr:uid="{78B9E6F3-80C9-42DD-A2B1-DB73C354F93E}"/>
    <cellStyle name="Comma 4 3 5 3 3" xfId="5451" xr:uid="{00000000-0005-0000-0000-0000BA090000}"/>
    <cellStyle name="Comma 4 3 5 3 4" xfId="9677" xr:uid="{342CBDC7-0018-4428-BE03-E8E8D8117ED4}"/>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4 4" xfId="10506" xr:uid="{32F5DFE4-E780-4E81-9736-DCB09CBC394F}"/>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12" xfId="8846" xr:uid="{61413E42-5BD3-447F-8F9E-CC64A8D4F2C7}"/>
    <cellStyle name="Comma 4 4 2" xfId="154" xr:uid="{00000000-0005-0000-0000-0000CD090000}"/>
    <cellStyle name="Comma 4 4 2 10" xfId="4626" xr:uid="{00000000-0005-0000-0000-0000CE090000}"/>
    <cellStyle name="Comma 4 4 2 11" xfId="8847" xr:uid="{CAEDC675-298A-4808-88CC-3EF4DE46148C}"/>
    <cellStyle name="Comma 4 4 2 2" xfId="155" xr:uid="{00000000-0005-0000-0000-0000CF090000}"/>
    <cellStyle name="Comma 4 4 2 2 10" xfId="8848" xr:uid="{6E432AB5-A2F4-4ABC-B05F-767C8A351B02}"/>
    <cellStyle name="Comma 4 4 2 2 2" xfId="692" xr:uid="{00000000-0005-0000-0000-0000D0090000}"/>
    <cellStyle name="Comma 4 4 2 2 2 2" xfId="2963" xr:uid="{00000000-0005-0000-0000-0000D1090000}"/>
    <cellStyle name="Comma 4 4 2 2 2 2 2" xfId="7186" xr:uid="{00000000-0005-0000-0000-0000D2090000}"/>
    <cellStyle name="Comma 4 4 2 2 2 2 2 2" xfId="11754" xr:uid="{0BB162EE-55EB-4743-9415-F0531D5AB76A}"/>
    <cellStyle name="Comma 4 4 2 2 2 2 3" xfId="10096" xr:uid="{B83CC80D-D6BD-4958-AB15-15E3AE74236A}"/>
    <cellStyle name="Comma 4 4 2 2 2 3" xfId="5041" xr:uid="{00000000-0005-0000-0000-0000D3090000}"/>
    <cellStyle name="Comma 4 4 2 2 2 3 2" xfId="10925" xr:uid="{9EF9AD57-372D-4988-8952-BF7B0FBAFC4E}"/>
    <cellStyle name="Comma 4 4 2 2 2 4" xfId="9265" xr:uid="{7A492343-F67D-4C4B-BB69-D49F53A84652}"/>
    <cellStyle name="Comma 4 4 2 2 3" xfId="1145" xr:uid="{00000000-0005-0000-0000-0000D4090000}"/>
    <cellStyle name="Comma 4 4 2 2 3 2" xfId="3376" xr:uid="{00000000-0005-0000-0000-0000D5090000}"/>
    <cellStyle name="Comma 4 4 2 2 3 2 2" xfId="7599" xr:uid="{00000000-0005-0000-0000-0000D6090000}"/>
    <cellStyle name="Comma 4 4 2 2 3 2 3" xfId="11338" xr:uid="{E6F18323-911F-4A43-AD6E-EA2B6A5AA9AF}"/>
    <cellStyle name="Comma 4 4 2 2 3 3" xfId="5454" xr:uid="{00000000-0005-0000-0000-0000D7090000}"/>
    <cellStyle name="Comma 4 4 2 2 3 4" xfId="9680" xr:uid="{F61ED814-6784-48A8-9443-941F40547B2A}"/>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4 4" xfId="10509" xr:uid="{985CBCB4-0DC7-4C94-8E61-B3205A6E0A06}"/>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2 2 2" xfId="11753" xr:uid="{18A4AEC3-6286-47F4-80D2-7B8A2F60642D}"/>
    <cellStyle name="Comma 4 4 2 3 2 3" xfId="10095" xr:uid="{AC1D315E-BC4D-4957-8149-0958CAE00335}"/>
    <cellStyle name="Comma 4 4 2 3 3" xfId="5040" xr:uid="{00000000-0005-0000-0000-0000E9090000}"/>
    <cellStyle name="Comma 4 4 2 3 3 2" xfId="10924" xr:uid="{AF23E329-FA7C-4E0C-86BD-0CDC55373C43}"/>
    <cellStyle name="Comma 4 4 2 3 4" xfId="9264" xr:uid="{327355DA-F4FF-41D9-9A04-EB18077EC3DA}"/>
    <cellStyle name="Comma 4 4 2 4" xfId="1144" xr:uid="{00000000-0005-0000-0000-0000EA090000}"/>
    <cellStyle name="Comma 4 4 2 4 2" xfId="3375" xr:uid="{00000000-0005-0000-0000-0000EB090000}"/>
    <cellStyle name="Comma 4 4 2 4 2 2" xfId="7598" xr:uid="{00000000-0005-0000-0000-0000EC090000}"/>
    <cellStyle name="Comma 4 4 2 4 2 3" xfId="11337" xr:uid="{FE483F68-8DC9-440D-8046-2D9AB7BCB4AB}"/>
    <cellStyle name="Comma 4 4 2 4 3" xfId="5453" xr:uid="{00000000-0005-0000-0000-0000ED090000}"/>
    <cellStyle name="Comma 4 4 2 4 4" xfId="9679" xr:uid="{E2EC979F-E6CB-4977-B80A-2967F8B5944F}"/>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5 4" xfId="10508" xr:uid="{1D2ABA8F-C2E4-4E3C-93A6-4A9DB01BE316}"/>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10" xfId="8849" xr:uid="{68A04679-A420-45D0-9F3B-68110677584D}"/>
    <cellStyle name="Comma 4 4 3 2" xfId="693" xr:uid="{00000000-0005-0000-0000-0000FC090000}"/>
    <cellStyle name="Comma 4 4 3 2 2" xfId="2964" xr:uid="{00000000-0005-0000-0000-0000FD090000}"/>
    <cellStyle name="Comma 4 4 3 2 2 2" xfId="7187" xr:uid="{00000000-0005-0000-0000-0000FE090000}"/>
    <cellStyle name="Comma 4 4 3 2 2 2 2" xfId="11755" xr:uid="{93B15380-09BD-4CF9-99E4-5E887EB44E23}"/>
    <cellStyle name="Comma 4 4 3 2 2 3" xfId="10097" xr:uid="{61E2AFA1-22C5-41BC-ABD4-9585A4D8E0AB}"/>
    <cellStyle name="Comma 4 4 3 2 3" xfId="5042" xr:uid="{00000000-0005-0000-0000-0000FF090000}"/>
    <cellStyle name="Comma 4 4 3 2 3 2" xfId="10926" xr:uid="{C46E8E73-8463-4C1D-890E-2AC56A1E6F89}"/>
    <cellStyle name="Comma 4 4 3 2 4" xfId="9266" xr:uid="{2AC223C8-3715-4B4D-9B8B-8FFCCB7ACC97}"/>
    <cellStyle name="Comma 4 4 3 3" xfId="1146" xr:uid="{00000000-0005-0000-0000-0000000A0000}"/>
    <cellStyle name="Comma 4 4 3 3 2" xfId="3377" xr:uid="{00000000-0005-0000-0000-0000010A0000}"/>
    <cellStyle name="Comma 4 4 3 3 2 2" xfId="7600" xr:uid="{00000000-0005-0000-0000-0000020A0000}"/>
    <cellStyle name="Comma 4 4 3 3 2 3" xfId="11339" xr:uid="{3C837C8C-B020-44EE-9C58-AACA52BDE6FE}"/>
    <cellStyle name="Comma 4 4 3 3 3" xfId="5455" xr:uid="{00000000-0005-0000-0000-0000030A0000}"/>
    <cellStyle name="Comma 4 4 3 3 4" xfId="9681" xr:uid="{0CBC6ABD-3C1F-4F0E-95CA-3E868A4433EB}"/>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4 4" xfId="10510" xr:uid="{BB98830E-5170-4B38-A9E7-B7AAF9B3F98F}"/>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2 2 2" xfId="11752" xr:uid="{68E897D8-57AD-450E-9308-89A07C2F66C7}"/>
    <cellStyle name="Comma 4 4 4 2 3" xfId="10094" xr:uid="{587A9F59-C4AB-4B43-8A04-6D2CCF8DD59F}"/>
    <cellStyle name="Comma 4 4 4 3" xfId="5039" xr:uid="{00000000-0005-0000-0000-0000150A0000}"/>
    <cellStyle name="Comma 4 4 4 3 2" xfId="10923" xr:uid="{D6ACADD5-ED9B-41B0-A616-AF51293EC048}"/>
    <cellStyle name="Comma 4 4 4 4" xfId="9263" xr:uid="{E5C8B634-0334-49F3-B19F-1068AA392BB5}"/>
    <cellStyle name="Comma 4 4 5" xfId="1143" xr:uid="{00000000-0005-0000-0000-0000160A0000}"/>
    <cellStyle name="Comma 4 4 5 2" xfId="3374" xr:uid="{00000000-0005-0000-0000-0000170A0000}"/>
    <cellStyle name="Comma 4 4 5 2 2" xfId="7597" xr:uid="{00000000-0005-0000-0000-0000180A0000}"/>
    <cellStyle name="Comma 4 4 5 2 3" xfId="11336" xr:uid="{560CA393-CBAD-4905-9827-59CF0FC6BB65}"/>
    <cellStyle name="Comma 4 4 5 3" xfId="5452" xr:uid="{00000000-0005-0000-0000-0000190A0000}"/>
    <cellStyle name="Comma 4 4 5 4" xfId="9678" xr:uid="{838587E1-1FD8-4E92-93F8-98D2899D3C15}"/>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6 4" xfId="10507" xr:uid="{1F81316B-98F3-4E98-9118-8318D78908A1}"/>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11" xfId="8850" xr:uid="{37806D45-BC84-47B4-879F-43E7B6A4C656}"/>
    <cellStyle name="Comma 4 5 2" xfId="158" xr:uid="{00000000-0005-0000-0000-0000270A0000}"/>
    <cellStyle name="Comma 4 5 2 10" xfId="8851" xr:uid="{0E5F571D-8AFD-4B99-A8BF-1CFAC7D3DD1F}"/>
    <cellStyle name="Comma 4 5 2 2" xfId="695" xr:uid="{00000000-0005-0000-0000-0000280A0000}"/>
    <cellStyle name="Comma 4 5 2 2 2" xfId="2966" xr:uid="{00000000-0005-0000-0000-0000290A0000}"/>
    <cellStyle name="Comma 4 5 2 2 2 2" xfId="7189" xr:uid="{00000000-0005-0000-0000-00002A0A0000}"/>
    <cellStyle name="Comma 4 5 2 2 2 2 2" xfId="11757" xr:uid="{033E23E5-63CD-473F-A06C-C706C2926F81}"/>
    <cellStyle name="Comma 4 5 2 2 2 3" xfId="10099" xr:uid="{F3868E68-50FF-4890-BBAF-3919AC0BE5AA}"/>
    <cellStyle name="Comma 4 5 2 2 3" xfId="5044" xr:uid="{00000000-0005-0000-0000-00002B0A0000}"/>
    <cellStyle name="Comma 4 5 2 2 3 2" xfId="10928" xr:uid="{75F8DBAD-CBDA-4EAF-8711-8B8EBDF7AEBA}"/>
    <cellStyle name="Comma 4 5 2 2 4" xfId="9268" xr:uid="{2062245B-D35B-4C30-B4DA-A19D8C24A88A}"/>
    <cellStyle name="Comma 4 5 2 3" xfId="1148" xr:uid="{00000000-0005-0000-0000-00002C0A0000}"/>
    <cellStyle name="Comma 4 5 2 3 2" xfId="3379" xr:uid="{00000000-0005-0000-0000-00002D0A0000}"/>
    <cellStyle name="Comma 4 5 2 3 2 2" xfId="7602" xr:uid="{00000000-0005-0000-0000-00002E0A0000}"/>
    <cellStyle name="Comma 4 5 2 3 2 3" xfId="11341" xr:uid="{D3986273-EF52-4B4D-9652-2806886099E7}"/>
    <cellStyle name="Comma 4 5 2 3 3" xfId="5457" xr:uid="{00000000-0005-0000-0000-00002F0A0000}"/>
    <cellStyle name="Comma 4 5 2 3 4" xfId="9683" xr:uid="{D077FBB4-04E9-488B-B785-E1B17ED19BC2}"/>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4 4" xfId="10512" xr:uid="{4487FCC7-4F7C-4FBA-B32F-7196BC191B3A}"/>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2 2 2" xfId="11756" xr:uid="{B2280266-C5AD-4914-B938-581C4003AF07}"/>
    <cellStyle name="Comma 4 5 3 2 3" xfId="10098" xr:uid="{A3DE1690-E9D9-4527-B006-2B78CFD80F15}"/>
    <cellStyle name="Comma 4 5 3 3" xfId="5043" xr:uid="{00000000-0005-0000-0000-0000410A0000}"/>
    <cellStyle name="Comma 4 5 3 3 2" xfId="10927" xr:uid="{B5C4F630-B1CC-41A2-A07A-D2E5ADB6A6AA}"/>
    <cellStyle name="Comma 4 5 3 4" xfId="9267" xr:uid="{CFA0CB82-B8F5-4EBD-BE92-CC4672C9C4FB}"/>
    <cellStyle name="Comma 4 5 4" xfId="1147" xr:uid="{00000000-0005-0000-0000-0000420A0000}"/>
    <cellStyle name="Comma 4 5 4 2" xfId="3378" xr:uid="{00000000-0005-0000-0000-0000430A0000}"/>
    <cellStyle name="Comma 4 5 4 2 2" xfId="7601" xr:uid="{00000000-0005-0000-0000-0000440A0000}"/>
    <cellStyle name="Comma 4 5 4 2 3" xfId="11340" xr:uid="{D4837A85-22F8-4D86-A505-D7FC9FEE360D}"/>
    <cellStyle name="Comma 4 5 4 3" xfId="5456" xr:uid="{00000000-0005-0000-0000-0000450A0000}"/>
    <cellStyle name="Comma 4 5 4 4" xfId="9682" xr:uid="{C1BC8D22-E670-49E2-8AA3-40B22581972F}"/>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5 4" xfId="10511" xr:uid="{F692718F-E030-419E-8F4C-D41537955865}"/>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10" xfId="8852" xr:uid="{EAF985FD-B718-4D0E-9D33-BCDBE6FED69F}"/>
    <cellStyle name="Comma 4 6 2" xfId="696" xr:uid="{00000000-0005-0000-0000-0000540A0000}"/>
    <cellStyle name="Comma 4 6 2 2" xfId="2967" xr:uid="{00000000-0005-0000-0000-0000550A0000}"/>
    <cellStyle name="Comma 4 6 2 2 2" xfId="7190" xr:uid="{00000000-0005-0000-0000-0000560A0000}"/>
    <cellStyle name="Comma 4 6 2 2 2 2" xfId="11758" xr:uid="{D852672F-F2D7-42CC-A418-94AD290C65E5}"/>
    <cellStyle name="Comma 4 6 2 2 3" xfId="10100" xr:uid="{1EA1507E-448F-4A19-B48D-2A112C8EBAF2}"/>
    <cellStyle name="Comma 4 6 2 3" xfId="5045" xr:uid="{00000000-0005-0000-0000-0000570A0000}"/>
    <cellStyle name="Comma 4 6 2 3 2" xfId="10929" xr:uid="{64E35126-F266-4336-8700-46C05062FA38}"/>
    <cellStyle name="Comma 4 6 2 4" xfId="9269" xr:uid="{9709C2FB-3181-4241-8144-C46899641CA1}"/>
    <cellStyle name="Comma 4 6 3" xfId="1149" xr:uid="{00000000-0005-0000-0000-0000580A0000}"/>
    <cellStyle name="Comma 4 6 3 2" xfId="3380" xr:uid="{00000000-0005-0000-0000-0000590A0000}"/>
    <cellStyle name="Comma 4 6 3 2 2" xfId="7603" xr:uid="{00000000-0005-0000-0000-00005A0A0000}"/>
    <cellStyle name="Comma 4 6 3 2 3" xfId="11342" xr:uid="{33C4F9A3-923F-41DE-9545-7F863B36FFC4}"/>
    <cellStyle name="Comma 4 6 3 3" xfId="5458" xr:uid="{00000000-0005-0000-0000-00005B0A0000}"/>
    <cellStyle name="Comma 4 6 3 4" xfId="9684" xr:uid="{C3665012-0E70-4BBA-B995-EF5BAF57BD96}"/>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4 4" xfId="10513" xr:uid="{7F290C45-29C1-4B0D-9D3D-F9E491B58E04}"/>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10" xfId="8853" xr:uid="{3009D10C-EB70-48ED-A7ED-D0F86596E77F}"/>
    <cellStyle name="Comma 4 7 2" xfId="697" xr:uid="{00000000-0005-0000-0000-00006B0A0000}"/>
    <cellStyle name="Comma 4 7 2 2" xfId="2968" xr:uid="{00000000-0005-0000-0000-00006C0A0000}"/>
    <cellStyle name="Comma 4 7 2 2 2" xfId="7191" xr:uid="{00000000-0005-0000-0000-00006D0A0000}"/>
    <cellStyle name="Comma 4 7 2 2 2 2" xfId="11759" xr:uid="{BB1E7E5B-9F6A-4EA4-B353-B27D398FE2B5}"/>
    <cellStyle name="Comma 4 7 2 2 3" xfId="10101" xr:uid="{4E800128-73CC-487F-BB2F-5F4A1E101C31}"/>
    <cellStyle name="Comma 4 7 2 3" xfId="5046" xr:uid="{00000000-0005-0000-0000-00006E0A0000}"/>
    <cellStyle name="Comma 4 7 2 3 2" xfId="10930" xr:uid="{DBB4714E-4192-4B76-B6DE-A50B7CF33153}"/>
    <cellStyle name="Comma 4 7 2 4" xfId="9270" xr:uid="{D30F0167-74A9-440B-A4E2-13C952919A01}"/>
    <cellStyle name="Comma 4 7 3" xfId="1150" xr:uid="{00000000-0005-0000-0000-00006F0A0000}"/>
    <cellStyle name="Comma 4 7 3 2" xfId="3381" xr:uid="{00000000-0005-0000-0000-0000700A0000}"/>
    <cellStyle name="Comma 4 7 3 2 2" xfId="7604" xr:uid="{00000000-0005-0000-0000-0000710A0000}"/>
    <cellStyle name="Comma 4 7 3 2 3" xfId="11343" xr:uid="{360FD884-8FC2-4CF4-AF84-2B4916A826C0}"/>
    <cellStyle name="Comma 4 7 3 3" xfId="5459" xr:uid="{00000000-0005-0000-0000-0000720A0000}"/>
    <cellStyle name="Comma 4 7 3 4" xfId="9685" xr:uid="{F0B13CA7-F69C-443C-B519-1D521DFBF564}"/>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4 4" xfId="10514" xr:uid="{52AF4505-731B-4973-A497-7E58D7B7E3B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972" xr:uid="{310B59BE-860B-451A-82B8-9C77EBCB9AAE}"/>
    <cellStyle name="Comma 7 2 2" xfId="11630" xr:uid="{C09AAF75-FF1C-48B1-9B48-A3F7743F7B82}"/>
    <cellStyle name="Comma 7 3" xfId="10801" xr:uid="{4D11FB71-5CF4-46D4-9DCA-4DA963250D0D}"/>
    <cellStyle name="Comma 7 4" xfId="9141" xr:uid="{9DF12E5A-B02A-49DC-991B-927639EE7E15}"/>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12" xfId="8854" xr:uid="{3880D5C3-6537-4765-A0C2-0FE01CBFB1F7}"/>
    <cellStyle name="Currency 3 2 2 2" xfId="179" xr:uid="{00000000-0005-0000-0000-0000A60A0000}"/>
    <cellStyle name="Currency 3 2 2 2 10" xfId="4634" xr:uid="{00000000-0005-0000-0000-0000A70A0000}"/>
    <cellStyle name="Currency 3 2 2 2 11" xfId="8855" xr:uid="{D606BB60-38EA-4857-A5C7-F8A2D5A05010}"/>
    <cellStyle name="Currency 3 2 2 2 2" xfId="180" xr:uid="{00000000-0005-0000-0000-0000A80A0000}"/>
    <cellStyle name="Currency 3 2 2 2 2 10" xfId="8856" xr:uid="{DF3AB87D-BAAC-4D46-B8BB-57791725EA86}"/>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1762" xr:uid="{2AD68279-51F2-44F4-AAED-40EA3248342C}"/>
    <cellStyle name="Currency 3 2 2 2 2 2 2 3" xfId="10104" xr:uid="{152046CD-2BD9-4A98-B5B9-FF8387BAFEFF}"/>
    <cellStyle name="Currency 3 2 2 2 2 2 3" xfId="5049" xr:uid="{00000000-0005-0000-0000-0000AC0A0000}"/>
    <cellStyle name="Currency 3 2 2 2 2 2 3 2" xfId="10933" xr:uid="{6B8C4291-9737-47B5-8DC5-272B6923D1F9}"/>
    <cellStyle name="Currency 3 2 2 2 2 2 4" xfId="9273" xr:uid="{70BAF47F-79FF-428D-A9F5-A5B41C718732}"/>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3" xfId="11346" xr:uid="{9F2BD41A-096D-4761-B711-F79E555A41D8}"/>
    <cellStyle name="Currency 3 2 2 2 2 3 3" xfId="5462" xr:uid="{00000000-0005-0000-0000-0000B00A0000}"/>
    <cellStyle name="Currency 3 2 2 2 2 3 4" xfId="9688" xr:uid="{C64E0561-1F27-4A0D-B664-8F4BE51736F4}"/>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4 4" xfId="10517" xr:uid="{E7AD41FD-2607-40FD-AE37-1F4414367DD5}"/>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1761" xr:uid="{89413611-1B91-4C0A-A6FD-49EB3F3F71EA}"/>
    <cellStyle name="Currency 3 2 2 2 3 2 3" xfId="10103" xr:uid="{94E59032-FC37-432E-A18D-33E1D3D1510E}"/>
    <cellStyle name="Currency 3 2 2 2 3 3" xfId="5048" xr:uid="{00000000-0005-0000-0000-0000C20A0000}"/>
    <cellStyle name="Currency 3 2 2 2 3 3 2" xfId="10932" xr:uid="{CA419E29-F146-4251-B5FE-6B7DFB30DEA0}"/>
    <cellStyle name="Currency 3 2 2 2 3 4" xfId="9272" xr:uid="{B7DEA2C3-27E1-4000-8C04-931F06FCA0CE}"/>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3" xfId="11345" xr:uid="{BDE8ED21-BB7D-4070-8B25-1158D9776E7B}"/>
    <cellStyle name="Currency 3 2 2 2 4 3" xfId="5461" xr:uid="{00000000-0005-0000-0000-0000C60A0000}"/>
    <cellStyle name="Currency 3 2 2 2 4 4" xfId="9687" xr:uid="{F410FA9C-FA13-420F-A926-EFE081714998}"/>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5 4" xfId="10516" xr:uid="{56D68111-6ECE-4BFF-B8F9-24389F9AECF9}"/>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10" xfId="8857" xr:uid="{9A5857CD-D3C6-446E-B349-81027B625A97}"/>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1763" xr:uid="{78B031AF-AA90-4800-83CC-286DF0C6258B}"/>
    <cellStyle name="Currency 3 2 2 3 2 2 3" xfId="10105" xr:uid="{FF4E4C42-45FD-4516-8B2E-7246CE351E31}"/>
    <cellStyle name="Currency 3 2 2 3 2 3" xfId="5050" xr:uid="{00000000-0005-0000-0000-0000D80A0000}"/>
    <cellStyle name="Currency 3 2 2 3 2 3 2" xfId="10934" xr:uid="{F0F43373-43E6-45AE-A56A-573DEE63B6CE}"/>
    <cellStyle name="Currency 3 2 2 3 2 4" xfId="9274" xr:uid="{020AD9FA-B380-462A-84DC-7140CF4886CC}"/>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3" xfId="11347" xr:uid="{1BD2A3B9-49C5-43F8-84A5-6F8D2637239B}"/>
    <cellStyle name="Currency 3 2 2 3 3 3" xfId="5463" xr:uid="{00000000-0005-0000-0000-0000DC0A0000}"/>
    <cellStyle name="Currency 3 2 2 3 3 4" xfId="9689" xr:uid="{4F589A8E-3368-4A37-B4A5-0E9365A28AAA}"/>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4 4" xfId="10518" xr:uid="{6CF1EFB0-DA21-40FC-9A67-464ED861E72D}"/>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1760" xr:uid="{AB353E6D-5020-415C-8708-C24EBBBD9898}"/>
    <cellStyle name="Currency 3 2 2 4 2 3" xfId="10102" xr:uid="{6660F210-ECB4-4AEC-869C-16F2476DCD09}"/>
    <cellStyle name="Currency 3 2 2 4 3" xfId="5047" xr:uid="{00000000-0005-0000-0000-0000EE0A0000}"/>
    <cellStyle name="Currency 3 2 2 4 3 2" xfId="10931" xr:uid="{F11F3EE1-4918-4116-BBF5-61D1B6876189}"/>
    <cellStyle name="Currency 3 2 2 4 4" xfId="9271" xr:uid="{9F5278A1-DB2A-4B1F-A045-6A83A28A8CDA}"/>
    <cellStyle name="Currency 3 2 2 5" xfId="1151" xr:uid="{00000000-0005-0000-0000-0000EF0A0000}"/>
    <cellStyle name="Currency 3 2 2 5 2" xfId="3382" xr:uid="{00000000-0005-0000-0000-0000F00A0000}"/>
    <cellStyle name="Currency 3 2 2 5 2 2" xfId="7605" xr:uid="{00000000-0005-0000-0000-0000F10A0000}"/>
    <cellStyle name="Currency 3 2 2 5 2 3" xfId="11344" xr:uid="{01319CDC-0510-44B0-80BD-55908259A53D}"/>
    <cellStyle name="Currency 3 2 2 5 3" xfId="5460" xr:uid="{00000000-0005-0000-0000-0000F20A0000}"/>
    <cellStyle name="Currency 3 2 2 5 4" xfId="9686" xr:uid="{E550DC38-9F43-4360-9B72-8E8C8AB0CF95}"/>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6 4" xfId="10515" xr:uid="{C9F94521-4B5F-4C73-9BAF-1E2B996D8CB4}"/>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11" xfId="8858" xr:uid="{21B261EE-4E76-4A32-87F0-2E0B3145B8B8}"/>
    <cellStyle name="Currency 3 2 3 2" xfId="183" xr:uid="{00000000-0005-0000-0000-0000000B0000}"/>
    <cellStyle name="Currency 3 2 3 2 10" xfId="8859" xr:uid="{372CAE2B-096E-46E4-988E-04708F3BF4E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1765" xr:uid="{B1E8056F-BF1B-4488-8F82-EBEFE06A704C}"/>
    <cellStyle name="Currency 3 2 3 2 2 2 3" xfId="10107" xr:uid="{220C5BF0-44F5-4DA8-8289-B9EB73FC2796}"/>
    <cellStyle name="Currency 3 2 3 2 2 3" xfId="5052" xr:uid="{00000000-0005-0000-0000-0000040B0000}"/>
    <cellStyle name="Currency 3 2 3 2 2 3 2" xfId="10936" xr:uid="{A7EF09AB-4613-4642-A970-BBA1D04EAA09}"/>
    <cellStyle name="Currency 3 2 3 2 2 4" xfId="9276" xr:uid="{79CCAC62-5254-4FC8-A67F-76D6499B6D56}"/>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3" xfId="11349" xr:uid="{3D85B926-C00E-4DB2-8C80-10D1B4CBB520}"/>
    <cellStyle name="Currency 3 2 3 2 3 3" xfId="5465" xr:uid="{00000000-0005-0000-0000-0000080B0000}"/>
    <cellStyle name="Currency 3 2 3 2 3 4" xfId="9691" xr:uid="{11044EA4-36FF-4D1D-9A6C-FF33269019D2}"/>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4 4" xfId="10520" xr:uid="{3965E46A-FCE9-4031-BC4E-891F3A84C216}"/>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1764" xr:uid="{8B3FF7A6-B175-43B8-B8A2-CBAD761E3E18}"/>
    <cellStyle name="Currency 3 2 3 3 2 3" xfId="10106" xr:uid="{AD2EF253-54E1-4452-823B-72DBAEDF0178}"/>
    <cellStyle name="Currency 3 2 3 3 3" xfId="5051" xr:uid="{00000000-0005-0000-0000-00001A0B0000}"/>
    <cellStyle name="Currency 3 2 3 3 3 2" xfId="10935" xr:uid="{044D091A-5E47-4C1D-857C-8F1AFEC1253C}"/>
    <cellStyle name="Currency 3 2 3 3 4" xfId="9275" xr:uid="{CD9CA241-2CF0-43D2-B0A3-C4E4DED0ADCB}"/>
    <cellStyle name="Currency 3 2 3 4" xfId="1155" xr:uid="{00000000-0005-0000-0000-00001B0B0000}"/>
    <cellStyle name="Currency 3 2 3 4 2" xfId="3386" xr:uid="{00000000-0005-0000-0000-00001C0B0000}"/>
    <cellStyle name="Currency 3 2 3 4 2 2" xfId="7609" xr:uid="{00000000-0005-0000-0000-00001D0B0000}"/>
    <cellStyle name="Currency 3 2 3 4 2 3" xfId="11348" xr:uid="{8E2E02E6-08E3-45E7-BB3E-FCE511555947}"/>
    <cellStyle name="Currency 3 2 3 4 3" xfId="5464" xr:uid="{00000000-0005-0000-0000-00001E0B0000}"/>
    <cellStyle name="Currency 3 2 3 4 4" xfId="9690" xr:uid="{5C59481C-0E64-4548-B1D5-54F523391419}"/>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5 4" xfId="10519" xr:uid="{222357B5-673E-48E2-896D-9D80AB9CA77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10" xfId="8860" xr:uid="{A8800414-4CE5-457F-87CE-479B11919D2E}"/>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1766" xr:uid="{55220B74-CD93-433A-83B0-F527147B5022}"/>
    <cellStyle name="Currency 3 2 4 2 2 3" xfId="10108" xr:uid="{32E80456-1E5B-4358-8294-2AB6381208B0}"/>
    <cellStyle name="Currency 3 2 4 2 3" xfId="5053" xr:uid="{00000000-0005-0000-0000-0000300B0000}"/>
    <cellStyle name="Currency 3 2 4 2 3 2" xfId="10937" xr:uid="{4FFD968C-FBA4-40B9-8C5F-0C50B9274D71}"/>
    <cellStyle name="Currency 3 2 4 2 4" xfId="9277" xr:uid="{36683B1F-1B49-44FE-8450-B8CAED96E813}"/>
    <cellStyle name="Currency 3 2 4 3" xfId="1157" xr:uid="{00000000-0005-0000-0000-0000310B0000}"/>
    <cellStyle name="Currency 3 2 4 3 2" xfId="3388" xr:uid="{00000000-0005-0000-0000-0000320B0000}"/>
    <cellStyle name="Currency 3 2 4 3 2 2" xfId="7611" xr:uid="{00000000-0005-0000-0000-0000330B0000}"/>
    <cellStyle name="Currency 3 2 4 3 2 3" xfId="11350" xr:uid="{8EB01238-A7CB-461C-8D07-FA550CA0EDE3}"/>
    <cellStyle name="Currency 3 2 4 3 3" xfId="5466" xr:uid="{00000000-0005-0000-0000-0000340B0000}"/>
    <cellStyle name="Currency 3 2 4 3 4" xfId="9692" xr:uid="{2D28A67A-F537-46DC-B95D-DB0D201FC84A}"/>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4 4" xfId="10521" xr:uid="{A11D0B1B-118B-4A01-85B5-1A1146F5E53B}"/>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10" xfId="8861" xr:uid="{81781060-F58C-4804-9A6B-9E9D939CF89C}"/>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1767" xr:uid="{CED7E174-CB73-45F3-AFAB-3AEFA07AB585}"/>
    <cellStyle name="Currency 3 2 5 2 2 3" xfId="10109" xr:uid="{C1E092CD-03C1-4550-BE56-8AA2F8A0CF43}"/>
    <cellStyle name="Currency 3 2 5 2 3" xfId="5054" xr:uid="{00000000-0005-0000-0000-0000470B0000}"/>
    <cellStyle name="Currency 3 2 5 2 3 2" xfId="10938" xr:uid="{06A076A4-4545-429C-83A8-FCF692A582E0}"/>
    <cellStyle name="Currency 3 2 5 2 4" xfId="9278" xr:uid="{94FAC5DE-A0A4-479D-9A58-F0F192D01299}"/>
    <cellStyle name="Currency 3 2 5 3" xfId="1158" xr:uid="{00000000-0005-0000-0000-0000480B0000}"/>
    <cellStyle name="Currency 3 2 5 3 2" xfId="3389" xr:uid="{00000000-0005-0000-0000-0000490B0000}"/>
    <cellStyle name="Currency 3 2 5 3 2 2" xfId="7612" xr:uid="{00000000-0005-0000-0000-00004A0B0000}"/>
    <cellStyle name="Currency 3 2 5 3 2 3" xfId="11351" xr:uid="{1E4B1020-1311-418B-ACF1-BF8B5CA3A365}"/>
    <cellStyle name="Currency 3 2 5 3 3" xfId="5467" xr:uid="{00000000-0005-0000-0000-00004B0B0000}"/>
    <cellStyle name="Currency 3 2 5 3 4" xfId="9693" xr:uid="{7ED8E911-CF72-4B4C-8EC0-E7DAF109903E}"/>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4 4" xfId="10522" xr:uid="{D6FAE7FF-1A2C-4147-A873-1D77E7D55E07}"/>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12" xfId="8862" xr:uid="{15AEA2A6-05D4-43EA-8995-DB941E71BE2A}"/>
    <cellStyle name="Currency 5 2 2 2 2" xfId="197" xr:uid="{00000000-0005-0000-0000-00006D0B0000}"/>
    <cellStyle name="Currency 5 2 2 2 2 10" xfId="4642" xr:uid="{00000000-0005-0000-0000-00006E0B0000}"/>
    <cellStyle name="Currency 5 2 2 2 2 11" xfId="8863" xr:uid="{7EE8DA00-3A61-4F57-AF0D-93F8C8849421}"/>
    <cellStyle name="Currency 5 2 2 2 2 2" xfId="198" xr:uid="{00000000-0005-0000-0000-00006F0B0000}"/>
    <cellStyle name="Currency 5 2 2 2 2 2 10" xfId="8864" xr:uid="{45C9C097-FCCD-4063-A412-B8C993094B85}"/>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1770" xr:uid="{A6275563-C659-49C7-87EE-A44AF249056E}"/>
    <cellStyle name="Currency 5 2 2 2 2 2 2 2 3" xfId="10112" xr:uid="{CDD1B38D-51CF-4FE5-9109-A484BBE59A13}"/>
    <cellStyle name="Currency 5 2 2 2 2 2 2 3" xfId="5057" xr:uid="{00000000-0005-0000-0000-0000730B0000}"/>
    <cellStyle name="Currency 5 2 2 2 2 2 2 3 2" xfId="10941" xr:uid="{C9B4F35E-8C9F-41E9-B431-EF0CB37F565B}"/>
    <cellStyle name="Currency 5 2 2 2 2 2 2 4" xfId="9281" xr:uid="{F49EAE98-C16B-4DD1-9121-6A868475668A}"/>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3" xfId="11354" xr:uid="{C6590E4A-87F6-475F-AF8C-E30B4ED7B190}"/>
    <cellStyle name="Currency 5 2 2 2 2 2 3 3" xfId="5470" xr:uid="{00000000-0005-0000-0000-0000770B0000}"/>
    <cellStyle name="Currency 5 2 2 2 2 2 3 4" xfId="9696" xr:uid="{B7DD4E21-BAF2-4CDE-9C79-8404E30323E1}"/>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4 4" xfId="10525" xr:uid="{64F5584C-AF24-4BB3-8759-7AA2DE2A86D4}"/>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1769" xr:uid="{C57679A7-86F4-478A-88EB-874C54233A49}"/>
    <cellStyle name="Currency 5 2 2 2 2 3 2 3" xfId="10111" xr:uid="{3BBB3AA2-6D02-4638-AFA4-940F08C3ECAE}"/>
    <cellStyle name="Currency 5 2 2 2 2 3 3" xfId="5056" xr:uid="{00000000-0005-0000-0000-0000890B0000}"/>
    <cellStyle name="Currency 5 2 2 2 2 3 3 2" xfId="10940" xr:uid="{2F05555A-BC9C-4F76-A483-0727F0C1C9F6}"/>
    <cellStyle name="Currency 5 2 2 2 2 3 4" xfId="9280" xr:uid="{ADFB17E6-142A-4324-B9FB-04E20A98F87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3" xfId="11353" xr:uid="{40B8C166-6D92-480F-A43C-78653E70332C}"/>
    <cellStyle name="Currency 5 2 2 2 2 4 3" xfId="5469" xr:uid="{00000000-0005-0000-0000-00008D0B0000}"/>
    <cellStyle name="Currency 5 2 2 2 2 4 4" xfId="9695" xr:uid="{2014AB62-2E89-49E3-B153-542B6A8C23DB}"/>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5 4" xfId="10524" xr:uid="{40EB310F-2BF2-4995-B1D5-E7406438569D}"/>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10" xfId="8865" xr:uid="{EF91FA21-7261-43E0-9048-9DE3AC8B3425}"/>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1771" xr:uid="{A3E6B643-4942-4F2B-B28E-5B7EB30BB00C}"/>
    <cellStyle name="Currency 5 2 2 2 3 2 2 3" xfId="10113" xr:uid="{35C436C2-B635-4999-A94F-8B4E376A8743}"/>
    <cellStyle name="Currency 5 2 2 2 3 2 3" xfId="5058" xr:uid="{00000000-0005-0000-0000-00009F0B0000}"/>
    <cellStyle name="Currency 5 2 2 2 3 2 3 2" xfId="10942" xr:uid="{E2BAFF0C-D06C-4B18-BAD6-ADB6D18FC73E}"/>
    <cellStyle name="Currency 5 2 2 2 3 2 4" xfId="9282" xr:uid="{7DA2669D-9AFB-4566-98EC-1C701D21EAF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3" xfId="11355" xr:uid="{86AF69A9-8E68-43A0-A8BC-B9E40C673061}"/>
    <cellStyle name="Currency 5 2 2 2 3 3 3" xfId="5471" xr:uid="{00000000-0005-0000-0000-0000A30B0000}"/>
    <cellStyle name="Currency 5 2 2 2 3 3 4" xfId="9697" xr:uid="{50BDEE19-30F3-4D53-B8A0-99BF06FFCF8A}"/>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4 4" xfId="10526" xr:uid="{FDEDB159-EC16-4D53-A7E9-DFDCACCA5A5A}"/>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1768" xr:uid="{05C59929-CA60-4D6C-98B2-879DB805785E}"/>
    <cellStyle name="Currency 5 2 2 2 4 2 3" xfId="10110" xr:uid="{9B604276-35B8-4635-BFF0-86F364A42228}"/>
    <cellStyle name="Currency 5 2 2 2 4 3" xfId="5055" xr:uid="{00000000-0005-0000-0000-0000B50B0000}"/>
    <cellStyle name="Currency 5 2 2 2 4 3 2" xfId="10939" xr:uid="{7630E3F2-8220-48EA-95D1-13589E3B6A1A}"/>
    <cellStyle name="Currency 5 2 2 2 4 4" xfId="9279" xr:uid="{68F6380D-CF09-46C4-A17F-F9A96429F264}"/>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3" xfId="11352" xr:uid="{EAB56EBC-970B-4B4C-AB66-9C92E489F6E9}"/>
    <cellStyle name="Currency 5 2 2 2 5 3" xfId="5468" xr:uid="{00000000-0005-0000-0000-0000B90B0000}"/>
    <cellStyle name="Currency 5 2 2 2 5 4" xfId="9694" xr:uid="{03D6A529-CBA2-4813-BF1F-AABC9DB7B698}"/>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6 4" xfId="10523" xr:uid="{16EB5054-B78F-49B2-B6CC-4F2A203AB162}"/>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11" xfId="8866" xr:uid="{86FC3DF6-1EEE-452D-ADAB-2C2172D88AA3}"/>
    <cellStyle name="Currency 5 2 2 3 2" xfId="201" xr:uid="{00000000-0005-0000-0000-0000C70B0000}"/>
    <cellStyle name="Currency 5 2 2 3 2 10" xfId="8867" xr:uid="{5C206C87-2C0A-4DC1-BC57-72DDA414F4D5}"/>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1773" xr:uid="{1175F2E6-B850-4B9D-BB50-E7A4F3834A4D}"/>
    <cellStyle name="Currency 5 2 2 3 2 2 2 3" xfId="10115" xr:uid="{18094891-6262-46A8-8E8B-FE69C99E1BEC}"/>
    <cellStyle name="Currency 5 2 2 3 2 2 3" xfId="5060" xr:uid="{00000000-0005-0000-0000-0000CB0B0000}"/>
    <cellStyle name="Currency 5 2 2 3 2 2 3 2" xfId="10944" xr:uid="{5BBC4EDC-C9B5-404B-8264-0ECC5CA53BBE}"/>
    <cellStyle name="Currency 5 2 2 3 2 2 4" xfId="9284" xr:uid="{B818098D-C0E9-4DDC-9124-A5CF7F50C32A}"/>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3" xfId="11357" xr:uid="{0643226E-0E0A-4F36-B50C-4813FB0C2332}"/>
    <cellStyle name="Currency 5 2 2 3 2 3 3" xfId="5473" xr:uid="{00000000-0005-0000-0000-0000CF0B0000}"/>
    <cellStyle name="Currency 5 2 2 3 2 3 4" xfId="9699" xr:uid="{10635177-4EBA-4AB9-AC8C-D98BDEA0F0A6}"/>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4 4" xfId="10528" xr:uid="{CAEEB29E-51BB-4877-8E46-8ECF6BE7A11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1772" xr:uid="{C15C84DC-95CC-4285-8E77-DC4CE2303C95}"/>
    <cellStyle name="Currency 5 2 2 3 3 2 3" xfId="10114" xr:uid="{9CEDAED1-ABE8-431F-8DA7-EE7424309ABF}"/>
    <cellStyle name="Currency 5 2 2 3 3 3" xfId="5059" xr:uid="{00000000-0005-0000-0000-0000E10B0000}"/>
    <cellStyle name="Currency 5 2 2 3 3 3 2" xfId="10943" xr:uid="{59A81B34-C722-48D8-B061-9C08AFABFC94}"/>
    <cellStyle name="Currency 5 2 2 3 3 4" xfId="9283" xr:uid="{222E330B-6017-4E30-BBBE-C4E196552F36}"/>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3" xfId="11356" xr:uid="{1A43D2E2-71DE-4289-B159-F9D2261B8E18}"/>
    <cellStyle name="Currency 5 2 2 3 4 3" xfId="5472" xr:uid="{00000000-0005-0000-0000-0000E50B0000}"/>
    <cellStyle name="Currency 5 2 2 3 4 4" xfId="9698" xr:uid="{A4F7A1AF-25FD-4870-AB89-7F75ECDDF098}"/>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5 4" xfId="10527" xr:uid="{40536A07-ACFD-4C98-A0E9-352043926247}"/>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10" xfId="8868" xr:uid="{724E47B9-5815-401F-9AC3-477FDFB8B05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1774" xr:uid="{80AD5407-4F37-4192-8918-00260B1A979A}"/>
    <cellStyle name="Currency 5 2 2 4 2 2 3" xfId="10116" xr:uid="{1ABD8B98-B8DB-4A31-AB43-73F814FF3EAE}"/>
    <cellStyle name="Currency 5 2 2 4 2 3" xfId="5061" xr:uid="{00000000-0005-0000-0000-0000F70B0000}"/>
    <cellStyle name="Currency 5 2 2 4 2 3 2" xfId="10945" xr:uid="{D193A934-4FFC-4965-A611-AA9AB5ABB9E7}"/>
    <cellStyle name="Currency 5 2 2 4 2 4" xfId="9285" xr:uid="{81EA8E5A-07A1-4B80-B603-05D33FFCF371}"/>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3" xfId="11358" xr:uid="{8698CE36-CA02-483C-8E95-F0CDD799E28F}"/>
    <cellStyle name="Currency 5 2 2 4 3 3" xfId="5474" xr:uid="{00000000-0005-0000-0000-0000FB0B0000}"/>
    <cellStyle name="Currency 5 2 2 4 3 4" xfId="9700" xr:uid="{601486BC-6A63-4282-89B0-712DFB9E7B05}"/>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4 4" xfId="10529" xr:uid="{60F929CF-0188-4C30-961C-7E9E629692BC}"/>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10" xfId="8869" xr:uid="{993D29FF-C744-44E0-9BA1-A337D54A2EE7}"/>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1775" xr:uid="{01595212-7BFC-4782-A024-643F335F649D}"/>
    <cellStyle name="Currency 5 2 2 5 2 2 3" xfId="10117" xr:uid="{18A02B69-2C51-4938-ABF1-583769F36626}"/>
    <cellStyle name="Currency 5 2 2 5 2 3" xfId="5062" xr:uid="{00000000-0005-0000-0000-00000E0C0000}"/>
    <cellStyle name="Currency 5 2 2 5 2 3 2" xfId="10946" xr:uid="{85A498F0-F1BE-4491-BFE5-A2FFFB031ACE}"/>
    <cellStyle name="Currency 5 2 2 5 2 4" xfId="9286" xr:uid="{67227DD2-6F2A-469C-88BF-B09CB013F737}"/>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3" xfId="11359" xr:uid="{0EFBD957-701A-4C7B-B08B-0CCCA443F508}"/>
    <cellStyle name="Currency 5 2 2 5 3 3" xfId="5475" xr:uid="{00000000-0005-0000-0000-0000120C0000}"/>
    <cellStyle name="Currency 5 2 2 5 3 4" xfId="9701" xr:uid="{47E296A5-55F5-4B67-BC72-892BD47D483D}"/>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4 4" xfId="10530" xr:uid="{2B67AA8B-D992-45CD-964B-781F80D49907}"/>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1" xfId="8870" xr:uid="{910F7952-1E9D-432E-9C4C-92B4201099AD}"/>
    <cellStyle name="Currency 5 2 4 2" xfId="206" xr:uid="{00000000-0005-0000-0000-0000250C0000}"/>
    <cellStyle name="Currency 5 2 4 2 10" xfId="8871" xr:uid="{3AF7ABCE-7255-4D48-9FDC-926A6792496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1777" xr:uid="{FF2DB330-6B05-4B7C-8204-ADABC2EE42FE}"/>
    <cellStyle name="Currency 5 2 4 2 2 2 3" xfId="10119" xr:uid="{D1352E6A-EBB2-4793-BE51-21A8F4037330}"/>
    <cellStyle name="Currency 5 2 4 2 2 3" xfId="5064" xr:uid="{00000000-0005-0000-0000-0000290C0000}"/>
    <cellStyle name="Currency 5 2 4 2 2 3 2" xfId="10948" xr:uid="{31B5E348-C219-4647-A367-4100AAD3CB2F}"/>
    <cellStyle name="Currency 5 2 4 2 2 4" xfId="9288" xr:uid="{D6883413-0DAE-4993-98F1-3F8908D78A24}"/>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3" xfId="11361" xr:uid="{0B6EE364-9A68-4A3A-A7C7-35C72245CC51}"/>
    <cellStyle name="Currency 5 2 4 2 3 3" xfId="5477" xr:uid="{00000000-0005-0000-0000-00002D0C0000}"/>
    <cellStyle name="Currency 5 2 4 2 3 4" xfId="9703" xr:uid="{13CCDF6F-8BA6-4516-82ED-E9B29D5F6A15}"/>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4 4" xfId="10532" xr:uid="{9E5A0A42-C13F-46AF-9B18-23BA6225D886}"/>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1776" xr:uid="{6EC915EB-7841-4D8A-9CAE-06BC6AA8EE05}"/>
    <cellStyle name="Currency 5 2 4 3 2 3" xfId="10118" xr:uid="{1968EBEF-CA85-44B9-AC41-2868FDCE06AE}"/>
    <cellStyle name="Currency 5 2 4 3 3" xfId="5063" xr:uid="{00000000-0005-0000-0000-00003F0C0000}"/>
    <cellStyle name="Currency 5 2 4 3 3 2" xfId="10947" xr:uid="{73F31496-6827-4473-B9F3-85602C383B3F}"/>
    <cellStyle name="Currency 5 2 4 3 4" xfId="9287" xr:uid="{35ED615D-B033-4D3D-BD88-4308CD21A155}"/>
    <cellStyle name="Currency 5 2 4 4" xfId="1167" xr:uid="{00000000-0005-0000-0000-0000400C0000}"/>
    <cellStyle name="Currency 5 2 4 4 2" xfId="3398" xr:uid="{00000000-0005-0000-0000-0000410C0000}"/>
    <cellStyle name="Currency 5 2 4 4 2 2" xfId="7621" xr:uid="{00000000-0005-0000-0000-0000420C0000}"/>
    <cellStyle name="Currency 5 2 4 4 2 3" xfId="11360" xr:uid="{30AE9282-83E5-419D-A461-34C4A42C1053}"/>
    <cellStyle name="Currency 5 2 4 4 3" xfId="5476" xr:uid="{00000000-0005-0000-0000-0000430C0000}"/>
    <cellStyle name="Currency 5 2 4 4 4" xfId="9702" xr:uid="{FF4FFBCA-66DF-4F15-9FEC-F8B1B1D9640E}"/>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5 4" xfId="10531" xr:uid="{42EB365F-1313-4190-8353-0B202BF4CB68}"/>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10" xfId="8872" xr:uid="{35ADC6C0-FD1A-4663-8C7B-E653B67CF8A5}"/>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1778" xr:uid="{341914EC-45A4-4272-9812-F4AEAFDECF6E}"/>
    <cellStyle name="Currency 5 2 5 2 2 3" xfId="10120" xr:uid="{AF7242B4-2E2E-42CB-A3F0-7B8E0BA43C5B}"/>
    <cellStyle name="Currency 5 2 5 2 3" xfId="5065" xr:uid="{00000000-0005-0000-0000-0000550C0000}"/>
    <cellStyle name="Currency 5 2 5 2 3 2" xfId="10949" xr:uid="{1548C5C9-819B-4754-A785-F7756421E4A3}"/>
    <cellStyle name="Currency 5 2 5 2 4" xfId="9289" xr:uid="{956D124C-13D4-49A7-89D5-BB2A4510099E}"/>
    <cellStyle name="Currency 5 2 5 3" xfId="1169" xr:uid="{00000000-0005-0000-0000-0000560C0000}"/>
    <cellStyle name="Currency 5 2 5 3 2" xfId="3400" xr:uid="{00000000-0005-0000-0000-0000570C0000}"/>
    <cellStyle name="Currency 5 2 5 3 2 2" xfId="7623" xr:uid="{00000000-0005-0000-0000-0000580C0000}"/>
    <cellStyle name="Currency 5 2 5 3 2 3" xfId="11362" xr:uid="{2C4F2E1C-B25D-417E-9D77-25BEE99FFA06}"/>
    <cellStyle name="Currency 5 2 5 3 3" xfId="5478" xr:uid="{00000000-0005-0000-0000-0000590C0000}"/>
    <cellStyle name="Currency 5 2 5 3 4" xfId="9704" xr:uid="{122A68DC-D644-4C7D-B676-BC9F770D3A02}"/>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4 4" xfId="10533" xr:uid="{157BAB6A-3015-454E-AD56-34FA3E771D0F}"/>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10" xfId="8873" xr:uid="{88899BF2-8CFD-446A-B6C1-42E452F136C8}"/>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1779" xr:uid="{17498C11-3DC0-41A5-9D8C-23BC6FD01F67}"/>
    <cellStyle name="Currency 5 2 6 2 2 3" xfId="10121" xr:uid="{682A3B3D-AEB6-4E82-B166-12724B5EB874}"/>
    <cellStyle name="Currency 5 2 6 2 3" xfId="5066" xr:uid="{00000000-0005-0000-0000-00006C0C0000}"/>
    <cellStyle name="Currency 5 2 6 2 3 2" xfId="10950" xr:uid="{AB8B6E60-F6B8-4CDC-A69F-7611374BA1C3}"/>
    <cellStyle name="Currency 5 2 6 2 4" xfId="9290" xr:uid="{5FF5881F-4842-4687-9AB2-5BB49757C0CA}"/>
    <cellStyle name="Currency 5 2 6 3" xfId="1170" xr:uid="{00000000-0005-0000-0000-00006D0C0000}"/>
    <cellStyle name="Currency 5 2 6 3 2" xfId="3401" xr:uid="{00000000-0005-0000-0000-00006E0C0000}"/>
    <cellStyle name="Currency 5 2 6 3 2 2" xfId="7624" xr:uid="{00000000-0005-0000-0000-00006F0C0000}"/>
    <cellStyle name="Currency 5 2 6 3 2 3" xfId="11363" xr:uid="{887B96F2-D169-4AF2-BBFD-55E69A143ECC}"/>
    <cellStyle name="Currency 5 2 6 3 3" xfId="5479" xr:uid="{00000000-0005-0000-0000-0000700C0000}"/>
    <cellStyle name="Currency 5 2 6 3 4" xfId="9705" xr:uid="{22A42B43-C290-4951-8783-B7AC4B18C234}"/>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4 4" xfId="10534" xr:uid="{D9E8395F-FEC1-4051-9BBF-FD99960AD935}"/>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12" xfId="8874" xr:uid="{7B3E0704-BAEF-4ECB-909F-D7396FE1F622}"/>
    <cellStyle name="Currency 5 3 2 2" xfId="211" xr:uid="{00000000-0005-0000-0000-0000850C0000}"/>
    <cellStyle name="Currency 5 3 2 2 10" xfId="4654" xr:uid="{00000000-0005-0000-0000-0000860C0000}"/>
    <cellStyle name="Currency 5 3 2 2 11" xfId="8875" xr:uid="{C869E7F5-E0DA-419F-8C7B-6BBACE18DDF8}"/>
    <cellStyle name="Currency 5 3 2 2 2" xfId="212" xr:uid="{00000000-0005-0000-0000-0000870C0000}"/>
    <cellStyle name="Currency 5 3 2 2 2 10" xfId="8876" xr:uid="{0EDB5E22-2E86-400B-8154-AF846BB66319}"/>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1782" xr:uid="{F728C681-850C-4564-AAD6-7517EAA80415}"/>
    <cellStyle name="Currency 5 3 2 2 2 2 2 3" xfId="10124" xr:uid="{E864B3F3-B5A8-4CBD-9C77-A5D66FBD1FA7}"/>
    <cellStyle name="Currency 5 3 2 2 2 2 3" xfId="5069" xr:uid="{00000000-0005-0000-0000-00008B0C0000}"/>
    <cellStyle name="Currency 5 3 2 2 2 2 3 2" xfId="10953" xr:uid="{2957566C-0AD6-4DC9-9D6C-1644551C0F96}"/>
    <cellStyle name="Currency 5 3 2 2 2 2 4" xfId="9293" xr:uid="{91DCE11E-BF6F-4181-81A2-C964F27A93AA}"/>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3" xfId="11366" xr:uid="{FB77C958-4FE8-47CD-AD20-294C2ACD8CFC}"/>
    <cellStyle name="Currency 5 3 2 2 2 3 3" xfId="5482" xr:uid="{00000000-0005-0000-0000-00008F0C0000}"/>
    <cellStyle name="Currency 5 3 2 2 2 3 4" xfId="9708" xr:uid="{0006DD78-BED0-4041-9965-FB50F02E2C55}"/>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4 4" xfId="10537" xr:uid="{2C19E283-C1DA-496F-839D-7FCAA97A7FB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1781" xr:uid="{48221A0D-2B66-40DF-8DBF-C6EEB6EBCC5C}"/>
    <cellStyle name="Currency 5 3 2 2 3 2 3" xfId="10123" xr:uid="{81997C69-FDAE-48FB-8C36-F244754C11DE}"/>
    <cellStyle name="Currency 5 3 2 2 3 3" xfId="5068" xr:uid="{00000000-0005-0000-0000-0000A10C0000}"/>
    <cellStyle name="Currency 5 3 2 2 3 3 2" xfId="10952" xr:uid="{8C757522-93D9-4F6D-AA9D-AB00CF79696F}"/>
    <cellStyle name="Currency 5 3 2 2 3 4" xfId="9292" xr:uid="{CD01E011-C294-4F47-8BAB-9F8B7CA7692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3" xfId="11365" xr:uid="{54ED4F05-E0EF-425C-98D4-4617F73FF825}"/>
    <cellStyle name="Currency 5 3 2 2 4 3" xfId="5481" xr:uid="{00000000-0005-0000-0000-0000A50C0000}"/>
    <cellStyle name="Currency 5 3 2 2 4 4" xfId="9707" xr:uid="{F79E682C-97EF-40ED-ACAE-1CD2174E8FB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5 4" xfId="10536" xr:uid="{CE616C86-2454-43EF-A243-309D4C4A7F41}"/>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10" xfId="8877" xr:uid="{38AD0FC4-B4B7-41DF-834A-26656E30729A}"/>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1783" xr:uid="{B8D84D88-A4DC-454A-8CE7-D223FD1D939E}"/>
    <cellStyle name="Currency 5 3 2 3 2 2 3" xfId="10125" xr:uid="{4F78069E-33FA-46CD-BD5E-40CF517E63A4}"/>
    <cellStyle name="Currency 5 3 2 3 2 3" xfId="5070" xr:uid="{00000000-0005-0000-0000-0000B70C0000}"/>
    <cellStyle name="Currency 5 3 2 3 2 3 2" xfId="10954" xr:uid="{397AC887-3552-4A2B-B20F-14CBC38EAFBC}"/>
    <cellStyle name="Currency 5 3 2 3 2 4" xfId="9294" xr:uid="{A54630D0-7930-4A08-AE7D-0F2F7453DF3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3" xfId="11367" xr:uid="{9141B8F1-C455-4ED4-B7E6-4FD4497BCA2B}"/>
    <cellStyle name="Currency 5 3 2 3 3 3" xfId="5483" xr:uid="{00000000-0005-0000-0000-0000BB0C0000}"/>
    <cellStyle name="Currency 5 3 2 3 3 4" xfId="9709" xr:uid="{C7C062D5-0E0F-4F2A-8A20-E8FB6C741A87}"/>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4 4" xfId="10538" xr:uid="{7B6B489F-D318-475B-8A1F-5659CB1F8B28}"/>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1780" xr:uid="{BF2FEA32-6AB1-4046-8CEA-9E4AEE7DC25E}"/>
    <cellStyle name="Currency 5 3 2 4 2 3" xfId="10122" xr:uid="{A633218A-8E06-46B9-ADAE-46D8D16DE4DB}"/>
    <cellStyle name="Currency 5 3 2 4 3" xfId="5067" xr:uid="{00000000-0005-0000-0000-0000CD0C0000}"/>
    <cellStyle name="Currency 5 3 2 4 3 2" xfId="10951" xr:uid="{BF6C8CA9-2554-4A70-A700-E50BF7D9E296}"/>
    <cellStyle name="Currency 5 3 2 4 4" xfId="9291" xr:uid="{3788ED44-B280-4BEB-A1B3-ED86B6625276}"/>
    <cellStyle name="Currency 5 3 2 5" xfId="1171" xr:uid="{00000000-0005-0000-0000-0000CE0C0000}"/>
    <cellStyle name="Currency 5 3 2 5 2" xfId="3402" xr:uid="{00000000-0005-0000-0000-0000CF0C0000}"/>
    <cellStyle name="Currency 5 3 2 5 2 2" xfId="7625" xr:uid="{00000000-0005-0000-0000-0000D00C0000}"/>
    <cellStyle name="Currency 5 3 2 5 2 3" xfId="11364" xr:uid="{47477214-2DA1-4D1C-AB4D-2B15370F5814}"/>
    <cellStyle name="Currency 5 3 2 5 3" xfId="5480" xr:uid="{00000000-0005-0000-0000-0000D10C0000}"/>
    <cellStyle name="Currency 5 3 2 5 4" xfId="9706" xr:uid="{A7A7A01A-0B2A-4F11-A6EE-533D2974C2E4}"/>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6 4" xfId="10535" xr:uid="{D3FFC3E3-951F-4B20-A0BA-0412F20D8D93}"/>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11" xfId="8878" xr:uid="{9319F377-60E8-4BC1-887A-BA46EEEB6EB4}"/>
    <cellStyle name="Currency 5 3 3 2" xfId="215" xr:uid="{00000000-0005-0000-0000-0000DF0C0000}"/>
    <cellStyle name="Currency 5 3 3 2 10" xfId="8879" xr:uid="{01AB9DB0-7BD1-455A-8F6D-3DBC7AA47EB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1785" xr:uid="{EB92A869-5C19-4B89-8EB4-1BC0FCB14D90}"/>
    <cellStyle name="Currency 5 3 3 2 2 2 3" xfId="10127" xr:uid="{3D1E48CE-75DD-4613-A176-787726D0BA02}"/>
    <cellStyle name="Currency 5 3 3 2 2 3" xfId="5072" xr:uid="{00000000-0005-0000-0000-0000E30C0000}"/>
    <cellStyle name="Currency 5 3 3 2 2 3 2" xfId="10956" xr:uid="{2C7C6946-61EA-45F1-9A25-BB06977C66BC}"/>
    <cellStyle name="Currency 5 3 3 2 2 4" xfId="9296" xr:uid="{C7F75628-FAC5-496F-BD51-B8CCF3014B54}"/>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3" xfId="11369" xr:uid="{BB8CA81F-36ED-4A99-A4F5-9FBFD30D21E3}"/>
    <cellStyle name="Currency 5 3 3 2 3 3" xfId="5485" xr:uid="{00000000-0005-0000-0000-0000E70C0000}"/>
    <cellStyle name="Currency 5 3 3 2 3 4" xfId="9711" xr:uid="{B5036B7F-F91C-47B1-9C33-DF6CA2ECBF1A}"/>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4 4" xfId="10540" xr:uid="{A70E58C6-9094-43CA-93D3-C7A9DF753BA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1784" xr:uid="{E04703CE-B827-487A-988D-FCF1314F243D}"/>
    <cellStyle name="Currency 5 3 3 3 2 3" xfId="10126" xr:uid="{47F11A7F-6831-4034-9CC4-29C6B4BA1E1F}"/>
    <cellStyle name="Currency 5 3 3 3 3" xfId="5071" xr:uid="{00000000-0005-0000-0000-0000F90C0000}"/>
    <cellStyle name="Currency 5 3 3 3 3 2" xfId="10955" xr:uid="{1E0A0457-26B1-4D86-8768-A289456FAF37}"/>
    <cellStyle name="Currency 5 3 3 3 4" xfId="9295" xr:uid="{24827108-3186-4784-944C-3274214629E2}"/>
    <cellStyle name="Currency 5 3 3 4" xfId="1175" xr:uid="{00000000-0005-0000-0000-0000FA0C0000}"/>
    <cellStyle name="Currency 5 3 3 4 2" xfId="3406" xr:uid="{00000000-0005-0000-0000-0000FB0C0000}"/>
    <cellStyle name="Currency 5 3 3 4 2 2" xfId="7629" xr:uid="{00000000-0005-0000-0000-0000FC0C0000}"/>
    <cellStyle name="Currency 5 3 3 4 2 3" xfId="11368" xr:uid="{AA635A02-0343-4196-BC0E-29F1B3D2824F}"/>
    <cellStyle name="Currency 5 3 3 4 3" xfId="5484" xr:uid="{00000000-0005-0000-0000-0000FD0C0000}"/>
    <cellStyle name="Currency 5 3 3 4 4" xfId="9710" xr:uid="{ECD2921E-2F0A-463A-9BA9-0219CA8A3458}"/>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5 4" xfId="10539" xr:uid="{23C5B657-355D-42B7-9540-86361CCB90FF}"/>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10" xfId="8880" xr:uid="{4DE1D8E7-5847-45AE-B44A-E983D09C8C28}"/>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1786" xr:uid="{96946581-668D-46C8-9455-C7CE9B9A2E5E}"/>
    <cellStyle name="Currency 5 3 4 2 2 3" xfId="10128" xr:uid="{82C8656A-40E0-4452-A9DB-3A0B474DFB5B}"/>
    <cellStyle name="Currency 5 3 4 2 3" xfId="5073" xr:uid="{00000000-0005-0000-0000-00000F0D0000}"/>
    <cellStyle name="Currency 5 3 4 2 3 2" xfId="10957" xr:uid="{9D3A2DCC-01D6-4D0D-B8E4-CA224FD41D37}"/>
    <cellStyle name="Currency 5 3 4 2 4" xfId="9297" xr:uid="{0DFC880A-55D1-4BE0-8D13-A3362DE8033E}"/>
    <cellStyle name="Currency 5 3 4 3" xfId="1177" xr:uid="{00000000-0005-0000-0000-0000100D0000}"/>
    <cellStyle name="Currency 5 3 4 3 2" xfId="3408" xr:uid="{00000000-0005-0000-0000-0000110D0000}"/>
    <cellStyle name="Currency 5 3 4 3 2 2" xfId="7631" xr:uid="{00000000-0005-0000-0000-0000120D0000}"/>
    <cellStyle name="Currency 5 3 4 3 2 3" xfId="11370" xr:uid="{4CEF42EB-18E1-4C2D-B3E0-B449FE5BB77D}"/>
    <cellStyle name="Currency 5 3 4 3 3" xfId="5486" xr:uid="{00000000-0005-0000-0000-0000130D0000}"/>
    <cellStyle name="Currency 5 3 4 3 4" xfId="9712" xr:uid="{6C11827F-DAEB-4858-A38D-CEB97235559B}"/>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4 4" xfId="10541" xr:uid="{BC219393-5A7A-4E0C-BC57-DC2A42E7820D}"/>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10" xfId="8881" xr:uid="{E91E0813-3ECD-4453-85C7-7EB9B7533F7C}"/>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1787" xr:uid="{CA0A7BDD-9030-410A-9641-4AD820C95929}"/>
    <cellStyle name="Currency 5 3 5 2 2 3" xfId="10129" xr:uid="{34807921-53A1-44A6-A5F8-8B670B32E084}"/>
    <cellStyle name="Currency 5 3 5 2 3" xfId="5074" xr:uid="{00000000-0005-0000-0000-0000260D0000}"/>
    <cellStyle name="Currency 5 3 5 2 3 2" xfId="10958" xr:uid="{A80CB4EF-4351-41EC-A6B4-AFA67EC29C09}"/>
    <cellStyle name="Currency 5 3 5 2 4" xfId="9298" xr:uid="{CDE991C3-BE3D-4480-8CA3-3B025279980D}"/>
    <cellStyle name="Currency 5 3 5 3" xfId="1178" xr:uid="{00000000-0005-0000-0000-0000270D0000}"/>
    <cellStyle name="Currency 5 3 5 3 2" xfId="3409" xr:uid="{00000000-0005-0000-0000-0000280D0000}"/>
    <cellStyle name="Currency 5 3 5 3 2 2" xfId="7632" xr:uid="{00000000-0005-0000-0000-0000290D0000}"/>
    <cellStyle name="Currency 5 3 5 3 2 3" xfId="11371" xr:uid="{D0974189-7AC7-432D-91D8-7EB6DE245CB3}"/>
    <cellStyle name="Currency 5 3 5 3 3" xfId="5487" xr:uid="{00000000-0005-0000-0000-00002A0D0000}"/>
    <cellStyle name="Currency 5 3 5 3 4" xfId="9713" xr:uid="{EC39968B-D878-468E-9348-57E08A98213B}"/>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4 4" xfId="10542" xr:uid="{A7881C32-B0AA-49C6-8840-C037A82E48B4}"/>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1" xfId="8882" xr:uid="{18E8276A-D056-4F06-8504-9CBCFE0137E8}"/>
    <cellStyle name="Currency 5 5 2" xfId="220" xr:uid="{00000000-0005-0000-0000-00003D0D0000}"/>
    <cellStyle name="Currency 5 5 2 10" xfId="8883" xr:uid="{F089E7AB-6AB8-42C2-B863-876A912FF27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1789" xr:uid="{27368C3F-60E9-4AC6-8EC6-18945C9C3175}"/>
    <cellStyle name="Currency 5 5 2 2 2 3" xfId="10131" xr:uid="{24442101-F1D0-4BDF-BFD4-795B8A633621}"/>
    <cellStyle name="Currency 5 5 2 2 3" xfId="5076" xr:uid="{00000000-0005-0000-0000-0000410D0000}"/>
    <cellStyle name="Currency 5 5 2 2 3 2" xfId="10960" xr:uid="{9E3219D9-5ACC-4195-9F24-0FDB29057AEC}"/>
    <cellStyle name="Currency 5 5 2 2 4" xfId="9300" xr:uid="{6AF76250-69AD-47D8-9A51-6C60A1969992}"/>
    <cellStyle name="Currency 5 5 2 3" xfId="1180" xr:uid="{00000000-0005-0000-0000-0000420D0000}"/>
    <cellStyle name="Currency 5 5 2 3 2" xfId="3411" xr:uid="{00000000-0005-0000-0000-0000430D0000}"/>
    <cellStyle name="Currency 5 5 2 3 2 2" xfId="7634" xr:uid="{00000000-0005-0000-0000-0000440D0000}"/>
    <cellStyle name="Currency 5 5 2 3 2 3" xfId="11373" xr:uid="{FFF723E8-B5D7-4857-AC3F-0C2F6C0EE039}"/>
    <cellStyle name="Currency 5 5 2 3 3" xfId="5489" xr:uid="{00000000-0005-0000-0000-0000450D0000}"/>
    <cellStyle name="Currency 5 5 2 3 4" xfId="9715" xr:uid="{D694183C-1361-488A-87BF-38A8236C0B4A}"/>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4 4" xfId="10544" xr:uid="{BF232D27-AFB2-4D8D-B580-D799851C63D1}"/>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2 2 2" xfId="11788" xr:uid="{90B47496-E214-43C4-8DF4-1C45B6A3A033}"/>
    <cellStyle name="Currency 5 5 3 2 3" xfId="10130" xr:uid="{18DBC8ED-2D27-48BF-93CE-ECB1AF44781A}"/>
    <cellStyle name="Currency 5 5 3 3" xfId="5075" xr:uid="{00000000-0005-0000-0000-0000570D0000}"/>
    <cellStyle name="Currency 5 5 3 3 2" xfId="10959" xr:uid="{42A67981-E6AD-455A-9625-37364BABAE0B}"/>
    <cellStyle name="Currency 5 5 3 4" xfId="9299" xr:uid="{4A45934E-3C38-42D8-BC29-1FEDBC9E3255}"/>
    <cellStyle name="Currency 5 5 4" xfId="1179" xr:uid="{00000000-0005-0000-0000-0000580D0000}"/>
    <cellStyle name="Currency 5 5 4 2" xfId="3410" xr:uid="{00000000-0005-0000-0000-0000590D0000}"/>
    <cellStyle name="Currency 5 5 4 2 2" xfId="7633" xr:uid="{00000000-0005-0000-0000-00005A0D0000}"/>
    <cellStyle name="Currency 5 5 4 2 3" xfId="11372" xr:uid="{06FDC2E6-647F-4519-B863-93C2A911FE9A}"/>
    <cellStyle name="Currency 5 5 4 3" xfId="5488" xr:uid="{00000000-0005-0000-0000-00005B0D0000}"/>
    <cellStyle name="Currency 5 5 4 4" xfId="9714" xr:uid="{525A9F5F-5E27-4836-B8E9-63503E38F066}"/>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5 4" xfId="10543" xr:uid="{802D3D65-74C0-49F3-9125-6F44E5394AB8}"/>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10" xfId="8884" xr:uid="{28C0251B-F80B-4440-ADAD-C1100870DE04}"/>
    <cellStyle name="Currency 5 6 2" xfId="747" xr:uid="{00000000-0005-0000-0000-00006A0D0000}"/>
    <cellStyle name="Currency 5 6 2 2" xfId="2999" xr:uid="{00000000-0005-0000-0000-00006B0D0000}"/>
    <cellStyle name="Currency 5 6 2 2 2" xfId="7222" xr:uid="{00000000-0005-0000-0000-00006C0D0000}"/>
    <cellStyle name="Currency 5 6 2 2 2 2" xfId="11790" xr:uid="{684A793F-4FA2-415A-860D-9FB0803A33B5}"/>
    <cellStyle name="Currency 5 6 2 2 3" xfId="10132" xr:uid="{75C47BFD-4447-4612-9E62-FBC0E6D531DF}"/>
    <cellStyle name="Currency 5 6 2 3" xfId="5077" xr:uid="{00000000-0005-0000-0000-00006D0D0000}"/>
    <cellStyle name="Currency 5 6 2 3 2" xfId="10961" xr:uid="{04179D6A-56AB-4C1A-8108-95935DE91BF5}"/>
    <cellStyle name="Currency 5 6 2 4" xfId="9301" xr:uid="{42C6A35B-36F6-49B7-89B5-808700CC604D}"/>
    <cellStyle name="Currency 5 6 3" xfId="1181" xr:uid="{00000000-0005-0000-0000-00006E0D0000}"/>
    <cellStyle name="Currency 5 6 3 2" xfId="3412" xr:uid="{00000000-0005-0000-0000-00006F0D0000}"/>
    <cellStyle name="Currency 5 6 3 2 2" xfId="7635" xr:uid="{00000000-0005-0000-0000-0000700D0000}"/>
    <cellStyle name="Currency 5 6 3 2 3" xfId="11374" xr:uid="{90F14E0E-E050-4968-9536-BB19CBCAD1B5}"/>
    <cellStyle name="Currency 5 6 3 3" xfId="5490" xr:uid="{00000000-0005-0000-0000-0000710D0000}"/>
    <cellStyle name="Currency 5 6 3 4" xfId="9716" xr:uid="{FFA0A8E1-DD6B-43DD-97BD-949685697A2F}"/>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4 4" xfId="10545" xr:uid="{E93C9A9E-D737-45CA-A410-6A782F65AA3C}"/>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10" xfId="8885" xr:uid="{49FD2666-5837-4977-BFC4-E1D6CA631D36}"/>
    <cellStyle name="Currency 5 7 2" xfId="748" xr:uid="{00000000-0005-0000-0000-0000810D0000}"/>
    <cellStyle name="Currency 5 7 2 2" xfId="3000" xr:uid="{00000000-0005-0000-0000-0000820D0000}"/>
    <cellStyle name="Currency 5 7 2 2 2" xfId="7223" xr:uid="{00000000-0005-0000-0000-0000830D0000}"/>
    <cellStyle name="Currency 5 7 2 2 2 2" xfId="11791" xr:uid="{7A5D2131-1F2C-4236-A9F0-ABAB1EF2D94C}"/>
    <cellStyle name="Currency 5 7 2 2 3" xfId="10133" xr:uid="{6839DBAD-1ABD-4521-970A-2042C6C8790D}"/>
    <cellStyle name="Currency 5 7 2 3" xfId="5078" xr:uid="{00000000-0005-0000-0000-0000840D0000}"/>
    <cellStyle name="Currency 5 7 2 3 2" xfId="10962" xr:uid="{B77282A7-F6E5-4372-92FA-6B46BA4B5DA8}"/>
    <cellStyle name="Currency 5 7 2 4" xfId="9302" xr:uid="{A59352D9-D429-46AE-966D-A6952CB00253}"/>
    <cellStyle name="Currency 5 7 3" xfId="1182" xr:uid="{00000000-0005-0000-0000-0000850D0000}"/>
    <cellStyle name="Currency 5 7 3 2" xfId="3413" xr:uid="{00000000-0005-0000-0000-0000860D0000}"/>
    <cellStyle name="Currency 5 7 3 2 2" xfId="7636" xr:uid="{00000000-0005-0000-0000-0000870D0000}"/>
    <cellStyle name="Currency 5 7 3 2 3" xfId="11375" xr:uid="{FD9BA538-49D7-4AEE-AD39-E83390382D3F}"/>
    <cellStyle name="Currency 5 7 3 3" xfId="5491" xr:uid="{00000000-0005-0000-0000-0000880D0000}"/>
    <cellStyle name="Currency 5 7 3 4" xfId="9717" xr:uid="{F0D980AF-16E0-44FE-A4AD-F0C1D5A626BE}"/>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4 4" xfId="10546" xr:uid="{6C7ADECD-305A-41A8-A700-15B86F4D4621}"/>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03" xr:uid="{D76BF818-5F0A-4EF7-BC4D-F25A1521B997}"/>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12" xfId="8886" xr:uid="{CE3DE568-3F3B-4449-9993-1E4338A1A1F4}"/>
    <cellStyle name="Normal 12 2" xfId="260" xr:uid="{00000000-0005-0000-0000-0000CD0D0000}"/>
    <cellStyle name="Normal 12 2 10" xfId="8887" xr:uid="{9F51E5D1-DE1B-45F3-A7BA-AD08C3A864F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1795" xr:uid="{6FFBEAA8-4761-4E5E-B7A5-CF58551BE431}"/>
    <cellStyle name="Normal 12 2 2 2 2 2 3" xfId="10137" xr:uid="{8A669A0A-D48D-4B82-9053-82435E9356A5}"/>
    <cellStyle name="Normal 12 2 2 2 2 3" xfId="5082" xr:uid="{00000000-0005-0000-0000-0000D30D0000}"/>
    <cellStyle name="Normal 12 2 2 2 2 3 2" xfId="10966" xr:uid="{A2583074-9B1D-47FD-9A01-C12A625FEE8F}"/>
    <cellStyle name="Normal 12 2 2 2 2 4" xfId="9307" xr:uid="{A102EED5-2EC6-48B9-AE57-D5B7219DC225}"/>
    <cellStyle name="Normal 12 2 2 2 3" xfId="1186" xr:uid="{00000000-0005-0000-0000-0000D40D0000}"/>
    <cellStyle name="Normal 12 2 2 2 3 2" xfId="3417" xr:uid="{00000000-0005-0000-0000-0000D50D0000}"/>
    <cellStyle name="Normal 12 2 2 2 3 2 2" xfId="7640" xr:uid="{00000000-0005-0000-0000-0000D60D0000}"/>
    <cellStyle name="Normal 12 2 2 2 3 2 3" xfId="11379" xr:uid="{C970B3FA-8148-4DC9-B773-FD938E6C1658}"/>
    <cellStyle name="Normal 12 2 2 2 3 3" xfId="5495" xr:uid="{00000000-0005-0000-0000-0000D70D0000}"/>
    <cellStyle name="Normal 12 2 2 2 3 4" xfId="9721" xr:uid="{C3B97D41-CD77-44BD-A2FC-A64E323C9FAE}"/>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4 4" xfId="10550" xr:uid="{3F9770F6-817A-40D8-8B85-A863E59A06EB}"/>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2 8" xfId="8889" xr:uid="{DA5082E5-5DAD-4DA5-9162-7AA3B8FBE535}"/>
    <cellStyle name="Normal 12 2 2 3" xfId="762" xr:uid="{00000000-0005-0000-0000-0000E30D0000}"/>
    <cellStyle name="Normal 12 2 2 3 2" xfId="3003" xr:uid="{00000000-0005-0000-0000-0000E40D0000}"/>
    <cellStyle name="Normal 12 2 2 3 2 2" xfId="7226" xr:uid="{00000000-0005-0000-0000-0000E50D0000}"/>
    <cellStyle name="Normal 12 2 2 3 2 2 2" xfId="11794" xr:uid="{0C743975-783D-4163-95CA-3430180C1D93}"/>
    <cellStyle name="Normal 12 2 2 3 2 3" xfId="10136" xr:uid="{6FDA80C0-3957-4E1D-8854-CD94B36E1AB3}"/>
    <cellStyle name="Normal 12 2 2 3 3" xfId="5081" xr:uid="{00000000-0005-0000-0000-0000E60D0000}"/>
    <cellStyle name="Normal 12 2 2 3 3 2" xfId="10965" xr:uid="{F34A1B1D-F51E-4722-921B-8E0B14B80D77}"/>
    <cellStyle name="Normal 12 2 2 3 4" xfId="9306" xr:uid="{72EB4820-CED7-42C1-B1A3-6DCB159A00E0}"/>
    <cellStyle name="Normal 12 2 2 4" xfId="1185" xr:uid="{00000000-0005-0000-0000-0000E70D0000}"/>
    <cellStyle name="Normal 12 2 2 4 2" xfId="3416" xr:uid="{00000000-0005-0000-0000-0000E80D0000}"/>
    <cellStyle name="Normal 12 2 2 4 2 2" xfId="7639" xr:uid="{00000000-0005-0000-0000-0000E90D0000}"/>
    <cellStyle name="Normal 12 2 2 4 2 3" xfId="11378" xr:uid="{F9B2FAE6-013F-4DD8-BEE0-A14AABDFDF8B}"/>
    <cellStyle name="Normal 12 2 2 4 3" xfId="5494" xr:uid="{00000000-0005-0000-0000-0000EA0D0000}"/>
    <cellStyle name="Normal 12 2 2 4 4" xfId="9720" xr:uid="{1652339E-EFAE-40F2-B79A-BD3C40A8C50D}"/>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5 4" xfId="10549" xr:uid="{F56CB0D3-25F0-4126-A998-9A446B4C068D}"/>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2 9" xfId="8888" xr:uid="{4A7F4E13-D958-49C0-A168-20CADDF02FB7}"/>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1796" xr:uid="{D4A4FD1C-9B9F-40C2-AAF2-E5A0BD64D1BB}"/>
    <cellStyle name="Normal 12 2 3 2 2 3" xfId="10138" xr:uid="{F80FC8D4-FF60-41D7-AA4B-5F9D82905718}"/>
    <cellStyle name="Normal 12 2 3 2 3" xfId="5083" xr:uid="{00000000-0005-0000-0000-0000FA0D0000}"/>
    <cellStyle name="Normal 12 2 3 2 3 2" xfId="10967" xr:uid="{270ADF7C-FAA1-4731-AD09-BE2D1FB6D4C4}"/>
    <cellStyle name="Normal 12 2 3 2 4" xfId="9308" xr:uid="{F327BFDC-CBB4-4D36-9878-A298F004A485}"/>
    <cellStyle name="Normal 12 2 3 3" xfId="1187" xr:uid="{00000000-0005-0000-0000-0000FB0D0000}"/>
    <cellStyle name="Normal 12 2 3 3 2" xfId="3418" xr:uid="{00000000-0005-0000-0000-0000FC0D0000}"/>
    <cellStyle name="Normal 12 2 3 3 2 2" xfId="7641" xr:uid="{00000000-0005-0000-0000-0000FD0D0000}"/>
    <cellStyle name="Normal 12 2 3 3 2 3" xfId="11380" xr:uid="{3C43567D-3266-4992-8275-2D20C9E7FCBD}"/>
    <cellStyle name="Normal 12 2 3 3 3" xfId="5496" xr:uid="{00000000-0005-0000-0000-0000FE0D0000}"/>
    <cellStyle name="Normal 12 2 3 3 4" xfId="9722" xr:uid="{8D12095D-D455-426D-B44E-7D68D6FFD917}"/>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4 4" xfId="10551" xr:uid="{D0A6132D-9EB1-41B6-AA83-B8FF2FC0881B}"/>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3 8" xfId="8890" xr:uid="{DB5CE22F-3D90-4DDF-9789-8E3DAB129CE0}"/>
    <cellStyle name="Normal 12 2 4" xfId="761" xr:uid="{00000000-0005-0000-0000-00000A0E0000}"/>
    <cellStyle name="Normal 12 2 4 2" xfId="3002" xr:uid="{00000000-0005-0000-0000-00000B0E0000}"/>
    <cellStyle name="Normal 12 2 4 2 2" xfId="7225" xr:uid="{00000000-0005-0000-0000-00000C0E0000}"/>
    <cellStyle name="Normal 12 2 4 2 2 2" xfId="11793" xr:uid="{389E984E-3453-44E2-A605-D75AF9B175C8}"/>
    <cellStyle name="Normal 12 2 4 2 3" xfId="10135" xr:uid="{676B8974-335B-4058-8A5B-4916D3D71B93}"/>
    <cellStyle name="Normal 12 2 4 3" xfId="5080" xr:uid="{00000000-0005-0000-0000-00000D0E0000}"/>
    <cellStyle name="Normal 12 2 4 3 2" xfId="10964" xr:uid="{8FE6DD88-9FBF-43B0-BE62-9CAB626A2833}"/>
    <cellStyle name="Normal 12 2 4 4" xfId="9305" xr:uid="{DA1ECF2F-1187-4088-ADCA-6048F9D69692}"/>
    <cellStyle name="Normal 12 2 5" xfId="1184" xr:uid="{00000000-0005-0000-0000-00000E0E0000}"/>
    <cellStyle name="Normal 12 2 5 2" xfId="3415" xr:uid="{00000000-0005-0000-0000-00000F0E0000}"/>
    <cellStyle name="Normal 12 2 5 2 2" xfId="7638" xr:uid="{00000000-0005-0000-0000-0000100E0000}"/>
    <cellStyle name="Normal 12 2 5 2 3" xfId="11377" xr:uid="{51D82E8E-AC3E-4CC9-92C5-399BF77E803D}"/>
    <cellStyle name="Normal 12 2 5 3" xfId="5493" xr:uid="{00000000-0005-0000-0000-0000110E0000}"/>
    <cellStyle name="Normal 12 2 5 4" xfId="9719" xr:uid="{AF3F95F2-6D3A-4F71-A9F1-C7BA8EDAC935}"/>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6 4" xfId="10548" xr:uid="{A77B4A2A-A9FB-4C8D-BD64-ADC985E62903}"/>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1798" xr:uid="{A1287561-DCC0-4DFB-843A-AECAD0EF95B0}"/>
    <cellStyle name="Normal 12 3 2 2 2 3" xfId="10140" xr:uid="{F1E00981-6E68-4EA4-A008-B2AD2FEE262D}"/>
    <cellStyle name="Normal 12 3 2 2 3" xfId="5085" xr:uid="{00000000-0005-0000-0000-0000220E0000}"/>
    <cellStyle name="Normal 12 3 2 2 3 2" xfId="10969" xr:uid="{DC550A53-53FF-498F-9E2E-45DC30216894}"/>
    <cellStyle name="Normal 12 3 2 2 4" xfId="9310" xr:uid="{FBAFA329-3683-41F0-BC86-2FFB43A35E9A}"/>
    <cellStyle name="Normal 12 3 2 3" xfId="1189" xr:uid="{00000000-0005-0000-0000-0000230E0000}"/>
    <cellStyle name="Normal 12 3 2 3 2" xfId="3420" xr:uid="{00000000-0005-0000-0000-0000240E0000}"/>
    <cellStyle name="Normal 12 3 2 3 2 2" xfId="7643" xr:uid="{00000000-0005-0000-0000-0000250E0000}"/>
    <cellStyle name="Normal 12 3 2 3 2 3" xfId="11382" xr:uid="{612F2532-EFB6-45D5-9BCE-B7E96EB00417}"/>
    <cellStyle name="Normal 12 3 2 3 3" xfId="5498" xr:uid="{00000000-0005-0000-0000-0000260E0000}"/>
    <cellStyle name="Normal 12 3 2 3 4" xfId="9724" xr:uid="{42393BF5-D620-4D89-82E3-DC7F09CA8A4C}"/>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4 4" xfId="10553" xr:uid="{F945231C-96B6-4BE4-9584-C79CCAD1BB37}"/>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2 8" xfId="8892" xr:uid="{533D6AF6-E062-4EC1-ABA2-42C25085B86E}"/>
    <cellStyle name="Normal 12 3 3" xfId="765" xr:uid="{00000000-0005-0000-0000-0000320E0000}"/>
    <cellStyle name="Normal 12 3 3 2" xfId="3006" xr:uid="{00000000-0005-0000-0000-0000330E0000}"/>
    <cellStyle name="Normal 12 3 3 2 2" xfId="7229" xr:uid="{00000000-0005-0000-0000-0000340E0000}"/>
    <cellStyle name="Normal 12 3 3 2 2 2" xfId="11797" xr:uid="{430DCCB5-4102-4E16-B6DB-98A44FDBCA14}"/>
    <cellStyle name="Normal 12 3 3 2 3" xfId="10139" xr:uid="{A0377FA3-EDCF-4B09-8E48-B24EDF42BE5C}"/>
    <cellStyle name="Normal 12 3 3 3" xfId="5084" xr:uid="{00000000-0005-0000-0000-0000350E0000}"/>
    <cellStyle name="Normal 12 3 3 3 2" xfId="10968" xr:uid="{7D6B2715-2C45-4AD7-AD44-3E92016F3D91}"/>
    <cellStyle name="Normal 12 3 3 4" xfId="9309" xr:uid="{34D4F023-0F59-430E-8FD9-C03854BFBF90}"/>
    <cellStyle name="Normal 12 3 4" xfId="1188" xr:uid="{00000000-0005-0000-0000-0000360E0000}"/>
    <cellStyle name="Normal 12 3 4 2" xfId="3419" xr:uid="{00000000-0005-0000-0000-0000370E0000}"/>
    <cellStyle name="Normal 12 3 4 2 2" xfId="7642" xr:uid="{00000000-0005-0000-0000-0000380E0000}"/>
    <cellStyle name="Normal 12 3 4 2 3" xfId="11381" xr:uid="{1B64AD05-CE44-4148-AFDB-C884875E462E}"/>
    <cellStyle name="Normal 12 3 4 3" xfId="5497" xr:uid="{00000000-0005-0000-0000-0000390E0000}"/>
    <cellStyle name="Normal 12 3 4 4" xfId="9723" xr:uid="{2E9490F2-966D-4931-958A-97FE78623064}"/>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5 4" xfId="10552" xr:uid="{861BFFA5-434D-42E2-AE77-EB2CACAFFCB6}"/>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3 9" xfId="8891" xr:uid="{2010BBD5-6116-4A57-B362-BE8585405FF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1799" xr:uid="{C1183242-9201-41B1-B857-1ABC8B44372B}"/>
    <cellStyle name="Normal 12 4 2 2 3" xfId="10141" xr:uid="{3EFD5070-57F8-4F03-9F5E-A7A523DA4228}"/>
    <cellStyle name="Normal 12 4 2 3" xfId="5086" xr:uid="{00000000-0005-0000-0000-0000490E0000}"/>
    <cellStyle name="Normal 12 4 2 3 2" xfId="10970" xr:uid="{31437966-35E3-4BD3-BCA9-12BE378D3BB4}"/>
    <cellStyle name="Normal 12 4 2 4" xfId="9311" xr:uid="{E29FDDB7-E836-4F9F-8213-6B14434F45B8}"/>
    <cellStyle name="Normal 12 4 3" xfId="1190" xr:uid="{00000000-0005-0000-0000-00004A0E0000}"/>
    <cellStyle name="Normal 12 4 3 2" xfId="3421" xr:uid="{00000000-0005-0000-0000-00004B0E0000}"/>
    <cellStyle name="Normal 12 4 3 2 2" xfId="7644" xr:uid="{00000000-0005-0000-0000-00004C0E0000}"/>
    <cellStyle name="Normal 12 4 3 2 3" xfId="11383" xr:uid="{57BF8BFF-377A-4BA5-8A54-DDBE81A32B36}"/>
    <cellStyle name="Normal 12 4 3 3" xfId="5499" xr:uid="{00000000-0005-0000-0000-00004D0E0000}"/>
    <cellStyle name="Normal 12 4 3 4" xfId="9725" xr:uid="{A61A0FBF-445F-49D6-B4FB-797A3707E393}"/>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4 4" xfId="10554" xr:uid="{9883F38F-DFA0-4D13-A1AC-8604DB97BDE1}"/>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4 8" xfId="8893" xr:uid="{CCBAD483-C181-48FE-A752-8AB23E5ADA0C}"/>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1792" xr:uid="{A059A881-C194-4B2F-917E-2ED27BEF6986}"/>
    <cellStyle name="Normal 12 6 2 3" xfId="10134" xr:uid="{7C0BB249-98BF-4F3A-B22F-03C0436F1DF8}"/>
    <cellStyle name="Normal 12 6 3" xfId="5079" xr:uid="{00000000-0005-0000-0000-00005D0E0000}"/>
    <cellStyle name="Normal 12 6 3 2" xfId="10963" xr:uid="{E0C56684-41CE-47EB-8CC5-0538A52D8F01}"/>
    <cellStyle name="Normal 12 6 4" xfId="9304" xr:uid="{0B69C3AF-7615-48DA-9D1D-ED1A2D3D8439}"/>
    <cellStyle name="Normal 12 7" xfId="1183" xr:uid="{00000000-0005-0000-0000-00005E0E0000}"/>
    <cellStyle name="Normal 12 7 2" xfId="3414" xr:uid="{00000000-0005-0000-0000-00005F0E0000}"/>
    <cellStyle name="Normal 12 7 2 2" xfId="7637" xr:uid="{00000000-0005-0000-0000-0000600E0000}"/>
    <cellStyle name="Normal 12 7 2 3" xfId="11376" xr:uid="{B3049DDF-D8E3-491A-A887-66213DE3FA3B}"/>
    <cellStyle name="Normal 12 7 3" xfId="5492" xr:uid="{00000000-0005-0000-0000-0000610E0000}"/>
    <cellStyle name="Normal 12 7 4" xfId="9718" xr:uid="{2154C32F-FC1E-4A59-826B-A7B262453EB4}"/>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8 4" xfId="10547" xr:uid="{0D68B880-42B7-4577-9941-EA171A11E79B}"/>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1800" xr:uid="{9A6A9523-9674-4CF4-B98F-4F455C26CD91}"/>
    <cellStyle name="Normal 14 2 2 3" xfId="10142" xr:uid="{222E24BA-6EA0-4107-97BC-A2DAF54CC8FE}"/>
    <cellStyle name="Normal 14 2 3" xfId="5087" xr:uid="{00000000-0005-0000-0000-0000700E0000}"/>
    <cellStyle name="Normal 14 2 3 2" xfId="10971" xr:uid="{71555F33-C819-4A08-9F6C-0E6037F25470}"/>
    <cellStyle name="Normal 14 2 4" xfId="9312" xr:uid="{E3EC1C07-D072-431B-BED6-B0F759A859DC}"/>
    <cellStyle name="Normal 14 3" xfId="1191" xr:uid="{00000000-0005-0000-0000-0000710E0000}"/>
    <cellStyle name="Normal 14 3 2" xfId="3422" xr:uid="{00000000-0005-0000-0000-0000720E0000}"/>
    <cellStyle name="Normal 14 3 2 2" xfId="7645" xr:uid="{00000000-0005-0000-0000-0000730E0000}"/>
    <cellStyle name="Normal 14 3 2 3" xfId="11384" xr:uid="{3FEE81F8-A89A-4181-80FA-E8ECAC7E1F00}"/>
    <cellStyle name="Normal 14 3 3" xfId="5500" xr:uid="{00000000-0005-0000-0000-0000740E0000}"/>
    <cellStyle name="Normal 14 3 4" xfId="9726" xr:uid="{8758160D-96BE-4E9D-9BB9-44E69EDC9FD3}"/>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4 4" xfId="10555" xr:uid="{068C38BB-7D30-4BF7-887F-F04C1F39334C}"/>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4 8" xfId="8894" xr:uid="{D8121C86-D6E8-4BCA-B664-5120156BA8E1}"/>
    <cellStyle name="Normal 15" xfId="4496" xr:uid="{00000000-0005-0000-0000-0000800E0000}"/>
    <cellStyle name="Normal 15 2" xfId="9971" xr:uid="{F09512CF-E63D-460D-821B-BF923457C7CC}"/>
    <cellStyle name="Normal 15 2 2" xfId="11629" xr:uid="{61680EA4-D34B-44C7-8C36-433A2CA7F416}"/>
    <cellStyle name="Normal 15 3" xfId="10800" xr:uid="{D3A1E56E-3656-41C4-AA7B-5ADC0248FB3D}"/>
    <cellStyle name="Normal 15 4" xfId="9140" xr:uid="{8EFF630F-A5D5-4D23-BB7A-1D93918B1EAD}"/>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13" xr:uid="{9ED52057-E0BE-454F-919C-31E35C7D56AE}"/>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13" xfId="8895" xr:uid="{BC387DD4-F563-48AA-BC3F-66A467B4E452}"/>
    <cellStyle name="Normal 2 4 2 2" xfId="280" xr:uid="{00000000-0005-0000-0000-0000950E0000}"/>
    <cellStyle name="Normal 2 4 2 3" xfId="281" xr:uid="{00000000-0005-0000-0000-0000960E0000}"/>
    <cellStyle name="Normal 2 4 2 3 10" xfId="4675" xr:uid="{00000000-0005-0000-0000-0000970E0000}"/>
    <cellStyle name="Normal 2 4 2 3 11" xfId="8896" xr:uid="{B76069B2-128B-42A5-B2AC-E978D11F6F8C}"/>
    <cellStyle name="Normal 2 4 2 3 2" xfId="282" xr:uid="{00000000-0005-0000-0000-0000980E0000}"/>
    <cellStyle name="Normal 2 4 2 3 2 10" xfId="8897" xr:uid="{7EE9E188-9A72-4222-A510-1DDF00C5582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1805" xr:uid="{67256CD6-FF36-434A-A752-51DEEC82A000}"/>
    <cellStyle name="Normal 2 4 2 3 2 2 2 2 2 3" xfId="10147" xr:uid="{663D614F-31F0-4DAB-92CE-AA3981DA1C9A}"/>
    <cellStyle name="Normal 2 4 2 3 2 2 2 2 3" xfId="5092" xr:uid="{00000000-0005-0000-0000-00009E0E0000}"/>
    <cellStyle name="Normal 2 4 2 3 2 2 2 2 3 2" xfId="10976" xr:uid="{B7387273-ED8B-494D-B431-F171285A2EE7}"/>
    <cellStyle name="Normal 2 4 2 3 2 2 2 2 4" xfId="9318" xr:uid="{142C4093-C979-401F-8041-17DDE68147A8}"/>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3" xfId="11389" xr:uid="{596DB45C-E128-4CFA-A975-23B0BC018844}"/>
    <cellStyle name="Normal 2 4 2 3 2 2 2 3 3" xfId="5505" xr:uid="{00000000-0005-0000-0000-0000A20E0000}"/>
    <cellStyle name="Normal 2 4 2 3 2 2 2 3 4" xfId="9731" xr:uid="{B6091AAD-5FB2-4CAF-AB5A-CDB825A32352}"/>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4 4" xfId="10560" xr:uid="{7FD645A9-6A4B-4412-A002-937AD73FF07F}"/>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2 8" xfId="8899" xr:uid="{412AF248-B1F1-49E0-AC01-69B5B2B46AB4}"/>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1804" xr:uid="{8E02E472-1871-45F0-9A89-9BCE915C0C70}"/>
    <cellStyle name="Normal 2 4 2 3 2 2 3 2 3" xfId="10146" xr:uid="{6C70A1E7-B31B-4E4C-B77C-851D6937B372}"/>
    <cellStyle name="Normal 2 4 2 3 2 2 3 3" xfId="5091" xr:uid="{00000000-0005-0000-0000-0000B10E0000}"/>
    <cellStyle name="Normal 2 4 2 3 2 2 3 3 2" xfId="10975" xr:uid="{A06BEC79-881D-4A47-A3BF-F80414EEF380}"/>
    <cellStyle name="Normal 2 4 2 3 2 2 3 4" xfId="9317" xr:uid="{C093546A-EF97-41A1-BACB-E4DA25E4515B}"/>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3" xfId="11388" xr:uid="{A8803A34-D6D7-4CC8-84AC-F5029EB5D1C4}"/>
    <cellStyle name="Normal 2 4 2 3 2 2 4 3" xfId="5504" xr:uid="{00000000-0005-0000-0000-0000B50E0000}"/>
    <cellStyle name="Normal 2 4 2 3 2 2 4 4" xfId="9730" xr:uid="{C3EACCB0-559B-4C22-B294-2BCBE110E906}"/>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5 4" xfId="10559" xr:uid="{1D15B9CF-4264-4965-AC8E-381E089A7E5E}"/>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2 9" xfId="8898" xr:uid="{CA1304A5-C64D-42F5-AD29-A8FF07899A9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1806" xr:uid="{5151FF72-FF68-416C-A1E8-9E1820DEB463}"/>
    <cellStyle name="Normal 2 4 2 3 2 3 2 2 3" xfId="10148" xr:uid="{2821C4D6-8098-4497-904B-0A9CAF0BA4EC}"/>
    <cellStyle name="Normal 2 4 2 3 2 3 2 3" xfId="5093" xr:uid="{00000000-0005-0000-0000-0000C50E0000}"/>
    <cellStyle name="Normal 2 4 2 3 2 3 2 3 2" xfId="10977" xr:uid="{EDEFD252-EC27-4860-8014-FC8003027DBB}"/>
    <cellStyle name="Normal 2 4 2 3 2 3 2 4" xfId="9319" xr:uid="{419879F4-B1AA-41FB-ACC4-A6A4A87F9D6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3" xfId="11390" xr:uid="{41CFA2EE-5C9B-4C68-93F9-21C0E361CCC0}"/>
    <cellStyle name="Normal 2 4 2 3 2 3 3 3" xfId="5506" xr:uid="{00000000-0005-0000-0000-0000C90E0000}"/>
    <cellStyle name="Normal 2 4 2 3 2 3 3 4" xfId="9732" xr:uid="{815CC273-F2FC-4EFE-9592-A6405CA7669C}"/>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4 4" xfId="10561" xr:uid="{EAEFAD62-20FF-4E0B-87D7-3A3E976093DA}"/>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3 8" xfId="8900" xr:uid="{CF5E8A71-74F6-4195-8D3D-15609096DCF1}"/>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1803" xr:uid="{B3FA4F54-9614-49FA-90AE-94F7FCC70865}"/>
    <cellStyle name="Normal 2 4 2 3 2 4 2 3" xfId="10145" xr:uid="{5E84F851-805F-495D-9FB0-0D18CC58BE4F}"/>
    <cellStyle name="Normal 2 4 2 3 2 4 3" xfId="5090" xr:uid="{00000000-0005-0000-0000-0000D80E0000}"/>
    <cellStyle name="Normal 2 4 2 3 2 4 3 2" xfId="10974" xr:uid="{E57A7AB1-FADA-4F53-9B48-71D7CDB90C68}"/>
    <cellStyle name="Normal 2 4 2 3 2 4 4" xfId="9316" xr:uid="{F61A1546-CA49-4E9B-B1B0-1874DFAC120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3" xfId="11387" xr:uid="{F3FECF89-1A79-4966-B7BE-5CFF34518E87}"/>
    <cellStyle name="Normal 2 4 2 3 2 5 3" xfId="5503" xr:uid="{00000000-0005-0000-0000-0000DC0E0000}"/>
    <cellStyle name="Normal 2 4 2 3 2 5 4" xfId="9729" xr:uid="{567A8C6F-475C-46BF-BE00-A235B7E2EEA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6 4" xfId="10558" xr:uid="{AFB19507-6BF4-4D93-B650-18F841A46B39}"/>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1808" xr:uid="{981F3067-0BBF-4AD5-ADA4-CA8C12861C22}"/>
    <cellStyle name="Normal 2 4 2 3 3 2 2 2 3" xfId="10150" xr:uid="{2BF66900-F08F-4F45-B742-2C20BAB6398A}"/>
    <cellStyle name="Normal 2 4 2 3 3 2 2 3" xfId="5095" xr:uid="{00000000-0005-0000-0000-0000ED0E0000}"/>
    <cellStyle name="Normal 2 4 2 3 3 2 2 3 2" xfId="10979" xr:uid="{1E8A955E-EBB1-48ED-8AD1-74149CD43870}"/>
    <cellStyle name="Normal 2 4 2 3 3 2 2 4" xfId="9321" xr:uid="{71B614BA-E783-43F6-AED6-844D8E96D78D}"/>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3" xfId="11392" xr:uid="{E1EB079F-7B9A-4D5E-882F-3746BECDC225}"/>
    <cellStyle name="Normal 2 4 2 3 3 2 3 3" xfId="5508" xr:uid="{00000000-0005-0000-0000-0000F10E0000}"/>
    <cellStyle name="Normal 2 4 2 3 3 2 3 4" xfId="9734" xr:uid="{83DD5B9C-2C0A-46F9-B102-B02065B623D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4 4" xfId="10563" xr:uid="{5385F48B-5D52-4CE7-9E18-0FB35E518C85}"/>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2 8" xfId="8902" xr:uid="{A006A7E6-0557-4223-A726-758D9ED8D31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1807" xr:uid="{BE85A8FE-E323-4E7A-9989-36F8289ADF2E}"/>
    <cellStyle name="Normal 2 4 2 3 3 3 2 3" xfId="10149" xr:uid="{5E7E5389-460A-41DC-8761-EA78E6C54A6C}"/>
    <cellStyle name="Normal 2 4 2 3 3 3 3" xfId="5094" xr:uid="{00000000-0005-0000-0000-0000000F0000}"/>
    <cellStyle name="Normal 2 4 2 3 3 3 3 2" xfId="10978" xr:uid="{2B8645A3-0DB1-4960-BCA9-3303920CEA50}"/>
    <cellStyle name="Normal 2 4 2 3 3 3 4" xfId="9320" xr:uid="{BBAF29C8-A488-435E-AC96-6468A857829A}"/>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3" xfId="11391" xr:uid="{4D56A452-6046-4D81-BE57-2304915AF3B1}"/>
    <cellStyle name="Normal 2 4 2 3 3 4 3" xfId="5507" xr:uid="{00000000-0005-0000-0000-0000040F0000}"/>
    <cellStyle name="Normal 2 4 2 3 3 4 4" xfId="9733" xr:uid="{FCBE5F38-D6B5-4283-A841-244E4BED295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5 4" xfId="10562" xr:uid="{0526F28A-47CA-480B-B2C0-CD9A2C5F906C}"/>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3 9" xfId="8901" xr:uid="{599791F6-7288-4D15-9E74-C4D5F2F1839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1809" xr:uid="{3076DFB8-C5A5-4B63-840E-26321CFF91ED}"/>
    <cellStyle name="Normal 2 4 2 3 4 2 2 3" xfId="10151" xr:uid="{C92047DB-F8F3-4C33-91C1-77703C2852A9}"/>
    <cellStyle name="Normal 2 4 2 3 4 2 3" xfId="5096" xr:uid="{00000000-0005-0000-0000-0000140F0000}"/>
    <cellStyle name="Normal 2 4 2 3 4 2 3 2" xfId="10980" xr:uid="{306A7432-25B2-4ADE-9FB0-73FBD741FEF5}"/>
    <cellStyle name="Normal 2 4 2 3 4 2 4" xfId="9322" xr:uid="{8FEED972-A129-4C31-8E6D-3854CD2D6E5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3" xfId="11393" xr:uid="{64403B29-5EEC-4020-957D-6EA8602B62FA}"/>
    <cellStyle name="Normal 2 4 2 3 4 3 3" xfId="5509" xr:uid="{00000000-0005-0000-0000-0000180F0000}"/>
    <cellStyle name="Normal 2 4 2 3 4 3 4" xfId="9735" xr:uid="{F530F332-C73A-4ABF-A59F-9E1498397D08}"/>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4 4" xfId="10564" xr:uid="{FB8332C7-F1E4-4393-ACFD-54BC1DBB506E}"/>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4 8" xfId="8903" xr:uid="{0CD816F4-8012-4E36-BD92-E75ECDE1B57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1802" xr:uid="{23F3EFAE-D86C-450E-A8E7-BB843B55AECF}"/>
    <cellStyle name="Normal 2 4 2 3 5 2 3" xfId="10144" xr:uid="{5FAC03A9-DED6-4C03-98AF-2DD2D5325A1F}"/>
    <cellStyle name="Normal 2 4 2 3 5 3" xfId="5089" xr:uid="{00000000-0005-0000-0000-0000270F0000}"/>
    <cellStyle name="Normal 2 4 2 3 5 3 2" xfId="10973" xr:uid="{14683AA1-8750-4E3D-8A83-DC4FA18B0D89}"/>
    <cellStyle name="Normal 2 4 2 3 5 4" xfId="9315" xr:uid="{46C58743-8878-4565-8386-BB44E36A1507}"/>
    <cellStyle name="Normal 2 4 2 3 6" xfId="1194" xr:uid="{00000000-0005-0000-0000-0000280F0000}"/>
    <cellStyle name="Normal 2 4 2 3 6 2" xfId="3424" xr:uid="{00000000-0005-0000-0000-0000290F0000}"/>
    <cellStyle name="Normal 2 4 2 3 6 2 2" xfId="7647" xr:uid="{00000000-0005-0000-0000-00002A0F0000}"/>
    <cellStyle name="Normal 2 4 2 3 6 2 3" xfId="11386" xr:uid="{ABE9CC7A-92E2-4E61-A12E-20D6E9E2C496}"/>
    <cellStyle name="Normal 2 4 2 3 6 3" xfId="5502" xr:uid="{00000000-0005-0000-0000-00002B0F0000}"/>
    <cellStyle name="Normal 2 4 2 3 6 4" xfId="9728" xr:uid="{9723FFE3-FB2B-478E-B632-897B49F2C919}"/>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7 4" xfId="10557" xr:uid="{8A4EBFC4-0250-4E5D-BFD1-64C6B73BFE35}"/>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10" xfId="8904" xr:uid="{531EEB06-9A8E-4E24-AECF-DC43333F3A56}"/>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1812" xr:uid="{490E4286-1BC3-4BE0-A2CE-2B10854BAF7D}"/>
    <cellStyle name="Normal 2 4 2 4 2 2 2 2 3" xfId="10154" xr:uid="{BBC4A5B3-48D0-4F9A-878C-6941BEF501D5}"/>
    <cellStyle name="Normal 2 4 2 4 2 2 2 3" xfId="5099" xr:uid="{00000000-0005-0000-0000-00003C0F0000}"/>
    <cellStyle name="Normal 2 4 2 4 2 2 2 3 2" xfId="10983" xr:uid="{499392F1-5059-4456-A812-2C230A3752A8}"/>
    <cellStyle name="Normal 2 4 2 4 2 2 2 4" xfId="9325" xr:uid="{E41EDF2C-AD4C-4C64-8217-9FE3CCD77AD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3" xfId="11396" xr:uid="{34CA8946-E34C-4B2E-978C-BE56023CA5C0}"/>
    <cellStyle name="Normal 2 4 2 4 2 2 3 3" xfId="5512" xr:uid="{00000000-0005-0000-0000-0000400F0000}"/>
    <cellStyle name="Normal 2 4 2 4 2 2 3 4" xfId="9738" xr:uid="{6B766711-4E19-40F8-9EEB-BFDADCEAE3F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4 4" xfId="10567" xr:uid="{CCA97053-CF27-4301-8623-B914C8F4213F}"/>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2 8" xfId="8906" xr:uid="{33F7FD5E-BA96-4CF2-8078-2F84DF864C76}"/>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1811" xr:uid="{C8DFCD28-527A-4D0B-BE57-320936B693A8}"/>
    <cellStyle name="Normal 2 4 2 4 2 3 2 3" xfId="10153" xr:uid="{3E992694-A064-4374-8DB1-5301B5254755}"/>
    <cellStyle name="Normal 2 4 2 4 2 3 3" xfId="5098" xr:uid="{00000000-0005-0000-0000-00004F0F0000}"/>
    <cellStyle name="Normal 2 4 2 4 2 3 3 2" xfId="10982" xr:uid="{6366F5FB-BAEE-4258-AFC4-9D69354F10E4}"/>
    <cellStyle name="Normal 2 4 2 4 2 3 4" xfId="9324" xr:uid="{3CDCAEE4-7A5A-485D-94AC-A1E290516FB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3" xfId="11395" xr:uid="{22929347-70EE-4EA7-BC49-6D89C96FBB68}"/>
    <cellStyle name="Normal 2 4 2 4 2 4 3" xfId="5511" xr:uid="{00000000-0005-0000-0000-0000530F0000}"/>
    <cellStyle name="Normal 2 4 2 4 2 4 4" xfId="9737" xr:uid="{8BC5F4AE-8096-4959-A2FC-61A30AA4344D}"/>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5 4" xfId="10566" xr:uid="{42214823-AB72-42C7-9B93-706CF2931451}"/>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2 9" xfId="8905" xr:uid="{D57A2C0B-2C0F-44F3-935F-D9DB1B8C124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1813" xr:uid="{5072129D-46C6-438F-AF52-CD2C23E2291D}"/>
    <cellStyle name="Normal 2 4 2 4 3 2 2 3" xfId="10155" xr:uid="{6396A7BD-71DA-49E3-A566-A5A038145DA3}"/>
    <cellStyle name="Normal 2 4 2 4 3 2 3" xfId="5100" xr:uid="{00000000-0005-0000-0000-0000630F0000}"/>
    <cellStyle name="Normal 2 4 2 4 3 2 3 2" xfId="10984" xr:uid="{7D313045-B4AB-4F21-96F9-0C2166921418}"/>
    <cellStyle name="Normal 2 4 2 4 3 2 4" xfId="9326" xr:uid="{573E5D58-4A6E-473F-AC73-ABED2EF2D5E3}"/>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3" xfId="11397" xr:uid="{6FCDFDD2-1206-4E49-9345-4C267FCB4261}"/>
    <cellStyle name="Normal 2 4 2 4 3 3 3" xfId="5513" xr:uid="{00000000-0005-0000-0000-0000670F0000}"/>
    <cellStyle name="Normal 2 4 2 4 3 3 4" xfId="9739" xr:uid="{C641EFA1-49FF-4E13-8F01-A6DD11B9A9E5}"/>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4 4" xfId="10568" xr:uid="{5FB7378B-3A36-40A4-A439-2D2541ACF5D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3 8" xfId="8907" xr:uid="{5AFBE300-AB32-4922-BE02-5F7FDA0EC7C5}"/>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1810" xr:uid="{B728C637-21F7-4536-8C35-DC2E67D1F628}"/>
    <cellStyle name="Normal 2 4 2 4 4 2 3" xfId="10152" xr:uid="{B39FF860-5C4C-4C2C-ABBC-B8644CA5DAB8}"/>
    <cellStyle name="Normal 2 4 2 4 4 3" xfId="5097" xr:uid="{00000000-0005-0000-0000-0000760F0000}"/>
    <cellStyle name="Normal 2 4 2 4 4 3 2" xfId="10981" xr:uid="{719BB5D1-6D28-4D81-BD21-092D5DEBBE60}"/>
    <cellStyle name="Normal 2 4 2 4 4 4" xfId="9323" xr:uid="{C7EBEE93-2FEB-4F93-8430-DED20EFE029A}"/>
    <cellStyle name="Normal 2 4 2 4 5" xfId="1202" xr:uid="{00000000-0005-0000-0000-0000770F0000}"/>
    <cellStyle name="Normal 2 4 2 4 5 2" xfId="3432" xr:uid="{00000000-0005-0000-0000-0000780F0000}"/>
    <cellStyle name="Normal 2 4 2 4 5 2 2" xfId="7655" xr:uid="{00000000-0005-0000-0000-0000790F0000}"/>
    <cellStyle name="Normal 2 4 2 4 5 2 3" xfId="11394" xr:uid="{1C54132A-8FE8-4823-AB83-488E5FE12CDB}"/>
    <cellStyle name="Normal 2 4 2 4 5 3" xfId="5510" xr:uid="{00000000-0005-0000-0000-00007A0F0000}"/>
    <cellStyle name="Normal 2 4 2 4 5 4" xfId="9736" xr:uid="{5AB46F15-92D5-4D12-A83C-18F410D38055}"/>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6 4" xfId="10565" xr:uid="{9B9490C0-2B0E-4B9A-8C05-A000FD4CA04A}"/>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1815" xr:uid="{89140635-2F3C-452E-A01C-5A836C25D22B}"/>
    <cellStyle name="Normal 2 4 2 5 2 2 2 3" xfId="10157" xr:uid="{2B6327F1-0D34-4569-8AB3-4960269E433C}"/>
    <cellStyle name="Normal 2 4 2 5 2 2 3" xfId="5102" xr:uid="{00000000-0005-0000-0000-00008B0F0000}"/>
    <cellStyle name="Normal 2 4 2 5 2 2 3 2" xfId="10986" xr:uid="{AC479FAE-1758-4380-B82B-43D0BE674C36}"/>
    <cellStyle name="Normal 2 4 2 5 2 2 4" xfId="9328" xr:uid="{E708A029-AD5D-44E4-B4FE-AD64BCC327A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3" xfId="11399" xr:uid="{AEDA37EB-6EA6-4663-8DC5-8A3FBDEAEE07}"/>
    <cellStyle name="Normal 2 4 2 5 2 3 3" xfId="5515" xr:uid="{00000000-0005-0000-0000-00008F0F0000}"/>
    <cellStyle name="Normal 2 4 2 5 2 3 4" xfId="9741" xr:uid="{84016AA4-6FA7-427A-8C46-5D644B7E8BA5}"/>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4 4" xfId="10570" xr:uid="{2A31A9E3-E38A-4C12-B920-54308530DF67}"/>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2 8" xfId="8909" xr:uid="{68242E8B-8F09-47EA-86D6-9F5DA854777C}"/>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1814" xr:uid="{6BB009AD-66AC-4A11-8003-AC2AA69CD89C}"/>
    <cellStyle name="Normal 2 4 2 5 3 2 3" xfId="10156" xr:uid="{9C111B50-0C89-4388-88A0-E863D5608683}"/>
    <cellStyle name="Normal 2 4 2 5 3 3" xfId="5101" xr:uid="{00000000-0005-0000-0000-00009E0F0000}"/>
    <cellStyle name="Normal 2 4 2 5 3 3 2" xfId="10985" xr:uid="{5ACDC1EB-3365-476C-964E-FB884B9CAB1C}"/>
    <cellStyle name="Normal 2 4 2 5 3 4" xfId="9327" xr:uid="{DE09AD01-BB74-489A-84E2-A5AE7CD7B681}"/>
    <cellStyle name="Normal 2 4 2 5 4" xfId="1206" xr:uid="{00000000-0005-0000-0000-00009F0F0000}"/>
    <cellStyle name="Normal 2 4 2 5 4 2" xfId="3436" xr:uid="{00000000-0005-0000-0000-0000A00F0000}"/>
    <cellStyle name="Normal 2 4 2 5 4 2 2" xfId="7659" xr:uid="{00000000-0005-0000-0000-0000A10F0000}"/>
    <cellStyle name="Normal 2 4 2 5 4 2 3" xfId="11398" xr:uid="{43492093-9EAF-4247-A2F2-EA734610C3FC}"/>
    <cellStyle name="Normal 2 4 2 5 4 3" xfId="5514" xr:uid="{00000000-0005-0000-0000-0000A20F0000}"/>
    <cellStyle name="Normal 2 4 2 5 4 4" xfId="9740" xr:uid="{1BF1D375-5C91-4D07-B600-390D67557D07}"/>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5 4" xfId="10569" xr:uid="{6B4DDBF9-E78A-43B4-BF6E-7D4036E38718}"/>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5 9" xfId="8908" xr:uid="{4A8CC27A-3058-45DD-96BC-C4549446360F}"/>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1816" xr:uid="{3E660E99-82C9-48F5-B68A-FA2D0217AF44}"/>
    <cellStyle name="Normal 2 4 2 6 2 2 3" xfId="10158" xr:uid="{DBE4D955-E458-41F8-ABA7-AA57D16E7373}"/>
    <cellStyle name="Normal 2 4 2 6 2 3" xfId="5103" xr:uid="{00000000-0005-0000-0000-0000B20F0000}"/>
    <cellStyle name="Normal 2 4 2 6 2 3 2" xfId="10987" xr:uid="{47E12699-B57C-49A7-A4C6-2314E0CD217F}"/>
    <cellStyle name="Normal 2 4 2 6 2 4" xfId="9329" xr:uid="{0986F071-E759-4F0C-BD10-59EADB1EF493}"/>
    <cellStyle name="Normal 2 4 2 6 3" xfId="1208" xr:uid="{00000000-0005-0000-0000-0000B30F0000}"/>
    <cellStyle name="Normal 2 4 2 6 3 2" xfId="3438" xr:uid="{00000000-0005-0000-0000-0000B40F0000}"/>
    <cellStyle name="Normal 2 4 2 6 3 2 2" xfId="7661" xr:uid="{00000000-0005-0000-0000-0000B50F0000}"/>
    <cellStyle name="Normal 2 4 2 6 3 2 3" xfId="11400" xr:uid="{452D020B-2D3E-4D69-AC32-AE3096499854}"/>
    <cellStyle name="Normal 2 4 2 6 3 3" xfId="5516" xr:uid="{00000000-0005-0000-0000-0000B60F0000}"/>
    <cellStyle name="Normal 2 4 2 6 3 4" xfId="9742" xr:uid="{6C7DAE6A-02FD-4634-909E-E6DCA6C50E2B}"/>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4 4" xfId="10571" xr:uid="{EEB15C9D-8640-402E-B14D-DF663229CDF4}"/>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6 8" xfId="8910" xr:uid="{2C2DAB5A-8C83-4E7A-9C4C-D1214ED212BF}"/>
    <cellStyle name="Normal 2 4 2 7" xfId="771" xr:uid="{00000000-0005-0000-0000-0000C20F0000}"/>
    <cellStyle name="Normal 2 4 2 7 2" xfId="3010" xr:uid="{00000000-0005-0000-0000-0000C30F0000}"/>
    <cellStyle name="Normal 2 4 2 7 2 2" xfId="7233" xr:uid="{00000000-0005-0000-0000-0000C40F0000}"/>
    <cellStyle name="Normal 2 4 2 7 2 2 2" xfId="11801" xr:uid="{C3BE3252-2C26-4690-AFBE-56F2378E519F}"/>
    <cellStyle name="Normal 2 4 2 7 2 3" xfId="10143" xr:uid="{77818FF1-2CD6-4637-9D94-30C85E6AB399}"/>
    <cellStyle name="Normal 2 4 2 7 3" xfId="5088" xr:uid="{00000000-0005-0000-0000-0000C50F0000}"/>
    <cellStyle name="Normal 2 4 2 7 3 2" xfId="10972" xr:uid="{2633647B-4914-4809-B06C-356606BD9D25}"/>
    <cellStyle name="Normal 2 4 2 7 4" xfId="9314" xr:uid="{8754BA0C-F751-43C2-B6E3-62F0198FD204}"/>
    <cellStyle name="Normal 2 4 2 8" xfId="1193" xr:uid="{00000000-0005-0000-0000-0000C60F0000}"/>
    <cellStyle name="Normal 2 4 2 8 2" xfId="3423" xr:uid="{00000000-0005-0000-0000-0000C70F0000}"/>
    <cellStyle name="Normal 2 4 2 8 2 2" xfId="7646" xr:uid="{00000000-0005-0000-0000-0000C80F0000}"/>
    <cellStyle name="Normal 2 4 2 8 2 3" xfId="11385" xr:uid="{21EB9A17-536C-4F48-8C57-8D11D8DBBA51}"/>
    <cellStyle name="Normal 2 4 2 8 3" xfId="5501" xr:uid="{00000000-0005-0000-0000-0000C90F0000}"/>
    <cellStyle name="Normal 2 4 2 8 4" xfId="9727" xr:uid="{E6B82404-F266-43C9-90D4-9E27F8A719A7}"/>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2 9 4" xfId="10556" xr:uid="{2924D706-ED64-45CD-B862-E0972406C249}"/>
    <cellStyle name="Normal 2 4 3" xfId="296" xr:uid="{00000000-0005-0000-0000-0000CE0F0000}"/>
    <cellStyle name="Normal 2 4 3 10" xfId="8911" xr:uid="{606AE416-533D-4E24-AEC8-06D677ECBD2B}"/>
    <cellStyle name="Normal 2 4 3 2" xfId="297" xr:uid="{00000000-0005-0000-0000-0000CF0F0000}"/>
    <cellStyle name="Normal 2 4 3 3" xfId="298" xr:uid="{00000000-0005-0000-0000-0000D00F0000}"/>
    <cellStyle name="Normal 2 4 3 3 10" xfId="8912" xr:uid="{B6238A76-1E49-4675-A3E1-4F11B17CBAA3}"/>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1820" xr:uid="{F422CDB4-4F2E-402D-9276-821CE406A588}"/>
    <cellStyle name="Normal 2 4 3 3 2 2 2 2 3" xfId="10162" xr:uid="{C8918647-C3FF-4C8F-B42F-F72D54B2E305}"/>
    <cellStyle name="Normal 2 4 3 3 2 2 2 3" xfId="5107" xr:uid="{00000000-0005-0000-0000-0000D60F0000}"/>
    <cellStyle name="Normal 2 4 3 3 2 2 2 3 2" xfId="10991" xr:uid="{8FAE7A6B-879B-426F-AF41-88C515370889}"/>
    <cellStyle name="Normal 2 4 3 3 2 2 2 4" xfId="9333" xr:uid="{C13E8217-5948-4A12-9B8F-BC580EB9AC6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3" xfId="11404" xr:uid="{9F9C35CA-DA4F-48AF-8041-0DF3AF6F0C6D}"/>
    <cellStyle name="Normal 2 4 3 3 2 2 3 3" xfId="5520" xr:uid="{00000000-0005-0000-0000-0000DA0F0000}"/>
    <cellStyle name="Normal 2 4 3 3 2 2 3 4" xfId="9746" xr:uid="{B14F0185-AD21-4A26-B81C-A6C8B5D9968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4 4" xfId="10575" xr:uid="{83B2D9AC-A553-4068-A097-FF18458AA19D}"/>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2 8" xfId="8914" xr:uid="{006BF3CB-E85C-450E-B970-78B2B521B3F9}"/>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1819" xr:uid="{373E53A8-AF47-4246-A651-7EE672A90F38}"/>
    <cellStyle name="Normal 2 4 3 3 2 3 2 3" xfId="10161" xr:uid="{963A05FF-E1E5-41FC-89C5-B280B5EC4F29}"/>
    <cellStyle name="Normal 2 4 3 3 2 3 3" xfId="5106" xr:uid="{00000000-0005-0000-0000-0000E90F0000}"/>
    <cellStyle name="Normal 2 4 3 3 2 3 3 2" xfId="10990" xr:uid="{BCE07C42-779E-4139-A522-267F7631CDC9}"/>
    <cellStyle name="Normal 2 4 3 3 2 3 4" xfId="9332" xr:uid="{940F483C-6D32-427F-ADC5-2D8472DAAF8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3" xfId="11403" xr:uid="{2319E142-B08E-4695-B144-BE0E705960BC}"/>
    <cellStyle name="Normal 2 4 3 3 2 4 3" xfId="5519" xr:uid="{00000000-0005-0000-0000-0000ED0F0000}"/>
    <cellStyle name="Normal 2 4 3 3 2 4 4" xfId="9745" xr:uid="{2993BF24-BD58-4ACF-A314-B17CE18B5FA7}"/>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5 4" xfId="10574" xr:uid="{D36B41DE-60BF-47EA-8B79-F671A44B0A3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2 9" xfId="8913" xr:uid="{B4D5D2EF-488B-4C6C-A7CD-7A441CFCA7B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1821" xr:uid="{0122888B-EF06-4826-835C-A7DE536D7A1D}"/>
    <cellStyle name="Normal 2 4 3 3 3 2 2 3" xfId="10163" xr:uid="{68A11F03-D063-4EF3-B038-79541DA74CED}"/>
    <cellStyle name="Normal 2 4 3 3 3 2 3" xfId="5108" xr:uid="{00000000-0005-0000-0000-0000FD0F0000}"/>
    <cellStyle name="Normal 2 4 3 3 3 2 3 2" xfId="10992" xr:uid="{1072FE60-2229-4CF8-9913-11A18EE8DE1D}"/>
    <cellStyle name="Normal 2 4 3 3 3 2 4" xfId="9334" xr:uid="{F17AA1D1-3C59-46F6-9660-C3D72A0830C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3" xfId="11405" xr:uid="{2674FB1D-3CEA-4860-82D0-90DE2CBF45D6}"/>
    <cellStyle name="Normal 2 4 3 3 3 3 3" xfId="5521" xr:uid="{00000000-0005-0000-0000-000001100000}"/>
    <cellStyle name="Normal 2 4 3 3 3 3 4" xfId="9747" xr:uid="{B50CEF0B-FCD7-441B-A86B-A5FC3A262E5F}"/>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4 4" xfId="10576" xr:uid="{1B70A735-9663-4162-9978-42E7A29B858E}"/>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3 8" xfId="8915" xr:uid="{0B7018C8-0DFF-4BC8-BA1F-98F55D0E8223}"/>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1818" xr:uid="{795637A4-F1ED-48E9-B700-05682A425986}"/>
    <cellStyle name="Normal 2 4 3 3 4 2 3" xfId="10160" xr:uid="{6D8E919F-8EC4-47B2-B4C2-6F14D6C0764C}"/>
    <cellStyle name="Normal 2 4 3 3 4 3" xfId="5105" xr:uid="{00000000-0005-0000-0000-000010100000}"/>
    <cellStyle name="Normal 2 4 3 3 4 3 2" xfId="10989" xr:uid="{3EDAEFAE-7E76-4F4B-9036-14CCB349231D}"/>
    <cellStyle name="Normal 2 4 3 3 4 4" xfId="9331" xr:uid="{A01E6444-4C00-4CC9-979B-210279C97221}"/>
    <cellStyle name="Normal 2 4 3 3 5" xfId="1210" xr:uid="{00000000-0005-0000-0000-000011100000}"/>
    <cellStyle name="Normal 2 4 3 3 5 2" xfId="3440" xr:uid="{00000000-0005-0000-0000-000012100000}"/>
    <cellStyle name="Normal 2 4 3 3 5 2 2" xfId="7663" xr:uid="{00000000-0005-0000-0000-000013100000}"/>
    <cellStyle name="Normal 2 4 3 3 5 2 3" xfId="11402" xr:uid="{C00A8492-E3D1-458E-B3E7-C6DFCF053949}"/>
    <cellStyle name="Normal 2 4 3 3 5 3" xfId="5518" xr:uid="{00000000-0005-0000-0000-000014100000}"/>
    <cellStyle name="Normal 2 4 3 3 5 4" xfId="9744" xr:uid="{F227A6A6-FBD6-47B5-80D0-93DBBE2216FA}"/>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6 4" xfId="10573" xr:uid="{498FD012-AFD5-4309-9571-D8C68583DE83}"/>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2 2 2" xfId="11817" xr:uid="{4172C9A3-5988-42E0-9999-D5239E2B2169}"/>
    <cellStyle name="Normal 2 4 3 4 2 3" xfId="10159" xr:uid="{97FC993F-615C-40CE-A828-D7B42B679B13}"/>
    <cellStyle name="Normal 2 4 3 4 3" xfId="5104" xr:uid="{00000000-0005-0000-0000-000023100000}"/>
    <cellStyle name="Normal 2 4 3 4 3 2" xfId="10988" xr:uid="{E62866A7-790A-4414-8027-BB59182143DD}"/>
    <cellStyle name="Normal 2 4 3 4 4" xfId="9330" xr:uid="{927F1108-0634-4644-9390-6068CD74BFE7}"/>
    <cellStyle name="Normal 2 4 3 5" xfId="1209" xr:uid="{00000000-0005-0000-0000-000024100000}"/>
    <cellStyle name="Normal 2 4 3 5 2" xfId="3439" xr:uid="{00000000-0005-0000-0000-000025100000}"/>
    <cellStyle name="Normal 2 4 3 5 2 2" xfId="7662" xr:uid="{00000000-0005-0000-0000-000026100000}"/>
    <cellStyle name="Normal 2 4 3 5 2 3" xfId="11401" xr:uid="{4260E098-DE6F-4BBA-A1C4-862611E6C4A2}"/>
    <cellStyle name="Normal 2 4 3 5 3" xfId="5517" xr:uid="{00000000-0005-0000-0000-000027100000}"/>
    <cellStyle name="Normal 2 4 3 5 4" xfId="9743" xr:uid="{6E59C915-9588-4CED-BC75-4244DDDE6827}"/>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6 4" xfId="10572" xr:uid="{28088310-2A87-4C8B-89CA-D3148B0A7DF5}"/>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11" xfId="8916" xr:uid="{6CD74540-BF7D-4BE4-B822-A90574D07E31}"/>
    <cellStyle name="Normal 2 4 5 2" xfId="304" xr:uid="{00000000-0005-0000-0000-000036100000}"/>
    <cellStyle name="Normal 2 4 5 2 10" xfId="8917" xr:uid="{8B808641-C086-44E6-831C-8F1672CAE35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1825" xr:uid="{D7FF0415-D53D-4ACD-88C8-C71A161D7AC8}"/>
    <cellStyle name="Normal 2 4 5 2 2 2 2 2 3" xfId="10167" xr:uid="{80B0155B-CD35-4E8B-B311-A85EC14D0DA2}"/>
    <cellStyle name="Normal 2 4 5 2 2 2 2 3" xfId="5112" xr:uid="{00000000-0005-0000-0000-00003C100000}"/>
    <cellStyle name="Normal 2 4 5 2 2 2 2 3 2" xfId="10996" xr:uid="{AC6558EC-5587-4A9D-9CA9-FE682AC3DCEC}"/>
    <cellStyle name="Normal 2 4 5 2 2 2 2 4" xfId="9338" xr:uid="{D62704A5-2CB1-4947-98FA-C172EF2E11C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3" xfId="11409" xr:uid="{3314950F-0EB2-4873-92B8-D363D474D2DF}"/>
    <cellStyle name="Normal 2 4 5 2 2 2 3 3" xfId="5525" xr:uid="{00000000-0005-0000-0000-000040100000}"/>
    <cellStyle name="Normal 2 4 5 2 2 2 3 4" xfId="9751" xr:uid="{031375C3-F38F-4DB2-AB24-0F13ABF6C422}"/>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4 4" xfId="10580" xr:uid="{7D7F6F51-E78C-4BF0-97AA-9374B7E0B731}"/>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2 8" xfId="8919" xr:uid="{AF9E7864-4662-4030-B134-BFF8F32B62C9}"/>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1824" xr:uid="{BFB1F8C7-7059-4707-B056-9FBD53A41736}"/>
    <cellStyle name="Normal 2 4 5 2 2 3 2 3" xfId="10166" xr:uid="{668BB022-683F-4CFB-8932-EDB506EB0E42}"/>
    <cellStyle name="Normal 2 4 5 2 2 3 3" xfId="5111" xr:uid="{00000000-0005-0000-0000-00004F100000}"/>
    <cellStyle name="Normal 2 4 5 2 2 3 3 2" xfId="10995" xr:uid="{5EDDD9A9-E10C-423A-9360-6AA33D7E319B}"/>
    <cellStyle name="Normal 2 4 5 2 2 3 4" xfId="9337" xr:uid="{5A0153EE-D22F-4097-B605-F721B3DD70B1}"/>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3" xfId="11408" xr:uid="{53D2CC0F-C1DF-4B32-86B8-100E33B8C421}"/>
    <cellStyle name="Normal 2 4 5 2 2 4 3" xfId="5524" xr:uid="{00000000-0005-0000-0000-000053100000}"/>
    <cellStyle name="Normal 2 4 5 2 2 4 4" xfId="9750" xr:uid="{E692FCFC-0884-42CC-BD78-7C44C9D4AAE8}"/>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5 4" xfId="10579" xr:uid="{50A6A88E-2A2D-4730-A56F-17E40468FF9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2 9" xfId="8918" xr:uid="{2BF69E71-1F16-4A1F-AEFF-0023871691D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1826" xr:uid="{9E8FF173-4B13-4688-A319-4D31449239CC}"/>
    <cellStyle name="Normal 2 4 5 2 3 2 2 3" xfId="10168" xr:uid="{DEC8D09B-C06F-4047-9913-8D325036C83F}"/>
    <cellStyle name="Normal 2 4 5 2 3 2 3" xfId="5113" xr:uid="{00000000-0005-0000-0000-000063100000}"/>
    <cellStyle name="Normal 2 4 5 2 3 2 3 2" xfId="10997" xr:uid="{58D7C796-C8CB-4005-9D5F-37113C6A6DE1}"/>
    <cellStyle name="Normal 2 4 5 2 3 2 4" xfId="9339" xr:uid="{EBB9DF27-D558-4591-BC33-E0CD3B5D10F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3" xfId="11410" xr:uid="{1763A6EC-8749-4625-9D24-E60A20382986}"/>
    <cellStyle name="Normal 2 4 5 2 3 3 3" xfId="5526" xr:uid="{00000000-0005-0000-0000-000067100000}"/>
    <cellStyle name="Normal 2 4 5 2 3 3 4" xfId="9752" xr:uid="{810B545C-0EC8-45F6-A4F7-970B359E5D83}"/>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4 4" xfId="10581" xr:uid="{AFA15715-B204-45E0-B17F-15756A0F4801}"/>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3 8" xfId="8920" xr:uid="{E111BFF5-5B8C-4D13-AB3C-B1F09AB34766}"/>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1823" xr:uid="{44D2EE05-610E-4CDC-9452-30686D0F08EF}"/>
    <cellStyle name="Normal 2 4 5 2 4 2 3" xfId="10165" xr:uid="{F29FF2AE-112A-42A9-B85C-2E52163B5EED}"/>
    <cellStyle name="Normal 2 4 5 2 4 3" xfId="5110" xr:uid="{00000000-0005-0000-0000-000076100000}"/>
    <cellStyle name="Normal 2 4 5 2 4 3 2" xfId="10994" xr:uid="{C1E83769-BADE-4898-ADEC-7FCB3019CA18}"/>
    <cellStyle name="Normal 2 4 5 2 4 4" xfId="9336" xr:uid="{8DE76046-D89E-41DC-A7D8-3F4180B4E64D}"/>
    <cellStyle name="Normal 2 4 5 2 5" xfId="1215" xr:uid="{00000000-0005-0000-0000-000077100000}"/>
    <cellStyle name="Normal 2 4 5 2 5 2" xfId="3445" xr:uid="{00000000-0005-0000-0000-000078100000}"/>
    <cellStyle name="Normal 2 4 5 2 5 2 2" xfId="7668" xr:uid="{00000000-0005-0000-0000-000079100000}"/>
    <cellStyle name="Normal 2 4 5 2 5 2 3" xfId="11407" xr:uid="{110CAF3D-1FCF-4788-91F5-81F26FFD81C0}"/>
    <cellStyle name="Normal 2 4 5 2 5 3" xfId="5523" xr:uid="{00000000-0005-0000-0000-00007A100000}"/>
    <cellStyle name="Normal 2 4 5 2 5 4" xfId="9749" xr:uid="{F2AA7CA0-F014-458E-AE26-D779950B3C1B}"/>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6 4" xfId="10578" xr:uid="{D89C383F-8153-49DD-8405-49A5032FE195}"/>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1828" xr:uid="{705CA747-C490-4E09-90A1-62D28814D5D0}"/>
    <cellStyle name="Normal 2 4 5 3 2 2 2 3" xfId="10170" xr:uid="{962FBC67-E7FB-4440-9B3A-8098172E2DD5}"/>
    <cellStyle name="Normal 2 4 5 3 2 2 3" xfId="5115" xr:uid="{00000000-0005-0000-0000-00008B100000}"/>
    <cellStyle name="Normal 2 4 5 3 2 2 3 2" xfId="10999" xr:uid="{4C2B9BA4-3D16-4526-8AD6-5D6179CA25FC}"/>
    <cellStyle name="Normal 2 4 5 3 2 2 4" xfId="9341" xr:uid="{510AAAAA-08A8-4815-8F07-381633D73742}"/>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3" xfId="11412" xr:uid="{0A39DF1B-9489-4595-8BD0-2B16A51EC780}"/>
    <cellStyle name="Normal 2 4 5 3 2 3 3" xfId="5528" xr:uid="{00000000-0005-0000-0000-00008F100000}"/>
    <cellStyle name="Normal 2 4 5 3 2 3 4" xfId="9754" xr:uid="{83BB7AB7-828A-4C22-8A3D-C8C2B6B475B9}"/>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4 4" xfId="10583" xr:uid="{B7A7A8D4-FDDE-48EA-B194-3808A7C37A7D}"/>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2 8" xfId="8922" xr:uid="{8BD34B60-10CF-45BB-9E95-CE6DD810B0BB}"/>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1827" xr:uid="{B24F65DC-2947-46FB-B94E-1C814C9138AE}"/>
    <cellStyle name="Normal 2 4 5 3 3 2 3" xfId="10169" xr:uid="{4BB01FA0-31F9-4AE3-BAE7-B79418C4FDC6}"/>
    <cellStyle name="Normal 2 4 5 3 3 3" xfId="5114" xr:uid="{00000000-0005-0000-0000-00009E100000}"/>
    <cellStyle name="Normal 2 4 5 3 3 3 2" xfId="10998" xr:uid="{42F75D02-C916-4D16-B014-50E8304B80A9}"/>
    <cellStyle name="Normal 2 4 5 3 3 4" xfId="9340" xr:uid="{AE40B2C8-6E70-4A5F-B503-78E123B58D9D}"/>
    <cellStyle name="Normal 2 4 5 3 4" xfId="1219" xr:uid="{00000000-0005-0000-0000-00009F100000}"/>
    <cellStyle name="Normal 2 4 5 3 4 2" xfId="3449" xr:uid="{00000000-0005-0000-0000-0000A0100000}"/>
    <cellStyle name="Normal 2 4 5 3 4 2 2" xfId="7672" xr:uid="{00000000-0005-0000-0000-0000A1100000}"/>
    <cellStyle name="Normal 2 4 5 3 4 2 3" xfId="11411" xr:uid="{19BF7E97-F06A-4E8C-8286-2F17DBAC2664}"/>
    <cellStyle name="Normal 2 4 5 3 4 3" xfId="5527" xr:uid="{00000000-0005-0000-0000-0000A2100000}"/>
    <cellStyle name="Normal 2 4 5 3 4 4" xfId="9753" xr:uid="{AEAE3561-B05C-41A1-B0DB-29137DA3FD29}"/>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5 4" xfId="10582" xr:uid="{09495AB9-C070-4FD3-867C-2AAED947FFFF}"/>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3 9" xfId="8921" xr:uid="{66D29B30-26F5-4FFF-95EB-48812F606E3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1829" xr:uid="{FDD5FCD2-AAE3-4D46-ABF7-3FFD5A7EEDC0}"/>
    <cellStyle name="Normal 2 4 5 4 2 2 3" xfId="10171" xr:uid="{BFC9F260-AD31-4B86-9411-79199E3DFFEF}"/>
    <cellStyle name="Normal 2 4 5 4 2 3" xfId="5116" xr:uid="{00000000-0005-0000-0000-0000B2100000}"/>
    <cellStyle name="Normal 2 4 5 4 2 3 2" xfId="11000" xr:uid="{E8EEFCB9-410C-45E4-B2E7-12775E071C3D}"/>
    <cellStyle name="Normal 2 4 5 4 2 4" xfId="9342" xr:uid="{B8CD7E6F-1771-423F-9AB5-9AAB84191038}"/>
    <cellStyle name="Normal 2 4 5 4 3" xfId="1221" xr:uid="{00000000-0005-0000-0000-0000B3100000}"/>
    <cellStyle name="Normal 2 4 5 4 3 2" xfId="3451" xr:uid="{00000000-0005-0000-0000-0000B4100000}"/>
    <cellStyle name="Normal 2 4 5 4 3 2 2" xfId="7674" xr:uid="{00000000-0005-0000-0000-0000B5100000}"/>
    <cellStyle name="Normal 2 4 5 4 3 2 3" xfId="11413" xr:uid="{24D18FEA-02C9-486C-BD5B-10F1C5F252E2}"/>
    <cellStyle name="Normal 2 4 5 4 3 3" xfId="5529" xr:uid="{00000000-0005-0000-0000-0000B6100000}"/>
    <cellStyle name="Normal 2 4 5 4 3 4" xfId="9755" xr:uid="{D87A18F4-5745-4ADC-90AA-C590894B9125}"/>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4 4" xfId="10584" xr:uid="{B547852B-ABC6-4B73-B9A2-FDE58628D5E4}"/>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4 8" xfId="8923" xr:uid="{5FD398F5-3622-48F2-B7D1-3E872AACC175}"/>
    <cellStyle name="Normal 2 4 5 5" xfId="792" xr:uid="{00000000-0005-0000-0000-0000C2100000}"/>
    <cellStyle name="Normal 2 4 5 5 2" xfId="3031" xr:uid="{00000000-0005-0000-0000-0000C3100000}"/>
    <cellStyle name="Normal 2 4 5 5 2 2" xfId="7254" xr:uid="{00000000-0005-0000-0000-0000C4100000}"/>
    <cellStyle name="Normal 2 4 5 5 2 2 2" xfId="11822" xr:uid="{2BF97F02-9F34-4363-8F90-C7AF0226BD73}"/>
    <cellStyle name="Normal 2 4 5 5 2 3" xfId="10164" xr:uid="{64B45AC9-1BB8-4961-9168-761055C4C98D}"/>
    <cellStyle name="Normal 2 4 5 5 3" xfId="5109" xr:uid="{00000000-0005-0000-0000-0000C5100000}"/>
    <cellStyle name="Normal 2 4 5 5 3 2" xfId="10993" xr:uid="{FAB00AA7-4124-4EE7-AB21-01A9FD037E49}"/>
    <cellStyle name="Normal 2 4 5 5 4" xfId="9335" xr:uid="{39B975B0-946B-44DE-A7DF-F18ACA2F9019}"/>
    <cellStyle name="Normal 2 4 5 6" xfId="1214" xr:uid="{00000000-0005-0000-0000-0000C6100000}"/>
    <cellStyle name="Normal 2 4 5 6 2" xfId="3444" xr:uid="{00000000-0005-0000-0000-0000C7100000}"/>
    <cellStyle name="Normal 2 4 5 6 2 2" xfId="7667" xr:uid="{00000000-0005-0000-0000-0000C8100000}"/>
    <cellStyle name="Normal 2 4 5 6 2 3" xfId="11406" xr:uid="{E5808D60-6E6D-474E-A3CA-C80E0369D834}"/>
    <cellStyle name="Normal 2 4 5 6 3" xfId="5522" xr:uid="{00000000-0005-0000-0000-0000C9100000}"/>
    <cellStyle name="Normal 2 4 5 6 4" xfId="9748" xr:uid="{721E9D04-8B7C-4FAE-991D-FA10EB7FA33E}"/>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7 4" xfId="10577" xr:uid="{A92A6058-7E1F-45EA-8D4A-2CADB234CB15}"/>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1831" xr:uid="{92E790B1-9120-4867-8972-1915BBC3C377}"/>
    <cellStyle name="Normal 2 4 7 2 2 2 3" xfId="10173" xr:uid="{31A1D482-7C57-4E0C-B836-EBA436B202C9}"/>
    <cellStyle name="Normal 2 4 7 2 2 3" xfId="5118" xr:uid="{00000000-0005-0000-0000-0000DA100000}"/>
    <cellStyle name="Normal 2 4 7 2 2 3 2" xfId="11002" xr:uid="{D3FB95DE-3C52-4048-A2B0-EAEB1F2D4BD0}"/>
    <cellStyle name="Normal 2 4 7 2 2 4" xfId="9344" xr:uid="{6397980E-AED7-406E-B368-978642DAF804}"/>
    <cellStyle name="Normal 2 4 7 2 3" xfId="1223" xr:uid="{00000000-0005-0000-0000-0000DB100000}"/>
    <cellStyle name="Normal 2 4 7 2 3 2" xfId="3453" xr:uid="{00000000-0005-0000-0000-0000DC100000}"/>
    <cellStyle name="Normal 2 4 7 2 3 2 2" xfId="7676" xr:uid="{00000000-0005-0000-0000-0000DD100000}"/>
    <cellStyle name="Normal 2 4 7 2 3 2 3" xfId="11415" xr:uid="{C9780BCB-81B9-4F26-B05A-93E2CEFD9AF1}"/>
    <cellStyle name="Normal 2 4 7 2 3 3" xfId="5531" xr:uid="{00000000-0005-0000-0000-0000DE100000}"/>
    <cellStyle name="Normal 2 4 7 2 3 4" xfId="9757" xr:uid="{53471521-C3D9-48F2-B0F0-41CC048962C2}"/>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4 4" xfId="10586" xr:uid="{7FCC8699-5085-422B-9AE3-089106CD6CD3}"/>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2 8" xfId="8925" xr:uid="{448DB3F5-AB49-4C31-A03B-65E5DA1C80EA}"/>
    <cellStyle name="Normal 2 4 7 3" xfId="800" xr:uid="{00000000-0005-0000-0000-0000EA100000}"/>
    <cellStyle name="Normal 2 4 7 3 2" xfId="3039" xr:uid="{00000000-0005-0000-0000-0000EB100000}"/>
    <cellStyle name="Normal 2 4 7 3 2 2" xfId="7262" xr:uid="{00000000-0005-0000-0000-0000EC100000}"/>
    <cellStyle name="Normal 2 4 7 3 2 2 2" xfId="11830" xr:uid="{4786A938-CD3E-400C-AAA5-480E53433FFA}"/>
    <cellStyle name="Normal 2 4 7 3 2 3" xfId="10172" xr:uid="{A2E93F97-AF98-4DD5-AD65-DBD0C63FC92D}"/>
    <cellStyle name="Normal 2 4 7 3 3" xfId="5117" xr:uid="{00000000-0005-0000-0000-0000ED100000}"/>
    <cellStyle name="Normal 2 4 7 3 3 2" xfId="11001" xr:uid="{7176B2DE-3107-4778-ADB6-3236E1ECFAA7}"/>
    <cellStyle name="Normal 2 4 7 3 4" xfId="9343" xr:uid="{047F3208-00D4-4F27-A3F8-95B04FE5AFD3}"/>
    <cellStyle name="Normal 2 4 7 4" xfId="1222" xr:uid="{00000000-0005-0000-0000-0000EE100000}"/>
    <cellStyle name="Normal 2 4 7 4 2" xfId="3452" xr:uid="{00000000-0005-0000-0000-0000EF100000}"/>
    <cellStyle name="Normal 2 4 7 4 2 2" xfId="7675" xr:uid="{00000000-0005-0000-0000-0000F0100000}"/>
    <cellStyle name="Normal 2 4 7 4 2 3" xfId="11414" xr:uid="{54FAE0DA-0E26-476E-AC12-E5945F8DA775}"/>
    <cellStyle name="Normal 2 4 7 4 3" xfId="5530" xr:uid="{00000000-0005-0000-0000-0000F1100000}"/>
    <cellStyle name="Normal 2 4 7 4 4" xfId="9756" xr:uid="{B343FDA0-CE2D-43AA-9ACB-5165A34FBFA1}"/>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5 4" xfId="10585" xr:uid="{98EF58A1-5DDA-4940-85FF-941CC94BACF1}"/>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7 9" xfId="8924" xr:uid="{839163AD-9D00-41D7-A03E-AB632EC156F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1832" xr:uid="{AC9F8075-4A7E-4A34-B27B-6CDC5181EEF7}"/>
    <cellStyle name="Normal 2 4 8 2 2 3" xfId="10174" xr:uid="{BBB5C1D6-706D-43E9-ADA2-DA77E28003FB}"/>
    <cellStyle name="Normal 2 4 8 2 3" xfId="5119" xr:uid="{00000000-0005-0000-0000-000001110000}"/>
    <cellStyle name="Normal 2 4 8 2 3 2" xfId="11003" xr:uid="{496E302B-BCED-4258-B81C-DCB7D9893C40}"/>
    <cellStyle name="Normal 2 4 8 2 4" xfId="9345" xr:uid="{25D6AE05-FD26-4194-A74B-B2EEF960B63F}"/>
    <cellStyle name="Normal 2 4 8 3" xfId="1224" xr:uid="{00000000-0005-0000-0000-000002110000}"/>
    <cellStyle name="Normal 2 4 8 3 2" xfId="3454" xr:uid="{00000000-0005-0000-0000-000003110000}"/>
    <cellStyle name="Normal 2 4 8 3 2 2" xfId="7677" xr:uid="{00000000-0005-0000-0000-000004110000}"/>
    <cellStyle name="Normal 2 4 8 3 2 3" xfId="11416" xr:uid="{BD2B01C1-C53D-43C0-800D-74665E9668CE}"/>
    <cellStyle name="Normal 2 4 8 3 3" xfId="5532" xr:uid="{00000000-0005-0000-0000-000005110000}"/>
    <cellStyle name="Normal 2 4 8 3 4" xfId="9758" xr:uid="{DB82474F-FB28-40AF-86FA-3C0AEA04622C}"/>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4 4" xfId="10587" xr:uid="{1ADA7FB9-DB89-4646-A00C-8C6F7CA359AF}"/>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4 8 8" xfId="8926" xr:uid="{136AB80A-4647-490B-A8D3-FD3BD58BDCD9}"/>
    <cellStyle name="Normal 2 5" xfId="315" xr:uid="{00000000-0005-0000-0000-000011110000}"/>
    <cellStyle name="Normal 2 5 10" xfId="4706" xr:uid="{00000000-0005-0000-0000-000012110000}"/>
    <cellStyle name="Normal 2 5 11" xfId="8927" xr:uid="{266D65F3-10BE-4BD7-A9B1-4179DB7F5ABD}"/>
    <cellStyle name="Normal 2 5 2" xfId="316" xr:uid="{00000000-0005-0000-0000-000013110000}"/>
    <cellStyle name="Normal 2 5 3" xfId="317" xr:uid="{00000000-0005-0000-0000-000014110000}"/>
    <cellStyle name="Normal 2 5 4" xfId="318" xr:uid="{00000000-0005-0000-0000-000015110000}"/>
    <cellStyle name="Normal 2 5 4 10" xfId="8928" xr:uid="{53CDF6A8-F10F-480D-A547-5120A8FA10B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1836" xr:uid="{01D4DFC5-029B-4912-8D34-4206B6464167}"/>
    <cellStyle name="Normal 2 5 4 2 2 2 2 3" xfId="10178" xr:uid="{4DB37E09-3F32-4348-9880-712DB95CBD88}"/>
    <cellStyle name="Normal 2 5 4 2 2 2 3" xfId="5123" xr:uid="{00000000-0005-0000-0000-00001B110000}"/>
    <cellStyle name="Normal 2 5 4 2 2 2 3 2" xfId="11007" xr:uid="{7CB9AA3C-99B5-4F75-ADDB-4CA9F097275D}"/>
    <cellStyle name="Normal 2 5 4 2 2 2 4" xfId="9349" xr:uid="{65216FE9-96A7-4543-A66A-FFDEECA13F4A}"/>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3" xfId="11420" xr:uid="{F12B9725-03BE-4571-B2C4-97E766875B2B}"/>
    <cellStyle name="Normal 2 5 4 2 2 3 3" xfId="5536" xr:uid="{00000000-0005-0000-0000-00001F110000}"/>
    <cellStyle name="Normal 2 5 4 2 2 3 4" xfId="9762" xr:uid="{93423864-0F8E-4E44-B0F9-31D3EC80105D}"/>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4 4" xfId="10591" xr:uid="{3731E32D-3ED3-4A47-AD97-E4DE6FA2F72E}"/>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2 8" xfId="8930" xr:uid="{3AC39BEB-9F8D-4FDE-80F3-DFDAECF14C13}"/>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1835" xr:uid="{D28BF9E1-27BE-46AC-8834-C415D11972E2}"/>
    <cellStyle name="Normal 2 5 4 2 3 2 3" xfId="10177" xr:uid="{D5916D55-AC0C-4BAE-BF96-B7A0DD09463C}"/>
    <cellStyle name="Normal 2 5 4 2 3 3" xfId="5122" xr:uid="{00000000-0005-0000-0000-00002E110000}"/>
    <cellStyle name="Normal 2 5 4 2 3 3 2" xfId="11006" xr:uid="{4DA92441-066A-4F25-9C17-F8019BB98409}"/>
    <cellStyle name="Normal 2 5 4 2 3 4" xfId="9348" xr:uid="{570B8E15-2034-478A-8992-7AD26F103C3D}"/>
    <cellStyle name="Normal 2 5 4 2 4" xfId="1227" xr:uid="{00000000-0005-0000-0000-00002F110000}"/>
    <cellStyle name="Normal 2 5 4 2 4 2" xfId="3457" xr:uid="{00000000-0005-0000-0000-000030110000}"/>
    <cellStyle name="Normal 2 5 4 2 4 2 2" xfId="7680" xr:uid="{00000000-0005-0000-0000-000031110000}"/>
    <cellStyle name="Normal 2 5 4 2 4 2 3" xfId="11419" xr:uid="{B8D2DA7D-7EC6-46CA-AEB6-758B6A581A14}"/>
    <cellStyle name="Normal 2 5 4 2 4 3" xfId="5535" xr:uid="{00000000-0005-0000-0000-000032110000}"/>
    <cellStyle name="Normal 2 5 4 2 4 4" xfId="9761" xr:uid="{B71B5FB6-1E07-4FF3-93DC-0D289443E802}"/>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5 4" xfId="10590" xr:uid="{83CC9FD3-6091-43B8-8973-9473620F2026}"/>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2 9" xfId="8929" xr:uid="{B69D58CB-D650-40C7-835F-77444E3111FD}"/>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1837" xr:uid="{9B99BE14-3C36-4422-91A5-22C00A3C4CC6}"/>
    <cellStyle name="Normal 2 5 4 3 2 2 3" xfId="10179" xr:uid="{36F2D992-A314-414D-911E-73C4E55415C9}"/>
    <cellStyle name="Normal 2 5 4 3 2 3" xfId="5124" xr:uid="{00000000-0005-0000-0000-000042110000}"/>
    <cellStyle name="Normal 2 5 4 3 2 3 2" xfId="11008" xr:uid="{A5B3BFA2-63D7-465D-A4EA-14B862AE0C4D}"/>
    <cellStyle name="Normal 2 5 4 3 2 4" xfId="9350" xr:uid="{62F4E09E-C332-40B3-B901-C46AF6CABEF6}"/>
    <cellStyle name="Normal 2 5 4 3 3" xfId="1229" xr:uid="{00000000-0005-0000-0000-000043110000}"/>
    <cellStyle name="Normal 2 5 4 3 3 2" xfId="3459" xr:uid="{00000000-0005-0000-0000-000044110000}"/>
    <cellStyle name="Normal 2 5 4 3 3 2 2" xfId="7682" xr:uid="{00000000-0005-0000-0000-000045110000}"/>
    <cellStyle name="Normal 2 5 4 3 3 2 3" xfId="11421" xr:uid="{C296A4CC-4ED5-4F28-AC78-5C64CD698AA0}"/>
    <cellStyle name="Normal 2 5 4 3 3 3" xfId="5537" xr:uid="{00000000-0005-0000-0000-000046110000}"/>
    <cellStyle name="Normal 2 5 4 3 3 4" xfId="9763" xr:uid="{C164A987-EAD6-4571-97DB-8E85DEEFCCC1}"/>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4 4" xfId="10592" xr:uid="{0D9E170D-C8D9-4D51-80D9-63785C491B46}"/>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3 8" xfId="8931" xr:uid="{0B0C88A0-E085-4F32-BE4A-AB8BB45DEC47}"/>
    <cellStyle name="Normal 2 5 4 4" xfId="804" xr:uid="{00000000-0005-0000-0000-000052110000}"/>
    <cellStyle name="Normal 2 5 4 4 2" xfId="3043" xr:uid="{00000000-0005-0000-0000-000053110000}"/>
    <cellStyle name="Normal 2 5 4 4 2 2" xfId="7266" xr:uid="{00000000-0005-0000-0000-000054110000}"/>
    <cellStyle name="Normal 2 5 4 4 2 2 2" xfId="11834" xr:uid="{75D111DA-E484-4334-92D4-9E50850C651B}"/>
    <cellStyle name="Normal 2 5 4 4 2 3" xfId="10176" xr:uid="{2FF413C8-E7A8-43EC-BACA-AAC82F834A19}"/>
    <cellStyle name="Normal 2 5 4 4 3" xfId="5121" xr:uid="{00000000-0005-0000-0000-000055110000}"/>
    <cellStyle name="Normal 2 5 4 4 3 2" xfId="11005" xr:uid="{0BEF0E37-B2B6-46E6-AFE2-331A60E9FDEE}"/>
    <cellStyle name="Normal 2 5 4 4 4" xfId="9347" xr:uid="{B1E3193E-FE5E-4B5D-AD4D-A5F8EB85F431}"/>
    <cellStyle name="Normal 2 5 4 5" xfId="1226" xr:uid="{00000000-0005-0000-0000-000056110000}"/>
    <cellStyle name="Normal 2 5 4 5 2" xfId="3456" xr:uid="{00000000-0005-0000-0000-000057110000}"/>
    <cellStyle name="Normal 2 5 4 5 2 2" xfId="7679" xr:uid="{00000000-0005-0000-0000-000058110000}"/>
    <cellStyle name="Normal 2 5 4 5 2 3" xfId="11418" xr:uid="{715F5E34-68B0-448C-B2E2-756FA3212DD6}"/>
    <cellStyle name="Normal 2 5 4 5 3" xfId="5534" xr:uid="{00000000-0005-0000-0000-000059110000}"/>
    <cellStyle name="Normal 2 5 4 5 4" xfId="9760" xr:uid="{9689C733-0376-4AE6-83CA-082DDA74B124}"/>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6 4" xfId="10589" xr:uid="{A0B58E1E-5416-4F77-956A-3B5488945663}"/>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2 2 2" xfId="11833" xr:uid="{7D27C14B-BF89-4EC6-9E89-6365A4AEEA03}"/>
    <cellStyle name="Normal 2 5 5 2 3" xfId="10175" xr:uid="{18231988-59A3-4482-B3F9-DC6C628A98D3}"/>
    <cellStyle name="Normal 2 5 5 3" xfId="5120" xr:uid="{00000000-0005-0000-0000-000068110000}"/>
    <cellStyle name="Normal 2 5 5 3 2" xfId="11004" xr:uid="{A30D0E67-2D56-40C2-AE0F-C12E812589D0}"/>
    <cellStyle name="Normal 2 5 5 4" xfId="9346" xr:uid="{C94EB515-38A5-488D-A9F9-7B4F4D8B3DCD}"/>
    <cellStyle name="Normal 2 5 6" xfId="1225" xr:uid="{00000000-0005-0000-0000-000069110000}"/>
    <cellStyle name="Normal 2 5 6 2" xfId="3455" xr:uid="{00000000-0005-0000-0000-00006A110000}"/>
    <cellStyle name="Normal 2 5 6 2 2" xfId="7678" xr:uid="{00000000-0005-0000-0000-00006B110000}"/>
    <cellStyle name="Normal 2 5 6 2 3" xfId="11417" xr:uid="{DEBFDE0E-0E08-4FC3-8D8D-677A955F4AF6}"/>
    <cellStyle name="Normal 2 5 6 3" xfId="5533" xr:uid="{00000000-0005-0000-0000-00006C110000}"/>
    <cellStyle name="Normal 2 5 6 4" xfId="9759" xr:uid="{E5D56842-9A5E-401F-BAAE-8CF98495E4D1}"/>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7 4" xfId="10588" xr:uid="{8E3CA634-E8E6-48FE-8733-710F2218A2D8}"/>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39" xr:uid="{D14DA347-4C5C-4DC8-8B4B-4FFD565679A7}"/>
    <cellStyle name="Normal 3" xfId="323" xr:uid="{00000000-0005-0000-0000-00007A110000}"/>
    <cellStyle name="Normal 3 2" xfId="324" xr:uid="{00000000-0005-0000-0000-00007B110000}"/>
    <cellStyle name="Normal 3 2 10" xfId="8932" xr:uid="{365626D8-FE3A-4316-A524-36541053565E}"/>
    <cellStyle name="Normal 3 2 2" xfId="325" xr:uid="{00000000-0005-0000-0000-00007C110000}"/>
    <cellStyle name="Normal 3 2 2 2" xfId="810" xr:uid="{00000000-0005-0000-0000-00007D110000}"/>
    <cellStyle name="Normal 3 2 3" xfId="326" xr:uid="{00000000-0005-0000-0000-00007E110000}"/>
    <cellStyle name="Normal 3 2 3 10" xfId="8933" xr:uid="{8676EFAC-2B12-44D5-815B-2074EF672A6D}"/>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1841" xr:uid="{16D54BFF-2FE5-4B19-94B3-07EBD9669AB8}"/>
    <cellStyle name="Normal 3 2 3 2 2 2 2 3" xfId="10183" xr:uid="{7E1E5ACB-633B-40E0-8925-36855054FC7A}"/>
    <cellStyle name="Normal 3 2 3 2 2 2 3" xfId="5128" xr:uid="{00000000-0005-0000-0000-000084110000}"/>
    <cellStyle name="Normal 3 2 3 2 2 2 3 2" xfId="11012" xr:uid="{7F934429-B88D-4DE2-8AA1-8A4825067A41}"/>
    <cellStyle name="Normal 3 2 3 2 2 2 4" xfId="9354" xr:uid="{3E2815C9-45B6-4BE8-8F18-12800834459B}"/>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3" xfId="11425" xr:uid="{15451CCD-597A-4E53-B9BC-0F94EF8A04CB}"/>
    <cellStyle name="Normal 3 2 3 2 2 3 3" xfId="5541" xr:uid="{00000000-0005-0000-0000-000088110000}"/>
    <cellStyle name="Normal 3 2 3 2 2 3 4" xfId="9767" xr:uid="{A4163943-E6EF-44B8-993F-3CC356B7FD97}"/>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4 4" xfId="10596" xr:uid="{60FBB45F-A31B-4CAC-BB4C-31870A621904}"/>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2 8" xfId="8935" xr:uid="{D258725F-5296-47CD-95BB-C6C34337B4B6}"/>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1840" xr:uid="{1FDEF1C2-D0EB-41D0-B5B3-85B47B0366F7}"/>
    <cellStyle name="Normal 3 2 3 2 3 2 3" xfId="10182" xr:uid="{93F503A7-CAAF-4E2E-AF9D-609A66506DBE}"/>
    <cellStyle name="Normal 3 2 3 2 3 3" xfId="5127" xr:uid="{00000000-0005-0000-0000-000097110000}"/>
    <cellStyle name="Normal 3 2 3 2 3 3 2" xfId="11011" xr:uid="{FBD65614-B5E4-4585-BD7D-E0C06DAA09FB}"/>
    <cellStyle name="Normal 3 2 3 2 3 4" xfId="9353" xr:uid="{C0BCC6A2-8BC7-431E-B43D-47057F4CE245}"/>
    <cellStyle name="Normal 3 2 3 2 4" xfId="1232" xr:uid="{00000000-0005-0000-0000-000098110000}"/>
    <cellStyle name="Normal 3 2 3 2 4 2" xfId="3462" xr:uid="{00000000-0005-0000-0000-000099110000}"/>
    <cellStyle name="Normal 3 2 3 2 4 2 2" xfId="7685" xr:uid="{00000000-0005-0000-0000-00009A110000}"/>
    <cellStyle name="Normal 3 2 3 2 4 2 3" xfId="11424" xr:uid="{C5184EDF-6191-43AA-A3C1-E4E7A6AC1B73}"/>
    <cellStyle name="Normal 3 2 3 2 4 3" xfId="5540" xr:uid="{00000000-0005-0000-0000-00009B110000}"/>
    <cellStyle name="Normal 3 2 3 2 4 4" xfId="9766" xr:uid="{C96049E9-69B4-40D4-BA6B-BF9EF770CA5F}"/>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5 4" xfId="10595" xr:uid="{04B41C88-8639-4F4B-B708-99D81872048D}"/>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2 9" xfId="8934" xr:uid="{2FCEED18-0EFF-4C23-A49F-D12A83174D93}"/>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1842" xr:uid="{BB8392C7-B7B6-43FA-8D23-C9575D4FC469}"/>
    <cellStyle name="Normal 3 2 3 3 2 2 3" xfId="10184" xr:uid="{6FCDB32F-7EBD-4C05-B1FB-10E4213A2550}"/>
    <cellStyle name="Normal 3 2 3 3 2 3" xfId="5129" xr:uid="{00000000-0005-0000-0000-0000AB110000}"/>
    <cellStyle name="Normal 3 2 3 3 2 3 2" xfId="11013" xr:uid="{32F31C13-CD88-44E1-8052-1AE7664B39E4}"/>
    <cellStyle name="Normal 3 2 3 3 2 4" xfId="9355" xr:uid="{A5EA2153-6474-4A2F-8629-5F8D7448822F}"/>
    <cellStyle name="Normal 3 2 3 3 3" xfId="1234" xr:uid="{00000000-0005-0000-0000-0000AC110000}"/>
    <cellStyle name="Normal 3 2 3 3 3 2" xfId="3464" xr:uid="{00000000-0005-0000-0000-0000AD110000}"/>
    <cellStyle name="Normal 3 2 3 3 3 2 2" xfId="7687" xr:uid="{00000000-0005-0000-0000-0000AE110000}"/>
    <cellStyle name="Normal 3 2 3 3 3 2 3" xfId="11426" xr:uid="{B053A52D-0606-4DE8-8E08-8FF651B37A7D}"/>
    <cellStyle name="Normal 3 2 3 3 3 3" xfId="5542" xr:uid="{00000000-0005-0000-0000-0000AF110000}"/>
    <cellStyle name="Normal 3 2 3 3 3 4" xfId="9768" xr:uid="{5C1933B7-B394-43D9-A90E-9910E9F8B5A2}"/>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4 4" xfId="10597" xr:uid="{CB325F3B-128D-48C5-8874-CA05271FAD2F}"/>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3 8" xfId="8936" xr:uid="{8D27F538-81F6-42AA-8B0A-EF35287249AA}"/>
    <cellStyle name="Normal 3 2 3 4" xfId="811" xr:uid="{00000000-0005-0000-0000-0000BB110000}"/>
    <cellStyle name="Normal 3 2 3 4 2" xfId="3048" xr:uid="{00000000-0005-0000-0000-0000BC110000}"/>
    <cellStyle name="Normal 3 2 3 4 2 2" xfId="7271" xr:uid="{00000000-0005-0000-0000-0000BD110000}"/>
    <cellStyle name="Normal 3 2 3 4 2 2 2" xfId="11839" xr:uid="{014751D0-F7B2-4098-937C-155684847934}"/>
    <cellStyle name="Normal 3 2 3 4 2 3" xfId="10181" xr:uid="{C9A29E99-1571-4F67-BB0C-395D2B9C5AF3}"/>
    <cellStyle name="Normal 3 2 3 4 3" xfId="5126" xr:uid="{00000000-0005-0000-0000-0000BE110000}"/>
    <cellStyle name="Normal 3 2 3 4 3 2" xfId="11010" xr:uid="{AF1328A8-1B1E-415C-A3F5-4ADE1D0986C3}"/>
    <cellStyle name="Normal 3 2 3 4 4" xfId="9352" xr:uid="{D1C47B2E-3731-4D0B-AFF6-55FE0E3F1070}"/>
    <cellStyle name="Normal 3 2 3 5" xfId="1231" xr:uid="{00000000-0005-0000-0000-0000BF110000}"/>
    <cellStyle name="Normal 3 2 3 5 2" xfId="3461" xr:uid="{00000000-0005-0000-0000-0000C0110000}"/>
    <cellStyle name="Normal 3 2 3 5 2 2" xfId="7684" xr:uid="{00000000-0005-0000-0000-0000C1110000}"/>
    <cellStyle name="Normal 3 2 3 5 2 3" xfId="11423" xr:uid="{73370762-6AC7-4DB2-BB64-1748F65C4AA1}"/>
    <cellStyle name="Normal 3 2 3 5 3" xfId="5539" xr:uid="{00000000-0005-0000-0000-0000C2110000}"/>
    <cellStyle name="Normal 3 2 3 5 4" xfId="9765" xr:uid="{CFF1079B-AFA8-4763-B96E-A4B4DC80E2EB}"/>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6 4" xfId="10594" xr:uid="{F1AD7D87-4A42-4525-AE8E-7CC3594C40BA}"/>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2 2 2" xfId="11838" xr:uid="{935E47AB-9229-498D-8693-2B35078ABA1B}"/>
    <cellStyle name="Normal 3 2 4 2 3" xfId="10180" xr:uid="{129A0DE4-BEE8-44D2-96AD-8CF6072DC949}"/>
    <cellStyle name="Normal 3 2 4 3" xfId="5125" xr:uid="{00000000-0005-0000-0000-0000D1110000}"/>
    <cellStyle name="Normal 3 2 4 3 2" xfId="11009" xr:uid="{DC0B44F0-E092-4D18-80ED-721E04A5096D}"/>
    <cellStyle name="Normal 3 2 4 4" xfId="9351" xr:uid="{3130D2E7-2224-461C-BA40-12DFFF2347CD}"/>
    <cellStyle name="Normal 3 2 5" xfId="1230" xr:uid="{00000000-0005-0000-0000-0000D2110000}"/>
    <cellStyle name="Normal 3 2 5 2" xfId="3460" xr:uid="{00000000-0005-0000-0000-0000D3110000}"/>
    <cellStyle name="Normal 3 2 5 2 2" xfId="7683" xr:uid="{00000000-0005-0000-0000-0000D4110000}"/>
    <cellStyle name="Normal 3 2 5 2 3" xfId="11422" xr:uid="{A0CE2217-FB34-4B2F-BF75-F97ACF3DB0CD}"/>
    <cellStyle name="Normal 3 2 5 3" xfId="5538" xr:uid="{00000000-0005-0000-0000-0000D5110000}"/>
    <cellStyle name="Normal 3 2 5 4" xfId="9764" xr:uid="{F84635B1-48A7-4D3D-AA6E-EA49A07AC59B}"/>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6 4" xfId="10593" xr:uid="{8F2C456B-CB58-4923-9D55-9324476CC27F}"/>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13" xfId="8937" xr:uid="{D8D79EF5-6708-4896-9D3D-0A15C3D3F1E1}"/>
    <cellStyle name="Normal 4 2 2 2" xfId="338" xr:uid="{00000000-0005-0000-0000-0000F1110000}"/>
    <cellStyle name="Normal 4 2 2 3" xfId="339" xr:uid="{00000000-0005-0000-0000-0000F2110000}"/>
    <cellStyle name="Normal 4 2 2 3 10" xfId="4718" xr:uid="{00000000-0005-0000-0000-0000F3110000}"/>
    <cellStyle name="Normal 4 2 2 3 11" xfId="8938" xr:uid="{D8B6B10E-1F5C-44D9-A04D-E586D4571BB8}"/>
    <cellStyle name="Normal 4 2 2 3 2" xfId="340" xr:uid="{00000000-0005-0000-0000-0000F4110000}"/>
    <cellStyle name="Normal 4 2 2 3 2 10" xfId="8939" xr:uid="{83D31F0F-D411-4CDF-81F7-C546C94267C6}"/>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1847" xr:uid="{FC4FFEEA-D570-4D68-AE90-C4D8D3490B9B}"/>
    <cellStyle name="Normal 4 2 2 3 2 2 2 2 2 3" xfId="10189" xr:uid="{FABB1206-709D-46A6-B20D-59EAC55C1F7B}"/>
    <cellStyle name="Normal 4 2 2 3 2 2 2 2 3" xfId="5134" xr:uid="{00000000-0005-0000-0000-0000FA110000}"/>
    <cellStyle name="Normal 4 2 2 3 2 2 2 2 3 2" xfId="11018" xr:uid="{F360B5D0-949E-4318-A886-AE473F4DA136}"/>
    <cellStyle name="Normal 4 2 2 3 2 2 2 2 4" xfId="9360" xr:uid="{D8EEAB53-31AC-4DEA-885C-41EF9252EE2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3" xfId="11431" xr:uid="{61B1CA8C-8CE6-4DC4-BA9C-15F08CE385F9}"/>
    <cellStyle name="Normal 4 2 2 3 2 2 2 3 3" xfId="5547" xr:uid="{00000000-0005-0000-0000-0000FE110000}"/>
    <cellStyle name="Normal 4 2 2 3 2 2 2 3 4" xfId="9773" xr:uid="{2314BE4B-E26E-4984-AFAD-A5DAB3B912B7}"/>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4 4" xfId="10602" xr:uid="{B658B925-E613-4206-B6A5-516D6B1AC956}"/>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2 8" xfId="8941" xr:uid="{EB262124-72FE-41D2-9B52-89B86C6FC5C2}"/>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1846" xr:uid="{7E0DEE4D-DC71-4225-A3E6-91109B881C14}"/>
    <cellStyle name="Normal 4 2 2 3 2 2 3 2 3" xfId="10188" xr:uid="{42322872-B713-4796-AD59-47465D778086}"/>
    <cellStyle name="Normal 4 2 2 3 2 2 3 3" xfId="5133" xr:uid="{00000000-0005-0000-0000-00000D120000}"/>
    <cellStyle name="Normal 4 2 2 3 2 2 3 3 2" xfId="11017" xr:uid="{2F3D62CB-2E9F-4992-A25E-F391EFFCD090}"/>
    <cellStyle name="Normal 4 2 2 3 2 2 3 4" xfId="9359" xr:uid="{A672F38D-2BF1-4A81-AC35-086D4EE7A028}"/>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3" xfId="11430" xr:uid="{698BDD9F-3A74-403C-898B-48EABE3E22C0}"/>
    <cellStyle name="Normal 4 2 2 3 2 2 4 3" xfId="5546" xr:uid="{00000000-0005-0000-0000-000011120000}"/>
    <cellStyle name="Normal 4 2 2 3 2 2 4 4" xfId="9772" xr:uid="{9F40EBF0-2186-47A8-B0F5-C8B7452A217E}"/>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5 4" xfId="10601" xr:uid="{7142D5F3-B09B-425B-933B-9EC3D3F7B52B}"/>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2 9" xfId="8940" xr:uid="{F2CA86F4-B178-4ADB-AB66-95766A7949A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1848" xr:uid="{D6469C7A-ED5C-4BD8-BE2E-7EFC26639449}"/>
    <cellStyle name="Normal 4 2 2 3 2 3 2 2 3" xfId="10190" xr:uid="{65C1DE11-2823-4CC0-9256-5539565E85AF}"/>
    <cellStyle name="Normal 4 2 2 3 2 3 2 3" xfId="5135" xr:uid="{00000000-0005-0000-0000-000021120000}"/>
    <cellStyle name="Normal 4 2 2 3 2 3 2 3 2" xfId="11019" xr:uid="{1D18D58A-6804-4CB1-B2DF-DDFEDF1C9CB4}"/>
    <cellStyle name="Normal 4 2 2 3 2 3 2 4" xfId="9361" xr:uid="{B118E96C-C993-4732-937C-2762C2F39124}"/>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3" xfId="11432" xr:uid="{57E318C1-24D6-4EEC-9456-F68F8BF01008}"/>
    <cellStyle name="Normal 4 2 2 3 2 3 3 3" xfId="5548" xr:uid="{00000000-0005-0000-0000-000025120000}"/>
    <cellStyle name="Normal 4 2 2 3 2 3 3 4" xfId="9774" xr:uid="{7D91A9C0-6A6B-47BC-89DF-C6BFED433AB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4 4" xfId="10603" xr:uid="{E49327DB-341A-4077-B31F-D81CE8E791D8}"/>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3 8" xfId="8942" xr:uid="{35C1C3A4-3CD2-490C-BC79-A834926248E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1845" xr:uid="{505152D5-22A8-4C2A-AE7D-E839D6D90F59}"/>
    <cellStyle name="Normal 4 2 2 3 2 4 2 3" xfId="10187" xr:uid="{D06875D9-ED99-4F6F-9520-CAE6BF2B9F96}"/>
    <cellStyle name="Normal 4 2 2 3 2 4 3" xfId="5132" xr:uid="{00000000-0005-0000-0000-000034120000}"/>
    <cellStyle name="Normal 4 2 2 3 2 4 3 2" xfId="11016" xr:uid="{40CEB384-91C8-40D0-9F11-2BE74B37FCE7}"/>
    <cellStyle name="Normal 4 2 2 3 2 4 4" xfId="9358" xr:uid="{F7A99606-1673-46D1-9727-E5D7A8A90A7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3" xfId="11429" xr:uid="{C83DE83A-C06A-4231-BC74-2C458B2EEEEA}"/>
    <cellStyle name="Normal 4 2 2 3 2 5 3" xfId="5545" xr:uid="{00000000-0005-0000-0000-000038120000}"/>
    <cellStyle name="Normal 4 2 2 3 2 5 4" xfId="9771" xr:uid="{EFE5B29A-2ED8-4AA0-9504-32FA7BDCBB94}"/>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6 4" xfId="10600" xr:uid="{EB62120E-2676-4E07-A068-3BF0531FB03F}"/>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1850" xr:uid="{C316AC0F-D608-4138-A47E-AF19187726D1}"/>
    <cellStyle name="Normal 4 2 2 3 3 2 2 2 3" xfId="10192" xr:uid="{8F706434-B6EF-4054-8080-C7FCAF04F108}"/>
    <cellStyle name="Normal 4 2 2 3 3 2 2 3" xfId="5137" xr:uid="{00000000-0005-0000-0000-000049120000}"/>
    <cellStyle name="Normal 4 2 2 3 3 2 2 3 2" xfId="11021" xr:uid="{604F8408-33B5-4FFF-81DB-65CD070BFF2D}"/>
    <cellStyle name="Normal 4 2 2 3 3 2 2 4" xfId="9363" xr:uid="{3FF3BE74-9CCD-4FAF-A967-3ADAA763ED78}"/>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3" xfId="11434" xr:uid="{83EB501E-47A9-44A8-9ED8-CCB48B954706}"/>
    <cellStyle name="Normal 4 2 2 3 3 2 3 3" xfId="5550" xr:uid="{00000000-0005-0000-0000-00004D120000}"/>
    <cellStyle name="Normal 4 2 2 3 3 2 3 4" xfId="9776" xr:uid="{ED234007-4EE3-4F10-872F-091C534A72DD}"/>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4 4" xfId="10605" xr:uid="{113BA238-78FC-438B-864C-CF0F69573ABF}"/>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2 8" xfId="8944" xr:uid="{56B9EDC0-BA01-4C23-84F5-372B1D7D9BB5}"/>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1849" xr:uid="{CDEE90F8-DFEC-428B-B4B0-C244F9604C08}"/>
    <cellStyle name="Normal 4 2 2 3 3 3 2 3" xfId="10191" xr:uid="{C1EA5523-1816-44C0-97B8-DD149E353BD4}"/>
    <cellStyle name="Normal 4 2 2 3 3 3 3" xfId="5136" xr:uid="{00000000-0005-0000-0000-00005C120000}"/>
    <cellStyle name="Normal 4 2 2 3 3 3 3 2" xfId="11020" xr:uid="{3BAB575A-8972-422E-9649-02493DA34F7D}"/>
    <cellStyle name="Normal 4 2 2 3 3 3 4" xfId="9362" xr:uid="{0F57D9C6-35D8-474B-8352-A963E74357E5}"/>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3" xfId="11433" xr:uid="{6A81E612-E0B0-4F11-AB3A-F4E198487914}"/>
    <cellStyle name="Normal 4 2 2 3 3 4 3" xfId="5549" xr:uid="{00000000-0005-0000-0000-000060120000}"/>
    <cellStyle name="Normal 4 2 2 3 3 4 4" xfId="9775" xr:uid="{9C1E9423-A424-4725-B083-F560C623AE2D}"/>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5 4" xfId="10604" xr:uid="{DD5D8C2C-EC15-4362-9267-BCCD32203186}"/>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3 9" xfId="8943" xr:uid="{860C37A5-1C73-4769-B5D7-AB0DC990C08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1851" xr:uid="{1A53222F-4C2E-4B2D-8C01-4E29F30A1B45}"/>
    <cellStyle name="Normal 4 2 2 3 4 2 2 3" xfId="10193" xr:uid="{C98456A3-6152-43B0-9905-DF2AF7587925}"/>
    <cellStyle name="Normal 4 2 2 3 4 2 3" xfId="5138" xr:uid="{00000000-0005-0000-0000-000070120000}"/>
    <cellStyle name="Normal 4 2 2 3 4 2 3 2" xfId="11022" xr:uid="{0506BB98-D292-431D-AFAF-6662657617CA}"/>
    <cellStyle name="Normal 4 2 2 3 4 2 4" xfId="9364" xr:uid="{3EBEAFA8-60C5-4E7A-8B68-8BF601BCD35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3" xfId="11435" xr:uid="{E75B256A-2E1E-4EEE-92F4-071670DFA657}"/>
    <cellStyle name="Normal 4 2 2 3 4 3 3" xfId="5551" xr:uid="{00000000-0005-0000-0000-000074120000}"/>
    <cellStyle name="Normal 4 2 2 3 4 3 4" xfId="9777" xr:uid="{14DEFD94-F53A-41D4-A304-47A74906B9DE}"/>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4 4" xfId="10606" xr:uid="{A47D60C2-D51F-4971-A625-911553B58A47}"/>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4 8" xfId="8945" xr:uid="{49F69894-B582-467D-AB97-56C868578974}"/>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1844" xr:uid="{4E3DA7E6-2709-41FA-9408-BA01099B1B60}"/>
    <cellStyle name="Normal 4 2 2 3 5 2 3" xfId="10186" xr:uid="{F940064C-23D2-4105-9FD0-048383862125}"/>
    <cellStyle name="Normal 4 2 2 3 5 3" xfId="5131" xr:uid="{00000000-0005-0000-0000-000083120000}"/>
    <cellStyle name="Normal 4 2 2 3 5 3 2" xfId="11015" xr:uid="{20E795C0-3855-4DFF-AA43-42E194173412}"/>
    <cellStyle name="Normal 4 2 2 3 5 4" xfId="9357" xr:uid="{936203E3-C5BA-4132-A595-7F50588D22F4}"/>
    <cellStyle name="Normal 4 2 2 3 6" xfId="1236" xr:uid="{00000000-0005-0000-0000-000084120000}"/>
    <cellStyle name="Normal 4 2 2 3 6 2" xfId="3466" xr:uid="{00000000-0005-0000-0000-000085120000}"/>
    <cellStyle name="Normal 4 2 2 3 6 2 2" xfId="7689" xr:uid="{00000000-0005-0000-0000-000086120000}"/>
    <cellStyle name="Normal 4 2 2 3 6 2 3" xfId="11428" xr:uid="{EFC5FEF8-EB94-4841-9562-3F2221B2F8BE}"/>
    <cellStyle name="Normal 4 2 2 3 6 3" xfId="5544" xr:uid="{00000000-0005-0000-0000-000087120000}"/>
    <cellStyle name="Normal 4 2 2 3 6 4" xfId="9770" xr:uid="{4E6738F5-1C9A-499F-9793-9A640A8FFB8A}"/>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7 4" xfId="10599" xr:uid="{6DF6C00A-05EC-4665-A3A3-A12DE50B686F}"/>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10" xfId="8946" xr:uid="{AFCF2E22-E315-4959-9329-199E080D88F2}"/>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1854" xr:uid="{47E30051-A65C-4E21-A08B-B929D0E599A6}"/>
    <cellStyle name="Normal 4 2 2 4 2 2 2 2 3" xfId="10196" xr:uid="{314F2A0E-35AE-4635-896A-AF8E553D5D3A}"/>
    <cellStyle name="Normal 4 2 2 4 2 2 2 3" xfId="5141" xr:uid="{00000000-0005-0000-0000-000098120000}"/>
    <cellStyle name="Normal 4 2 2 4 2 2 2 3 2" xfId="11025" xr:uid="{C714D432-F8A6-4F40-8B8F-308AB5BD74B0}"/>
    <cellStyle name="Normal 4 2 2 4 2 2 2 4" xfId="9367" xr:uid="{8D358D12-800C-4E2D-8367-C92DC3399301}"/>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3" xfId="11438" xr:uid="{AD2CEFF1-A29E-4D7E-8439-2A32353372E3}"/>
    <cellStyle name="Normal 4 2 2 4 2 2 3 3" xfId="5554" xr:uid="{00000000-0005-0000-0000-00009C120000}"/>
    <cellStyle name="Normal 4 2 2 4 2 2 3 4" xfId="9780" xr:uid="{799C257D-95D9-418E-9C25-A2C062BF6B1E}"/>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4 4" xfId="10609" xr:uid="{57ED7E46-6ADB-4C7A-8E75-77B20B8F012A}"/>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2 8" xfId="8948" xr:uid="{337CA876-0FAB-4049-9BC3-5AC42F4CF5BF}"/>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1853" xr:uid="{B8973302-0E5F-4B4B-9D49-CD8E4365D229}"/>
    <cellStyle name="Normal 4 2 2 4 2 3 2 3" xfId="10195" xr:uid="{CC507A16-1337-45F9-B540-5D5C4F895F79}"/>
    <cellStyle name="Normal 4 2 2 4 2 3 3" xfId="5140" xr:uid="{00000000-0005-0000-0000-0000AB120000}"/>
    <cellStyle name="Normal 4 2 2 4 2 3 3 2" xfId="11024" xr:uid="{DA00CEE3-6C2C-4B7C-A20B-C096EC3936FE}"/>
    <cellStyle name="Normal 4 2 2 4 2 3 4" xfId="9366" xr:uid="{AF88024D-05F8-431E-B4EF-3567BA328B35}"/>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3" xfId="11437" xr:uid="{37B5C3DF-766F-4057-8FCB-CB0CC149E623}"/>
    <cellStyle name="Normal 4 2 2 4 2 4 3" xfId="5553" xr:uid="{00000000-0005-0000-0000-0000AF120000}"/>
    <cellStyle name="Normal 4 2 2 4 2 4 4" xfId="9779" xr:uid="{2D92F8F4-4E40-4E0C-9605-9015E973FFB2}"/>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5 4" xfId="10608" xr:uid="{7A9CC7CA-8163-423D-93CF-4721812664C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2 9" xfId="8947" xr:uid="{39FE221A-ADF3-4E01-8E82-C15EC197D6E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1855" xr:uid="{A70FFD44-C36A-47D7-9242-E0DCA2811A93}"/>
    <cellStyle name="Normal 4 2 2 4 3 2 2 3" xfId="10197" xr:uid="{842251B2-B004-4C4A-9B7E-4BF07F6EBC4F}"/>
    <cellStyle name="Normal 4 2 2 4 3 2 3" xfId="5142" xr:uid="{00000000-0005-0000-0000-0000BF120000}"/>
    <cellStyle name="Normal 4 2 2 4 3 2 3 2" xfId="11026" xr:uid="{5C81DF05-EB1A-4526-9178-623C22C88144}"/>
    <cellStyle name="Normal 4 2 2 4 3 2 4" xfId="9368" xr:uid="{ACA29351-1D62-4CE6-945D-1E6E10DE5BD5}"/>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3" xfId="11439" xr:uid="{8DC6F713-859D-4457-B8F7-7B386A1F679B}"/>
    <cellStyle name="Normal 4 2 2 4 3 3 3" xfId="5555" xr:uid="{00000000-0005-0000-0000-0000C3120000}"/>
    <cellStyle name="Normal 4 2 2 4 3 3 4" xfId="9781" xr:uid="{7854A52E-1428-4994-B77E-60DD7446BAC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4 4" xfId="10610" xr:uid="{75E7EAFD-CC0A-417D-8E86-9A9009E7FEE8}"/>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3 8" xfId="8949" xr:uid="{3C227BEE-CA6C-433C-82E5-9ECC2CE5C09C}"/>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1852" xr:uid="{E426B90E-34FA-4288-ACBF-E17564D0FBCB}"/>
    <cellStyle name="Normal 4 2 2 4 4 2 3" xfId="10194" xr:uid="{752E57CA-C992-4B8D-9FAE-ED1091986185}"/>
    <cellStyle name="Normal 4 2 2 4 4 3" xfId="5139" xr:uid="{00000000-0005-0000-0000-0000D2120000}"/>
    <cellStyle name="Normal 4 2 2 4 4 3 2" xfId="11023" xr:uid="{308BF516-5967-4BF4-A6A3-8F1F428FBB36}"/>
    <cellStyle name="Normal 4 2 2 4 4 4" xfId="9365" xr:uid="{35C0E02B-071C-469F-BE34-193611DB559E}"/>
    <cellStyle name="Normal 4 2 2 4 5" xfId="1244" xr:uid="{00000000-0005-0000-0000-0000D3120000}"/>
    <cellStyle name="Normal 4 2 2 4 5 2" xfId="3474" xr:uid="{00000000-0005-0000-0000-0000D4120000}"/>
    <cellStyle name="Normal 4 2 2 4 5 2 2" xfId="7697" xr:uid="{00000000-0005-0000-0000-0000D5120000}"/>
    <cellStyle name="Normal 4 2 2 4 5 2 3" xfId="11436" xr:uid="{88673E02-5129-49A0-A479-05280F2F284E}"/>
    <cellStyle name="Normal 4 2 2 4 5 3" xfId="5552" xr:uid="{00000000-0005-0000-0000-0000D6120000}"/>
    <cellStyle name="Normal 4 2 2 4 5 4" xfId="9778" xr:uid="{0F174BB6-857D-42D4-8A1C-D90879682C66}"/>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6 4" xfId="10607" xr:uid="{E44CC88F-A315-461D-8555-C8533FB9C704}"/>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1857" xr:uid="{11031056-3FB9-47C8-A5BC-07C33FF767B4}"/>
    <cellStyle name="Normal 4 2 2 5 2 2 2 3" xfId="10199" xr:uid="{E51BEF76-C4BB-465F-9B60-D95D10598899}"/>
    <cellStyle name="Normal 4 2 2 5 2 2 3" xfId="5144" xr:uid="{00000000-0005-0000-0000-0000E7120000}"/>
    <cellStyle name="Normal 4 2 2 5 2 2 3 2" xfId="11028" xr:uid="{369BDB55-D336-4C4C-8B76-242B93F4DDAA}"/>
    <cellStyle name="Normal 4 2 2 5 2 2 4" xfId="9370" xr:uid="{014E8E0A-6874-480F-B943-0E0D79E8C135}"/>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3" xfId="11441" xr:uid="{7106FA29-D547-470E-8594-BD3FCA633476}"/>
    <cellStyle name="Normal 4 2 2 5 2 3 3" xfId="5557" xr:uid="{00000000-0005-0000-0000-0000EB120000}"/>
    <cellStyle name="Normal 4 2 2 5 2 3 4" xfId="9783" xr:uid="{1F03B910-E675-44B0-BAA3-1513D211A44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4 4" xfId="10612" xr:uid="{764F008D-5629-4D99-BDB7-6FE0E64C946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2 8" xfId="8951" xr:uid="{48388849-A74B-45C5-916D-CB3F5AD1FAFD}"/>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1856" xr:uid="{00FB7769-41AE-4F7F-AD93-F919C40533F6}"/>
    <cellStyle name="Normal 4 2 2 5 3 2 3" xfId="10198" xr:uid="{27A76D38-A8BF-486A-AFB7-DD6AA7BD161D}"/>
    <cellStyle name="Normal 4 2 2 5 3 3" xfId="5143" xr:uid="{00000000-0005-0000-0000-0000FA120000}"/>
    <cellStyle name="Normal 4 2 2 5 3 3 2" xfId="11027" xr:uid="{22582DFA-94B4-4F32-AEC0-B268A0B7301B}"/>
    <cellStyle name="Normal 4 2 2 5 3 4" xfId="9369" xr:uid="{243D3955-60B1-4393-A3CE-BF8772B90C1B}"/>
    <cellStyle name="Normal 4 2 2 5 4" xfId="1248" xr:uid="{00000000-0005-0000-0000-0000FB120000}"/>
    <cellStyle name="Normal 4 2 2 5 4 2" xfId="3478" xr:uid="{00000000-0005-0000-0000-0000FC120000}"/>
    <cellStyle name="Normal 4 2 2 5 4 2 2" xfId="7701" xr:uid="{00000000-0005-0000-0000-0000FD120000}"/>
    <cellStyle name="Normal 4 2 2 5 4 2 3" xfId="11440" xr:uid="{7453DA74-6E51-476A-8314-F2621C0087AA}"/>
    <cellStyle name="Normal 4 2 2 5 4 3" xfId="5556" xr:uid="{00000000-0005-0000-0000-0000FE120000}"/>
    <cellStyle name="Normal 4 2 2 5 4 4" xfId="9782" xr:uid="{0156D01E-DDEB-4C57-BC00-F654096D1D83}"/>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5 4" xfId="10611" xr:uid="{1D361CC2-BCDC-4DD0-BF96-8EFFB8A29E2E}"/>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5 9" xfId="8950" xr:uid="{31C09F3B-A9E8-4EB9-AF5E-77F836CB84C9}"/>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1858" xr:uid="{6621A745-9469-4158-9FA2-C4D0F2C3B3DB}"/>
    <cellStyle name="Normal 4 2 2 6 2 2 3" xfId="10200" xr:uid="{9A1BE2E2-0DA0-4E8D-969F-F107125F2EB2}"/>
    <cellStyle name="Normal 4 2 2 6 2 3" xfId="5145" xr:uid="{00000000-0005-0000-0000-00000E130000}"/>
    <cellStyle name="Normal 4 2 2 6 2 3 2" xfId="11029" xr:uid="{39DF1C09-ADCC-40E7-B9BB-CEE3D13E3CA8}"/>
    <cellStyle name="Normal 4 2 2 6 2 4" xfId="9371" xr:uid="{0DFA4133-D5B6-43AC-91F8-DF9AC52990E7}"/>
    <cellStyle name="Normal 4 2 2 6 3" xfId="1250" xr:uid="{00000000-0005-0000-0000-00000F130000}"/>
    <cellStyle name="Normal 4 2 2 6 3 2" xfId="3480" xr:uid="{00000000-0005-0000-0000-000010130000}"/>
    <cellStyle name="Normal 4 2 2 6 3 2 2" xfId="7703" xr:uid="{00000000-0005-0000-0000-000011130000}"/>
    <cellStyle name="Normal 4 2 2 6 3 2 3" xfId="11442" xr:uid="{F3BC03FE-547B-43B5-8F2E-E30FEFEAF1CB}"/>
    <cellStyle name="Normal 4 2 2 6 3 3" xfId="5558" xr:uid="{00000000-0005-0000-0000-000012130000}"/>
    <cellStyle name="Normal 4 2 2 6 3 4" xfId="9784" xr:uid="{539F1621-86EF-48A0-8E25-FE5A7BE39B6C}"/>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4 4" xfId="10613" xr:uid="{26DB37D4-B894-4C00-8A0B-EF1DFFC345A2}"/>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6 8" xfId="8952" xr:uid="{592C5296-CF1B-4920-B505-67CC48528FB3}"/>
    <cellStyle name="Normal 4 2 2 7" xfId="815" xr:uid="{00000000-0005-0000-0000-00001E130000}"/>
    <cellStyle name="Normal 4 2 2 7 2" xfId="3052" xr:uid="{00000000-0005-0000-0000-00001F130000}"/>
    <cellStyle name="Normal 4 2 2 7 2 2" xfId="7275" xr:uid="{00000000-0005-0000-0000-000020130000}"/>
    <cellStyle name="Normal 4 2 2 7 2 2 2" xfId="11843" xr:uid="{07C691FA-DD19-4A68-B747-58C87A7FBDB3}"/>
    <cellStyle name="Normal 4 2 2 7 2 3" xfId="10185" xr:uid="{EE113916-24DF-4AEC-8203-29D26253B12F}"/>
    <cellStyle name="Normal 4 2 2 7 3" xfId="5130" xr:uid="{00000000-0005-0000-0000-000021130000}"/>
    <cellStyle name="Normal 4 2 2 7 3 2" xfId="11014" xr:uid="{82E9FE84-DC9A-47D2-A773-1FFE24AA68EC}"/>
    <cellStyle name="Normal 4 2 2 7 4" xfId="9356" xr:uid="{8F9E0921-9786-4487-929B-B9EF4E4D4F5D}"/>
    <cellStyle name="Normal 4 2 2 8" xfId="1235" xr:uid="{00000000-0005-0000-0000-000022130000}"/>
    <cellStyle name="Normal 4 2 2 8 2" xfId="3465" xr:uid="{00000000-0005-0000-0000-000023130000}"/>
    <cellStyle name="Normal 4 2 2 8 2 2" xfId="7688" xr:uid="{00000000-0005-0000-0000-000024130000}"/>
    <cellStyle name="Normal 4 2 2 8 2 3" xfId="11427" xr:uid="{B3645D45-FE82-47A6-93EA-DBECDE27051F}"/>
    <cellStyle name="Normal 4 2 2 8 3" xfId="5543" xr:uid="{00000000-0005-0000-0000-000025130000}"/>
    <cellStyle name="Normal 4 2 2 8 4" xfId="9769" xr:uid="{BBE16EFA-AB17-4694-8405-4EDA741F61C4}"/>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2 9 4" xfId="10598" xr:uid="{D53E1CAA-3FEA-4EF0-B247-3E8D02C3D211}"/>
    <cellStyle name="Normal 4 2 3" xfId="354" xr:uid="{00000000-0005-0000-0000-00002A130000}"/>
    <cellStyle name="Normal 4 2 4" xfId="355" xr:uid="{00000000-0005-0000-0000-00002B130000}"/>
    <cellStyle name="Normal 4 2 4 10" xfId="4733" xr:uid="{00000000-0005-0000-0000-00002C130000}"/>
    <cellStyle name="Normal 4 2 4 11" xfId="8953" xr:uid="{836B0BAC-4AD0-4C65-B854-A11EB3661659}"/>
    <cellStyle name="Normal 4 2 4 2" xfId="356" xr:uid="{00000000-0005-0000-0000-00002D130000}"/>
    <cellStyle name="Normal 4 2 4 2 10" xfId="8954" xr:uid="{98635FFD-85C5-4A87-A469-3546EA44C141}"/>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1862" xr:uid="{0D99BB0A-E056-48E0-B5DB-BFF01B289CCB}"/>
    <cellStyle name="Normal 4 2 4 2 2 2 2 2 3" xfId="10204" xr:uid="{F4C70D92-0486-4CE7-A564-EE99C33ED06D}"/>
    <cellStyle name="Normal 4 2 4 2 2 2 2 3" xfId="5149" xr:uid="{00000000-0005-0000-0000-000033130000}"/>
    <cellStyle name="Normal 4 2 4 2 2 2 2 3 2" xfId="11033" xr:uid="{8DE54D82-B277-4669-AE18-8E4D4151CC94}"/>
    <cellStyle name="Normal 4 2 4 2 2 2 2 4" xfId="9375" xr:uid="{E112BAB4-18A7-4239-8E70-79501DF3AA9B}"/>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3" xfId="11446" xr:uid="{F3EF8012-96B8-4419-9808-529257BCE15A}"/>
    <cellStyle name="Normal 4 2 4 2 2 2 3 3" xfId="5562" xr:uid="{00000000-0005-0000-0000-000037130000}"/>
    <cellStyle name="Normal 4 2 4 2 2 2 3 4" xfId="9788" xr:uid="{E568F01C-B119-460C-9900-4692607ADCD8}"/>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4 4" xfId="10617" xr:uid="{24CAD2FE-5A3B-4AAE-891F-336AD165C0F6}"/>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2 8" xfId="8956" xr:uid="{B04246D9-FCF8-4E6C-9616-A2C5DC2ADAB5}"/>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1861" xr:uid="{A85C59D5-8BDE-4D6D-9C98-B7D4DF594972}"/>
    <cellStyle name="Normal 4 2 4 2 2 3 2 3" xfId="10203" xr:uid="{BF26FBF1-0A2D-4CCB-A5A4-3A1A92BC0A88}"/>
    <cellStyle name="Normal 4 2 4 2 2 3 3" xfId="5148" xr:uid="{00000000-0005-0000-0000-000046130000}"/>
    <cellStyle name="Normal 4 2 4 2 2 3 3 2" xfId="11032" xr:uid="{E30FAF2A-40DF-4EE9-A5A8-34B0D2A57731}"/>
    <cellStyle name="Normal 4 2 4 2 2 3 4" xfId="9374" xr:uid="{79C38C37-52D1-43E7-8E8C-998D814819CA}"/>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3" xfId="11445" xr:uid="{F9BAD8AA-CD5F-4EC0-9B61-0DD14249ED00}"/>
    <cellStyle name="Normal 4 2 4 2 2 4 3" xfId="5561" xr:uid="{00000000-0005-0000-0000-00004A130000}"/>
    <cellStyle name="Normal 4 2 4 2 2 4 4" xfId="9787" xr:uid="{96F5F604-DE48-4915-92BB-0040E287D8B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5 4" xfId="10616" xr:uid="{79F5539E-FE59-4DAB-B8BE-EAF92F3AF02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2 9" xfId="8955" xr:uid="{C42274DD-F735-4290-96E8-13174C736F0D}"/>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1863" xr:uid="{9B2812D8-349F-48B2-AFDD-E74A0B2D09CA}"/>
    <cellStyle name="Normal 4 2 4 2 3 2 2 3" xfId="10205" xr:uid="{C049EFB3-FB0E-4C5F-88AE-DBDFC80514D6}"/>
    <cellStyle name="Normal 4 2 4 2 3 2 3" xfId="5150" xr:uid="{00000000-0005-0000-0000-00005A130000}"/>
    <cellStyle name="Normal 4 2 4 2 3 2 3 2" xfId="11034" xr:uid="{BBF011CE-B016-4D87-BC27-66BF6B6E5E7F}"/>
    <cellStyle name="Normal 4 2 4 2 3 2 4" xfId="9376" xr:uid="{D35A9EDE-7618-4969-85AB-6BA23ADE57FD}"/>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3" xfId="11447" xr:uid="{99644655-6C33-450C-9636-40B9FC570B94}"/>
    <cellStyle name="Normal 4 2 4 2 3 3 3" xfId="5563" xr:uid="{00000000-0005-0000-0000-00005E130000}"/>
    <cellStyle name="Normal 4 2 4 2 3 3 4" xfId="9789" xr:uid="{B4BFF3C9-6707-48A8-9D31-60118E1AA5AA}"/>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4 4" xfId="10618" xr:uid="{9D293D7C-55E1-40D5-853B-EDC1B0952573}"/>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3 8" xfId="8957" xr:uid="{8EB7E878-EED7-45E0-ABC3-53186A55EBEF}"/>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1860" xr:uid="{00BA8385-94D5-426C-8E62-9D972ACD45B3}"/>
    <cellStyle name="Normal 4 2 4 2 4 2 3" xfId="10202" xr:uid="{0EC34DC1-7ACB-4BCB-90B3-204ADB699A03}"/>
    <cellStyle name="Normal 4 2 4 2 4 3" xfId="5147" xr:uid="{00000000-0005-0000-0000-00006D130000}"/>
    <cellStyle name="Normal 4 2 4 2 4 3 2" xfId="11031" xr:uid="{D6B4BEBE-FAAC-4C2E-860E-698DA9B597BA}"/>
    <cellStyle name="Normal 4 2 4 2 4 4" xfId="9373" xr:uid="{1A8AD0D9-3679-47E6-AE2F-8692162C519D}"/>
    <cellStyle name="Normal 4 2 4 2 5" xfId="1252" xr:uid="{00000000-0005-0000-0000-00006E130000}"/>
    <cellStyle name="Normal 4 2 4 2 5 2" xfId="3482" xr:uid="{00000000-0005-0000-0000-00006F130000}"/>
    <cellStyle name="Normal 4 2 4 2 5 2 2" xfId="7705" xr:uid="{00000000-0005-0000-0000-000070130000}"/>
    <cellStyle name="Normal 4 2 4 2 5 2 3" xfId="11444" xr:uid="{46ACE006-CD89-4DE2-A18D-9FD4DB06ABD7}"/>
    <cellStyle name="Normal 4 2 4 2 5 3" xfId="5560" xr:uid="{00000000-0005-0000-0000-000071130000}"/>
    <cellStyle name="Normal 4 2 4 2 5 4" xfId="9786" xr:uid="{FB301F0B-9567-4013-B111-6CB9EC33E001}"/>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6 4" xfId="10615" xr:uid="{BDEDE3C4-4233-4B50-9969-B96492B45E44}"/>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1865" xr:uid="{E3D07FE0-9513-4D90-840D-60E15649A159}"/>
    <cellStyle name="Normal 4 2 4 3 2 2 2 3" xfId="10207" xr:uid="{E945A117-0624-44E1-A378-35D66E24275E}"/>
    <cellStyle name="Normal 4 2 4 3 2 2 3" xfId="5152" xr:uid="{00000000-0005-0000-0000-000082130000}"/>
    <cellStyle name="Normal 4 2 4 3 2 2 3 2" xfId="11036" xr:uid="{8A80F93D-5C34-43F4-B1AE-10FA892AE4DC}"/>
    <cellStyle name="Normal 4 2 4 3 2 2 4" xfId="9378" xr:uid="{5D868253-5D8E-42A3-9E41-6AA62061E6E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3" xfId="11449" xr:uid="{F6A4ECD3-3B8D-4E30-8621-2E75F04E1F6A}"/>
    <cellStyle name="Normal 4 2 4 3 2 3 3" xfId="5565" xr:uid="{00000000-0005-0000-0000-000086130000}"/>
    <cellStyle name="Normal 4 2 4 3 2 3 4" xfId="9791" xr:uid="{9F342624-A3B5-4EA1-A810-F2B272097F5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4 4" xfId="10620" xr:uid="{3DBF8262-90AB-4C5C-8285-E423169D413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2 8" xfId="8959" xr:uid="{C74A272E-6B01-4C7D-B069-411333F3E56D}"/>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1864" xr:uid="{A6B38969-8907-4BA0-894B-D666E64CC793}"/>
    <cellStyle name="Normal 4 2 4 3 3 2 3" xfId="10206" xr:uid="{036C1048-184C-4B1D-B9B0-CA350D5E87F2}"/>
    <cellStyle name="Normal 4 2 4 3 3 3" xfId="5151" xr:uid="{00000000-0005-0000-0000-000095130000}"/>
    <cellStyle name="Normal 4 2 4 3 3 3 2" xfId="11035" xr:uid="{ACE2D65C-FD7A-45E1-9F93-6CFD9A85A1EB}"/>
    <cellStyle name="Normal 4 2 4 3 3 4" xfId="9377" xr:uid="{647D4125-16CC-4D15-B940-71DCD9F1FB16}"/>
    <cellStyle name="Normal 4 2 4 3 4" xfId="1256" xr:uid="{00000000-0005-0000-0000-000096130000}"/>
    <cellStyle name="Normal 4 2 4 3 4 2" xfId="3486" xr:uid="{00000000-0005-0000-0000-000097130000}"/>
    <cellStyle name="Normal 4 2 4 3 4 2 2" xfId="7709" xr:uid="{00000000-0005-0000-0000-000098130000}"/>
    <cellStyle name="Normal 4 2 4 3 4 2 3" xfId="11448" xr:uid="{9C62F61D-B42B-4848-B820-133A390032CC}"/>
    <cellStyle name="Normal 4 2 4 3 4 3" xfId="5564" xr:uid="{00000000-0005-0000-0000-000099130000}"/>
    <cellStyle name="Normal 4 2 4 3 4 4" xfId="9790" xr:uid="{3656ECE5-952D-4B61-ACAE-1D17A71286AF}"/>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5 4" xfId="10619" xr:uid="{04226FF6-3B9E-48AF-B74C-7AC086C7428B}"/>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3 9" xfId="8958" xr:uid="{EE87A033-460B-48C9-8489-6F0E0BB9A2EC}"/>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1866" xr:uid="{31C02A3D-BD41-4527-A1DD-F47B71893A2F}"/>
    <cellStyle name="Normal 4 2 4 4 2 2 3" xfId="10208" xr:uid="{D77E5290-0B40-4F70-B9ED-A4FB4B031474}"/>
    <cellStyle name="Normal 4 2 4 4 2 3" xfId="5153" xr:uid="{00000000-0005-0000-0000-0000A9130000}"/>
    <cellStyle name="Normal 4 2 4 4 2 3 2" xfId="11037" xr:uid="{BEFB7DD5-0C9B-4B93-92F0-04619D63234A}"/>
    <cellStyle name="Normal 4 2 4 4 2 4" xfId="9379" xr:uid="{BB293FEB-8D94-4529-B725-812D6F959469}"/>
    <cellStyle name="Normal 4 2 4 4 3" xfId="1258" xr:uid="{00000000-0005-0000-0000-0000AA130000}"/>
    <cellStyle name="Normal 4 2 4 4 3 2" xfId="3488" xr:uid="{00000000-0005-0000-0000-0000AB130000}"/>
    <cellStyle name="Normal 4 2 4 4 3 2 2" xfId="7711" xr:uid="{00000000-0005-0000-0000-0000AC130000}"/>
    <cellStyle name="Normal 4 2 4 4 3 2 3" xfId="11450" xr:uid="{24D54FB8-F17E-45B0-9F1F-73A7554BCB28}"/>
    <cellStyle name="Normal 4 2 4 4 3 3" xfId="5566" xr:uid="{00000000-0005-0000-0000-0000AD130000}"/>
    <cellStyle name="Normal 4 2 4 4 3 4" xfId="9792" xr:uid="{4576703C-92F0-45F5-9C0E-D06659A9B16B}"/>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4 4" xfId="10621" xr:uid="{E8FDB454-4796-4A14-BE84-4E6A44217571}"/>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4 8" xfId="8960" xr:uid="{5E557255-BAE6-420A-8658-FA56E084271B}"/>
    <cellStyle name="Normal 4 2 4 5" xfId="831" xr:uid="{00000000-0005-0000-0000-0000B9130000}"/>
    <cellStyle name="Normal 4 2 4 5 2" xfId="3068" xr:uid="{00000000-0005-0000-0000-0000BA130000}"/>
    <cellStyle name="Normal 4 2 4 5 2 2" xfId="7291" xr:uid="{00000000-0005-0000-0000-0000BB130000}"/>
    <cellStyle name="Normal 4 2 4 5 2 2 2" xfId="11859" xr:uid="{F14EEBBE-A922-4021-B506-A94374975002}"/>
    <cellStyle name="Normal 4 2 4 5 2 3" xfId="10201" xr:uid="{56113A16-0E7C-43EB-B898-76249942165B}"/>
    <cellStyle name="Normal 4 2 4 5 3" xfId="5146" xr:uid="{00000000-0005-0000-0000-0000BC130000}"/>
    <cellStyle name="Normal 4 2 4 5 3 2" xfId="11030" xr:uid="{CC45A37A-5A4E-4857-905C-D2224BE391BF}"/>
    <cellStyle name="Normal 4 2 4 5 4" xfId="9372" xr:uid="{4D9F009A-1840-4272-9417-260302AE4253}"/>
    <cellStyle name="Normal 4 2 4 6" xfId="1251" xr:uid="{00000000-0005-0000-0000-0000BD130000}"/>
    <cellStyle name="Normal 4 2 4 6 2" xfId="3481" xr:uid="{00000000-0005-0000-0000-0000BE130000}"/>
    <cellStyle name="Normal 4 2 4 6 2 2" xfId="7704" xr:uid="{00000000-0005-0000-0000-0000BF130000}"/>
    <cellStyle name="Normal 4 2 4 6 2 3" xfId="11443" xr:uid="{84878EDD-942F-4ED9-9C4C-5D8EEB2BACD6}"/>
    <cellStyle name="Normal 4 2 4 6 3" xfId="5559" xr:uid="{00000000-0005-0000-0000-0000C0130000}"/>
    <cellStyle name="Normal 4 2 4 6 4" xfId="9785" xr:uid="{F6572037-E173-497A-9865-06425A159844}"/>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7 4" xfId="10614" xr:uid="{D4B416A9-A6A1-47E6-8826-3ABCE91F98AB}"/>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1868" xr:uid="{00E02A5A-5392-4F72-B3B4-DDA072A1BC23}"/>
    <cellStyle name="Normal 4 2 5 2 2 2 3" xfId="10210" xr:uid="{6F07B259-F59B-4CA7-A5B4-3ACFF167D314}"/>
    <cellStyle name="Normal 4 2 5 2 2 3" xfId="5155" xr:uid="{00000000-0005-0000-0000-0000D0130000}"/>
    <cellStyle name="Normal 4 2 5 2 2 3 2" xfId="11039" xr:uid="{218A8E96-FA92-4C3B-AE31-303D5A147520}"/>
    <cellStyle name="Normal 4 2 5 2 2 4" xfId="9381" xr:uid="{D9CB064A-01E4-4A92-B097-1596BD8FC04C}"/>
    <cellStyle name="Normal 4 2 5 2 3" xfId="1260" xr:uid="{00000000-0005-0000-0000-0000D1130000}"/>
    <cellStyle name="Normal 4 2 5 2 3 2" xfId="3490" xr:uid="{00000000-0005-0000-0000-0000D2130000}"/>
    <cellStyle name="Normal 4 2 5 2 3 2 2" xfId="7713" xr:uid="{00000000-0005-0000-0000-0000D3130000}"/>
    <cellStyle name="Normal 4 2 5 2 3 2 3" xfId="11452" xr:uid="{C896FC2C-31E2-4C75-AF89-060F30A9DBE3}"/>
    <cellStyle name="Normal 4 2 5 2 3 3" xfId="5568" xr:uid="{00000000-0005-0000-0000-0000D4130000}"/>
    <cellStyle name="Normal 4 2 5 2 3 4" xfId="9794" xr:uid="{EB5C4058-B2D6-4D0D-A015-C24306C562A6}"/>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4 4" xfId="10623" xr:uid="{A4CDC1C2-379E-46E3-A5CF-C4DF46B009C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2 8" xfId="8962" xr:uid="{44FD6EB2-5ABF-428A-84D1-C7DA0C6D8EBD}"/>
    <cellStyle name="Normal 4 2 5 3" xfId="839" xr:uid="{00000000-0005-0000-0000-0000E0130000}"/>
    <cellStyle name="Normal 4 2 5 3 2" xfId="3076" xr:uid="{00000000-0005-0000-0000-0000E1130000}"/>
    <cellStyle name="Normal 4 2 5 3 2 2" xfId="7299" xr:uid="{00000000-0005-0000-0000-0000E2130000}"/>
    <cellStyle name="Normal 4 2 5 3 2 2 2" xfId="11867" xr:uid="{AAC124DF-E986-4AB3-B0E4-B0E95B0AA74E}"/>
    <cellStyle name="Normal 4 2 5 3 2 3" xfId="10209" xr:uid="{9DBA8BF8-7A48-4503-8DC0-B2B482664D70}"/>
    <cellStyle name="Normal 4 2 5 3 3" xfId="5154" xr:uid="{00000000-0005-0000-0000-0000E3130000}"/>
    <cellStyle name="Normal 4 2 5 3 3 2" xfId="11038" xr:uid="{FD63F369-8A78-41C4-BD1D-0297A6F542CC}"/>
    <cellStyle name="Normal 4 2 5 3 4" xfId="9380" xr:uid="{8561E9F3-DCB4-43FE-ACBF-1C11DA363248}"/>
    <cellStyle name="Normal 4 2 5 4" xfId="1259" xr:uid="{00000000-0005-0000-0000-0000E4130000}"/>
    <cellStyle name="Normal 4 2 5 4 2" xfId="3489" xr:uid="{00000000-0005-0000-0000-0000E5130000}"/>
    <cellStyle name="Normal 4 2 5 4 2 2" xfId="7712" xr:uid="{00000000-0005-0000-0000-0000E6130000}"/>
    <cellStyle name="Normal 4 2 5 4 2 3" xfId="11451" xr:uid="{8C978837-056C-4F43-AAD1-C105246A50E7}"/>
    <cellStyle name="Normal 4 2 5 4 3" xfId="5567" xr:uid="{00000000-0005-0000-0000-0000E7130000}"/>
    <cellStyle name="Normal 4 2 5 4 4" xfId="9793" xr:uid="{3C81231B-C354-4BDB-87A3-722DDCB8E51D}"/>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5 4" xfId="10622" xr:uid="{1CD22629-A116-4151-BCF8-E2609F4CCC3F}"/>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5 9" xfId="8961" xr:uid="{6E883CA9-9460-4BF9-98CF-C01B920D09F4}"/>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1869" xr:uid="{E48ADE06-2596-4A51-B2AA-0F3AC14595F0}"/>
    <cellStyle name="Normal 4 2 6 2 2 3" xfId="10211" xr:uid="{A66E0E57-B340-45F0-A83D-E34E0EF90F47}"/>
    <cellStyle name="Normal 4 2 6 2 3" xfId="5156" xr:uid="{00000000-0005-0000-0000-0000F7130000}"/>
    <cellStyle name="Normal 4 2 6 2 3 2" xfId="11040" xr:uid="{448326A7-5C05-45A4-B693-C47FE0D8275E}"/>
    <cellStyle name="Normal 4 2 6 2 4" xfId="9382" xr:uid="{B1DCD00C-721D-454B-8329-03912A8EE050}"/>
    <cellStyle name="Normal 4 2 6 3" xfId="1261" xr:uid="{00000000-0005-0000-0000-0000F8130000}"/>
    <cellStyle name="Normal 4 2 6 3 2" xfId="3491" xr:uid="{00000000-0005-0000-0000-0000F9130000}"/>
    <cellStyle name="Normal 4 2 6 3 2 2" xfId="7714" xr:uid="{00000000-0005-0000-0000-0000FA130000}"/>
    <cellStyle name="Normal 4 2 6 3 2 3" xfId="11453" xr:uid="{F23CEC92-F4CA-4E7A-AC1E-612D52DE4D1F}"/>
    <cellStyle name="Normal 4 2 6 3 3" xfId="5569" xr:uid="{00000000-0005-0000-0000-0000FB130000}"/>
    <cellStyle name="Normal 4 2 6 3 4" xfId="9795" xr:uid="{03E74A15-C212-4CDB-A2B0-540888EE48BE}"/>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4 4" xfId="10624" xr:uid="{578B09BE-9D5D-43DF-918F-1037038A3EFB}"/>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2 6 8" xfId="8963" xr:uid="{DE0BE2DE-3CA0-4E2A-96F3-BC18400A9D1C}"/>
    <cellStyle name="Normal 4 3" xfId="366" xr:uid="{00000000-0005-0000-0000-000007140000}"/>
    <cellStyle name="Normal 4 3 10" xfId="8964" xr:uid="{FB8A984C-29C5-4DF0-BA8C-6ABA58863B6A}"/>
    <cellStyle name="Normal 4 3 2" xfId="367" xr:uid="{00000000-0005-0000-0000-000008140000}"/>
    <cellStyle name="Normal 4 3 2 2" xfId="368" xr:uid="{00000000-0005-0000-0000-000009140000}"/>
    <cellStyle name="Normal 4 3 2 2 2" xfId="369" xr:uid="{00000000-0005-0000-0000-00000A140000}"/>
    <cellStyle name="Normal 4 3 2 2 2 10" xfId="8965" xr:uid="{BC22188D-C55F-4B92-9B3E-A49FCF32CA6B}"/>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1873" xr:uid="{22A6A102-5695-472F-AFDC-B12E7E6892B5}"/>
    <cellStyle name="Normal 4 3 2 2 2 2 2 2 2 3" xfId="10215" xr:uid="{AE200D63-718A-4793-80F8-C702A5314208}"/>
    <cellStyle name="Normal 4 3 2 2 2 2 2 2 3" xfId="5160" xr:uid="{00000000-0005-0000-0000-000010140000}"/>
    <cellStyle name="Normal 4 3 2 2 2 2 2 2 3 2" xfId="11044" xr:uid="{A3941649-7E9F-46D5-A539-4BE78847B83A}"/>
    <cellStyle name="Normal 4 3 2 2 2 2 2 2 4" xfId="9386" xr:uid="{76C865A5-6BFA-412A-BCB3-492F62069C7E}"/>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3" xfId="11457" xr:uid="{3686377C-1A24-4C29-BB54-EC62327D6EC7}"/>
    <cellStyle name="Normal 4 3 2 2 2 2 2 3 3" xfId="5573" xr:uid="{00000000-0005-0000-0000-000014140000}"/>
    <cellStyle name="Normal 4 3 2 2 2 2 2 3 4" xfId="9799" xr:uid="{2385125B-F2CA-4F85-A533-85FAED6C214B}"/>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4 4" xfId="10628" xr:uid="{55BD8F0F-694A-4B96-82FB-6C47C2DC9101}"/>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2 8" xfId="8967" xr:uid="{61725AC0-CD98-49BF-8B29-E93007635268}"/>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1872" xr:uid="{6C5CB80A-05B6-450D-9824-E33A885B08EB}"/>
    <cellStyle name="Normal 4 3 2 2 2 2 3 2 3" xfId="10214" xr:uid="{A1ABE662-7BCC-4801-BA7B-FBABDFDA44DD}"/>
    <cellStyle name="Normal 4 3 2 2 2 2 3 3" xfId="5159" xr:uid="{00000000-0005-0000-0000-000023140000}"/>
    <cellStyle name="Normal 4 3 2 2 2 2 3 3 2" xfId="11043" xr:uid="{41060D5B-EFC9-4CD0-AD38-D21E61B42BAA}"/>
    <cellStyle name="Normal 4 3 2 2 2 2 3 4" xfId="9385" xr:uid="{0A2AF114-CFAA-46BF-8870-C4264ACF00AA}"/>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3" xfId="11456" xr:uid="{118F08D1-21A7-4923-A814-CB33247F33B0}"/>
    <cellStyle name="Normal 4 3 2 2 2 2 4 3" xfId="5572" xr:uid="{00000000-0005-0000-0000-000027140000}"/>
    <cellStyle name="Normal 4 3 2 2 2 2 4 4" xfId="9798" xr:uid="{5DDFE930-57D9-4068-BE1D-53C7A13E19E6}"/>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5 4" xfId="10627" xr:uid="{BCEE51E7-E1D5-4B57-89A6-AD0381EEF919}"/>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2 9" xfId="8966" xr:uid="{B1407163-8C9F-44B5-974F-08D08A3D1B8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1874" xr:uid="{A6E2B24A-7676-4578-897B-487D5E31F973}"/>
    <cellStyle name="Normal 4 3 2 2 2 3 2 2 3" xfId="10216" xr:uid="{AE6FEEF4-5A18-442A-B86D-40C2BA6E9026}"/>
    <cellStyle name="Normal 4 3 2 2 2 3 2 3" xfId="5161" xr:uid="{00000000-0005-0000-0000-000037140000}"/>
    <cellStyle name="Normal 4 3 2 2 2 3 2 3 2" xfId="11045" xr:uid="{DDAACC54-7C91-491D-9194-779B8B820657}"/>
    <cellStyle name="Normal 4 3 2 2 2 3 2 4" xfId="9387" xr:uid="{078AD95B-3067-456D-9F27-0522010330D1}"/>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3" xfId="11458" xr:uid="{205EBC0A-4D9A-42CE-BF03-FD858053A8E9}"/>
    <cellStyle name="Normal 4 3 2 2 2 3 3 3" xfId="5574" xr:uid="{00000000-0005-0000-0000-00003B140000}"/>
    <cellStyle name="Normal 4 3 2 2 2 3 3 4" xfId="9800" xr:uid="{6ABA8A9E-92BE-419B-9D7B-C7046C657A0C}"/>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4 4" xfId="10629" xr:uid="{CDFCA7C3-A82F-47B6-8D47-55C60DF2E563}"/>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3 8" xfId="8968" xr:uid="{A9A4387A-6234-4BBB-991B-199B32CA274E}"/>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1871" xr:uid="{180A09FB-52E0-4F92-9EB6-3F0140DCB011}"/>
    <cellStyle name="Normal 4 3 2 2 2 4 2 3" xfId="10213" xr:uid="{BBB2030B-68F7-47F3-A995-161ECEDC8C5B}"/>
    <cellStyle name="Normal 4 3 2 2 2 4 3" xfId="5158" xr:uid="{00000000-0005-0000-0000-00004A140000}"/>
    <cellStyle name="Normal 4 3 2 2 2 4 3 2" xfId="11042" xr:uid="{CCC82E22-2F47-472A-A7B8-25C128E87FB0}"/>
    <cellStyle name="Normal 4 3 2 2 2 4 4" xfId="9384" xr:uid="{ECC93351-7E15-40FA-AEBD-CE1AE8E287A7}"/>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3" xfId="11455" xr:uid="{1D7907BA-7ABA-4916-A394-562CDB7EEF05}"/>
    <cellStyle name="Normal 4 3 2 2 2 5 3" xfId="5571" xr:uid="{00000000-0005-0000-0000-00004E140000}"/>
    <cellStyle name="Normal 4 3 2 2 2 5 4" xfId="9797" xr:uid="{CAD99C08-D93B-4278-9E5E-2C315B7E80DD}"/>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6 4" xfId="10626" xr:uid="{ECB048BC-8D97-49F4-B0EE-1AE5978FE24E}"/>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69" xr:uid="{286DECAC-07F2-48F8-896E-9FB8B3C5CFFB}"/>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1877" xr:uid="{C206AEAD-5018-44A7-8E5A-8A2375EF7961}"/>
    <cellStyle name="Normal 4 3 3 2 2 2 2 3" xfId="10219" xr:uid="{1730D959-C17E-4122-B801-54EA75B4FB67}"/>
    <cellStyle name="Normal 4 3 3 2 2 2 3" xfId="5164" xr:uid="{00000000-0005-0000-0000-000063140000}"/>
    <cellStyle name="Normal 4 3 3 2 2 2 3 2" xfId="11048" xr:uid="{CD584FA2-23B9-4329-BFFF-48669037DD26}"/>
    <cellStyle name="Normal 4 3 3 2 2 2 4" xfId="9390" xr:uid="{97449581-B44D-44FC-9146-7D3B04F154A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3" xfId="11461" xr:uid="{D0DA8B23-F904-4BB5-980E-27A50DF3B64D}"/>
    <cellStyle name="Normal 4 3 3 2 2 3 3" xfId="5577" xr:uid="{00000000-0005-0000-0000-000067140000}"/>
    <cellStyle name="Normal 4 3 3 2 2 3 4" xfId="9803" xr:uid="{AFE88A8E-BA9A-4DF2-9F30-C404EA0EF27B}"/>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4 4" xfId="10632" xr:uid="{31B8F7B6-7CD3-4C9B-840B-4FCF0C26053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2 8" xfId="8971" xr:uid="{0EDA47EF-34DC-4757-91F6-D9D3794A5BA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1876" xr:uid="{98C3B152-A29F-4480-A24E-F33D299370E5}"/>
    <cellStyle name="Normal 4 3 3 2 3 2 3" xfId="10218" xr:uid="{D1A2CD9F-8CDB-450F-8CF5-0DC459028EDD}"/>
    <cellStyle name="Normal 4 3 3 2 3 3" xfId="5163" xr:uid="{00000000-0005-0000-0000-000076140000}"/>
    <cellStyle name="Normal 4 3 3 2 3 3 2" xfId="11047" xr:uid="{052115A8-A43C-42EA-979B-8F3C879BFA45}"/>
    <cellStyle name="Normal 4 3 3 2 3 4" xfId="9389" xr:uid="{6FD80DA4-2710-4E0D-A1D9-6E8BD4EAAA99}"/>
    <cellStyle name="Normal 4 3 3 2 4" xfId="1268" xr:uid="{00000000-0005-0000-0000-000077140000}"/>
    <cellStyle name="Normal 4 3 3 2 4 2" xfId="3498" xr:uid="{00000000-0005-0000-0000-000078140000}"/>
    <cellStyle name="Normal 4 3 3 2 4 2 2" xfId="7721" xr:uid="{00000000-0005-0000-0000-000079140000}"/>
    <cellStyle name="Normal 4 3 3 2 4 2 3" xfId="11460" xr:uid="{99082381-490D-4DD6-8A36-B34BEBAA0023}"/>
    <cellStyle name="Normal 4 3 3 2 4 3" xfId="5576" xr:uid="{00000000-0005-0000-0000-00007A140000}"/>
    <cellStyle name="Normal 4 3 3 2 4 4" xfId="9802" xr:uid="{35F896BF-5576-47C7-BE15-D2847117C08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5 4" xfId="10631" xr:uid="{2A9BFE29-C94F-4261-B662-2A21DA1D7261}"/>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2 9" xfId="8970" xr:uid="{CA8D4BF7-1CC8-4D5E-9265-D42F0EB15263}"/>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1878" xr:uid="{318EBBB1-908D-48E4-9866-C17B93E2288F}"/>
    <cellStyle name="Normal 4 3 3 3 2 2 3" xfId="10220" xr:uid="{3D5BCE3F-D486-4E6D-BD77-E08CCBDA6F9C}"/>
    <cellStyle name="Normal 4 3 3 3 2 3" xfId="5165" xr:uid="{00000000-0005-0000-0000-00008A140000}"/>
    <cellStyle name="Normal 4 3 3 3 2 3 2" xfId="11049" xr:uid="{340C89E3-1851-40C6-B31E-C74AE5927B37}"/>
    <cellStyle name="Normal 4 3 3 3 2 4" xfId="9391" xr:uid="{E6DBED5F-1C5F-4336-9020-E92CCC22C47B}"/>
    <cellStyle name="Normal 4 3 3 3 3" xfId="1270" xr:uid="{00000000-0005-0000-0000-00008B140000}"/>
    <cellStyle name="Normal 4 3 3 3 3 2" xfId="3500" xr:uid="{00000000-0005-0000-0000-00008C140000}"/>
    <cellStyle name="Normal 4 3 3 3 3 2 2" xfId="7723" xr:uid="{00000000-0005-0000-0000-00008D140000}"/>
    <cellStyle name="Normal 4 3 3 3 3 2 3" xfId="11462" xr:uid="{70546C32-6245-4A92-A474-E75A979C1B61}"/>
    <cellStyle name="Normal 4 3 3 3 3 3" xfId="5578" xr:uid="{00000000-0005-0000-0000-00008E140000}"/>
    <cellStyle name="Normal 4 3 3 3 3 4" xfId="9804" xr:uid="{D6956553-B6E0-40C6-89D1-1F78B20DA3BB}"/>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4 4" xfId="10633" xr:uid="{BA0F9198-BFC1-4C98-8297-8F23A3143A28}"/>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3 8" xfId="8972" xr:uid="{3A00BEBE-87A7-4F50-934E-3BDD4A7E78A8}"/>
    <cellStyle name="Normal 4 3 3 4" xfId="849" xr:uid="{00000000-0005-0000-0000-00009A140000}"/>
    <cellStyle name="Normal 4 3 3 4 2" xfId="3084" xr:uid="{00000000-0005-0000-0000-00009B140000}"/>
    <cellStyle name="Normal 4 3 3 4 2 2" xfId="7307" xr:uid="{00000000-0005-0000-0000-00009C140000}"/>
    <cellStyle name="Normal 4 3 3 4 2 2 2" xfId="11875" xr:uid="{EB5F8061-5590-4953-AE97-0D5D2C0EA8C5}"/>
    <cellStyle name="Normal 4 3 3 4 2 3" xfId="10217" xr:uid="{5D056232-E79C-49E3-9778-0215BA2BB1B3}"/>
    <cellStyle name="Normal 4 3 3 4 3" xfId="5162" xr:uid="{00000000-0005-0000-0000-00009D140000}"/>
    <cellStyle name="Normal 4 3 3 4 3 2" xfId="11046" xr:uid="{BA95A75C-ABB7-491A-AAAD-A53CB512E659}"/>
    <cellStyle name="Normal 4 3 3 4 4" xfId="9388" xr:uid="{98C68ECB-A3FC-4225-AD97-5734F91973F2}"/>
    <cellStyle name="Normal 4 3 3 5" xfId="1267" xr:uid="{00000000-0005-0000-0000-00009E140000}"/>
    <cellStyle name="Normal 4 3 3 5 2" xfId="3497" xr:uid="{00000000-0005-0000-0000-00009F140000}"/>
    <cellStyle name="Normal 4 3 3 5 2 2" xfId="7720" xr:uid="{00000000-0005-0000-0000-0000A0140000}"/>
    <cellStyle name="Normal 4 3 3 5 2 3" xfId="11459" xr:uid="{CC354B9C-7255-4110-9BF0-67253E8B07BA}"/>
    <cellStyle name="Normal 4 3 3 5 3" xfId="5575" xr:uid="{00000000-0005-0000-0000-0000A1140000}"/>
    <cellStyle name="Normal 4 3 3 5 4" xfId="9801" xr:uid="{D77C8024-08D0-403F-AA06-BC2C89E536D8}"/>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6 4" xfId="10630" xr:uid="{D7F3A7DA-8D9B-4F42-9904-9F72251DAE41}"/>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2 2 2" xfId="11870" xr:uid="{C0D619E5-33B4-4108-B0D7-F7738209A260}"/>
    <cellStyle name="Normal 4 3 4 2 3" xfId="10212" xr:uid="{7DC46B43-8F50-4D79-B473-0B4FD0A44F71}"/>
    <cellStyle name="Normal 4 3 4 3" xfId="5157" xr:uid="{00000000-0005-0000-0000-0000B0140000}"/>
    <cellStyle name="Normal 4 3 4 3 2" xfId="11041" xr:uid="{3773EAC1-32B3-4F9A-A526-84C06F081172}"/>
    <cellStyle name="Normal 4 3 4 4" xfId="9383" xr:uid="{3B51F787-5323-4C64-825F-B374508923A6}"/>
    <cellStyle name="Normal 4 3 5" xfId="1262" xr:uid="{00000000-0005-0000-0000-0000B1140000}"/>
    <cellStyle name="Normal 4 3 5 2" xfId="3492" xr:uid="{00000000-0005-0000-0000-0000B2140000}"/>
    <cellStyle name="Normal 4 3 5 2 2" xfId="7715" xr:uid="{00000000-0005-0000-0000-0000B3140000}"/>
    <cellStyle name="Normal 4 3 5 2 3" xfId="11454" xr:uid="{652741B3-C952-4751-853A-D70005857B4F}"/>
    <cellStyle name="Normal 4 3 5 3" xfId="5570" xr:uid="{00000000-0005-0000-0000-0000B4140000}"/>
    <cellStyle name="Normal 4 3 5 4" xfId="9796" xr:uid="{79D46005-B08D-4F55-9771-B86C0F463819}"/>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6 4" xfId="10625" xr:uid="{531F07EA-3AD7-46CB-963A-853D5709C47D}"/>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12" xfId="8973" xr:uid="{8F7D4F68-DBBA-4D52-870B-3453497C1074}"/>
    <cellStyle name="Normal 4 4 2" xfId="379" xr:uid="{00000000-0005-0000-0000-0000C4140000}"/>
    <cellStyle name="Normal 4 4 2 10" xfId="4754" xr:uid="{00000000-0005-0000-0000-0000C5140000}"/>
    <cellStyle name="Normal 4 4 2 11" xfId="8974" xr:uid="{3F625450-AFB0-4C12-9F15-B65B7CEEDA79}"/>
    <cellStyle name="Normal 4 4 2 2" xfId="380" xr:uid="{00000000-0005-0000-0000-0000C6140000}"/>
    <cellStyle name="Normal 4 4 2 2 10" xfId="8975" xr:uid="{D45B3DC2-5233-4F80-842D-A3797C162ABC}"/>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1883" xr:uid="{7C65B718-C971-4F0F-A6C5-F34A11454DE6}"/>
    <cellStyle name="Normal 4 4 2 2 2 2 2 2 3" xfId="10225" xr:uid="{E418D1D8-97B5-4F8A-A8BA-0B52B85080C7}"/>
    <cellStyle name="Normal 4 4 2 2 2 2 2 3" xfId="5170" xr:uid="{00000000-0005-0000-0000-0000CC140000}"/>
    <cellStyle name="Normal 4 4 2 2 2 2 2 3 2" xfId="11054" xr:uid="{655040C1-1E5A-46D2-ACD9-587CEE9C0B90}"/>
    <cellStyle name="Normal 4 4 2 2 2 2 2 4" xfId="9396" xr:uid="{69AC6E7E-833A-442E-B30A-D2B14537E6F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3" xfId="11467" xr:uid="{F0A12B0F-3DE4-4390-9023-E1429FF85BE8}"/>
    <cellStyle name="Normal 4 4 2 2 2 2 3 3" xfId="5583" xr:uid="{00000000-0005-0000-0000-0000D0140000}"/>
    <cellStyle name="Normal 4 4 2 2 2 2 3 4" xfId="9809" xr:uid="{AD8B9045-AC42-4E55-A97A-976F59B9CEC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4 4" xfId="10638" xr:uid="{231E2EC4-B2DC-428B-BE51-53A7E5192756}"/>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2 8" xfId="8977" xr:uid="{3F5A290B-BDB1-445E-B21E-DAA74A02CC53}"/>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1882" xr:uid="{FD2D8C10-9C87-4CEB-9858-4F21422A14DD}"/>
    <cellStyle name="Normal 4 4 2 2 2 3 2 3" xfId="10224" xr:uid="{A2249988-9E99-45B3-A8B0-EAEBD0E48BCF}"/>
    <cellStyle name="Normal 4 4 2 2 2 3 3" xfId="5169" xr:uid="{00000000-0005-0000-0000-0000DF140000}"/>
    <cellStyle name="Normal 4 4 2 2 2 3 3 2" xfId="11053" xr:uid="{93EB2E8A-6A73-419F-A795-6AF20A99F411}"/>
    <cellStyle name="Normal 4 4 2 2 2 3 4" xfId="9395" xr:uid="{A25CE3D7-5CEE-4FC8-9EF8-88B9A235D434}"/>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3" xfId="11466" xr:uid="{C7031506-5AB5-4657-B21A-86297F9DE331}"/>
    <cellStyle name="Normal 4 4 2 2 2 4 3" xfId="5582" xr:uid="{00000000-0005-0000-0000-0000E3140000}"/>
    <cellStyle name="Normal 4 4 2 2 2 4 4" xfId="9808" xr:uid="{576D7706-F97A-47E7-AC1D-D0CEFB7C3382}"/>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5 4" xfId="10637" xr:uid="{2E3CADD9-EE66-44A3-8F11-65E93640A966}"/>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2 9" xfId="8976" xr:uid="{D3CEE309-D82B-44AA-90A3-FE06B2D672C5}"/>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1884" xr:uid="{170AEF1F-858E-42EE-84FA-54DF88C368A1}"/>
    <cellStyle name="Normal 4 4 2 2 3 2 2 3" xfId="10226" xr:uid="{DE968A5D-2917-4F8E-B225-97EA8B9AECA5}"/>
    <cellStyle name="Normal 4 4 2 2 3 2 3" xfId="5171" xr:uid="{00000000-0005-0000-0000-0000F3140000}"/>
    <cellStyle name="Normal 4 4 2 2 3 2 3 2" xfId="11055" xr:uid="{8E95C510-F9EA-40DD-8EB8-3B7331AD1285}"/>
    <cellStyle name="Normal 4 4 2 2 3 2 4" xfId="9397" xr:uid="{7E71BFF7-C33B-4242-A0A7-25662ECF1785}"/>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3" xfId="11468" xr:uid="{C10D11E6-54A8-4392-A579-6A708557065E}"/>
    <cellStyle name="Normal 4 4 2 2 3 3 3" xfId="5584" xr:uid="{00000000-0005-0000-0000-0000F7140000}"/>
    <cellStyle name="Normal 4 4 2 2 3 3 4" xfId="9810" xr:uid="{6A0ACEA4-79E9-4DDA-8366-98669EC53AE3}"/>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4 4" xfId="10639" xr:uid="{BD8B1944-C62A-484C-A8F4-33DA2B54232C}"/>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3 8" xfId="8978" xr:uid="{8F6306E1-3CDD-4BF2-98C9-B18F5EBB9CEA}"/>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1881" xr:uid="{053DB4F3-771D-4307-A1AF-E795F9444FD9}"/>
    <cellStyle name="Normal 4 4 2 2 4 2 3" xfId="10223" xr:uid="{37139880-FD09-4FE5-96AF-2153E55EBBE9}"/>
    <cellStyle name="Normal 4 4 2 2 4 3" xfId="5168" xr:uid="{00000000-0005-0000-0000-000006150000}"/>
    <cellStyle name="Normal 4 4 2 2 4 3 2" xfId="11052" xr:uid="{75871E14-E0D9-4479-A0AA-61D2F1A24240}"/>
    <cellStyle name="Normal 4 4 2 2 4 4" xfId="9394" xr:uid="{B434F5EB-D18A-413D-B28C-7AAD2E514506}"/>
    <cellStyle name="Normal 4 4 2 2 5" xfId="1273" xr:uid="{00000000-0005-0000-0000-000007150000}"/>
    <cellStyle name="Normal 4 4 2 2 5 2" xfId="3503" xr:uid="{00000000-0005-0000-0000-000008150000}"/>
    <cellStyle name="Normal 4 4 2 2 5 2 2" xfId="7726" xr:uid="{00000000-0005-0000-0000-000009150000}"/>
    <cellStyle name="Normal 4 4 2 2 5 2 3" xfId="11465" xr:uid="{E60E83DE-7AFF-4746-8B04-51D6D3D7F752}"/>
    <cellStyle name="Normal 4 4 2 2 5 3" xfId="5581" xr:uid="{00000000-0005-0000-0000-00000A150000}"/>
    <cellStyle name="Normal 4 4 2 2 5 4" xfId="9807" xr:uid="{8CDF3BCB-ED5B-4E9E-A04A-12733FE24BD5}"/>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6 4" xfId="10636" xr:uid="{6A6413E7-B9C9-43C1-A784-CFCC141D4D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1886" xr:uid="{0174B028-FBB3-41C6-92FF-916481C3C19E}"/>
    <cellStyle name="Normal 4 4 2 3 2 2 2 3" xfId="10228" xr:uid="{9F49D380-84D6-498F-BF44-FAAA80B10CB9}"/>
    <cellStyle name="Normal 4 4 2 3 2 2 3" xfId="5173" xr:uid="{00000000-0005-0000-0000-00001B150000}"/>
    <cellStyle name="Normal 4 4 2 3 2 2 3 2" xfId="11057" xr:uid="{4D4DFAB4-93E1-4E6F-B368-985ABB5E9B56}"/>
    <cellStyle name="Normal 4 4 2 3 2 2 4" xfId="9399" xr:uid="{8AE4C66E-CF63-45E7-B1CC-30629896790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3" xfId="11470" xr:uid="{068901CA-9F2F-4CE9-A040-86F98DA2F57A}"/>
    <cellStyle name="Normal 4 4 2 3 2 3 3" xfId="5586" xr:uid="{00000000-0005-0000-0000-00001F150000}"/>
    <cellStyle name="Normal 4 4 2 3 2 3 4" xfId="9812" xr:uid="{0E5FFF83-723F-4B39-BE96-3A500D50EFF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4 4" xfId="10641" xr:uid="{909A4545-1095-4A1A-ACDF-5FA7EAF68789}"/>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2 8" xfId="8980" xr:uid="{6A785AAB-9E8D-4E25-AA6E-2D72854FA49A}"/>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1885" xr:uid="{494D5227-69B9-47A5-9BFF-902C56E8E6B7}"/>
    <cellStyle name="Normal 4 4 2 3 3 2 3" xfId="10227" xr:uid="{29FFCD0B-FD8E-4E76-BE27-A53C7BACD6FE}"/>
    <cellStyle name="Normal 4 4 2 3 3 3" xfId="5172" xr:uid="{00000000-0005-0000-0000-00002E150000}"/>
    <cellStyle name="Normal 4 4 2 3 3 3 2" xfId="11056" xr:uid="{AC8AAF85-79B8-4B97-8AFC-B99B666C7957}"/>
    <cellStyle name="Normal 4 4 2 3 3 4" xfId="9398" xr:uid="{01B6B0FF-B032-4429-8B7B-C8D62FA53787}"/>
    <cellStyle name="Normal 4 4 2 3 4" xfId="1277" xr:uid="{00000000-0005-0000-0000-00002F150000}"/>
    <cellStyle name="Normal 4 4 2 3 4 2" xfId="3507" xr:uid="{00000000-0005-0000-0000-000030150000}"/>
    <cellStyle name="Normal 4 4 2 3 4 2 2" xfId="7730" xr:uid="{00000000-0005-0000-0000-000031150000}"/>
    <cellStyle name="Normal 4 4 2 3 4 2 3" xfId="11469" xr:uid="{DD91AB61-5931-4578-BA32-83100F98290F}"/>
    <cellStyle name="Normal 4 4 2 3 4 3" xfId="5585" xr:uid="{00000000-0005-0000-0000-000032150000}"/>
    <cellStyle name="Normal 4 4 2 3 4 4" xfId="9811" xr:uid="{E9996EBB-36DE-4280-9735-8FDA2D7BFCB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5 4" xfId="10640" xr:uid="{3F298B48-24C4-4656-B24B-7007299D3B0C}"/>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3 9" xfId="8979" xr:uid="{AC2789AA-EF64-4152-A6EC-7AAEB52F3454}"/>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1887" xr:uid="{F04611AB-DC19-47AD-9742-1C3BAACE4A36}"/>
    <cellStyle name="Normal 4 4 2 4 2 2 3" xfId="10229" xr:uid="{3FC5DF23-63EB-49FB-A9F6-42A4520DB0DC}"/>
    <cellStyle name="Normal 4 4 2 4 2 3" xfId="5174" xr:uid="{00000000-0005-0000-0000-000042150000}"/>
    <cellStyle name="Normal 4 4 2 4 2 3 2" xfId="11058" xr:uid="{1CF0F679-EAD2-448E-9EF0-B8DAFEDF89AC}"/>
    <cellStyle name="Normal 4 4 2 4 2 4" xfId="9400" xr:uid="{C1C58DD2-8808-4EB7-B95B-FDBFCC845EA8}"/>
    <cellStyle name="Normal 4 4 2 4 3" xfId="1279" xr:uid="{00000000-0005-0000-0000-000043150000}"/>
    <cellStyle name="Normal 4 4 2 4 3 2" xfId="3509" xr:uid="{00000000-0005-0000-0000-000044150000}"/>
    <cellStyle name="Normal 4 4 2 4 3 2 2" xfId="7732" xr:uid="{00000000-0005-0000-0000-000045150000}"/>
    <cellStyle name="Normal 4 4 2 4 3 2 3" xfId="11471" xr:uid="{6F1C1FBD-14D5-4817-A37F-52219A1D64D1}"/>
    <cellStyle name="Normal 4 4 2 4 3 3" xfId="5587" xr:uid="{00000000-0005-0000-0000-000046150000}"/>
    <cellStyle name="Normal 4 4 2 4 3 4" xfId="9813" xr:uid="{4CDA87F7-400C-45CE-996F-FD961CC0E6E2}"/>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4 4" xfId="10642" xr:uid="{4B909C7B-8615-4E5F-8DB8-06804D4385E2}"/>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4 8" xfId="8981" xr:uid="{6EEC2DE2-9BD2-4CB8-B289-4B7CBBBA7CAF}"/>
    <cellStyle name="Normal 4 4 2 5" xfId="854" xr:uid="{00000000-0005-0000-0000-000052150000}"/>
    <cellStyle name="Normal 4 4 2 5 2" xfId="3089" xr:uid="{00000000-0005-0000-0000-000053150000}"/>
    <cellStyle name="Normal 4 4 2 5 2 2" xfId="7312" xr:uid="{00000000-0005-0000-0000-000054150000}"/>
    <cellStyle name="Normal 4 4 2 5 2 2 2" xfId="11880" xr:uid="{63235390-4469-4825-BA97-6170C311242B}"/>
    <cellStyle name="Normal 4 4 2 5 2 3" xfId="10222" xr:uid="{259CEE47-5ADB-44A5-A7EF-1A7362127356}"/>
    <cellStyle name="Normal 4 4 2 5 3" xfId="5167" xr:uid="{00000000-0005-0000-0000-000055150000}"/>
    <cellStyle name="Normal 4 4 2 5 3 2" xfId="11051" xr:uid="{9F37AB8B-1CD0-49D8-AD01-33570B500FED}"/>
    <cellStyle name="Normal 4 4 2 5 4" xfId="9393" xr:uid="{EA54D3FC-CCE6-4462-823B-38E0EB43D127}"/>
    <cellStyle name="Normal 4 4 2 6" xfId="1272" xr:uid="{00000000-0005-0000-0000-000056150000}"/>
    <cellStyle name="Normal 4 4 2 6 2" xfId="3502" xr:uid="{00000000-0005-0000-0000-000057150000}"/>
    <cellStyle name="Normal 4 4 2 6 2 2" xfId="7725" xr:uid="{00000000-0005-0000-0000-000058150000}"/>
    <cellStyle name="Normal 4 4 2 6 2 3" xfId="11464" xr:uid="{1C39489D-710B-435C-8FA7-635934DF4ADA}"/>
    <cellStyle name="Normal 4 4 2 6 3" xfId="5580" xr:uid="{00000000-0005-0000-0000-000059150000}"/>
    <cellStyle name="Normal 4 4 2 6 4" xfId="9806" xr:uid="{38ADA13B-B376-4CF2-AB88-71D7FFE754FB}"/>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7 4" xfId="10635" xr:uid="{16B426BE-26D7-4A88-9EBB-6269B0B6E97C}"/>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10" xfId="8982" xr:uid="{1590AE49-27F9-464A-9896-C1C8A2301339}"/>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1890" xr:uid="{83B010F6-0911-48AE-9AC4-254057768030}"/>
    <cellStyle name="Normal 4 4 3 2 2 2 2 3" xfId="10232" xr:uid="{40D12C77-E4BE-440E-95F5-EBA2AC4D794A}"/>
    <cellStyle name="Normal 4 4 3 2 2 2 3" xfId="5177" xr:uid="{00000000-0005-0000-0000-00006A150000}"/>
    <cellStyle name="Normal 4 4 3 2 2 2 3 2" xfId="11061" xr:uid="{0802E973-39F5-484E-8C6B-B15564FB1166}"/>
    <cellStyle name="Normal 4 4 3 2 2 2 4" xfId="9403" xr:uid="{4E3F4970-2317-4F22-AF82-5AC88807A2A9}"/>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3" xfId="11474" xr:uid="{826B7F11-A037-496C-981C-96D9E13F82B0}"/>
    <cellStyle name="Normal 4 4 3 2 2 3 3" xfId="5590" xr:uid="{00000000-0005-0000-0000-00006E150000}"/>
    <cellStyle name="Normal 4 4 3 2 2 3 4" xfId="9816" xr:uid="{7A61E098-3287-437A-990D-897906A8F378}"/>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4 4" xfId="10645" xr:uid="{6A53288B-B4FE-4E09-B3D7-7EE601050CF9}"/>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2 8" xfId="8984" xr:uid="{E88E81B3-336D-42EC-9260-E7ACC7EEB24D}"/>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1889" xr:uid="{ABA09AB0-901A-4531-A82A-82648F961BB0}"/>
    <cellStyle name="Normal 4 4 3 2 3 2 3" xfId="10231" xr:uid="{9699DCC1-9824-4A2B-959A-151C82C3439D}"/>
    <cellStyle name="Normal 4 4 3 2 3 3" xfId="5176" xr:uid="{00000000-0005-0000-0000-00007D150000}"/>
    <cellStyle name="Normal 4 4 3 2 3 3 2" xfId="11060" xr:uid="{0277F544-FCB4-46BB-8EB8-87825A5965CB}"/>
    <cellStyle name="Normal 4 4 3 2 3 4" xfId="9402" xr:uid="{E8C1FF2B-3AE8-4B8B-8D21-5EB81D0B6C72}"/>
    <cellStyle name="Normal 4 4 3 2 4" xfId="1281" xr:uid="{00000000-0005-0000-0000-00007E150000}"/>
    <cellStyle name="Normal 4 4 3 2 4 2" xfId="3511" xr:uid="{00000000-0005-0000-0000-00007F150000}"/>
    <cellStyle name="Normal 4 4 3 2 4 2 2" xfId="7734" xr:uid="{00000000-0005-0000-0000-000080150000}"/>
    <cellStyle name="Normal 4 4 3 2 4 2 3" xfId="11473" xr:uid="{B62C36EB-FDAB-44AA-BCCA-08FE920B8A29}"/>
    <cellStyle name="Normal 4 4 3 2 4 3" xfId="5589" xr:uid="{00000000-0005-0000-0000-000081150000}"/>
    <cellStyle name="Normal 4 4 3 2 4 4" xfId="9815" xr:uid="{F053E4A4-657B-4492-96EB-D1088CF0E6A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5 4" xfId="10644" xr:uid="{99D5AD5F-8D2B-47B7-AA7F-59A8373B9B1A}"/>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2 9" xfId="8983" xr:uid="{F40BAC46-2597-448B-BA6B-AC9E8E999983}"/>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1891" xr:uid="{6A56739D-6584-4094-8C38-773655375C9B}"/>
    <cellStyle name="Normal 4 4 3 3 2 2 3" xfId="10233" xr:uid="{2743CDF7-3B84-4365-89F3-7F553AAAEC49}"/>
    <cellStyle name="Normal 4 4 3 3 2 3" xfId="5178" xr:uid="{00000000-0005-0000-0000-000091150000}"/>
    <cellStyle name="Normal 4 4 3 3 2 3 2" xfId="11062" xr:uid="{B8271C83-FC35-4B76-838A-047816E5A852}"/>
    <cellStyle name="Normal 4 4 3 3 2 4" xfId="9404" xr:uid="{6D6F01B5-40FA-462F-BB77-DA82A4C29D11}"/>
    <cellStyle name="Normal 4 4 3 3 3" xfId="1283" xr:uid="{00000000-0005-0000-0000-000092150000}"/>
    <cellStyle name="Normal 4 4 3 3 3 2" xfId="3513" xr:uid="{00000000-0005-0000-0000-000093150000}"/>
    <cellStyle name="Normal 4 4 3 3 3 2 2" xfId="7736" xr:uid="{00000000-0005-0000-0000-000094150000}"/>
    <cellStyle name="Normal 4 4 3 3 3 2 3" xfId="11475" xr:uid="{C83C7E80-CEDD-4100-9F4B-920BF83E41F3}"/>
    <cellStyle name="Normal 4 4 3 3 3 3" xfId="5591" xr:uid="{00000000-0005-0000-0000-000095150000}"/>
    <cellStyle name="Normal 4 4 3 3 3 4" xfId="9817" xr:uid="{0A1F20C6-03A2-4C7F-BA45-EAB8D8EC87CA}"/>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4 4" xfId="10646" xr:uid="{66533EB1-242E-4356-8F5B-1D7DFE3898EC}"/>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3 8" xfId="8985" xr:uid="{6DA55583-8DA6-4394-A4A2-631F2576D19A}"/>
    <cellStyle name="Normal 4 4 3 4" xfId="862" xr:uid="{00000000-0005-0000-0000-0000A1150000}"/>
    <cellStyle name="Normal 4 4 3 4 2" xfId="3097" xr:uid="{00000000-0005-0000-0000-0000A2150000}"/>
    <cellStyle name="Normal 4 4 3 4 2 2" xfId="7320" xr:uid="{00000000-0005-0000-0000-0000A3150000}"/>
    <cellStyle name="Normal 4 4 3 4 2 2 2" xfId="11888" xr:uid="{E68472B3-EFD6-4B29-99ED-B8A7D597E31A}"/>
    <cellStyle name="Normal 4 4 3 4 2 3" xfId="10230" xr:uid="{103A3053-BED0-4AD6-8FAF-97A2A42E4896}"/>
    <cellStyle name="Normal 4 4 3 4 3" xfId="5175" xr:uid="{00000000-0005-0000-0000-0000A4150000}"/>
    <cellStyle name="Normal 4 4 3 4 3 2" xfId="11059" xr:uid="{D2616F76-207F-477D-8A0D-A67C020339D5}"/>
    <cellStyle name="Normal 4 4 3 4 4" xfId="9401" xr:uid="{2AE0FEFD-1AB9-4DED-8ACA-85B6591A4360}"/>
    <cellStyle name="Normal 4 4 3 5" xfId="1280" xr:uid="{00000000-0005-0000-0000-0000A5150000}"/>
    <cellStyle name="Normal 4 4 3 5 2" xfId="3510" xr:uid="{00000000-0005-0000-0000-0000A6150000}"/>
    <cellStyle name="Normal 4 4 3 5 2 2" xfId="7733" xr:uid="{00000000-0005-0000-0000-0000A7150000}"/>
    <cellStyle name="Normal 4 4 3 5 2 3" xfId="11472" xr:uid="{02E2C272-7A22-4BDD-B7D2-5E1AAA5F6158}"/>
    <cellStyle name="Normal 4 4 3 5 3" xfId="5588" xr:uid="{00000000-0005-0000-0000-0000A8150000}"/>
    <cellStyle name="Normal 4 4 3 5 4" xfId="9814" xr:uid="{AF8F4716-FE83-42A9-9453-8B3CC056D4AA}"/>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6 4" xfId="10643" xr:uid="{ED56502F-46B4-4EB3-97A2-416B2A7A7745}"/>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1893" xr:uid="{AB82BD6A-8522-4B4D-ADF3-9C45851C9770}"/>
    <cellStyle name="Normal 4 4 4 2 2 2 3" xfId="10235" xr:uid="{F976F053-FBAF-4BDC-A5E1-1A4DFFE3E524}"/>
    <cellStyle name="Normal 4 4 4 2 2 3" xfId="5180" xr:uid="{00000000-0005-0000-0000-0000B9150000}"/>
    <cellStyle name="Normal 4 4 4 2 2 3 2" xfId="11064" xr:uid="{8F6CA207-39F7-4F91-ADF1-E8E5066CA2DB}"/>
    <cellStyle name="Normal 4 4 4 2 2 4" xfId="9406" xr:uid="{C4D0AA1B-7D89-42DC-9D33-CE0727ECF7F6}"/>
    <cellStyle name="Normal 4 4 4 2 3" xfId="1285" xr:uid="{00000000-0005-0000-0000-0000BA150000}"/>
    <cellStyle name="Normal 4 4 4 2 3 2" xfId="3515" xr:uid="{00000000-0005-0000-0000-0000BB150000}"/>
    <cellStyle name="Normal 4 4 4 2 3 2 2" xfId="7738" xr:uid="{00000000-0005-0000-0000-0000BC150000}"/>
    <cellStyle name="Normal 4 4 4 2 3 2 3" xfId="11477" xr:uid="{CAA2ADF5-A700-4141-A963-6A67C013F12E}"/>
    <cellStyle name="Normal 4 4 4 2 3 3" xfId="5593" xr:uid="{00000000-0005-0000-0000-0000BD150000}"/>
    <cellStyle name="Normal 4 4 4 2 3 4" xfId="9819" xr:uid="{0C4764D1-68A2-4534-B52B-080439FBC30C}"/>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4 4" xfId="10648" xr:uid="{77744048-D635-4C05-AD9C-340B3607837B}"/>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2 8" xfId="8987" xr:uid="{B2BA6B3D-C07F-4828-85E4-057EEDDBF2DF}"/>
    <cellStyle name="Normal 4 4 4 3" xfId="866" xr:uid="{00000000-0005-0000-0000-0000C9150000}"/>
    <cellStyle name="Normal 4 4 4 3 2" xfId="3101" xr:uid="{00000000-0005-0000-0000-0000CA150000}"/>
    <cellStyle name="Normal 4 4 4 3 2 2" xfId="7324" xr:uid="{00000000-0005-0000-0000-0000CB150000}"/>
    <cellStyle name="Normal 4 4 4 3 2 2 2" xfId="11892" xr:uid="{90080CDD-31F5-46CE-8FCF-6B8E095486A4}"/>
    <cellStyle name="Normal 4 4 4 3 2 3" xfId="10234" xr:uid="{1E9C8DCA-341D-4FA8-9B7D-8935860B3A58}"/>
    <cellStyle name="Normal 4 4 4 3 3" xfId="5179" xr:uid="{00000000-0005-0000-0000-0000CC150000}"/>
    <cellStyle name="Normal 4 4 4 3 3 2" xfId="11063" xr:uid="{5A740875-4B0F-4472-8F64-A9091A6CDC8F}"/>
    <cellStyle name="Normal 4 4 4 3 4" xfId="9405" xr:uid="{742310E9-5019-46B8-99CC-21124B908CA9}"/>
    <cellStyle name="Normal 4 4 4 4" xfId="1284" xr:uid="{00000000-0005-0000-0000-0000CD150000}"/>
    <cellStyle name="Normal 4 4 4 4 2" xfId="3514" xr:uid="{00000000-0005-0000-0000-0000CE150000}"/>
    <cellStyle name="Normal 4 4 4 4 2 2" xfId="7737" xr:uid="{00000000-0005-0000-0000-0000CF150000}"/>
    <cellStyle name="Normal 4 4 4 4 2 3" xfId="11476" xr:uid="{279A1F81-B166-4690-B806-4C52E4CEAF72}"/>
    <cellStyle name="Normal 4 4 4 4 3" xfId="5592" xr:uid="{00000000-0005-0000-0000-0000D0150000}"/>
    <cellStyle name="Normal 4 4 4 4 4" xfId="9818" xr:uid="{28F6D949-4FE8-4CB3-B775-F05CC58851B6}"/>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5 4" xfId="10647" xr:uid="{7B0FD947-15F8-4878-900E-C88722497BCD}"/>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4 9" xfId="8986" xr:uid="{EBAFE13A-D55C-4D6F-990F-9655070B98E9}"/>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1894" xr:uid="{E2022525-7087-4C5E-BF0E-AA0EBD4D3572}"/>
    <cellStyle name="Normal 4 4 5 2 2 3" xfId="10236" xr:uid="{6455A20A-0AC2-4F8C-9A18-A4EBD73874D8}"/>
    <cellStyle name="Normal 4 4 5 2 3" xfId="5181" xr:uid="{00000000-0005-0000-0000-0000E0150000}"/>
    <cellStyle name="Normal 4 4 5 2 3 2" xfId="11065" xr:uid="{138E9807-9302-433D-AF26-1684159B0849}"/>
    <cellStyle name="Normal 4 4 5 2 4" xfId="9407" xr:uid="{124D78AC-6672-4EA8-AEF6-EF46F2A43505}"/>
    <cellStyle name="Normal 4 4 5 3" xfId="1286" xr:uid="{00000000-0005-0000-0000-0000E1150000}"/>
    <cellStyle name="Normal 4 4 5 3 2" xfId="3516" xr:uid="{00000000-0005-0000-0000-0000E2150000}"/>
    <cellStyle name="Normal 4 4 5 3 2 2" xfId="7739" xr:uid="{00000000-0005-0000-0000-0000E3150000}"/>
    <cellStyle name="Normal 4 4 5 3 2 3" xfId="11478" xr:uid="{D37326C3-C602-464E-A27A-E3604EE8AB34}"/>
    <cellStyle name="Normal 4 4 5 3 3" xfId="5594" xr:uid="{00000000-0005-0000-0000-0000E4150000}"/>
    <cellStyle name="Normal 4 4 5 3 4" xfId="9820" xr:uid="{95C4D430-67C0-4D3A-8B50-F9C741CFEDD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4 4" xfId="10649" xr:uid="{2D52F0BF-9471-43BD-AAD3-6948642BD38D}"/>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5 8" xfId="8988" xr:uid="{12C2ECA8-BFAB-4FBC-93AF-7668CCE2899E}"/>
    <cellStyle name="Normal 4 4 6" xfId="853" xr:uid="{00000000-0005-0000-0000-0000F0150000}"/>
    <cellStyle name="Normal 4 4 6 2" xfId="3088" xr:uid="{00000000-0005-0000-0000-0000F1150000}"/>
    <cellStyle name="Normal 4 4 6 2 2" xfId="7311" xr:uid="{00000000-0005-0000-0000-0000F2150000}"/>
    <cellStyle name="Normal 4 4 6 2 2 2" xfId="11879" xr:uid="{11CEB2AD-7FAE-4665-9500-135719C1C2FB}"/>
    <cellStyle name="Normal 4 4 6 2 3" xfId="10221" xr:uid="{9DD7B962-87B0-4B1D-9F1F-088283887D7A}"/>
    <cellStyle name="Normal 4 4 6 3" xfId="5166" xr:uid="{00000000-0005-0000-0000-0000F3150000}"/>
    <cellStyle name="Normal 4 4 6 3 2" xfId="11050" xr:uid="{6A646237-9D5D-4C02-AE5D-9EC93B4E7166}"/>
    <cellStyle name="Normal 4 4 6 4" xfId="9392" xr:uid="{34EF72D7-AA07-4D9B-910F-512D4CCFD416}"/>
    <cellStyle name="Normal 4 4 7" xfId="1271" xr:uid="{00000000-0005-0000-0000-0000F4150000}"/>
    <cellStyle name="Normal 4 4 7 2" xfId="3501" xr:uid="{00000000-0005-0000-0000-0000F5150000}"/>
    <cellStyle name="Normal 4 4 7 2 2" xfId="7724" xr:uid="{00000000-0005-0000-0000-0000F6150000}"/>
    <cellStyle name="Normal 4 4 7 2 3" xfId="11463" xr:uid="{71C16FAB-5886-4E93-8D01-0536199DB517}"/>
    <cellStyle name="Normal 4 4 7 3" xfId="5579" xr:uid="{00000000-0005-0000-0000-0000F7150000}"/>
    <cellStyle name="Normal 4 4 7 4" xfId="9805" xr:uid="{1B09CCCB-C96A-489D-9E46-CBC6A51D72C5}"/>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8 4" xfId="10634" xr:uid="{1252326C-BC52-41FA-9482-B6AAB1BD6F73}"/>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11" xfId="8989" xr:uid="{8DFD4E13-81C0-4C88-859E-2C8E9E2329E5}"/>
    <cellStyle name="Normal 4 6 2" xfId="396" xr:uid="{00000000-0005-0000-0000-000003160000}"/>
    <cellStyle name="Normal 4 6 2 10" xfId="8990" xr:uid="{95BC2B2C-D080-4C89-8990-FF8F0BE286B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1898" xr:uid="{040C07C1-6FD2-4549-B907-C2573EBF77F7}"/>
    <cellStyle name="Normal 4 6 2 2 2 2 2 3" xfId="10240" xr:uid="{5EA34C8C-F97D-467B-87F1-34473F424A49}"/>
    <cellStyle name="Normal 4 6 2 2 2 2 3" xfId="5185" xr:uid="{00000000-0005-0000-0000-000009160000}"/>
    <cellStyle name="Normal 4 6 2 2 2 2 3 2" xfId="11069" xr:uid="{C5767E25-EB64-4B87-8CE6-97D16350B289}"/>
    <cellStyle name="Normal 4 6 2 2 2 2 4" xfId="9411" xr:uid="{055D2B73-C673-4771-A1B9-551877BFDDD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3" xfId="11482" xr:uid="{32C6DAAA-0821-4F41-B012-1FDA7A19F863}"/>
    <cellStyle name="Normal 4 6 2 2 2 3 3" xfId="5598" xr:uid="{00000000-0005-0000-0000-00000D160000}"/>
    <cellStyle name="Normal 4 6 2 2 2 3 4" xfId="9824" xr:uid="{4C0BF984-B550-470F-BC6A-88FC58056915}"/>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4 4" xfId="10653" xr:uid="{67111A49-A886-4E01-B477-F94583093F4A}"/>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2 8" xfId="8992" xr:uid="{D63B7152-C9CF-4BD6-A6ED-81D592329ECC}"/>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1897" xr:uid="{9CC6AC12-283D-44AC-90DD-19EF92A81C92}"/>
    <cellStyle name="Normal 4 6 2 2 3 2 3" xfId="10239" xr:uid="{51869DFB-16A2-4C26-A691-36763AC8BA4D}"/>
    <cellStyle name="Normal 4 6 2 2 3 3" xfId="5184" xr:uid="{00000000-0005-0000-0000-00001C160000}"/>
    <cellStyle name="Normal 4 6 2 2 3 3 2" xfId="11068" xr:uid="{54C0BCA4-C321-4105-BC20-223244B598E6}"/>
    <cellStyle name="Normal 4 6 2 2 3 4" xfId="9410" xr:uid="{028B5C2C-F1E4-4F52-A7AD-A37D98FABDF5}"/>
    <cellStyle name="Normal 4 6 2 2 4" xfId="1289" xr:uid="{00000000-0005-0000-0000-00001D160000}"/>
    <cellStyle name="Normal 4 6 2 2 4 2" xfId="3519" xr:uid="{00000000-0005-0000-0000-00001E160000}"/>
    <cellStyle name="Normal 4 6 2 2 4 2 2" xfId="7742" xr:uid="{00000000-0005-0000-0000-00001F160000}"/>
    <cellStyle name="Normal 4 6 2 2 4 2 3" xfId="11481" xr:uid="{CDF44F6E-AB56-4E5C-AFE7-6E30EA846D31}"/>
    <cellStyle name="Normal 4 6 2 2 4 3" xfId="5597" xr:uid="{00000000-0005-0000-0000-000020160000}"/>
    <cellStyle name="Normal 4 6 2 2 4 4" xfId="9823" xr:uid="{1C248C5A-017B-452D-854B-67C052AC3059}"/>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5 4" xfId="10652" xr:uid="{BBFC2D24-A8B6-497D-9B05-80EA4395477A}"/>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2 9" xfId="8991" xr:uid="{10A0B4C7-E006-4BEC-B2F3-85C3FC555BD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1899" xr:uid="{8981C4AE-D0BE-421E-A073-6BA65E27B1B7}"/>
    <cellStyle name="Normal 4 6 2 3 2 2 3" xfId="10241" xr:uid="{E2DCE8FE-858D-49A4-BB36-DAB99E007D61}"/>
    <cellStyle name="Normal 4 6 2 3 2 3" xfId="5186" xr:uid="{00000000-0005-0000-0000-000030160000}"/>
    <cellStyle name="Normal 4 6 2 3 2 3 2" xfId="11070" xr:uid="{0137E632-6D21-4E1C-82F5-FBAF661F8BE3}"/>
    <cellStyle name="Normal 4 6 2 3 2 4" xfId="9412" xr:uid="{0D618A66-4D25-4A8A-B14A-D4E3C48DF899}"/>
    <cellStyle name="Normal 4 6 2 3 3" xfId="1291" xr:uid="{00000000-0005-0000-0000-000031160000}"/>
    <cellStyle name="Normal 4 6 2 3 3 2" xfId="3521" xr:uid="{00000000-0005-0000-0000-000032160000}"/>
    <cellStyle name="Normal 4 6 2 3 3 2 2" xfId="7744" xr:uid="{00000000-0005-0000-0000-000033160000}"/>
    <cellStyle name="Normal 4 6 2 3 3 2 3" xfId="11483" xr:uid="{7F499C5F-98FE-418C-AA81-9C2E1ECEC006}"/>
    <cellStyle name="Normal 4 6 2 3 3 3" xfId="5599" xr:uid="{00000000-0005-0000-0000-000034160000}"/>
    <cellStyle name="Normal 4 6 2 3 3 4" xfId="9825" xr:uid="{706565EB-49EA-42E2-A662-8750D989A46A}"/>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4 4" xfId="10654" xr:uid="{835A6AB1-D2FA-47F9-AAEA-46A02946278F}"/>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3 8" xfId="8993" xr:uid="{8A7CE601-3CA6-42FE-877A-EA39545A7A70}"/>
    <cellStyle name="Normal 4 6 2 4" xfId="870" xr:uid="{00000000-0005-0000-0000-000040160000}"/>
    <cellStyle name="Normal 4 6 2 4 2" xfId="3105" xr:uid="{00000000-0005-0000-0000-000041160000}"/>
    <cellStyle name="Normal 4 6 2 4 2 2" xfId="7328" xr:uid="{00000000-0005-0000-0000-000042160000}"/>
    <cellStyle name="Normal 4 6 2 4 2 2 2" xfId="11896" xr:uid="{3CA02184-8311-4E8E-A71E-CDCA2A23AAE9}"/>
    <cellStyle name="Normal 4 6 2 4 2 3" xfId="10238" xr:uid="{7CB3A857-A3AC-410B-ACCD-180CED5E0EF6}"/>
    <cellStyle name="Normal 4 6 2 4 3" xfId="5183" xr:uid="{00000000-0005-0000-0000-000043160000}"/>
    <cellStyle name="Normal 4 6 2 4 3 2" xfId="11067" xr:uid="{F2A03E93-17F2-433D-861A-F366910569C5}"/>
    <cellStyle name="Normal 4 6 2 4 4" xfId="9409" xr:uid="{C6E2ED60-A747-4820-963D-4F59CB34EB48}"/>
    <cellStyle name="Normal 4 6 2 5" xfId="1288" xr:uid="{00000000-0005-0000-0000-000044160000}"/>
    <cellStyle name="Normal 4 6 2 5 2" xfId="3518" xr:uid="{00000000-0005-0000-0000-000045160000}"/>
    <cellStyle name="Normal 4 6 2 5 2 2" xfId="7741" xr:uid="{00000000-0005-0000-0000-000046160000}"/>
    <cellStyle name="Normal 4 6 2 5 2 3" xfId="11480" xr:uid="{EAE7392B-43D7-4080-89D1-3535C129972F}"/>
    <cellStyle name="Normal 4 6 2 5 3" xfId="5596" xr:uid="{00000000-0005-0000-0000-000047160000}"/>
    <cellStyle name="Normal 4 6 2 5 4" xfId="9822" xr:uid="{08FA4DD6-4C28-41FD-A627-B416EB25723B}"/>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6 4" xfId="10651" xr:uid="{F22E3EDA-AEC8-4419-BB0B-462FBA1D7DB2}"/>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1901" xr:uid="{7F351713-DF8F-4425-8461-40B25199F650}"/>
    <cellStyle name="Normal 4 6 3 2 2 2 3" xfId="10243" xr:uid="{4BB658B1-52C5-46CC-B562-AD257C386B3C}"/>
    <cellStyle name="Normal 4 6 3 2 2 3" xfId="5188" xr:uid="{00000000-0005-0000-0000-000058160000}"/>
    <cellStyle name="Normal 4 6 3 2 2 3 2" xfId="11072" xr:uid="{1BCA87BA-B8BF-4979-A8E4-2A7FDE500486}"/>
    <cellStyle name="Normal 4 6 3 2 2 4" xfId="9414" xr:uid="{183BFED5-B540-4B53-8A7D-D18F3602CCB8}"/>
    <cellStyle name="Normal 4 6 3 2 3" xfId="1293" xr:uid="{00000000-0005-0000-0000-000059160000}"/>
    <cellStyle name="Normal 4 6 3 2 3 2" xfId="3523" xr:uid="{00000000-0005-0000-0000-00005A160000}"/>
    <cellStyle name="Normal 4 6 3 2 3 2 2" xfId="7746" xr:uid="{00000000-0005-0000-0000-00005B160000}"/>
    <cellStyle name="Normal 4 6 3 2 3 2 3" xfId="11485" xr:uid="{4AD66293-841B-4782-94EC-D3F9AC1F7925}"/>
    <cellStyle name="Normal 4 6 3 2 3 3" xfId="5601" xr:uid="{00000000-0005-0000-0000-00005C160000}"/>
    <cellStyle name="Normal 4 6 3 2 3 4" xfId="9827" xr:uid="{A92891FC-66E9-488F-9F8C-7B8AAF33F733}"/>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4 4" xfId="10656" xr:uid="{B87DE27E-A204-4545-8245-7F79042000E6}"/>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2 8" xfId="8995" xr:uid="{DADA1722-7C6B-4230-B84A-8AC7F4A8D726}"/>
    <cellStyle name="Normal 4 6 3 3" xfId="874" xr:uid="{00000000-0005-0000-0000-000068160000}"/>
    <cellStyle name="Normal 4 6 3 3 2" xfId="3109" xr:uid="{00000000-0005-0000-0000-000069160000}"/>
    <cellStyle name="Normal 4 6 3 3 2 2" xfId="7332" xr:uid="{00000000-0005-0000-0000-00006A160000}"/>
    <cellStyle name="Normal 4 6 3 3 2 2 2" xfId="11900" xr:uid="{81080265-3531-4095-AE9E-D85A092D3F41}"/>
    <cellStyle name="Normal 4 6 3 3 2 3" xfId="10242" xr:uid="{04CA286C-F324-4ED5-BA17-316EB3D24DFB}"/>
    <cellStyle name="Normal 4 6 3 3 3" xfId="5187" xr:uid="{00000000-0005-0000-0000-00006B160000}"/>
    <cellStyle name="Normal 4 6 3 3 3 2" xfId="11071" xr:uid="{F2354A2B-DAB9-48C3-820D-D13BD8C1B4FE}"/>
    <cellStyle name="Normal 4 6 3 3 4" xfId="9413" xr:uid="{605734E5-72ED-47A5-9D23-6398410A34B3}"/>
    <cellStyle name="Normal 4 6 3 4" xfId="1292" xr:uid="{00000000-0005-0000-0000-00006C160000}"/>
    <cellStyle name="Normal 4 6 3 4 2" xfId="3522" xr:uid="{00000000-0005-0000-0000-00006D160000}"/>
    <cellStyle name="Normal 4 6 3 4 2 2" xfId="7745" xr:uid="{00000000-0005-0000-0000-00006E160000}"/>
    <cellStyle name="Normal 4 6 3 4 2 3" xfId="11484" xr:uid="{03782685-128C-4E24-8E8C-1FA0D0B83CED}"/>
    <cellStyle name="Normal 4 6 3 4 3" xfId="5600" xr:uid="{00000000-0005-0000-0000-00006F160000}"/>
    <cellStyle name="Normal 4 6 3 4 4" xfId="9826" xr:uid="{9D788C17-2F84-4D91-963F-023A35900579}"/>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5 4" xfId="10655" xr:uid="{66E7F1C1-7DD4-440D-9A34-2017486F14B1}"/>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3 9" xfId="8994" xr:uid="{A6964734-007B-4408-97C8-2E4DB0EDCD8E}"/>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1902" xr:uid="{3E505ACF-C7DF-4E52-9C88-24B01E919BC1}"/>
    <cellStyle name="Normal 4 6 4 2 2 3" xfId="10244" xr:uid="{52E57B19-6903-456F-8E1A-D15940F4C694}"/>
    <cellStyle name="Normal 4 6 4 2 3" xfId="5189" xr:uid="{00000000-0005-0000-0000-00007F160000}"/>
    <cellStyle name="Normal 4 6 4 2 3 2" xfId="11073" xr:uid="{3E0A9453-4D32-49C6-BD6A-DAFD54EB21AA}"/>
    <cellStyle name="Normal 4 6 4 2 4" xfId="9415" xr:uid="{6819C978-66FD-4CA5-A239-4536BF53624A}"/>
    <cellStyle name="Normal 4 6 4 3" xfId="1294" xr:uid="{00000000-0005-0000-0000-000080160000}"/>
    <cellStyle name="Normal 4 6 4 3 2" xfId="3524" xr:uid="{00000000-0005-0000-0000-000081160000}"/>
    <cellStyle name="Normal 4 6 4 3 2 2" xfId="7747" xr:uid="{00000000-0005-0000-0000-000082160000}"/>
    <cellStyle name="Normal 4 6 4 3 2 3" xfId="11486" xr:uid="{60ECB3E0-A1EE-4C62-BEEC-D7F001F9CAA2}"/>
    <cellStyle name="Normal 4 6 4 3 3" xfId="5602" xr:uid="{00000000-0005-0000-0000-000083160000}"/>
    <cellStyle name="Normal 4 6 4 3 4" xfId="9828" xr:uid="{64BEE089-C417-4884-9C8D-FE92CAFFBF35}"/>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4 4" xfId="10657" xr:uid="{712A4B1B-C521-482A-9373-40BC4625931A}"/>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4 8" xfId="8996" xr:uid="{B2D47FEC-F64A-402C-ADE7-C0B27DA918F4}"/>
    <cellStyle name="Normal 4 6 5" xfId="869" xr:uid="{00000000-0005-0000-0000-00008F160000}"/>
    <cellStyle name="Normal 4 6 5 2" xfId="3104" xr:uid="{00000000-0005-0000-0000-000090160000}"/>
    <cellStyle name="Normal 4 6 5 2 2" xfId="7327" xr:uid="{00000000-0005-0000-0000-000091160000}"/>
    <cellStyle name="Normal 4 6 5 2 2 2" xfId="11895" xr:uid="{0577DD33-1628-42CB-A3FB-CC7822E1EDA8}"/>
    <cellStyle name="Normal 4 6 5 2 3" xfId="10237" xr:uid="{C42365F9-6416-4B10-9BC9-76568BA85A4E}"/>
    <cellStyle name="Normal 4 6 5 3" xfId="5182" xr:uid="{00000000-0005-0000-0000-000092160000}"/>
    <cellStyle name="Normal 4 6 5 3 2" xfId="11066" xr:uid="{30C32F29-927B-45DF-BFFB-159DF2AD15AF}"/>
    <cellStyle name="Normal 4 6 5 4" xfId="9408" xr:uid="{2862C396-0FFE-4597-B5C5-430B3819F404}"/>
    <cellStyle name="Normal 4 6 6" xfId="1287" xr:uid="{00000000-0005-0000-0000-000093160000}"/>
    <cellStyle name="Normal 4 6 6 2" xfId="3517" xr:uid="{00000000-0005-0000-0000-000094160000}"/>
    <cellStyle name="Normal 4 6 6 2 2" xfId="7740" xr:uid="{00000000-0005-0000-0000-000095160000}"/>
    <cellStyle name="Normal 4 6 6 2 3" xfId="11479" xr:uid="{20FE96D5-18F1-4F49-96C9-5822EBA87895}"/>
    <cellStyle name="Normal 4 6 6 3" xfId="5595" xr:uid="{00000000-0005-0000-0000-000096160000}"/>
    <cellStyle name="Normal 4 6 6 4" xfId="9821" xr:uid="{4F2F6B12-5867-4C34-B05F-39462D6B10CB}"/>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7 4" xfId="10650" xr:uid="{38F28FA4-D854-4AC8-AD3B-F1EFF3D3DE2E}"/>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1904" xr:uid="{4E233806-F895-4E17-935D-88E3A9E31559}"/>
    <cellStyle name="Normal 4 7 2 2 2 3" xfId="10246" xr:uid="{F5148E0E-C8D7-409D-9DA4-243A13E9528B}"/>
    <cellStyle name="Normal 4 7 2 2 3" xfId="5191" xr:uid="{00000000-0005-0000-0000-0000A6160000}"/>
    <cellStyle name="Normal 4 7 2 2 3 2" xfId="11075" xr:uid="{7539EBB3-3CF2-489A-9E51-560784D5F349}"/>
    <cellStyle name="Normal 4 7 2 2 4" xfId="9417" xr:uid="{EE24969F-1137-4DD5-8046-5450E61B6C7A}"/>
    <cellStyle name="Normal 4 7 2 3" xfId="1296" xr:uid="{00000000-0005-0000-0000-0000A7160000}"/>
    <cellStyle name="Normal 4 7 2 3 2" xfId="3526" xr:uid="{00000000-0005-0000-0000-0000A8160000}"/>
    <cellStyle name="Normal 4 7 2 3 2 2" xfId="7749" xr:uid="{00000000-0005-0000-0000-0000A9160000}"/>
    <cellStyle name="Normal 4 7 2 3 2 3" xfId="11488" xr:uid="{9CB156D2-8791-492A-BC67-DDB43F8C2DB6}"/>
    <cellStyle name="Normal 4 7 2 3 3" xfId="5604" xr:uid="{00000000-0005-0000-0000-0000AA160000}"/>
    <cellStyle name="Normal 4 7 2 3 4" xfId="9830" xr:uid="{CDDF657F-5D66-4739-A11D-D3E3968AADE8}"/>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4 4" xfId="10659" xr:uid="{E5F8891F-504E-4619-AA46-A7B3D874EBAA}"/>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2 8" xfId="8998" xr:uid="{1F55D4F4-1A45-4854-B653-0AD2BABC2F77}"/>
    <cellStyle name="Normal 4 7 3" xfId="877" xr:uid="{00000000-0005-0000-0000-0000B6160000}"/>
    <cellStyle name="Normal 4 7 3 2" xfId="3112" xr:uid="{00000000-0005-0000-0000-0000B7160000}"/>
    <cellStyle name="Normal 4 7 3 2 2" xfId="7335" xr:uid="{00000000-0005-0000-0000-0000B8160000}"/>
    <cellStyle name="Normal 4 7 3 2 2 2" xfId="11903" xr:uid="{696BEF23-7177-4451-A71B-BBB20D00FAFD}"/>
    <cellStyle name="Normal 4 7 3 2 3" xfId="10245" xr:uid="{9FBB33DB-90B4-43A6-B022-2AA37249A0DD}"/>
    <cellStyle name="Normal 4 7 3 3" xfId="5190" xr:uid="{00000000-0005-0000-0000-0000B9160000}"/>
    <cellStyle name="Normal 4 7 3 3 2" xfId="11074" xr:uid="{F63E8700-2A82-4558-88C8-0A99AA5C6E67}"/>
    <cellStyle name="Normal 4 7 3 4" xfId="9416" xr:uid="{D577C794-D150-43CC-A717-D5EE180D4248}"/>
    <cellStyle name="Normal 4 7 4" xfId="1295" xr:uid="{00000000-0005-0000-0000-0000BA160000}"/>
    <cellStyle name="Normal 4 7 4 2" xfId="3525" xr:uid="{00000000-0005-0000-0000-0000BB160000}"/>
    <cellStyle name="Normal 4 7 4 2 2" xfId="7748" xr:uid="{00000000-0005-0000-0000-0000BC160000}"/>
    <cellStyle name="Normal 4 7 4 2 3" xfId="11487" xr:uid="{2AAF6115-51CD-4DEB-84EE-0CA1E5328846}"/>
    <cellStyle name="Normal 4 7 4 3" xfId="5603" xr:uid="{00000000-0005-0000-0000-0000BD160000}"/>
    <cellStyle name="Normal 4 7 4 4" xfId="9829" xr:uid="{D99ED945-1A9F-4DAA-80A1-FC109BCA5C88}"/>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5 4" xfId="10658" xr:uid="{CEF82262-F0DE-421B-87A0-1439F1AB409B}"/>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7 9" xfId="8997" xr:uid="{88628E1B-7334-4761-BDA2-994297611911}"/>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1905" xr:uid="{0479668E-E05D-4331-A40B-59CB82DE368E}"/>
    <cellStyle name="Normal 4 8 2 2 3" xfId="10247" xr:uid="{135E48E5-A995-4D3F-AB39-026821772BC3}"/>
    <cellStyle name="Normal 4 8 2 3" xfId="5192" xr:uid="{00000000-0005-0000-0000-0000CD160000}"/>
    <cellStyle name="Normal 4 8 2 3 2" xfId="11076" xr:uid="{87723709-30F2-4933-B409-C6B9A825D61D}"/>
    <cellStyle name="Normal 4 8 2 4" xfId="9418" xr:uid="{DEB99D59-BBE3-4D2D-90DF-7ED244EC179C}"/>
    <cellStyle name="Normal 4 8 3" xfId="1297" xr:uid="{00000000-0005-0000-0000-0000CE160000}"/>
    <cellStyle name="Normal 4 8 3 2" xfId="3527" xr:uid="{00000000-0005-0000-0000-0000CF160000}"/>
    <cellStyle name="Normal 4 8 3 2 2" xfId="7750" xr:uid="{00000000-0005-0000-0000-0000D0160000}"/>
    <cellStyle name="Normal 4 8 3 2 3" xfId="11489" xr:uid="{5A911FE1-4B71-43DD-A89B-C6E893622495}"/>
    <cellStyle name="Normal 4 8 3 3" xfId="5605" xr:uid="{00000000-0005-0000-0000-0000D1160000}"/>
    <cellStyle name="Normal 4 8 3 4" xfId="9831" xr:uid="{3DFF3DF0-7AC1-4BA1-B046-DBD388F9D7A9}"/>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4 4" xfId="10660" xr:uid="{8F5CE679-C780-4DE4-B46C-B8AEE1BCFD64}"/>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8 8" xfId="8999" xr:uid="{862C489E-958E-41BB-A864-577E93DBC2B4}"/>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0 4" xfId="10661" xr:uid="{0748144D-CD22-4472-96E1-19D6A0BF349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14" xfId="9000" xr:uid="{1FE1A32A-1B95-44D4-AB71-7B0875192E5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13" xfId="9001" xr:uid="{0274CFBF-B37C-4D8F-AC28-7E764BAB3D66}"/>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12" xfId="9002" xr:uid="{0F9F446E-B81D-430E-9A75-A6E14CE0CF47}"/>
    <cellStyle name="Normal 5 2 2 2" xfId="409" xr:uid="{00000000-0005-0000-0000-0000F6160000}"/>
    <cellStyle name="Normal 5 2 2 2 10" xfId="4783" xr:uid="{00000000-0005-0000-0000-0000F7160000}"/>
    <cellStyle name="Normal 5 2 2 2 11" xfId="9003" xr:uid="{6F0EDDAB-7D55-4CE2-A2FB-D6299704C532}"/>
    <cellStyle name="Normal 5 2 2 2 2" xfId="410" xr:uid="{00000000-0005-0000-0000-0000F8160000}"/>
    <cellStyle name="Normal 5 2 2 2 2 10" xfId="9004" xr:uid="{68D5A8A5-F675-4160-8658-4581FC85FB6A}"/>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1912" xr:uid="{31B4CAB4-9053-4558-B332-370E02F53D96}"/>
    <cellStyle name="Normal 5 2 2 2 2 2 2 2 2 3" xfId="10254" xr:uid="{B5FC775B-BAA9-46DA-BEF7-BC9BF92D2C83}"/>
    <cellStyle name="Normal 5 2 2 2 2 2 2 2 3" xfId="5199" xr:uid="{00000000-0005-0000-0000-0000FE160000}"/>
    <cellStyle name="Normal 5 2 2 2 2 2 2 2 3 2" xfId="11083" xr:uid="{B47E5893-EFA9-4871-B5A3-72898EE81BAE}"/>
    <cellStyle name="Normal 5 2 2 2 2 2 2 2 4" xfId="9425" xr:uid="{634C713A-D2F1-4D7A-919B-893CAF12ECD1}"/>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3" xfId="11496" xr:uid="{DDEDC364-8097-40CE-8F32-25AFAF07210D}"/>
    <cellStyle name="Normal 5 2 2 2 2 2 2 3 3" xfId="5612" xr:uid="{00000000-0005-0000-0000-000002170000}"/>
    <cellStyle name="Normal 5 2 2 2 2 2 2 3 4" xfId="9838" xr:uid="{BFE37B9F-13C4-4DC6-B3AB-AE27150EDE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4 4" xfId="10667" xr:uid="{229BAA0F-7E49-486D-8C1E-8F264190E9F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2 8" xfId="9006" xr:uid="{30F2F012-915F-40BD-B8D6-2E4A1135B3E9}"/>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1911" xr:uid="{4DF65CBA-371F-4D3B-92FA-615748B7710E}"/>
    <cellStyle name="Normal 5 2 2 2 2 2 3 2 3" xfId="10253" xr:uid="{66CB4C45-5852-480C-AC36-FD54928D0D7F}"/>
    <cellStyle name="Normal 5 2 2 2 2 2 3 3" xfId="5198" xr:uid="{00000000-0005-0000-0000-000011170000}"/>
    <cellStyle name="Normal 5 2 2 2 2 2 3 3 2" xfId="11082" xr:uid="{DCF72290-E2D9-412D-BDC4-B1724ED2087C}"/>
    <cellStyle name="Normal 5 2 2 2 2 2 3 4" xfId="9424" xr:uid="{A678B49A-D9E0-4410-A57C-C9832D8C32A6}"/>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3" xfId="11495" xr:uid="{422756B7-7DB8-4760-BD49-9B14D3B824F3}"/>
    <cellStyle name="Normal 5 2 2 2 2 2 4 3" xfId="5611" xr:uid="{00000000-0005-0000-0000-000015170000}"/>
    <cellStyle name="Normal 5 2 2 2 2 2 4 4" xfId="9837" xr:uid="{15967352-E79C-449B-9889-1875F3339E06}"/>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5 4" xfId="10666" xr:uid="{CC921EC2-2BF7-470D-9926-2971C8796ED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2 9" xfId="9005" xr:uid="{B505EF4D-5587-4B48-AA6B-0B2E80DC666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1913" xr:uid="{98BB7510-FAF1-4289-A875-E3777D273200}"/>
    <cellStyle name="Normal 5 2 2 2 2 3 2 2 3" xfId="10255" xr:uid="{0CC2F968-DB62-40A7-9CE0-70F566D6151E}"/>
    <cellStyle name="Normal 5 2 2 2 2 3 2 3" xfId="5200" xr:uid="{00000000-0005-0000-0000-000025170000}"/>
    <cellStyle name="Normal 5 2 2 2 2 3 2 3 2" xfId="11084" xr:uid="{922C2CB0-70B4-4227-854F-8488115E7B4C}"/>
    <cellStyle name="Normal 5 2 2 2 2 3 2 4" xfId="9426" xr:uid="{884E5CD5-76B5-42ED-9774-F43803F5BDA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3" xfId="11497" xr:uid="{D17A2B93-982E-4F99-99FA-76BD27925BFA}"/>
    <cellStyle name="Normal 5 2 2 2 2 3 3 3" xfId="5613" xr:uid="{00000000-0005-0000-0000-000029170000}"/>
    <cellStyle name="Normal 5 2 2 2 2 3 3 4" xfId="9839" xr:uid="{6E0EF7F4-7CCC-49FD-8F4C-0F97D271AA39}"/>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4 4" xfId="10668" xr:uid="{9E993628-62B0-4271-A736-281B7F32C356}"/>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3 8" xfId="9007" xr:uid="{80734C8D-8BA1-4FC6-B090-75265DFA884B}"/>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1910" xr:uid="{A2E3F56A-3FC0-41D2-B0EF-4CF662BEFB7A}"/>
    <cellStyle name="Normal 5 2 2 2 2 4 2 3" xfId="10252" xr:uid="{1D450C08-4351-499F-A00C-5E2C61025C56}"/>
    <cellStyle name="Normal 5 2 2 2 2 4 3" xfId="5197" xr:uid="{00000000-0005-0000-0000-000038170000}"/>
    <cellStyle name="Normal 5 2 2 2 2 4 3 2" xfId="11081" xr:uid="{DE8C55D4-A065-4EB2-B32B-82D624E038D5}"/>
    <cellStyle name="Normal 5 2 2 2 2 4 4" xfId="9423" xr:uid="{C1BA295F-5BAE-46F4-8227-14988198CABB}"/>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3" xfId="11494" xr:uid="{06915A5D-28C1-42D1-AB07-B98171306C37}"/>
    <cellStyle name="Normal 5 2 2 2 2 5 3" xfId="5610" xr:uid="{00000000-0005-0000-0000-00003C170000}"/>
    <cellStyle name="Normal 5 2 2 2 2 5 4" xfId="9836" xr:uid="{D1A70AB5-468A-4672-AFD0-75163D4E84CA}"/>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6 4" xfId="10665" xr:uid="{2F923D77-5DA9-4851-94B4-2474E666028E}"/>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1915" xr:uid="{2AD3B475-F566-4F8D-9FC6-E994CFCA226D}"/>
    <cellStyle name="Normal 5 2 2 2 3 2 2 2 3" xfId="10257" xr:uid="{906FF83E-4E4B-41C4-83FF-7AC0C9E1491B}"/>
    <cellStyle name="Normal 5 2 2 2 3 2 2 3" xfId="5202" xr:uid="{00000000-0005-0000-0000-00004D170000}"/>
    <cellStyle name="Normal 5 2 2 2 3 2 2 3 2" xfId="11086" xr:uid="{3AEFDD38-4589-49F1-A384-A65E4B7C95DC}"/>
    <cellStyle name="Normal 5 2 2 2 3 2 2 4" xfId="9428" xr:uid="{65FD11CF-078E-426E-8595-D6EDD517E445}"/>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3" xfId="11499" xr:uid="{E149B447-1E5A-4906-BF95-D4C9976EA102}"/>
    <cellStyle name="Normal 5 2 2 2 3 2 3 3" xfId="5615" xr:uid="{00000000-0005-0000-0000-000051170000}"/>
    <cellStyle name="Normal 5 2 2 2 3 2 3 4" xfId="9841" xr:uid="{1C2895FD-9E65-4C73-A8C1-F174906DB90E}"/>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4 4" xfId="10670" xr:uid="{E091A9FA-2C46-4416-BD11-F2E4D06DB881}"/>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2 8" xfId="9009" xr:uid="{391B433C-DBF0-4DC3-BE86-3EC54BE613B1}"/>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1914" xr:uid="{FE4870DF-74F0-40F8-A89D-2DD2B4EE1DE0}"/>
    <cellStyle name="Normal 5 2 2 2 3 3 2 3" xfId="10256" xr:uid="{881721FA-A118-4B01-A253-A577F9B137D7}"/>
    <cellStyle name="Normal 5 2 2 2 3 3 3" xfId="5201" xr:uid="{00000000-0005-0000-0000-000060170000}"/>
    <cellStyle name="Normal 5 2 2 2 3 3 3 2" xfId="11085" xr:uid="{0ED665A4-CE1E-4D0F-825C-4CC79747222D}"/>
    <cellStyle name="Normal 5 2 2 2 3 3 4" xfId="9427" xr:uid="{18909B72-F862-4375-863A-5BA1FA0E4F44}"/>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3" xfId="11498" xr:uid="{6A92F501-0D84-4CC8-9C37-6418CD09EAAA}"/>
    <cellStyle name="Normal 5 2 2 2 3 4 3" xfId="5614" xr:uid="{00000000-0005-0000-0000-000064170000}"/>
    <cellStyle name="Normal 5 2 2 2 3 4 4" xfId="9840" xr:uid="{6B83D4D5-B30E-42D7-A81D-F8D732DD6C4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5 4" xfId="10669" xr:uid="{114D957A-6A48-4658-BF1B-27AE3A04BCCA}"/>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3 9" xfId="9008" xr:uid="{B42B5DE6-FC24-41FB-AC4A-D70384AC28FD}"/>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1916" xr:uid="{770CAC5A-ADFC-433C-BEB8-BDE1E65B8F24}"/>
    <cellStyle name="Normal 5 2 2 2 4 2 2 3" xfId="10258" xr:uid="{C0EA1F12-838B-4325-AF09-2EFB6798E00F}"/>
    <cellStyle name="Normal 5 2 2 2 4 2 3" xfId="5203" xr:uid="{00000000-0005-0000-0000-000074170000}"/>
    <cellStyle name="Normal 5 2 2 2 4 2 3 2" xfId="11087" xr:uid="{927960FD-2EC5-46F2-A82B-4E470FE15CB3}"/>
    <cellStyle name="Normal 5 2 2 2 4 2 4" xfId="9429" xr:uid="{553851B9-E752-4237-8F5E-225EA0BE74B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3" xfId="11500" xr:uid="{28624D84-3CC1-467C-9588-45EE0DE9ED4C}"/>
    <cellStyle name="Normal 5 2 2 2 4 3 3" xfId="5616" xr:uid="{00000000-0005-0000-0000-000078170000}"/>
    <cellStyle name="Normal 5 2 2 2 4 3 4" xfId="9842" xr:uid="{32F065CA-CD08-4877-B099-AA558701CBC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4 4" xfId="10671" xr:uid="{896E0914-846D-4796-B5A9-9D4501FE828E}"/>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4 8" xfId="9010" xr:uid="{2BBEC75A-7408-4F13-BF86-ED1B85B7EA51}"/>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1909" xr:uid="{BB40A604-FFF3-4E51-887F-8DAF678FB47E}"/>
    <cellStyle name="Normal 5 2 2 2 5 2 3" xfId="10251" xr:uid="{B2B35118-3DE2-4B80-995C-1F3BD9E63DA5}"/>
    <cellStyle name="Normal 5 2 2 2 5 3" xfId="5196" xr:uid="{00000000-0005-0000-0000-000087170000}"/>
    <cellStyle name="Normal 5 2 2 2 5 3 2" xfId="11080" xr:uid="{CE3467FB-6E85-4C20-A450-2AD968FD2A0D}"/>
    <cellStyle name="Normal 5 2 2 2 5 4" xfId="9422" xr:uid="{87A2D9BB-1DF8-4223-A129-6BA3A62A0FAA}"/>
    <cellStyle name="Normal 5 2 2 2 6" xfId="1301" xr:uid="{00000000-0005-0000-0000-000088170000}"/>
    <cellStyle name="Normal 5 2 2 2 6 2" xfId="3531" xr:uid="{00000000-0005-0000-0000-000089170000}"/>
    <cellStyle name="Normal 5 2 2 2 6 2 2" xfId="7754" xr:uid="{00000000-0005-0000-0000-00008A170000}"/>
    <cellStyle name="Normal 5 2 2 2 6 2 3" xfId="11493" xr:uid="{AE3EC3E9-CF9A-4A7D-8611-96A8D4970A52}"/>
    <cellStyle name="Normal 5 2 2 2 6 3" xfId="5609" xr:uid="{00000000-0005-0000-0000-00008B170000}"/>
    <cellStyle name="Normal 5 2 2 2 6 4" xfId="9835" xr:uid="{3883A943-F422-4B44-A289-9554B26D9AC7}"/>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7 4" xfId="10664" xr:uid="{26919452-40A5-45AC-9A9A-12BC427A84E2}"/>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10" xfId="9011" xr:uid="{03AB658D-131D-45CB-A6A3-E54A4309610F}"/>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1919" xr:uid="{13B31826-E83A-419C-8AC2-2893E393C432}"/>
    <cellStyle name="Normal 5 2 2 3 2 2 2 2 3" xfId="10261" xr:uid="{72DCA0D2-6CD1-4953-86E6-F0EFAC625DC1}"/>
    <cellStyle name="Normal 5 2 2 3 2 2 2 3" xfId="5206" xr:uid="{00000000-0005-0000-0000-00009C170000}"/>
    <cellStyle name="Normal 5 2 2 3 2 2 2 3 2" xfId="11090" xr:uid="{56C21BAD-7557-4A2C-A8A7-32DF40FED18D}"/>
    <cellStyle name="Normal 5 2 2 3 2 2 2 4" xfId="9432" xr:uid="{EA089ECC-513A-4320-BF5C-B261A90D6A6C}"/>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3" xfId="11503" xr:uid="{1B65C9C9-5630-4D03-BC70-5BC6036B5614}"/>
    <cellStyle name="Normal 5 2 2 3 2 2 3 3" xfId="5619" xr:uid="{00000000-0005-0000-0000-0000A0170000}"/>
    <cellStyle name="Normal 5 2 2 3 2 2 3 4" xfId="9845" xr:uid="{F042E606-45D1-402B-B0C3-ED3307B25F3C}"/>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4 4" xfId="10674" xr:uid="{E31B4D31-6D99-4D5E-B6DD-32F3B4EDBEC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2 8" xfId="9013" xr:uid="{5996467D-CA9B-4F70-83B6-3D291C766DFC}"/>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1918" xr:uid="{D62DCD7E-F282-4565-A825-6B3B268E229A}"/>
    <cellStyle name="Normal 5 2 2 3 2 3 2 3" xfId="10260" xr:uid="{CE7DABA0-C9ED-41AB-9FA6-9BE7196CE3EA}"/>
    <cellStyle name="Normal 5 2 2 3 2 3 3" xfId="5205" xr:uid="{00000000-0005-0000-0000-0000AF170000}"/>
    <cellStyle name="Normal 5 2 2 3 2 3 3 2" xfId="11089" xr:uid="{AA0E7EB9-4B7C-40BE-A105-68A0645B3400}"/>
    <cellStyle name="Normal 5 2 2 3 2 3 4" xfId="9431" xr:uid="{2ACDC9AB-422B-4222-BDE4-CCCAE065DF2C}"/>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3" xfId="11502" xr:uid="{26C5DBAE-E313-41E0-8CB6-7803BFC6462B}"/>
    <cellStyle name="Normal 5 2 2 3 2 4 3" xfId="5618" xr:uid="{00000000-0005-0000-0000-0000B3170000}"/>
    <cellStyle name="Normal 5 2 2 3 2 4 4" xfId="9844" xr:uid="{646474E4-9A64-4C4B-BC64-DBA868895B02}"/>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5 4" xfId="10673" xr:uid="{EBFC3C92-AB7C-4BB0-B75B-4F6F5F3BC18D}"/>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2 9" xfId="9012" xr:uid="{AA691278-8068-4D5D-9BDB-2AD28E74378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1920" xr:uid="{58031A1A-226A-4F0C-BBE4-27B8C736ADA5}"/>
    <cellStyle name="Normal 5 2 2 3 3 2 2 3" xfId="10262" xr:uid="{69D8D11D-B232-4E72-91AC-3C950F999D41}"/>
    <cellStyle name="Normal 5 2 2 3 3 2 3" xfId="5207" xr:uid="{00000000-0005-0000-0000-0000C3170000}"/>
    <cellStyle name="Normal 5 2 2 3 3 2 3 2" xfId="11091" xr:uid="{B2C22F4B-CFE5-40B6-A02C-DBC47DA6A24D}"/>
    <cellStyle name="Normal 5 2 2 3 3 2 4" xfId="9433" xr:uid="{8873875A-C8B6-461A-9F6B-A011BBF595C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3" xfId="11504" xr:uid="{4978B064-E537-4026-8C5F-0FF07DB3022C}"/>
    <cellStyle name="Normal 5 2 2 3 3 3 3" xfId="5620" xr:uid="{00000000-0005-0000-0000-0000C7170000}"/>
    <cellStyle name="Normal 5 2 2 3 3 3 4" xfId="9846" xr:uid="{18C3D3F8-D026-4428-B52A-06FEBAFDFD1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4 4" xfId="10675" xr:uid="{FE49F524-B567-4B3E-AFC1-984A9CE2B96F}"/>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3 8" xfId="9014" xr:uid="{AA33316B-FB1B-4617-91E5-F3D538ACD1B5}"/>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1917" xr:uid="{2BC5352E-108F-4590-BDAA-F2399426773B}"/>
    <cellStyle name="Normal 5 2 2 3 4 2 3" xfId="10259" xr:uid="{E4603480-C023-4A9D-849E-FC1A6DB75C9B}"/>
    <cellStyle name="Normal 5 2 2 3 4 3" xfId="5204" xr:uid="{00000000-0005-0000-0000-0000D6170000}"/>
    <cellStyle name="Normal 5 2 2 3 4 3 2" xfId="11088" xr:uid="{81F77ED7-4824-47C1-AF3B-F034FBD49816}"/>
    <cellStyle name="Normal 5 2 2 3 4 4" xfId="9430" xr:uid="{D8753995-5E0D-4903-86F5-5F61F6233D7D}"/>
    <cellStyle name="Normal 5 2 2 3 5" xfId="1309" xr:uid="{00000000-0005-0000-0000-0000D7170000}"/>
    <cellStyle name="Normal 5 2 2 3 5 2" xfId="3539" xr:uid="{00000000-0005-0000-0000-0000D8170000}"/>
    <cellStyle name="Normal 5 2 2 3 5 2 2" xfId="7762" xr:uid="{00000000-0005-0000-0000-0000D9170000}"/>
    <cellStyle name="Normal 5 2 2 3 5 2 3" xfId="11501" xr:uid="{9D59748B-3C81-4C5B-90B4-A769DF8F3A8B}"/>
    <cellStyle name="Normal 5 2 2 3 5 3" xfId="5617" xr:uid="{00000000-0005-0000-0000-0000DA170000}"/>
    <cellStyle name="Normal 5 2 2 3 5 4" xfId="9843" xr:uid="{36841B67-64DF-4B0E-892F-3BF3BD6AAACE}"/>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6 4" xfId="10672" xr:uid="{2C863DE8-8CA7-4437-8A11-88BE4463B319}"/>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1922" xr:uid="{50F73A5D-E8D2-40BF-A40F-913BE6C076B3}"/>
    <cellStyle name="Normal 5 2 2 4 2 2 2 3" xfId="10264" xr:uid="{E168D14E-D03D-448B-884B-423C42763FE6}"/>
    <cellStyle name="Normal 5 2 2 4 2 2 3" xfId="5209" xr:uid="{00000000-0005-0000-0000-0000EB170000}"/>
    <cellStyle name="Normal 5 2 2 4 2 2 3 2" xfId="11093" xr:uid="{6F33CF76-210A-4306-83A6-19AE67D6E56E}"/>
    <cellStyle name="Normal 5 2 2 4 2 2 4" xfId="9435" xr:uid="{90717037-6368-4FFD-BE7A-17B5FE68F5B9}"/>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3" xfId="11506" xr:uid="{2C5CB674-A73E-4036-90C8-CC76F1DEF472}"/>
    <cellStyle name="Normal 5 2 2 4 2 3 3" xfId="5622" xr:uid="{00000000-0005-0000-0000-0000EF170000}"/>
    <cellStyle name="Normal 5 2 2 4 2 3 4" xfId="9848" xr:uid="{7310768D-8E95-4C0A-8DB6-4AEB43F468F2}"/>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4 4" xfId="10677" xr:uid="{4FA3CF59-2CBD-4979-A2DF-1B1CEEDACB45}"/>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2 8" xfId="9016" xr:uid="{B2BB397D-9908-40D2-A890-49FCF37704C4}"/>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1921" xr:uid="{B0A69040-6463-41B1-A622-A68EE87D82AE}"/>
    <cellStyle name="Normal 5 2 2 4 3 2 3" xfId="10263" xr:uid="{7F1B17F1-B7F1-429A-91BD-A62AAE5E44C3}"/>
    <cellStyle name="Normal 5 2 2 4 3 3" xfId="5208" xr:uid="{00000000-0005-0000-0000-0000FE170000}"/>
    <cellStyle name="Normal 5 2 2 4 3 3 2" xfId="11092" xr:uid="{79682F83-978D-4F5C-A191-DD878BED105D}"/>
    <cellStyle name="Normal 5 2 2 4 3 4" xfId="9434" xr:uid="{09301DE8-D5BC-41DC-B792-DD6E554304C5}"/>
    <cellStyle name="Normal 5 2 2 4 4" xfId="1313" xr:uid="{00000000-0005-0000-0000-0000FF170000}"/>
    <cellStyle name="Normal 5 2 2 4 4 2" xfId="3543" xr:uid="{00000000-0005-0000-0000-000000180000}"/>
    <cellStyle name="Normal 5 2 2 4 4 2 2" xfId="7766" xr:uid="{00000000-0005-0000-0000-000001180000}"/>
    <cellStyle name="Normal 5 2 2 4 4 2 3" xfId="11505" xr:uid="{D4DD42FD-6204-4CD4-ABA6-3786CDDD0E35}"/>
    <cellStyle name="Normal 5 2 2 4 4 3" xfId="5621" xr:uid="{00000000-0005-0000-0000-000002180000}"/>
    <cellStyle name="Normal 5 2 2 4 4 4" xfId="9847" xr:uid="{8C72EE8A-B185-443E-A161-3F4CAC9FC07F}"/>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5 4" xfId="10676" xr:uid="{6780B396-0980-41E5-BF62-2D13A2B34F17}"/>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4 9" xfId="9015" xr:uid="{CA174CA6-9BB7-46E0-A2AC-E8D78BF8BB03}"/>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1923" xr:uid="{216CD288-44D8-456B-B6F2-22AE7D5ACA05}"/>
    <cellStyle name="Normal 5 2 2 5 2 2 3" xfId="10265" xr:uid="{2DA0C249-2481-42C0-9C01-362F7ACD5735}"/>
    <cellStyle name="Normal 5 2 2 5 2 3" xfId="5210" xr:uid="{00000000-0005-0000-0000-000012180000}"/>
    <cellStyle name="Normal 5 2 2 5 2 3 2" xfId="11094" xr:uid="{77EA72B3-88F8-4A20-8F3B-7A3413C4238E}"/>
    <cellStyle name="Normal 5 2 2 5 2 4" xfId="9436" xr:uid="{FABC85D1-84D3-4BC5-BE4C-12894C5CBF4F}"/>
    <cellStyle name="Normal 5 2 2 5 3" xfId="1315" xr:uid="{00000000-0005-0000-0000-000013180000}"/>
    <cellStyle name="Normal 5 2 2 5 3 2" xfId="3545" xr:uid="{00000000-0005-0000-0000-000014180000}"/>
    <cellStyle name="Normal 5 2 2 5 3 2 2" xfId="7768" xr:uid="{00000000-0005-0000-0000-000015180000}"/>
    <cellStyle name="Normal 5 2 2 5 3 2 3" xfId="11507" xr:uid="{713D305F-FC90-4152-B103-A6B75BB1F049}"/>
    <cellStyle name="Normal 5 2 2 5 3 3" xfId="5623" xr:uid="{00000000-0005-0000-0000-000016180000}"/>
    <cellStyle name="Normal 5 2 2 5 3 4" xfId="9849" xr:uid="{3BAAD358-04E1-41AF-B3EC-6819982483A6}"/>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4 4" xfId="10678" xr:uid="{19291EF5-6073-498B-A820-F3D6240FA5A3}"/>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5 8" xfId="9017" xr:uid="{51FC774C-DFB4-47FA-BD69-66E6C31AAE65}"/>
    <cellStyle name="Normal 5 2 2 6" xfId="882" xr:uid="{00000000-0005-0000-0000-000022180000}"/>
    <cellStyle name="Normal 5 2 2 6 2" xfId="3117" xr:uid="{00000000-0005-0000-0000-000023180000}"/>
    <cellStyle name="Normal 5 2 2 6 2 2" xfId="7340" xr:uid="{00000000-0005-0000-0000-000024180000}"/>
    <cellStyle name="Normal 5 2 2 6 2 2 2" xfId="11908" xr:uid="{AA884BE8-3ABE-4FE6-9F53-F89B629F6F3E}"/>
    <cellStyle name="Normal 5 2 2 6 2 3" xfId="10250" xr:uid="{497BA851-53EC-49CD-8DC1-9EDB4ED3C5D4}"/>
    <cellStyle name="Normal 5 2 2 6 3" xfId="5195" xr:uid="{00000000-0005-0000-0000-000025180000}"/>
    <cellStyle name="Normal 5 2 2 6 3 2" xfId="11079" xr:uid="{41CA0B86-EB66-40AA-920B-25E1E26757EE}"/>
    <cellStyle name="Normal 5 2 2 6 4" xfId="9421" xr:uid="{5D842B47-98A6-4D82-B779-3120A85A7AA2}"/>
    <cellStyle name="Normal 5 2 2 7" xfId="1300" xr:uid="{00000000-0005-0000-0000-000026180000}"/>
    <cellStyle name="Normal 5 2 2 7 2" xfId="3530" xr:uid="{00000000-0005-0000-0000-000027180000}"/>
    <cellStyle name="Normal 5 2 2 7 2 2" xfId="7753" xr:uid="{00000000-0005-0000-0000-000028180000}"/>
    <cellStyle name="Normal 5 2 2 7 2 3" xfId="11492" xr:uid="{74029A11-741E-4470-B51E-2AB719C0CCB7}"/>
    <cellStyle name="Normal 5 2 2 7 3" xfId="5608" xr:uid="{00000000-0005-0000-0000-000029180000}"/>
    <cellStyle name="Normal 5 2 2 7 4" xfId="9834" xr:uid="{6D513839-4F06-4A9E-B42C-288A429DC9FE}"/>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8 4" xfId="10663" xr:uid="{7F61CD21-7EAA-4F02-AA87-C0EB020A155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11" xfId="9018" xr:uid="{CB350C88-8114-4BF6-AFE3-BF3DA4E5304A}"/>
    <cellStyle name="Normal 5 2 3 2" xfId="425" xr:uid="{00000000-0005-0000-0000-000034180000}"/>
    <cellStyle name="Normal 5 2 3 2 10" xfId="9019" xr:uid="{3649C611-B8F1-4866-ACCC-163A8CA1682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1927" xr:uid="{10F68937-EF10-43E0-B9E5-49E684FD7DF8}"/>
    <cellStyle name="Normal 5 2 3 2 2 2 2 2 3" xfId="10269" xr:uid="{55393E78-5819-4F12-B37F-AC7730D7F223}"/>
    <cellStyle name="Normal 5 2 3 2 2 2 2 3" xfId="5214" xr:uid="{00000000-0005-0000-0000-00003A180000}"/>
    <cellStyle name="Normal 5 2 3 2 2 2 2 3 2" xfId="11098" xr:uid="{ABE451CF-24E9-49EC-84D6-4838450C6B29}"/>
    <cellStyle name="Normal 5 2 3 2 2 2 2 4" xfId="9440" xr:uid="{DA07E956-8598-449B-9A2A-3D429702E2C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3" xfId="11511" xr:uid="{148884DD-5E88-4268-8E84-F8CD64510165}"/>
    <cellStyle name="Normal 5 2 3 2 2 2 3 3" xfId="5627" xr:uid="{00000000-0005-0000-0000-00003E180000}"/>
    <cellStyle name="Normal 5 2 3 2 2 2 3 4" xfId="9853" xr:uid="{1B6361EE-8B0F-478F-96B3-5E3F6DA6F544}"/>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4 4" xfId="10682" xr:uid="{DEB2C7EF-1314-4808-BDD7-FAE204F23C45}"/>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2 8" xfId="9021" xr:uid="{1C6FBDDE-CBF1-40EC-A4F6-3E998A6AEA0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1926" xr:uid="{AC79D292-E1E3-477C-BDB4-543D050FD528}"/>
    <cellStyle name="Normal 5 2 3 2 2 3 2 3" xfId="10268" xr:uid="{B8D21528-032B-4E3C-A25B-F9FC1B910FFB}"/>
    <cellStyle name="Normal 5 2 3 2 2 3 3" xfId="5213" xr:uid="{00000000-0005-0000-0000-00004D180000}"/>
    <cellStyle name="Normal 5 2 3 2 2 3 3 2" xfId="11097" xr:uid="{A5A1846F-D298-4869-86EB-5C25A420B5EB}"/>
    <cellStyle name="Normal 5 2 3 2 2 3 4" xfId="9439" xr:uid="{99BCA935-6693-4D64-A418-4EEC350CB113}"/>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3" xfId="11510" xr:uid="{FC163CC0-3F13-47EF-83FD-711B54CA06A0}"/>
    <cellStyle name="Normal 5 2 3 2 2 4 3" xfId="5626" xr:uid="{00000000-0005-0000-0000-000051180000}"/>
    <cellStyle name="Normal 5 2 3 2 2 4 4" xfId="9852" xr:uid="{31A98DD4-D03E-4A7B-A941-F5926AA6D886}"/>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5 4" xfId="10681" xr:uid="{C9542129-4219-41C4-8A3A-A6B17D934A96}"/>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2 9" xfId="9020" xr:uid="{12ACEE21-3956-402F-AC5F-E1D5826D236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1928" xr:uid="{987B4D2D-47A9-40FC-93CE-610EFFA755DA}"/>
    <cellStyle name="Normal 5 2 3 2 3 2 2 3" xfId="10270" xr:uid="{D640CCAC-E5EC-43C3-8013-65D442E1BCB7}"/>
    <cellStyle name="Normal 5 2 3 2 3 2 3" xfId="5215" xr:uid="{00000000-0005-0000-0000-000061180000}"/>
    <cellStyle name="Normal 5 2 3 2 3 2 3 2" xfId="11099" xr:uid="{2ABBEAFF-C339-4E50-98E0-9C9168A4B3EE}"/>
    <cellStyle name="Normal 5 2 3 2 3 2 4" xfId="9441" xr:uid="{1FA765A0-31FC-4886-9BCB-8B83E9A4D83D}"/>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3" xfId="11512" xr:uid="{CE3CAB45-C0E1-427D-A397-F7903AB24AB0}"/>
    <cellStyle name="Normal 5 2 3 2 3 3 3" xfId="5628" xr:uid="{00000000-0005-0000-0000-000065180000}"/>
    <cellStyle name="Normal 5 2 3 2 3 3 4" xfId="9854" xr:uid="{59AD54EC-6307-4198-83C4-ACFCB6CA0484}"/>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4 4" xfId="10683" xr:uid="{E25214B8-65EC-490F-A114-918590127A9E}"/>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3 8" xfId="9022" xr:uid="{3F5CC2B1-B2CA-4A5D-985E-E6F79427298D}"/>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1925" xr:uid="{B9697D9A-9C5D-4D0D-834F-010C53F835C6}"/>
    <cellStyle name="Normal 5 2 3 2 4 2 3" xfId="10267" xr:uid="{1A23B93D-CBF0-4495-9AC8-FE6D0496FC79}"/>
    <cellStyle name="Normal 5 2 3 2 4 3" xfId="5212" xr:uid="{00000000-0005-0000-0000-000074180000}"/>
    <cellStyle name="Normal 5 2 3 2 4 3 2" xfId="11096" xr:uid="{447052EB-C00F-405E-B62B-20C68D9767F9}"/>
    <cellStyle name="Normal 5 2 3 2 4 4" xfId="9438" xr:uid="{CB3DCF2A-B8CC-4F3D-9732-BDCD633A2C44}"/>
    <cellStyle name="Normal 5 2 3 2 5" xfId="1317" xr:uid="{00000000-0005-0000-0000-000075180000}"/>
    <cellStyle name="Normal 5 2 3 2 5 2" xfId="3547" xr:uid="{00000000-0005-0000-0000-000076180000}"/>
    <cellStyle name="Normal 5 2 3 2 5 2 2" xfId="7770" xr:uid="{00000000-0005-0000-0000-000077180000}"/>
    <cellStyle name="Normal 5 2 3 2 5 2 3" xfId="11509" xr:uid="{AE6476B5-70B0-45A8-B500-319C4832D846}"/>
    <cellStyle name="Normal 5 2 3 2 5 3" xfId="5625" xr:uid="{00000000-0005-0000-0000-000078180000}"/>
    <cellStyle name="Normal 5 2 3 2 5 4" xfId="9851" xr:uid="{6CDAEFD8-4241-4C0B-9F42-193588C12F5D}"/>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6 4" xfId="10680" xr:uid="{05822BD0-AC3C-4717-B4BF-331B25E564A3}"/>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1930" xr:uid="{D7B89578-4ADD-4F58-A08A-8852492D146D}"/>
    <cellStyle name="Normal 5 2 3 3 2 2 2 3" xfId="10272" xr:uid="{F06CDBAE-598F-47BD-8FE6-3AD845413D03}"/>
    <cellStyle name="Normal 5 2 3 3 2 2 3" xfId="5217" xr:uid="{00000000-0005-0000-0000-000089180000}"/>
    <cellStyle name="Normal 5 2 3 3 2 2 3 2" xfId="11101" xr:uid="{85BD266D-0343-44D9-8305-F95579E6B3E9}"/>
    <cellStyle name="Normal 5 2 3 3 2 2 4" xfId="9443" xr:uid="{247E70D7-B7A6-492D-A999-518A7F5212A9}"/>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3" xfId="11514" xr:uid="{AE353EC3-6C0A-48CA-B5F4-E7ADAD66ED52}"/>
    <cellStyle name="Normal 5 2 3 3 2 3 3" xfId="5630" xr:uid="{00000000-0005-0000-0000-00008D180000}"/>
    <cellStyle name="Normal 5 2 3 3 2 3 4" xfId="9856" xr:uid="{5EC60123-CB21-4B87-82C1-A9140C2362F3}"/>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4 4" xfId="10685" xr:uid="{1BBBF2AD-B0D1-45B8-AA4F-CAD225F7843E}"/>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2 8" xfId="9024" xr:uid="{2F17CCE8-17D9-43AD-898C-B0A646BC4749}"/>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1929" xr:uid="{AFC689B7-6EBA-4A3D-92D7-C2BEC465594B}"/>
    <cellStyle name="Normal 5 2 3 3 3 2 3" xfId="10271" xr:uid="{C93C1200-5296-43E6-A0ED-47544EBC0B1F}"/>
    <cellStyle name="Normal 5 2 3 3 3 3" xfId="5216" xr:uid="{00000000-0005-0000-0000-00009C180000}"/>
    <cellStyle name="Normal 5 2 3 3 3 3 2" xfId="11100" xr:uid="{BBC7F6C8-8596-4AC1-B158-93E842E27094}"/>
    <cellStyle name="Normal 5 2 3 3 3 4" xfId="9442" xr:uid="{18B629FF-AA59-46DC-8DB9-FA166347F5D2}"/>
    <cellStyle name="Normal 5 2 3 3 4" xfId="1321" xr:uid="{00000000-0005-0000-0000-00009D180000}"/>
    <cellStyle name="Normal 5 2 3 3 4 2" xfId="3551" xr:uid="{00000000-0005-0000-0000-00009E180000}"/>
    <cellStyle name="Normal 5 2 3 3 4 2 2" xfId="7774" xr:uid="{00000000-0005-0000-0000-00009F180000}"/>
    <cellStyle name="Normal 5 2 3 3 4 2 3" xfId="11513" xr:uid="{B2D654C4-70D0-4A75-902F-8260CED16E1A}"/>
    <cellStyle name="Normal 5 2 3 3 4 3" xfId="5629" xr:uid="{00000000-0005-0000-0000-0000A0180000}"/>
    <cellStyle name="Normal 5 2 3 3 4 4" xfId="9855" xr:uid="{8341998F-0048-4408-8A06-3FF4FDBBF0A3}"/>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5 4" xfId="10684" xr:uid="{112BA641-6078-4041-95E3-8925FE36E7CA}"/>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3 9" xfId="9023" xr:uid="{D0FFFDB2-BEB1-40E9-B480-385A587CFECF}"/>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1931" xr:uid="{90E9A1FF-5D0D-43F5-8760-62CE5A43A546}"/>
    <cellStyle name="Normal 5 2 3 4 2 2 3" xfId="10273" xr:uid="{A488B0B0-08BA-451F-A207-951E4CF311AC}"/>
    <cellStyle name="Normal 5 2 3 4 2 3" xfId="5218" xr:uid="{00000000-0005-0000-0000-0000B0180000}"/>
    <cellStyle name="Normal 5 2 3 4 2 3 2" xfId="11102" xr:uid="{3C97255A-1DA4-4CE5-BD91-0E24027C0561}"/>
    <cellStyle name="Normal 5 2 3 4 2 4" xfId="9444" xr:uid="{08054574-37BF-48D1-AA25-C08891234DF1}"/>
    <cellStyle name="Normal 5 2 3 4 3" xfId="1323" xr:uid="{00000000-0005-0000-0000-0000B1180000}"/>
    <cellStyle name="Normal 5 2 3 4 3 2" xfId="3553" xr:uid="{00000000-0005-0000-0000-0000B2180000}"/>
    <cellStyle name="Normal 5 2 3 4 3 2 2" xfId="7776" xr:uid="{00000000-0005-0000-0000-0000B3180000}"/>
    <cellStyle name="Normal 5 2 3 4 3 2 3" xfId="11515" xr:uid="{42D4A3B5-CB6F-4065-B5FA-439B2F59D50A}"/>
    <cellStyle name="Normal 5 2 3 4 3 3" xfId="5631" xr:uid="{00000000-0005-0000-0000-0000B4180000}"/>
    <cellStyle name="Normal 5 2 3 4 3 4" xfId="9857" xr:uid="{9DEF90FE-33D9-4CC9-8A04-92ABE1DB3893}"/>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4 4" xfId="10686" xr:uid="{07E633AC-D68E-44A0-81F3-8716BF0B1B48}"/>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4 8" xfId="9025" xr:uid="{0F4172A9-CF62-4C68-9740-7432697718DE}"/>
    <cellStyle name="Normal 5 2 3 5" xfId="898" xr:uid="{00000000-0005-0000-0000-0000C0180000}"/>
    <cellStyle name="Normal 5 2 3 5 2" xfId="3133" xr:uid="{00000000-0005-0000-0000-0000C1180000}"/>
    <cellStyle name="Normal 5 2 3 5 2 2" xfId="7356" xr:uid="{00000000-0005-0000-0000-0000C2180000}"/>
    <cellStyle name="Normal 5 2 3 5 2 2 2" xfId="11924" xr:uid="{5BF1D76E-6A2F-45E9-A4D1-FE2FEF02CA9F}"/>
    <cellStyle name="Normal 5 2 3 5 2 3" xfId="10266" xr:uid="{C82941FB-73F9-40A9-93F5-62B315E8F405}"/>
    <cellStyle name="Normal 5 2 3 5 3" xfId="5211" xr:uid="{00000000-0005-0000-0000-0000C3180000}"/>
    <cellStyle name="Normal 5 2 3 5 3 2" xfId="11095" xr:uid="{E4EB9057-6C33-4CA5-B218-6E7EDD6B2918}"/>
    <cellStyle name="Normal 5 2 3 5 4" xfId="9437" xr:uid="{7157FC6F-0BA0-4EAC-A0C3-5D1A25C118E5}"/>
    <cellStyle name="Normal 5 2 3 6" xfId="1316" xr:uid="{00000000-0005-0000-0000-0000C4180000}"/>
    <cellStyle name="Normal 5 2 3 6 2" xfId="3546" xr:uid="{00000000-0005-0000-0000-0000C5180000}"/>
    <cellStyle name="Normal 5 2 3 6 2 2" xfId="7769" xr:uid="{00000000-0005-0000-0000-0000C6180000}"/>
    <cellStyle name="Normal 5 2 3 6 2 3" xfId="11508" xr:uid="{8F9A2607-D657-47C6-A188-A19C76F6DD6B}"/>
    <cellStyle name="Normal 5 2 3 6 3" xfId="5624" xr:uid="{00000000-0005-0000-0000-0000C7180000}"/>
    <cellStyle name="Normal 5 2 3 6 4" xfId="9850" xr:uid="{B873FFBB-C5DB-4791-8293-3F6610842B22}"/>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7 4" xfId="10679" xr:uid="{1D4FC4FD-2C54-4D26-9E5B-CC5628F582CB}"/>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10" xfId="9026" xr:uid="{71DD5E55-B552-437C-BD6C-50E10DAA0DE3}"/>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1934" xr:uid="{AF57DC94-16D5-4913-9D96-30531719A47E}"/>
    <cellStyle name="Normal 5 2 4 2 2 2 2 3" xfId="10276" xr:uid="{9B2E985B-5039-42A1-AA81-9AB460CD4F04}"/>
    <cellStyle name="Normal 5 2 4 2 2 2 3" xfId="5221" xr:uid="{00000000-0005-0000-0000-0000D8180000}"/>
    <cellStyle name="Normal 5 2 4 2 2 2 3 2" xfId="11105" xr:uid="{E9CD0448-A48F-4747-8591-B23519C536B8}"/>
    <cellStyle name="Normal 5 2 4 2 2 2 4" xfId="9447" xr:uid="{E9C7B34B-310A-402B-8A32-C49C619BF095}"/>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3" xfId="11518" xr:uid="{F96575BC-CE99-4BC0-9046-9910DB29FA00}"/>
    <cellStyle name="Normal 5 2 4 2 2 3 3" xfId="5634" xr:uid="{00000000-0005-0000-0000-0000DC180000}"/>
    <cellStyle name="Normal 5 2 4 2 2 3 4" xfId="9860" xr:uid="{B0ECE65F-80FF-426C-BC02-07FA67419729}"/>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4 4" xfId="10689" xr:uid="{A3B2DFDD-25CA-4145-9BCA-F0C679CA8A95}"/>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2 8" xfId="9028" xr:uid="{7575A09C-F46C-4143-AC90-3D078B55177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1933" xr:uid="{CE9B97E0-710D-42EF-9B56-0C05280DFE1C}"/>
    <cellStyle name="Normal 5 2 4 2 3 2 3" xfId="10275" xr:uid="{B1EA2CDC-8280-4DE5-8DD3-B2ED4BC8D4B9}"/>
    <cellStyle name="Normal 5 2 4 2 3 3" xfId="5220" xr:uid="{00000000-0005-0000-0000-0000EB180000}"/>
    <cellStyle name="Normal 5 2 4 2 3 3 2" xfId="11104" xr:uid="{2EF17764-8165-43D9-888F-47218497EFE1}"/>
    <cellStyle name="Normal 5 2 4 2 3 4" xfId="9446" xr:uid="{4C60AA94-F9B6-4AF1-B657-043E7A5575A0}"/>
    <cellStyle name="Normal 5 2 4 2 4" xfId="1325" xr:uid="{00000000-0005-0000-0000-0000EC180000}"/>
    <cellStyle name="Normal 5 2 4 2 4 2" xfId="3555" xr:uid="{00000000-0005-0000-0000-0000ED180000}"/>
    <cellStyle name="Normal 5 2 4 2 4 2 2" xfId="7778" xr:uid="{00000000-0005-0000-0000-0000EE180000}"/>
    <cellStyle name="Normal 5 2 4 2 4 2 3" xfId="11517" xr:uid="{677BF90B-9276-4FA4-A183-CC4E9F438E2E}"/>
    <cellStyle name="Normal 5 2 4 2 4 3" xfId="5633" xr:uid="{00000000-0005-0000-0000-0000EF180000}"/>
    <cellStyle name="Normal 5 2 4 2 4 4" xfId="9859" xr:uid="{FAF4A5BE-7FEB-4A75-8BB3-AC96C62C6EB2}"/>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5 4" xfId="10688" xr:uid="{79137C32-4909-4378-8E04-11574FBF7FA1}"/>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2 9" xfId="9027" xr:uid="{F876CE9A-D7EC-4007-9293-F9154729899C}"/>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1935" xr:uid="{7BDE9572-B91B-45A7-B297-B7310F89CA92}"/>
    <cellStyle name="Normal 5 2 4 3 2 2 3" xfId="10277" xr:uid="{D3B220B6-A639-4667-8746-5BF6E66B63B6}"/>
    <cellStyle name="Normal 5 2 4 3 2 3" xfId="5222" xr:uid="{00000000-0005-0000-0000-0000FF180000}"/>
    <cellStyle name="Normal 5 2 4 3 2 3 2" xfId="11106" xr:uid="{2EB7DAC1-2E6F-42D6-BD66-C4CE861716DD}"/>
    <cellStyle name="Normal 5 2 4 3 2 4" xfId="9448" xr:uid="{7A156EA2-68E9-4AF0-9611-13997FF6CA63}"/>
    <cellStyle name="Normal 5 2 4 3 3" xfId="1327" xr:uid="{00000000-0005-0000-0000-000000190000}"/>
    <cellStyle name="Normal 5 2 4 3 3 2" xfId="3557" xr:uid="{00000000-0005-0000-0000-000001190000}"/>
    <cellStyle name="Normal 5 2 4 3 3 2 2" xfId="7780" xr:uid="{00000000-0005-0000-0000-000002190000}"/>
    <cellStyle name="Normal 5 2 4 3 3 2 3" xfId="11519" xr:uid="{BBF0AEBC-FE7A-47E6-BFB6-50D909DAE2BB}"/>
    <cellStyle name="Normal 5 2 4 3 3 3" xfId="5635" xr:uid="{00000000-0005-0000-0000-000003190000}"/>
    <cellStyle name="Normal 5 2 4 3 3 4" xfId="9861" xr:uid="{997F1870-203D-495B-BD82-F44C4F9535E6}"/>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4 4" xfId="10690" xr:uid="{99E62E28-B438-4752-B939-71C0B8D7D4B8}"/>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3 8" xfId="9029" xr:uid="{DA25A0AE-7D79-4B8A-ADFE-E20135EE3AEB}"/>
    <cellStyle name="Normal 5 2 4 4" xfId="906" xr:uid="{00000000-0005-0000-0000-00000F190000}"/>
    <cellStyle name="Normal 5 2 4 4 2" xfId="3141" xr:uid="{00000000-0005-0000-0000-000010190000}"/>
    <cellStyle name="Normal 5 2 4 4 2 2" xfId="7364" xr:uid="{00000000-0005-0000-0000-000011190000}"/>
    <cellStyle name="Normal 5 2 4 4 2 2 2" xfId="11932" xr:uid="{91AED517-79ED-4EE9-BFB4-E8146EBE8DD8}"/>
    <cellStyle name="Normal 5 2 4 4 2 3" xfId="10274" xr:uid="{20752804-A89C-4412-B7FA-234949AE6E1C}"/>
    <cellStyle name="Normal 5 2 4 4 3" xfId="5219" xr:uid="{00000000-0005-0000-0000-000012190000}"/>
    <cellStyle name="Normal 5 2 4 4 3 2" xfId="11103" xr:uid="{F9CE64CF-14FD-4867-B0B7-4D7E80C56ED7}"/>
    <cellStyle name="Normal 5 2 4 4 4" xfId="9445" xr:uid="{10E17FFF-8207-40BD-8F17-0DB8E244E098}"/>
    <cellStyle name="Normal 5 2 4 5" xfId="1324" xr:uid="{00000000-0005-0000-0000-000013190000}"/>
    <cellStyle name="Normal 5 2 4 5 2" xfId="3554" xr:uid="{00000000-0005-0000-0000-000014190000}"/>
    <cellStyle name="Normal 5 2 4 5 2 2" xfId="7777" xr:uid="{00000000-0005-0000-0000-000015190000}"/>
    <cellStyle name="Normal 5 2 4 5 2 3" xfId="11516" xr:uid="{055136AC-554B-4495-89B2-822D50B66B2A}"/>
    <cellStyle name="Normal 5 2 4 5 3" xfId="5632" xr:uid="{00000000-0005-0000-0000-000016190000}"/>
    <cellStyle name="Normal 5 2 4 5 4" xfId="9858" xr:uid="{5A88A47D-ECA5-4661-93C2-222937977816}"/>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6 4" xfId="10687" xr:uid="{4B5D7033-E0FF-44C2-B2C1-4F03211C3AEA}"/>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1937" xr:uid="{A9CB801F-BCFD-4411-909A-54EA88793D33}"/>
    <cellStyle name="Normal 5 2 5 2 2 2 3" xfId="10279" xr:uid="{65E91C8B-B2DB-4939-B643-DDFDE3623B24}"/>
    <cellStyle name="Normal 5 2 5 2 2 3" xfId="5224" xr:uid="{00000000-0005-0000-0000-000027190000}"/>
    <cellStyle name="Normal 5 2 5 2 2 3 2" xfId="11108" xr:uid="{BB98EC55-93D3-448A-B4BB-9A7EC83CD100}"/>
    <cellStyle name="Normal 5 2 5 2 2 4" xfId="9450" xr:uid="{7CAB509A-9622-4E69-A5A2-F29287D591B6}"/>
    <cellStyle name="Normal 5 2 5 2 3" xfId="1329" xr:uid="{00000000-0005-0000-0000-000028190000}"/>
    <cellStyle name="Normal 5 2 5 2 3 2" xfId="3559" xr:uid="{00000000-0005-0000-0000-000029190000}"/>
    <cellStyle name="Normal 5 2 5 2 3 2 2" xfId="7782" xr:uid="{00000000-0005-0000-0000-00002A190000}"/>
    <cellStyle name="Normal 5 2 5 2 3 2 3" xfId="11521" xr:uid="{57E843C7-B36F-4CAF-AF97-D6DAC4919523}"/>
    <cellStyle name="Normal 5 2 5 2 3 3" xfId="5637" xr:uid="{00000000-0005-0000-0000-00002B190000}"/>
    <cellStyle name="Normal 5 2 5 2 3 4" xfId="9863" xr:uid="{F85D22FF-D5A7-48B5-85E5-3AF373FA8A28}"/>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4 4" xfId="10692" xr:uid="{C62F5C26-7EA8-453B-B34E-B63C45476278}"/>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2 8" xfId="9031" xr:uid="{34A12663-BAE0-49F1-811B-EB8AD314F54F}"/>
    <cellStyle name="Normal 5 2 5 3" xfId="910" xr:uid="{00000000-0005-0000-0000-000037190000}"/>
    <cellStyle name="Normal 5 2 5 3 2" xfId="3145" xr:uid="{00000000-0005-0000-0000-000038190000}"/>
    <cellStyle name="Normal 5 2 5 3 2 2" xfId="7368" xr:uid="{00000000-0005-0000-0000-000039190000}"/>
    <cellStyle name="Normal 5 2 5 3 2 2 2" xfId="11936" xr:uid="{FC95B7E4-87B6-4F6C-A15C-9A92723087B2}"/>
    <cellStyle name="Normal 5 2 5 3 2 3" xfId="10278" xr:uid="{64FA866E-E91B-4F74-8FFF-695626E75F87}"/>
    <cellStyle name="Normal 5 2 5 3 3" xfId="5223" xr:uid="{00000000-0005-0000-0000-00003A190000}"/>
    <cellStyle name="Normal 5 2 5 3 3 2" xfId="11107" xr:uid="{834C797B-67D1-4BD0-89F4-3A450359C514}"/>
    <cellStyle name="Normal 5 2 5 3 4" xfId="9449" xr:uid="{788F448D-9D05-44F7-88F2-87072E7E292C}"/>
    <cellStyle name="Normal 5 2 5 4" xfId="1328" xr:uid="{00000000-0005-0000-0000-00003B190000}"/>
    <cellStyle name="Normal 5 2 5 4 2" xfId="3558" xr:uid="{00000000-0005-0000-0000-00003C190000}"/>
    <cellStyle name="Normal 5 2 5 4 2 2" xfId="7781" xr:uid="{00000000-0005-0000-0000-00003D190000}"/>
    <cellStyle name="Normal 5 2 5 4 2 3" xfId="11520" xr:uid="{2E86F56E-AA62-4B1D-A356-C368E09A0653}"/>
    <cellStyle name="Normal 5 2 5 4 3" xfId="5636" xr:uid="{00000000-0005-0000-0000-00003E190000}"/>
    <cellStyle name="Normal 5 2 5 4 4" xfId="9862" xr:uid="{B66453F5-0CD2-46F5-B531-74D583F6C628}"/>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5 4" xfId="10691" xr:uid="{9597CA7F-AA1F-4AB0-965F-A6C774AC6B67}"/>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5 9" xfId="9030" xr:uid="{52A58F07-3480-49B5-9045-2E14CBF880C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1938" xr:uid="{27052C71-1EDE-4BE3-A85E-9E44EDC138F0}"/>
    <cellStyle name="Normal 5 2 6 2 2 3" xfId="10280" xr:uid="{2833C50B-D9EA-4485-AA15-6CC1E6BDFF8A}"/>
    <cellStyle name="Normal 5 2 6 2 3" xfId="5225" xr:uid="{00000000-0005-0000-0000-00004E190000}"/>
    <cellStyle name="Normal 5 2 6 2 3 2" xfId="11109" xr:uid="{D57E2004-17D0-4473-890F-F3A61BE0629E}"/>
    <cellStyle name="Normal 5 2 6 2 4" xfId="9451" xr:uid="{5CE6139A-6776-4933-8713-C09247A29451}"/>
    <cellStyle name="Normal 5 2 6 3" xfId="1330" xr:uid="{00000000-0005-0000-0000-00004F190000}"/>
    <cellStyle name="Normal 5 2 6 3 2" xfId="3560" xr:uid="{00000000-0005-0000-0000-000050190000}"/>
    <cellStyle name="Normal 5 2 6 3 2 2" xfId="7783" xr:uid="{00000000-0005-0000-0000-000051190000}"/>
    <cellStyle name="Normal 5 2 6 3 2 3" xfId="11522" xr:uid="{A6AD0E37-B0FB-4390-9EB9-CBEA08F62AD3}"/>
    <cellStyle name="Normal 5 2 6 3 3" xfId="5638" xr:uid="{00000000-0005-0000-0000-000052190000}"/>
    <cellStyle name="Normal 5 2 6 3 4" xfId="9864" xr:uid="{84707C0D-8EE9-49BE-8D39-B227AC39B182}"/>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4 4" xfId="10693" xr:uid="{31ED35CD-1527-49D3-8A07-CF2A7C4A9F0A}"/>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6 8" xfId="9032" xr:uid="{A4A6989E-8B83-4BB8-8234-3A966ED5765F}"/>
    <cellStyle name="Normal 5 2 7" xfId="881" xr:uid="{00000000-0005-0000-0000-00005E190000}"/>
    <cellStyle name="Normal 5 2 7 2" xfId="3116" xr:uid="{00000000-0005-0000-0000-00005F190000}"/>
    <cellStyle name="Normal 5 2 7 2 2" xfId="7339" xr:uid="{00000000-0005-0000-0000-000060190000}"/>
    <cellStyle name="Normal 5 2 7 2 2 2" xfId="11907" xr:uid="{971FC813-2B48-4DC8-B9F6-F63D27ABB81E}"/>
    <cellStyle name="Normal 5 2 7 2 3" xfId="10249" xr:uid="{C73C3891-4038-4E5D-88F4-4D21368DCD8B}"/>
    <cellStyle name="Normal 5 2 7 3" xfId="5194" xr:uid="{00000000-0005-0000-0000-000061190000}"/>
    <cellStyle name="Normal 5 2 7 3 2" xfId="11078" xr:uid="{A114B0F9-4ECA-4640-A95D-75D033D105E8}"/>
    <cellStyle name="Normal 5 2 7 4" xfId="9420" xr:uid="{837C54AE-A644-4912-86F8-B70AC6A2AD57}"/>
    <cellStyle name="Normal 5 2 8" xfId="1299" xr:uid="{00000000-0005-0000-0000-000062190000}"/>
    <cellStyle name="Normal 5 2 8 2" xfId="3529" xr:uid="{00000000-0005-0000-0000-000063190000}"/>
    <cellStyle name="Normal 5 2 8 2 2" xfId="7752" xr:uid="{00000000-0005-0000-0000-000064190000}"/>
    <cellStyle name="Normal 5 2 8 2 3" xfId="11491" xr:uid="{BB714648-1361-4E44-9293-D5425E2E9C81}"/>
    <cellStyle name="Normal 5 2 8 3" xfId="5607" xr:uid="{00000000-0005-0000-0000-000065190000}"/>
    <cellStyle name="Normal 5 2 8 4" xfId="9833" xr:uid="{99192255-5452-46A6-B452-F07DD5DC0AF1}"/>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2 9 4" xfId="10662" xr:uid="{B1491FAF-5ED1-4C7E-89D5-D671B18590E4}"/>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13" xfId="9033" xr:uid="{D0EE7AE7-C25B-4B24-91E6-78E2CFD500BF}"/>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1" xfId="9034" xr:uid="{33A740B3-0356-476A-957A-7FDF3F5637A8}"/>
    <cellStyle name="Normal 5 3 3 2" xfId="442" xr:uid="{00000000-0005-0000-0000-000076190000}"/>
    <cellStyle name="Normal 5 3 3 2 10" xfId="9035" xr:uid="{DC7396FE-8582-4228-841F-397DF56193AC}"/>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1943" xr:uid="{E35A1454-E7C0-4692-B877-242F7A773F36}"/>
    <cellStyle name="Normal 5 3 3 2 2 2 2 2 3" xfId="10285" xr:uid="{506C8B60-DD7B-46CA-A09A-6CE2B9B8F724}"/>
    <cellStyle name="Normal 5 3 3 2 2 2 2 3" xfId="5230" xr:uid="{00000000-0005-0000-0000-00007C190000}"/>
    <cellStyle name="Normal 5 3 3 2 2 2 2 3 2" xfId="11114" xr:uid="{8DFFF0F2-79B0-45B0-8D95-5BA7108E2721}"/>
    <cellStyle name="Normal 5 3 3 2 2 2 2 4" xfId="9456" xr:uid="{638DEE45-7E2C-42A6-9BF3-479134543F31}"/>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3" xfId="11527" xr:uid="{FADA3C67-E27D-43DD-9517-49518CABBC3D}"/>
    <cellStyle name="Normal 5 3 3 2 2 2 3 3" xfId="5643" xr:uid="{00000000-0005-0000-0000-000080190000}"/>
    <cellStyle name="Normal 5 3 3 2 2 2 3 4" xfId="9869" xr:uid="{D0DFC308-5B9B-49C4-B23F-09B92BB51521}"/>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4 4" xfId="10698" xr:uid="{3CDF308C-8DAE-4B48-B89C-177B2C5F8565}"/>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2 8" xfId="9037" xr:uid="{E9B28DD6-8449-45E5-BA76-D3EA1FBA9ACA}"/>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1942" xr:uid="{8CA3382A-2398-4630-BAAF-6516C68115E6}"/>
    <cellStyle name="Normal 5 3 3 2 2 3 2 3" xfId="10284" xr:uid="{40CCC1EB-D0E0-4E8A-A061-BF10CDB8F834}"/>
    <cellStyle name="Normal 5 3 3 2 2 3 3" xfId="5229" xr:uid="{00000000-0005-0000-0000-00008F190000}"/>
    <cellStyle name="Normal 5 3 3 2 2 3 3 2" xfId="11113" xr:uid="{5FAA49C0-E16F-4772-BE07-9EAB972BC2AB}"/>
    <cellStyle name="Normal 5 3 3 2 2 3 4" xfId="9455" xr:uid="{AA1D67F5-996C-416F-A092-59A529DC30C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3" xfId="11526" xr:uid="{834DE9BC-2D56-45C2-8BCF-32DFF4EC4EE5}"/>
    <cellStyle name="Normal 5 3 3 2 2 4 3" xfId="5642" xr:uid="{00000000-0005-0000-0000-000093190000}"/>
    <cellStyle name="Normal 5 3 3 2 2 4 4" xfId="9868" xr:uid="{3733B25A-1343-457E-8304-8BD42F1E191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5 4" xfId="10697" xr:uid="{BB5DD731-8F56-4D09-9B10-EFDA020189E1}"/>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2 9" xfId="9036" xr:uid="{15482318-D81A-4D6F-9374-5A6C061D47A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1944" xr:uid="{08B71A44-BDE3-42E7-A746-A4154BA6A488}"/>
    <cellStyle name="Normal 5 3 3 2 3 2 2 3" xfId="10286" xr:uid="{4CE8E3F4-ABB0-4B3B-BBF7-C6ADC149301A}"/>
    <cellStyle name="Normal 5 3 3 2 3 2 3" xfId="5231" xr:uid="{00000000-0005-0000-0000-0000A3190000}"/>
    <cellStyle name="Normal 5 3 3 2 3 2 3 2" xfId="11115" xr:uid="{B806CEA1-5C3B-4A26-ADEA-33B055CBFD7A}"/>
    <cellStyle name="Normal 5 3 3 2 3 2 4" xfId="9457" xr:uid="{953B182F-530B-4DFA-A448-0F335ACF012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3" xfId="11528" xr:uid="{4042F742-E02A-496C-8407-98D11EB57488}"/>
    <cellStyle name="Normal 5 3 3 2 3 3 3" xfId="5644" xr:uid="{00000000-0005-0000-0000-0000A7190000}"/>
    <cellStyle name="Normal 5 3 3 2 3 3 4" xfId="9870" xr:uid="{CE9BB99E-6294-43E6-BC9F-5B123C71D59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4 4" xfId="10699" xr:uid="{CB3394C1-5346-482F-82E0-C4C4238CB4E9}"/>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3 8" xfId="9038" xr:uid="{DCB2E2B3-BE08-40A5-BC56-5BBAD9B28153}"/>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1941" xr:uid="{D5D8136F-59D5-4CE5-87B1-628031325D9E}"/>
    <cellStyle name="Normal 5 3 3 2 4 2 3" xfId="10283" xr:uid="{169F9318-D129-4686-BC3B-B1E4E0AD8596}"/>
    <cellStyle name="Normal 5 3 3 2 4 3" xfId="5228" xr:uid="{00000000-0005-0000-0000-0000B6190000}"/>
    <cellStyle name="Normal 5 3 3 2 4 3 2" xfId="11112" xr:uid="{4B736493-4CE7-4452-95F7-C25DFB6CB788}"/>
    <cellStyle name="Normal 5 3 3 2 4 4" xfId="9454" xr:uid="{64CE5F18-344B-46DD-8D8D-0B4EF4F6FF27}"/>
    <cellStyle name="Normal 5 3 3 2 5" xfId="1333" xr:uid="{00000000-0005-0000-0000-0000B7190000}"/>
    <cellStyle name="Normal 5 3 3 2 5 2" xfId="3563" xr:uid="{00000000-0005-0000-0000-0000B8190000}"/>
    <cellStyle name="Normal 5 3 3 2 5 2 2" xfId="7786" xr:uid="{00000000-0005-0000-0000-0000B9190000}"/>
    <cellStyle name="Normal 5 3 3 2 5 2 3" xfId="11525" xr:uid="{7D0D8978-020A-4098-8969-6D79A6E5E026}"/>
    <cellStyle name="Normal 5 3 3 2 5 3" xfId="5641" xr:uid="{00000000-0005-0000-0000-0000BA190000}"/>
    <cellStyle name="Normal 5 3 3 2 5 4" xfId="9867" xr:uid="{E265AAE4-518E-402D-B2E0-F653769374CF}"/>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6 4" xfId="10696" xr:uid="{77972B3A-B135-4442-93DB-DAEA6DFAD5B6}"/>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1946" xr:uid="{56302AFB-0AA4-488B-A118-DE7AF419E9C5}"/>
    <cellStyle name="Normal 5 3 3 3 2 2 2 3" xfId="10288" xr:uid="{41EA1914-5B8F-4844-9FD4-8E1F08B7C206}"/>
    <cellStyle name="Normal 5 3 3 3 2 2 3" xfId="5233" xr:uid="{00000000-0005-0000-0000-0000CB190000}"/>
    <cellStyle name="Normal 5 3 3 3 2 2 3 2" xfId="11117" xr:uid="{19E0FB00-F55C-45A9-BF48-DD38CEF794DF}"/>
    <cellStyle name="Normal 5 3 3 3 2 2 4" xfId="9459" xr:uid="{2B490C1F-AE46-4237-BC81-68F83905C347}"/>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3" xfId="11530" xr:uid="{EC6950A1-3E53-4D7B-A052-2C375331827A}"/>
    <cellStyle name="Normal 5 3 3 3 2 3 3" xfId="5646" xr:uid="{00000000-0005-0000-0000-0000CF190000}"/>
    <cellStyle name="Normal 5 3 3 3 2 3 4" xfId="9872" xr:uid="{D7EFC361-F1AC-4B79-995B-03D7E1D6CF0B}"/>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4 4" xfId="10701" xr:uid="{E89133AB-BF4F-41A9-A401-A3EF878BAFBC}"/>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2 8" xfId="9040" xr:uid="{7BD1BEC9-5704-4526-A55D-FCC887EA5CBF}"/>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1945" xr:uid="{8620011C-8536-4096-BE93-7385FB4BA52C}"/>
    <cellStyle name="Normal 5 3 3 3 3 2 3" xfId="10287" xr:uid="{85E63CE5-9AB8-4889-A352-2ABC84BEE4AD}"/>
    <cellStyle name="Normal 5 3 3 3 3 3" xfId="5232" xr:uid="{00000000-0005-0000-0000-0000DE190000}"/>
    <cellStyle name="Normal 5 3 3 3 3 3 2" xfId="11116" xr:uid="{501A590E-FC85-44B3-B49A-AAD1BDA7A9E4}"/>
    <cellStyle name="Normal 5 3 3 3 3 4" xfId="9458" xr:uid="{CE25C45F-0AB4-4120-9D2E-8A42D61A5C17}"/>
    <cellStyle name="Normal 5 3 3 3 4" xfId="1337" xr:uid="{00000000-0005-0000-0000-0000DF190000}"/>
    <cellStyle name="Normal 5 3 3 3 4 2" xfId="3567" xr:uid="{00000000-0005-0000-0000-0000E0190000}"/>
    <cellStyle name="Normal 5 3 3 3 4 2 2" xfId="7790" xr:uid="{00000000-0005-0000-0000-0000E1190000}"/>
    <cellStyle name="Normal 5 3 3 3 4 2 3" xfId="11529" xr:uid="{F4D174C8-5787-4260-9D11-D688FC3DF952}"/>
    <cellStyle name="Normal 5 3 3 3 4 3" xfId="5645" xr:uid="{00000000-0005-0000-0000-0000E2190000}"/>
    <cellStyle name="Normal 5 3 3 3 4 4" xfId="9871" xr:uid="{049E62FF-942D-40B9-AF3A-29F9A61E5C58}"/>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5 4" xfId="10700" xr:uid="{1ACA2443-E510-469E-AE39-D9A8F1DF6CA6}"/>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3 9" xfId="9039" xr:uid="{0054D02F-B93C-4C26-B9DE-3C613FF23CDF}"/>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1947" xr:uid="{EB6AF0A7-8281-4AF0-9201-49DFE5E97694}"/>
    <cellStyle name="Normal 5 3 3 4 2 2 3" xfId="10289" xr:uid="{E92A0553-3B17-4D13-B101-3ABF2730BFC7}"/>
    <cellStyle name="Normal 5 3 3 4 2 3" xfId="5234" xr:uid="{00000000-0005-0000-0000-0000F2190000}"/>
    <cellStyle name="Normal 5 3 3 4 2 3 2" xfId="11118" xr:uid="{35F4BE23-32CC-44D7-8716-C295CE9F6C0C}"/>
    <cellStyle name="Normal 5 3 3 4 2 4" xfId="9460" xr:uid="{33ECDD17-AD7F-4EB6-BCA7-8AACBD528358}"/>
    <cellStyle name="Normal 5 3 3 4 3" xfId="1339" xr:uid="{00000000-0005-0000-0000-0000F3190000}"/>
    <cellStyle name="Normal 5 3 3 4 3 2" xfId="3569" xr:uid="{00000000-0005-0000-0000-0000F4190000}"/>
    <cellStyle name="Normal 5 3 3 4 3 2 2" xfId="7792" xr:uid="{00000000-0005-0000-0000-0000F5190000}"/>
    <cellStyle name="Normal 5 3 3 4 3 2 3" xfId="11531" xr:uid="{945D050C-E09E-4638-8FEC-933C4FB4C891}"/>
    <cellStyle name="Normal 5 3 3 4 3 3" xfId="5647" xr:uid="{00000000-0005-0000-0000-0000F6190000}"/>
    <cellStyle name="Normal 5 3 3 4 3 4" xfId="9873" xr:uid="{38AFA2D0-2DF2-429D-B507-DD8A49BAAD51}"/>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4 4" xfId="10702" xr:uid="{CCCF7CC3-A55F-4E1A-A4CC-069C8A1690E5}"/>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4 8" xfId="9041" xr:uid="{7B25B862-D7B0-4269-9FD9-75892A7D1F06}"/>
    <cellStyle name="Normal 5 3 3 5" xfId="915" xr:uid="{00000000-0005-0000-0000-0000021A0000}"/>
    <cellStyle name="Normal 5 3 3 5 2" xfId="3149" xr:uid="{00000000-0005-0000-0000-0000031A0000}"/>
    <cellStyle name="Normal 5 3 3 5 2 2" xfId="7372" xr:uid="{00000000-0005-0000-0000-0000041A0000}"/>
    <cellStyle name="Normal 5 3 3 5 2 2 2" xfId="11940" xr:uid="{D34C0E8B-D56B-40E2-A14C-23E7033EA35C}"/>
    <cellStyle name="Normal 5 3 3 5 2 3" xfId="10282" xr:uid="{498CD414-6186-437F-A609-7793C260B3B0}"/>
    <cellStyle name="Normal 5 3 3 5 3" xfId="5227" xr:uid="{00000000-0005-0000-0000-0000051A0000}"/>
    <cellStyle name="Normal 5 3 3 5 3 2" xfId="11111" xr:uid="{EA1964A9-6733-4E09-B900-C6603413BBD7}"/>
    <cellStyle name="Normal 5 3 3 5 4" xfId="9453" xr:uid="{5406217E-926D-45D6-BD88-618CC15824BF}"/>
    <cellStyle name="Normal 5 3 3 6" xfId="1332" xr:uid="{00000000-0005-0000-0000-0000061A0000}"/>
    <cellStyle name="Normal 5 3 3 6 2" xfId="3562" xr:uid="{00000000-0005-0000-0000-0000071A0000}"/>
    <cellStyle name="Normal 5 3 3 6 2 2" xfId="7785" xr:uid="{00000000-0005-0000-0000-0000081A0000}"/>
    <cellStyle name="Normal 5 3 3 6 2 3" xfId="11524" xr:uid="{7304122A-20AD-495C-A2DB-CE050E2C6534}"/>
    <cellStyle name="Normal 5 3 3 6 3" xfId="5640" xr:uid="{00000000-0005-0000-0000-0000091A0000}"/>
    <cellStyle name="Normal 5 3 3 6 4" xfId="9866" xr:uid="{4D0153F4-90AE-4ABB-A13A-EDE8746095F7}"/>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7 4" xfId="10695" xr:uid="{8FB9B343-349E-4B0C-8E6A-A1852FFCB55E}"/>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10" xfId="9042" xr:uid="{BC886734-0F98-46BC-8D9B-EF0FA1309B11}"/>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1950" xr:uid="{F727F491-9EFE-4968-B718-B802A66BB6C3}"/>
    <cellStyle name="Normal 5 3 4 2 2 2 2 3" xfId="10292" xr:uid="{5C5C3494-14DD-4235-825A-73206E0A9457}"/>
    <cellStyle name="Normal 5 3 4 2 2 2 3" xfId="5237" xr:uid="{00000000-0005-0000-0000-00001A1A0000}"/>
    <cellStyle name="Normal 5 3 4 2 2 2 3 2" xfId="11121" xr:uid="{3EA6F034-ECEB-4F9F-8542-D155B4CB2770}"/>
    <cellStyle name="Normal 5 3 4 2 2 2 4" xfId="9463" xr:uid="{39AD15E9-BA9A-45FA-B0DA-F0F47A56477C}"/>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3" xfId="11534" xr:uid="{6B9A2100-FFA6-47FE-A551-392785BB04E1}"/>
    <cellStyle name="Normal 5 3 4 2 2 3 3" xfId="5650" xr:uid="{00000000-0005-0000-0000-00001E1A0000}"/>
    <cellStyle name="Normal 5 3 4 2 2 3 4" xfId="9876" xr:uid="{AC15FD41-8EE8-471B-92E5-76D979E5CA15}"/>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4 4" xfId="10705" xr:uid="{9487162D-3556-4584-B7E9-698D2AAACB0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2 8" xfId="9044" xr:uid="{654567A6-0899-482F-82CC-FE89253C377E}"/>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1949" xr:uid="{4085E7B4-9FE4-434D-8270-0099B81AFB9B}"/>
    <cellStyle name="Normal 5 3 4 2 3 2 3" xfId="10291" xr:uid="{6BA2AA4C-0062-422F-87C8-0CE37D1B05AA}"/>
    <cellStyle name="Normal 5 3 4 2 3 3" xfId="5236" xr:uid="{00000000-0005-0000-0000-00002D1A0000}"/>
    <cellStyle name="Normal 5 3 4 2 3 3 2" xfId="11120" xr:uid="{FBFC07EA-A316-42B1-A2F5-F52693D1060B}"/>
    <cellStyle name="Normal 5 3 4 2 3 4" xfId="9462" xr:uid="{59E18C3E-E02C-494F-ACAB-2411E5E08863}"/>
    <cellStyle name="Normal 5 3 4 2 4" xfId="1341" xr:uid="{00000000-0005-0000-0000-00002E1A0000}"/>
    <cellStyle name="Normal 5 3 4 2 4 2" xfId="3571" xr:uid="{00000000-0005-0000-0000-00002F1A0000}"/>
    <cellStyle name="Normal 5 3 4 2 4 2 2" xfId="7794" xr:uid="{00000000-0005-0000-0000-0000301A0000}"/>
    <cellStyle name="Normal 5 3 4 2 4 2 3" xfId="11533" xr:uid="{77BD6225-E5DE-4B35-8E62-E28E61CD5B60}"/>
    <cellStyle name="Normal 5 3 4 2 4 3" xfId="5649" xr:uid="{00000000-0005-0000-0000-0000311A0000}"/>
    <cellStyle name="Normal 5 3 4 2 4 4" xfId="9875" xr:uid="{7412309A-1357-4550-BF79-9A39E3922805}"/>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5 4" xfId="10704" xr:uid="{D1F0ED7A-A761-4037-B9B6-F526ECC72B7A}"/>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2 9" xfId="9043" xr:uid="{5C38F4BE-1CCA-4A29-AC4F-D57DECA0E09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1951" xr:uid="{1400AF78-69BC-42E8-B03D-7BC9431B148F}"/>
    <cellStyle name="Normal 5 3 4 3 2 2 3" xfId="10293" xr:uid="{B4D71E36-2975-4084-A7E0-F5B02B59C31E}"/>
    <cellStyle name="Normal 5 3 4 3 2 3" xfId="5238" xr:uid="{00000000-0005-0000-0000-0000411A0000}"/>
    <cellStyle name="Normal 5 3 4 3 2 3 2" xfId="11122" xr:uid="{C3823609-8DA8-4DC2-B44B-A86C523C7A2A}"/>
    <cellStyle name="Normal 5 3 4 3 2 4" xfId="9464" xr:uid="{C6057CF6-D4E0-4A0B-BA8A-F53B70A1E780}"/>
    <cellStyle name="Normal 5 3 4 3 3" xfId="1343" xr:uid="{00000000-0005-0000-0000-0000421A0000}"/>
    <cellStyle name="Normal 5 3 4 3 3 2" xfId="3573" xr:uid="{00000000-0005-0000-0000-0000431A0000}"/>
    <cellStyle name="Normal 5 3 4 3 3 2 2" xfId="7796" xr:uid="{00000000-0005-0000-0000-0000441A0000}"/>
    <cellStyle name="Normal 5 3 4 3 3 2 3" xfId="11535" xr:uid="{B174259F-153D-4DFB-803D-6D249829ACA2}"/>
    <cellStyle name="Normal 5 3 4 3 3 3" xfId="5651" xr:uid="{00000000-0005-0000-0000-0000451A0000}"/>
    <cellStyle name="Normal 5 3 4 3 3 4" xfId="9877" xr:uid="{B2AB2E50-87C7-4F53-A21C-E5DEF5975AD3}"/>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4 4" xfId="10706" xr:uid="{507BC2AE-F977-49FE-AF4B-B4FE8826FD61}"/>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3 8" xfId="9045" xr:uid="{B707AE97-6E5E-4F4F-BC88-3C607D212D6E}"/>
    <cellStyle name="Normal 5 3 4 4" xfId="923" xr:uid="{00000000-0005-0000-0000-0000511A0000}"/>
    <cellStyle name="Normal 5 3 4 4 2" xfId="3157" xr:uid="{00000000-0005-0000-0000-0000521A0000}"/>
    <cellStyle name="Normal 5 3 4 4 2 2" xfId="7380" xr:uid="{00000000-0005-0000-0000-0000531A0000}"/>
    <cellStyle name="Normal 5 3 4 4 2 2 2" xfId="11948" xr:uid="{AA1D8142-D6EE-472A-805E-EA40E5019567}"/>
    <cellStyle name="Normal 5 3 4 4 2 3" xfId="10290" xr:uid="{A3006155-DFE7-4AF0-A1DF-3ACD5ABDB04C}"/>
    <cellStyle name="Normal 5 3 4 4 3" xfId="5235" xr:uid="{00000000-0005-0000-0000-0000541A0000}"/>
    <cellStyle name="Normal 5 3 4 4 3 2" xfId="11119" xr:uid="{583B5719-F669-4410-8DCB-07DC34D06D5A}"/>
    <cellStyle name="Normal 5 3 4 4 4" xfId="9461" xr:uid="{0DA97D6E-51FD-4BA5-9725-D851BDB2C4A2}"/>
    <cellStyle name="Normal 5 3 4 5" xfId="1340" xr:uid="{00000000-0005-0000-0000-0000551A0000}"/>
    <cellStyle name="Normal 5 3 4 5 2" xfId="3570" xr:uid="{00000000-0005-0000-0000-0000561A0000}"/>
    <cellStyle name="Normal 5 3 4 5 2 2" xfId="7793" xr:uid="{00000000-0005-0000-0000-0000571A0000}"/>
    <cellStyle name="Normal 5 3 4 5 2 3" xfId="11532" xr:uid="{253E4D1F-6296-460C-BF99-D526F4CB3ABA}"/>
    <cellStyle name="Normal 5 3 4 5 3" xfId="5648" xr:uid="{00000000-0005-0000-0000-0000581A0000}"/>
    <cellStyle name="Normal 5 3 4 5 4" xfId="9874" xr:uid="{BD7FCF66-0767-4535-925B-53A68759EB28}"/>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6 4" xfId="10703" xr:uid="{E5319702-F065-4108-858F-88CA036052D1}"/>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1953" xr:uid="{A2FEFDED-FFEF-4509-9B05-A5D7AD5728D2}"/>
    <cellStyle name="Normal 5 3 5 2 2 2 3" xfId="10295" xr:uid="{503EAC6C-12C7-4AF9-ACFB-2ED831B4F694}"/>
    <cellStyle name="Normal 5 3 5 2 2 3" xfId="5240" xr:uid="{00000000-0005-0000-0000-0000691A0000}"/>
    <cellStyle name="Normal 5 3 5 2 2 3 2" xfId="11124" xr:uid="{70038960-A444-48EA-B7A4-C79711AFE5BF}"/>
    <cellStyle name="Normal 5 3 5 2 2 4" xfId="9466" xr:uid="{64886E50-D112-4D8C-B509-80F83E3EE244}"/>
    <cellStyle name="Normal 5 3 5 2 3" xfId="1345" xr:uid="{00000000-0005-0000-0000-00006A1A0000}"/>
    <cellStyle name="Normal 5 3 5 2 3 2" xfId="3575" xr:uid="{00000000-0005-0000-0000-00006B1A0000}"/>
    <cellStyle name="Normal 5 3 5 2 3 2 2" xfId="7798" xr:uid="{00000000-0005-0000-0000-00006C1A0000}"/>
    <cellStyle name="Normal 5 3 5 2 3 2 3" xfId="11537" xr:uid="{FA2F9ACB-7255-4CB9-83E1-C32AD213AEA5}"/>
    <cellStyle name="Normal 5 3 5 2 3 3" xfId="5653" xr:uid="{00000000-0005-0000-0000-00006D1A0000}"/>
    <cellStyle name="Normal 5 3 5 2 3 4" xfId="9879" xr:uid="{01759BBB-DA72-4558-BE21-1A4F25B5D977}"/>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4 4" xfId="10708" xr:uid="{CEF0FA95-98F6-48E2-8061-6C17387FAF3C}"/>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2 8" xfId="9047" xr:uid="{2EE7DB42-DA13-4A9A-BEA0-8D2AF2E72DB3}"/>
    <cellStyle name="Normal 5 3 5 3" xfId="927" xr:uid="{00000000-0005-0000-0000-0000791A0000}"/>
    <cellStyle name="Normal 5 3 5 3 2" xfId="3161" xr:uid="{00000000-0005-0000-0000-00007A1A0000}"/>
    <cellStyle name="Normal 5 3 5 3 2 2" xfId="7384" xr:uid="{00000000-0005-0000-0000-00007B1A0000}"/>
    <cellStyle name="Normal 5 3 5 3 2 2 2" xfId="11952" xr:uid="{3DDABA51-516D-447A-8D1F-9E0958E11E84}"/>
    <cellStyle name="Normal 5 3 5 3 2 3" xfId="10294" xr:uid="{B63FE425-D6D9-49B0-9B64-CB18FEC9226E}"/>
    <cellStyle name="Normal 5 3 5 3 3" xfId="5239" xr:uid="{00000000-0005-0000-0000-00007C1A0000}"/>
    <cellStyle name="Normal 5 3 5 3 3 2" xfId="11123" xr:uid="{1B7E3E0B-76F9-4465-BDB9-B5522308FEB0}"/>
    <cellStyle name="Normal 5 3 5 3 4" xfId="9465" xr:uid="{26470CB3-3385-464B-9CBA-48CFE25E151C}"/>
    <cellStyle name="Normal 5 3 5 4" xfId="1344" xr:uid="{00000000-0005-0000-0000-00007D1A0000}"/>
    <cellStyle name="Normal 5 3 5 4 2" xfId="3574" xr:uid="{00000000-0005-0000-0000-00007E1A0000}"/>
    <cellStyle name="Normal 5 3 5 4 2 2" xfId="7797" xr:uid="{00000000-0005-0000-0000-00007F1A0000}"/>
    <cellStyle name="Normal 5 3 5 4 2 3" xfId="11536" xr:uid="{11CC30CF-DEC8-411A-B7BD-3E6849231677}"/>
    <cellStyle name="Normal 5 3 5 4 3" xfId="5652" xr:uid="{00000000-0005-0000-0000-0000801A0000}"/>
    <cellStyle name="Normal 5 3 5 4 4" xfId="9878" xr:uid="{20C57E2F-9D53-4752-870F-51AA53A4DE7C}"/>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5 4" xfId="10707" xr:uid="{E33DF0E1-42FE-4447-B449-BFFC3C0CE5DE}"/>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5 9" xfId="9046" xr:uid="{C1E82D08-111E-4BA9-A4B1-0974118C4EEB}"/>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1954" xr:uid="{6298EF1E-2272-4A49-BA1C-43E170021156}"/>
    <cellStyle name="Normal 5 3 6 2 2 3" xfId="10296" xr:uid="{94116D52-C99A-4346-9200-067E273261B0}"/>
    <cellStyle name="Normal 5 3 6 2 3" xfId="5241" xr:uid="{00000000-0005-0000-0000-0000901A0000}"/>
    <cellStyle name="Normal 5 3 6 2 3 2" xfId="11125" xr:uid="{2ADAD3D7-18F8-4DC2-B0F0-3AF785B5E9C2}"/>
    <cellStyle name="Normal 5 3 6 2 4" xfId="9467" xr:uid="{9DC65803-E5C9-4201-8B29-934882043B88}"/>
    <cellStyle name="Normal 5 3 6 3" xfId="1346" xr:uid="{00000000-0005-0000-0000-0000911A0000}"/>
    <cellStyle name="Normal 5 3 6 3 2" xfId="3576" xr:uid="{00000000-0005-0000-0000-0000921A0000}"/>
    <cellStyle name="Normal 5 3 6 3 2 2" xfId="7799" xr:uid="{00000000-0005-0000-0000-0000931A0000}"/>
    <cellStyle name="Normal 5 3 6 3 2 3" xfId="11538" xr:uid="{8FD30ED9-341F-4750-B46D-4A3B4AEC9950}"/>
    <cellStyle name="Normal 5 3 6 3 3" xfId="5654" xr:uid="{00000000-0005-0000-0000-0000941A0000}"/>
    <cellStyle name="Normal 5 3 6 3 4" xfId="9880" xr:uid="{B50EE796-D963-46A4-BC62-692DCDDBD247}"/>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4 4" xfId="10709" xr:uid="{CF7A03C6-DDB0-46EC-A040-690F1F307C06}"/>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6 8" xfId="9048" xr:uid="{7164E8D2-7ECF-4DEB-848C-62CFDDDF37DE}"/>
    <cellStyle name="Normal 5 3 7" xfId="913" xr:uid="{00000000-0005-0000-0000-0000A01A0000}"/>
    <cellStyle name="Normal 5 3 7 2" xfId="3148" xr:uid="{00000000-0005-0000-0000-0000A11A0000}"/>
    <cellStyle name="Normal 5 3 7 2 2" xfId="7371" xr:uid="{00000000-0005-0000-0000-0000A21A0000}"/>
    <cellStyle name="Normal 5 3 7 2 2 2" xfId="11939" xr:uid="{20AE77C9-669E-4E8C-9D5E-917D9D623849}"/>
    <cellStyle name="Normal 5 3 7 2 3" xfId="10281" xr:uid="{287A3D52-8E0E-4636-A4D7-2E5C4392C10A}"/>
    <cellStyle name="Normal 5 3 7 3" xfId="5226" xr:uid="{00000000-0005-0000-0000-0000A31A0000}"/>
    <cellStyle name="Normal 5 3 7 3 2" xfId="11110" xr:uid="{C46A6253-4014-4390-8D07-992F29E69292}"/>
    <cellStyle name="Normal 5 3 7 4" xfId="9452" xr:uid="{6FE48E41-E5CB-48CB-B49C-B69142472A95}"/>
    <cellStyle name="Normal 5 3 8" xfId="1331" xr:uid="{00000000-0005-0000-0000-0000A41A0000}"/>
    <cellStyle name="Normal 5 3 8 2" xfId="3561" xr:uid="{00000000-0005-0000-0000-0000A51A0000}"/>
    <cellStyle name="Normal 5 3 8 2 2" xfId="7784" xr:uid="{00000000-0005-0000-0000-0000A61A0000}"/>
    <cellStyle name="Normal 5 3 8 2 3" xfId="11523" xr:uid="{5CD6929C-AE3F-4C37-98D7-942BAF4D5353}"/>
    <cellStyle name="Normal 5 3 8 3" xfId="5639" xr:uid="{00000000-0005-0000-0000-0000A71A0000}"/>
    <cellStyle name="Normal 5 3 8 4" xfId="9865" xr:uid="{79BC046F-9C28-4DFC-B394-CE5DD8D67276}"/>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3 9 4" xfId="10694" xr:uid="{42F7A775-6F42-4EB0-9C7D-DF91A4B1777A}"/>
    <cellStyle name="Normal 5 4" xfId="456" xr:uid="{00000000-0005-0000-0000-0000AC1A0000}"/>
    <cellStyle name="Normal 5 4 10" xfId="4829" xr:uid="{00000000-0005-0000-0000-0000AD1A0000}"/>
    <cellStyle name="Normal 5 4 11" xfId="9049" xr:uid="{465739DF-E756-4847-B8D5-6303040CE818}"/>
    <cellStyle name="Normal 5 4 2" xfId="457" xr:uid="{00000000-0005-0000-0000-0000AE1A0000}"/>
    <cellStyle name="Normal 5 4 2 10" xfId="9050" xr:uid="{BAF26FC7-DF7D-40F5-9142-A80BB4C7C80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1958" xr:uid="{BBCB6D99-A7D0-4B87-BB0B-E0BFA04451B5}"/>
    <cellStyle name="Normal 5 4 2 2 2 2 2 3" xfId="10300" xr:uid="{0A2F96A7-B1DF-4F04-988D-8D41EE3E80D1}"/>
    <cellStyle name="Normal 5 4 2 2 2 2 3" xfId="5245" xr:uid="{00000000-0005-0000-0000-0000B41A0000}"/>
    <cellStyle name="Normal 5 4 2 2 2 2 3 2" xfId="11129" xr:uid="{0AEF1083-D6FB-423C-A47A-CB6141ABE7FF}"/>
    <cellStyle name="Normal 5 4 2 2 2 2 4" xfId="9471" xr:uid="{74C94B43-EEE9-406D-80B7-AD170E17F9B3}"/>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3" xfId="11542" xr:uid="{76DBFC80-0022-446B-87CD-D514F4E7D528}"/>
    <cellStyle name="Normal 5 4 2 2 2 3 3" xfId="5658" xr:uid="{00000000-0005-0000-0000-0000B81A0000}"/>
    <cellStyle name="Normal 5 4 2 2 2 3 4" xfId="9884" xr:uid="{5506203D-3489-49A2-8483-B568DD5F06ED}"/>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4 4" xfId="10713" xr:uid="{46B3F1F6-0C0E-4A1F-8683-53E5900DED01}"/>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2 8" xfId="9052" xr:uid="{E1E45E02-1062-4ACB-A762-16854A6E42BE}"/>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1957" xr:uid="{697FA331-DE51-43FA-A608-45EBE1C26E90}"/>
    <cellStyle name="Normal 5 4 2 2 3 2 3" xfId="10299" xr:uid="{7945FDC6-C05D-491B-8DA1-C0B4B72A0876}"/>
    <cellStyle name="Normal 5 4 2 2 3 3" xfId="5244" xr:uid="{00000000-0005-0000-0000-0000C71A0000}"/>
    <cellStyle name="Normal 5 4 2 2 3 3 2" xfId="11128" xr:uid="{A0146046-DB16-4D0C-8408-873BA8547691}"/>
    <cellStyle name="Normal 5 4 2 2 3 4" xfId="9470" xr:uid="{E0A7CD3B-D579-4A64-B494-FD9F153E6A6D}"/>
    <cellStyle name="Normal 5 4 2 2 4" xfId="1349" xr:uid="{00000000-0005-0000-0000-0000C81A0000}"/>
    <cellStyle name="Normal 5 4 2 2 4 2" xfId="3579" xr:uid="{00000000-0005-0000-0000-0000C91A0000}"/>
    <cellStyle name="Normal 5 4 2 2 4 2 2" xfId="7802" xr:uid="{00000000-0005-0000-0000-0000CA1A0000}"/>
    <cellStyle name="Normal 5 4 2 2 4 2 3" xfId="11541" xr:uid="{2C0E3629-DD52-45AB-B73B-CEDCBD278806}"/>
    <cellStyle name="Normal 5 4 2 2 4 3" xfId="5657" xr:uid="{00000000-0005-0000-0000-0000CB1A0000}"/>
    <cellStyle name="Normal 5 4 2 2 4 4" xfId="9883" xr:uid="{11C865DF-F569-419E-8581-F52A219F1DE9}"/>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5 4" xfId="10712" xr:uid="{A8E1FCE2-DB1A-4A08-8242-125F9AA483C8}"/>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2 9" xfId="9051" xr:uid="{6E097821-4101-4B75-A849-FF5FFF3BBB2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1959" xr:uid="{77B5635F-415C-45D3-81A0-967F2D26CCAD}"/>
    <cellStyle name="Normal 5 4 2 3 2 2 3" xfId="10301" xr:uid="{B5DD1CA7-AB35-42D6-BDF0-2E31272226B6}"/>
    <cellStyle name="Normal 5 4 2 3 2 3" xfId="5246" xr:uid="{00000000-0005-0000-0000-0000DB1A0000}"/>
    <cellStyle name="Normal 5 4 2 3 2 3 2" xfId="11130" xr:uid="{505323A4-A81C-4889-9991-3B2387B7ED64}"/>
    <cellStyle name="Normal 5 4 2 3 2 4" xfId="9472" xr:uid="{B51B5CD7-A59B-4DDB-8D8A-4343C24D4906}"/>
    <cellStyle name="Normal 5 4 2 3 3" xfId="1351" xr:uid="{00000000-0005-0000-0000-0000DC1A0000}"/>
    <cellStyle name="Normal 5 4 2 3 3 2" xfId="3581" xr:uid="{00000000-0005-0000-0000-0000DD1A0000}"/>
    <cellStyle name="Normal 5 4 2 3 3 2 2" xfId="7804" xr:uid="{00000000-0005-0000-0000-0000DE1A0000}"/>
    <cellStyle name="Normal 5 4 2 3 3 2 3" xfId="11543" xr:uid="{FEC0C482-68CB-4EFE-BECE-BB19CB2A3E30}"/>
    <cellStyle name="Normal 5 4 2 3 3 3" xfId="5659" xr:uid="{00000000-0005-0000-0000-0000DF1A0000}"/>
    <cellStyle name="Normal 5 4 2 3 3 4" xfId="9885" xr:uid="{3F68EC49-FB64-41D5-81F5-3951FE41C5E2}"/>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4 4" xfId="10714" xr:uid="{10D7D81B-6A5E-439E-8066-7EBD0EE957C1}"/>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3 8" xfId="9053" xr:uid="{23D1BAE9-7EB0-41EA-8B78-E118A357392B}"/>
    <cellStyle name="Normal 5 4 2 4" xfId="931" xr:uid="{00000000-0005-0000-0000-0000EB1A0000}"/>
    <cellStyle name="Normal 5 4 2 4 2" xfId="3165" xr:uid="{00000000-0005-0000-0000-0000EC1A0000}"/>
    <cellStyle name="Normal 5 4 2 4 2 2" xfId="7388" xr:uid="{00000000-0005-0000-0000-0000ED1A0000}"/>
    <cellStyle name="Normal 5 4 2 4 2 2 2" xfId="11956" xr:uid="{045449DF-07FF-4E77-8B04-C0AFF7064CCF}"/>
    <cellStyle name="Normal 5 4 2 4 2 3" xfId="10298" xr:uid="{526C2AB5-3C0F-46CE-8C4A-4A158653ACE5}"/>
    <cellStyle name="Normal 5 4 2 4 3" xfId="5243" xr:uid="{00000000-0005-0000-0000-0000EE1A0000}"/>
    <cellStyle name="Normal 5 4 2 4 3 2" xfId="11127" xr:uid="{B6B8B2EC-4374-4386-A43B-3E20FD1FD103}"/>
    <cellStyle name="Normal 5 4 2 4 4" xfId="9469" xr:uid="{D1370084-604F-4390-BA10-11BF8B77EA7D}"/>
    <cellStyle name="Normal 5 4 2 5" xfId="1348" xr:uid="{00000000-0005-0000-0000-0000EF1A0000}"/>
    <cellStyle name="Normal 5 4 2 5 2" xfId="3578" xr:uid="{00000000-0005-0000-0000-0000F01A0000}"/>
    <cellStyle name="Normal 5 4 2 5 2 2" xfId="7801" xr:uid="{00000000-0005-0000-0000-0000F11A0000}"/>
    <cellStyle name="Normal 5 4 2 5 2 3" xfId="11540" xr:uid="{1B286F06-442D-4E10-9FF8-CC65108BD41D}"/>
    <cellStyle name="Normal 5 4 2 5 3" xfId="5656" xr:uid="{00000000-0005-0000-0000-0000F21A0000}"/>
    <cellStyle name="Normal 5 4 2 5 4" xfId="9882" xr:uid="{CC20C5CB-8712-4DE6-A417-F366E14293EE}"/>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6 4" xfId="10711" xr:uid="{D3D1F1A4-B7CC-47BA-A9BC-CC493BAB78D3}"/>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1961" xr:uid="{FB59F45C-4D9E-4D92-9369-51776B771978}"/>
    <cellStyle name="Normal 5 4 3 2 2 2 3" xfId="10303" xr:uid="{39BCD993-35F9-4AB9-B40B-7B4BA0D5F313}"/>
    <cellStyle name="Normal 5 4 3 2 2 3" xfId="5248" xr:uid="{00000000-0005-0000-0000-0000031B0000}"/>
    <cellStyle name="Normal 5 4 3 2 2 3 2" xfId="11132" xr:uid="{9FD3660B-D35D-4D79-BBE9-5538FCCAF781}"/>
    <cellStyle name="Normal 5 4 3 2 2 4" xfId="9474" xr:uid="{2174338D-214C-442C-BDC0-EA7816C7690C}"/>
    <cellStyle name="Normal 5 4 3 2 3" xfId="1353" xr:uid="{00000000-0005-0000-0000-0000041B0000}"/>
    <cellStyle name="Normal 5 4 3 2 3 2" xfId="3583" xr:uid="{00000000-0005-0000-0000-0000051B0000}"/>
    <cellStyle name="Normal 5 4 3 2 3 2 2" xfId="7806" xr:uid="{00000000-0005-0000-0000-0000061B0000}"/>
    <cellStyle name="Normal 5 4 3 2 3 2 3" xfId="11545" xr:uid="{CDB25AE0-8DD3-411B-9509-E2436A72AC4E}"/>
    <cellStyle name="Normal 5 4 3 2 3 3" xfId="5661" xr:uid="{00000000-0005-0000-0000-0000071B0000}"/>
    <cellStyle name="Normal 5 4 3 2 3 4" xfId="9887" xr:uid="{EE432AAD-8D20-46A9-A7FA-41EB9AEA132C}"/>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4 4" xfId="10716" xr:uid="{FD995071-C4C3-40E4-B6AD-56B487E9E5AC}"/>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2 8" xfId="9055" xr:uid="{325663FC-DA8F-434F-A034-C508838C3051}"/>
    <cellStyle name="Normal 5 4 3 3" xfId="935" xr:uid="{00000000-0005-0000-0000-0000131B0000}"/>
    <cellStyle name="Normal 5 4 3 3 2" xfId="3169" xr:uid="{00000000-0005-0000-0000-0000141B0000}"/>
    <cellStyle name="Normal 5 4 3 3 2 2" xfId="7392" xr:uid="{00000000-0005-0000-0000-0000151B0000}"/>
    <cellStyle name="Normal 5 4 3 3 2 2 2" xfId="11960" xr:uid="{A6A3AE8E-C5CA-4113-A240-44989A5AC063}"/>
    <cellStyle name="Normal 5 4 3 3 2 3" xfId="10302" xr:uid="{EB438C34-5806-479A-AB1C-2DC3BD008B25}"/>
    <cellStyle name="Normal 5 4 3 3 3" xfId="5247" xr:uid="{00000000-0005-0000-0000-0000161B0000}"/>
    <cellStyle name="Normal 5 4 3 3 3 2" xfId="11131" xr:uid="{36F67BF1-2A81-4CF0-8E11-32FB5327615B}"/>
    <cellStyle name="Normal 5 4 3 3 4" xfId="9473" xr:uid="{D65D7D90-9A13-484A-A90A-858DFB400BC3}"/>
    <cellStyle name="Normal 5 4 3 4" xfId="1352" xr:uid="{00000000-0005-0000-0000-0000171B0000}"/>
    <cellStyle name="Normal 5 4 3 4 2" xfId="3582" xr:uid="{00000000-0005-0000-0000-0000181B0000}"/>
    <cellStyle name="Normal 5 4 3 4 2 2" xfId="7805" xr:uid="{00000000-0005-0000-0000-0000191B0000}"/>
    <cellStyle name="Normal 5 4 3 4 2 3" xfId="11544" xr:uid="{4FD6B7EC-8DA8-4BE0-B716-25525C867AEC}"/>
    <cellStyle name="Normal 5 4 3 4 3" xfId="5660" xr:uid="{00000000-0005-0000-0000-00001A1B0000}"/>
    <cellStyle name="Normal 5 4 3 4 4" xfId="9886" xr:uid="{4917F896-978E-4CB2-8000-71966DC93C69}"/>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5 4" xfId="10715" xr:uid="{293F91FB-8109-43CB-802B-0B7633454A22}"/>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3 9" xfId="9054" xr:uid="{907C7EB8-FE47-4201-9DCF-BDBDE8EAA7DA}"/>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1962" xr:uid="{3E566807-F1C7-404A-B7A9-44C88348A9B9}"/>
    <cellStyle name="Normal 5 4 4 2 2 3" xfId="10304" xr:uid="{56B422D9-7EF7-4A63-8671-02C88C612EB8}"/>
    <cellStyle name="Normal 5 4 4 2 3" xfId="5249" xr:uid="{00000000-0005-0000-0000-00002A1B0000}"/>
    <cellStyle name="Normal 5 4 4 2 3 2" xfId="11133" xr:uid="{E68F0A46-10B2-4D4E-9FD1-0B5BAEF328D9}"/>
    <cellStyle name="Normal 5 4 4 2 4" xfId="9475" xr:uid="{B751AE1B-B259-4906-BFEA-0BC2B6AAB480}"/>
    <cellStyle name="Normal 5 4 4 3" xfId="1354" xr:uid="{00000000-0005-0000-0000-00002B1B0000}"/>
    <cellStyle name="Normal 5 4 4 3 2" xfId="3584" xr:uid="{00000000-0005-0000-0000-00002C1B0000}"/>
    <cellStyle name="Normal 5 4 4 3 2 2" xfId="7807" xr:uid="{00000000-0005-0000-0000-00002D1B0000}"/>
    <cellStyle name="Normal 5 4 4 3 2 3" xfId="11546" xr:uid="{8F0E116D-6EA3-4095-8574-B219B97C8234}"/>
    <cellStyle name="Normal 5 4 4 3 3" xfId="5662" xr:uid="{00000000-0005-0000-0000-00002E1B0000}"/>
    <cellStyle name="Normal 5 4 4 3 4" xfId="9888" xr:uid="{2EFB4265-B6FB-4B98-85D5-080FFFB8E1CF}"/>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4 4" xfId="10717" xr:uid="{0AF8B4EF-8413-4916-B4A3-60488CBE474F}"/>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4 8" xfId="9056" xr:uid="{FCC91F8E-7620-4D82-9775-3689708877FD}"/>
    <cellStyle name="Normal 5 4 5" xfId="930" xr:uid="{00000000-0005-0000-0000-00003A1B0000}"/>
    <cellStyle name="Normal 5 4 5 2" xfId="3164" xr:uid="{00000000-0005-0000-0000-00003B1B0000}"/>
    <cellStyle name="Normal 5 4 5 2 2" xfId="7387" xr:uid="{00000000-0005-0000-0000-00003C1B0000}"/>
    <cellStyle name="Normal 5 4 5 2 2 2" xfId="11955" xr:uid="{D7843FDA-FC5A-4861-A4E7-A33519BA91B3}"/>
    <cellStyle name="Normal 5 4 5 2 3" xfId="10297" xr:uid="{C4105F5D-6A49-48A9-AE09-760315EB2245}"/>
    <cellStyle name="Normal 5 4 5 3" xfId="5242" xr:uid="{00000000-0005-0000-0000-00003D1B0000}"/>
    <cellStyle name="Normal 5 4 5 3 2" xfId="11126" xr:uid="{78A8DC1C-645B-45C7-A34A-1CAC10B8A97B}"/>
    <cellStyle name="Normal 5 4 5 4" xfId="9468" xr:uid="{6157B549-40D0-4E62-8B70-5A2D05EF35F9}"/>
    <cellStyle name="Normal 5 4 6" xfId="1347" xr:uid="{00000000-0005-0000-0000-00003E1B0000}"/>
    <cellStyle name="Normal 5 4 6 2" xfId="3577" xr:uid="{00000000-0005-0000-0000-00003F1B0000}"/>
    <cellStyle name="Normal 5 4 6 2 2" xfId="7800" xr:uid="{00000000-0005-0000-0000-0000401B0000}"/>
    <cellStyle name="Normal 5 4 6 2 3" xfId="11539" xr:uid="{60EF7E08-2BFD-44A1-A06F-0F5E959D762E}"/>
    <cellStyle name="Normal 5 4 6 3" xfId="5655" xr:uid="{00000000-0005-0000-0000-0000411B0000}"/>
    <cellStyle name="Normal 5 4 6 4" xfId="9881" xr:uid="{5E855213-D47C-4D21-81F4-10C919C87007}"/>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7 4" xfId="10710" xr:uid="{C9C2127C-4B52-40DF-AC7B-D334535899F3}"/>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10" xfId="9057" xr:uid="{7CDC4489-CB85-4A63-8594-9F2D7C72FA7B}"/>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1965" xr:uid="{496305D4-ABDB-489A-8598-0DD3414A8D3B}"/>
    <cellStyle name="Normal 5 5 2 2 2 2 3" xfId="10307" xr:uid="{9170515D-B7F5-4145-B60A-AE308A431AEC}"/>
    <cellStyle name="Normal 5 5 2 2 2 3" xfId="5252" xr:uid="{00000000-0005-0000-0000-0000521B0000}"/>
    <cellStyle name="Normal 5 5 2 2 2 3 2" xfId="11136" xr:uid="{07B0CD7B-174D-4B4B-83F0-23D50599D542}"/>
    <cellStyle name="Normal 5 5 2 2 2 4" xfId="9478" xr:uid="{619B78D5-446B-4E19-A915-F1414C9A0B53}"/>
    <cellStyle name="Normal 5 5 2 2 3" xfId="1357" xr:uid="{00000000-0005-0000-0000-0000531B0000}"/>
    <cellStyle name="Normal 5 5 2 2 3 2" xfId="3587" xr:uid="{00000000-0005-0000-0000-0000541B0000}"/>
    <cellStyle name="Normal 5 5 2 2 3 2 2" xfId="7810" xr:uid="{00000000-0005-0000-0000-0000551B0000}"/>
    <cellStyle name="Normal 5 5 2 2 3 2 3" xfId="11549" xr:uid="{7380F7ED-393A-46AF-98E4-3C80D0A1E13F}"/>
    <cellStyle name="Normal 5 5 2 2 3 3" xfId="5665" xr:uid="{00000000-0005-0000-0000-0000561B0000}"/>
    <cellStyle name="Normal 5 5 2 2 3 4" xfId="9891" xr:uid="{E409FE12-E0FB-457B-9306-19A38FAB7106}"/>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4 4" xfId="10720" xr:uid="{11EFA723-E7F0-4782-80D0-AA6BC52805F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2 8" xfId="9059" xr:uid="{DB3B7480-D342-4A78-9D7A-7061AE533080}"/>
    <cellStyle name="Normal 5 5 2 3" xfId="939" xr:uid="{00000000-0005-0000-0000-0000621B0000}"/>
    <cellStyle name="Normal 5 5 2 3 2" xfId="3173" xr:uid="{00000000-0005-0000-0000-0000631B0000}"/>
    <cellStyle name="Normal 5 5 2 3 2 2" xfId="7396" xr:uid="{00000000-0005-0000-0000-0000641B0000}"/>
    <cellStyle name="Normal 5 5 2 3 2 2 2" xfId="11964" xr:uid="{D73D8584-7C7C-4998-9DA7-616D98DD3A54}"/>
    <cellStyle name="Normal 5 5 2 3 2 3" xfId="10306" xr:uid="{7BDE3D4C-EBF6-4863-A3DA-3A6DE81C6921}"/>
    <cellStyle name="Normal 5 5 2 3 3" xfId="5251" xr:uid="{00000000-0005-0000-0000-0000651B0000}"/>
    <cellStyle name="Normal 5 5 2 3 3 2" xfId="11135" xr:uid="{2489CC2B-8BD4-4534-ACA2-ED9882BA264F}"/>
    <cellStyle name="Normal 5 5 2 3 4" xfId="9477" xr:uid="{49E1F429-34AD-481F-A63D-6035913865A4}"/>
    <cellStyle name="Normal 5 5 2 4" xfId="1356" xr:uid="{00000000-0005-0000-0000-0000661B0000}"/>
    <cellStyle name="Normal 5 5 2 4 2" xfId="3586" xr:uid="{00000000-0005-0000-0000-0000671B0000}"/>
    <cellStyle name="Normal 5 5 2 4 2 2" xfId="7809" xr:uid="{00000000-0005-0000-0000-0000681B0000}"/>
    <cellStyle name="Normal 5 5 2 4 2 3" xfId="11548" xr:uid="{33302684-6A9F-4F34-8707-3A9598B529FE}"/>
    <cellStyle name="Normal 5 5 2 4 3" xfId="5664" xr:uid="{00000000-0005-0000-0000-0000691B0000}"/>
    <cellStyle name="Normal 5 5 2 4 4" xfId="9890" xr:uid="{25D3F81B-D3C5-4026-9025-8D8DBA717E83}"/>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5 4" xfId="10719" xr:uid="{3C7A0385-1CAC-4A2C-872F-1F2BC887A62B}"/>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2 9" xfId="9058" xr:uid="{02F62CEA-692D-4EAE-8FC5-A17A7602DB0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1966" xr:uid="{42CD483C-6F31-499A-BC0C-3A1B50D51110}"/>
    <cellStyle name="Normal 5 5 3 2 2 3" xfId="10308" xr:uid="{950A952F-B104-4A10-94B4-965330F2DCC0}"/>
    <cellStyle name="Normal 5 5 3 2 3" xfId="5253" xr:uid="{00000000-0005-0000-0000-0000791B0000}"/>
    <cellStyle name="Normal 5 5 3 2 3 2" xfId="11137" xr:uid="{1BF5F72A-B3DA-4C52-A29D-D3CD95E67846}"/>
    <cellStyle name="Normal 5 5 3 2 4" xfId="9479" xr:uid="{5A8AD8B0-148B-41D0-8286-7D5599339E2A}"/>
    <cellStyle name="Normal 5 5 3 3" xfId="1358" xr:uid="{00000000-0005-0000-0000-00007A1B0000}"/>
    <cellStyle name="Normal 5 5 3 3 2" xfId="3588" xr:uid="{00000000-0005-0000-0000-00007B1B0000}"/>
    <cellStyle name="Normal 5 5 3 3 2 2" xfId="7811" xr:uid="{00000000-0005-0000-0000-00007C1B0000}"/>
    <cellStyle name="Normal 5 5 3 3 2 3" xfId="11550" xr:uid="{1573A2F4-7B84-46FE-A71B-755B979A6739}"/>
    <cellStyle name="Normal 5 5 3 3 3" xfId="5666" xr:uid="{00000000-0005-0000-0000-00007D1B0000}"/>
    <cellStyle name="Normal 5 5 3 3 4" xfId="9892" xr:uid="{BDB819C9-ADC4-47E9-BE70-49E87F428863}"/>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4 4" xfId="10721" xr:uid="{59847374-F617-465F-A35F-5C181587E63F}"/>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3 8" xfId="9060" xr:uid="{CC2598B3-93A0-4235-97F8-0BBB48E5336A}"/>
    <cellStyle name="Normal 5 5 4" xfId="938" xr:uid="{00000000-0005-0000-0000-0000891B0000}"/>
    <cellStyle name="Normal 5 5 4 2" xfId="3172" xr:uid="{00000000-0005-0000-0000-00008A1B0000}"/>
    <cellStyle name="Normal 5 5 4 2 2" xfId="7395" xr:uid="{00000000-0005-0000-0000-00008B1B0000}"/>
    <cellStyle name="Normal 5 5 4 2 2 2" xfId="11963" xr:uid="{D83F00BF-674C-4CAF-AE88-BE0FBCFFE1C4}"/>
    <cellStyle name="Normal 5 5 4 2 3" xfId="10305" xr:uid="{E03E7D81-09D8-4405-8164-B23F93956311}"/>
    <cellStyle name="Normal 5 5 4 3" xfId="5250" xr:uid="{00000000-0005-0000-0000-00008C1B0000}"/>
    <cellStyle name="Normal 5 5 4 3 2" xfId="11134" xr:uid="{A4A5C9AC-1A55-488C-8F50-B49DB057362D}"/>
    <cellStyle name="Normal 5 5 4 4" xfId="9476" xr:uid="{2BA6093F-4A22-4F09-A2DF-B24DDE1992D6}"/>
    <cellStyle name="Normal 5 5 5" xfId="1355" xr:uid="{00000000-0005-0000-0000-00008D1B0000}"/>
    <cellStyle name="Normal 5 5 5 2" xfId="3585" xr:uid="{00000000-0005-0000-0000-00008E1B0000}"/>
    <cellStyle name="Normal 5 5 5 2 2" xfId="7808" xr:uid="{00000000-0005-0000-0000-00008F1B0000}"/>
    <cellStyle name="Normal 5 5 5 2 3" xfId="11547" xr:uid="{7BA8122A-269C-407F-BBF5-54F501C79F9E}"/>
    <cellStyle name="Normal 5 5 5 3" xfId="5663" xr:uid="{00000000-0005-0000-0000-0000901B0000}"/>
    <cellStyle name="Normal 5 5 5 4" xfId="9889" xr:uid="{AD292522-7B38-4B30-B4A6-A7946EBCE206}"/>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6 4" xfId="10718" xr:uid="{F8D57A5C-5AF4-42C0-9CB6-EDF2D11626DE}"/>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1968" xr:uid="{F2F57AD7-A3D1-40EC-8275-C24377DDAC84}"/>
    <cellStyle name="Normal 5 6 2 2 2 3" xfId="10310" xr:uid="{C1B0EB63-A5A7-4BF6-8F88-ECF9BE8D1522}"/>
    <cellStyle name="Normal 5 6 2 2 3" xfId="5255" xr:uid="{00000000-0005-0000-0000-0000A11B0000}"/>
    <cellStyle name="Normal 5 6 2 2 3 2" xfId="11139" xr:uid="{DFA6B5EE-F145-40A9-BBCD-6628846A8B15}"/>
    <cellStyle name="Normal 5 6 2 2 4" xfId="9481" xr:uid="{9FC21C7B-4818-4AB6-8A31-19F88F19C07A}"/>
    <cellStyle name="Normal 5 6 2 3" xfId="1360" xr:uid="{00000000-0005-0000-0000-0000A21B0000}"/>
    <cellStyle name="Normal 5 6 2 3 2" xfId="3590" xr:uid="{00000000-0005-0000-0000-0000A31B0000}"/>
    <cellStyle name="Normal 5 6 2 3 2 2" xfId="7813" xr:uid="{00000000-0005-0000-0000-0000A41B0000}"/>
    <cellStyle name="Normal 5 6 2 3 2 3" xfId="11552" xr:uid="{AFCA030E-8CC4-4D8A-B171-5E2A312E2B87}"/>
    <cellStyle name="Normal 5 6 2 3 3" xfId="5668" xr:uid="{00000000-0005-0000-0000-0000A51B0000}"/>
    <cellStyle name="Normal 5 6 2 3 4" xfId="9894" xr:uid="{ACA15B3A-F965-43E0-B69A-59070A25A5AA}"/>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4 4" xfId="10723" xr:uid="{E7A7F2CF-5CF9-429C-9244-BCD6B9DD568C}"/>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2 8" xfId="9062" xr:uid="{79E166E1-75A9-4879-8A5E-C984E1A786FB}"/>
    <cellStyle name="Normal 5 6 3" xfId="942" xr:uid="{00000000-0005-0000-0000-0000B11B0000}"/>
    <cellStyle name="Normal 5 6 3 2" xfId="3176" xr:uid="{00000000-0005-0000-0000-0000B21B0000}"/>
    <cellStyle name="Normal 5 6 3 2 2" xfId="7399" xr:uid="{00000000-0005-0000-0000-0000B31B0000}"/>
    <cellStyle name="Normal 5 6 3 2 2 2" xfId="11967" xr:uid="{F689D0D3-F6C6-4206-A1EE-F895DDB96711}"/>
    <cellStyle name="Normal 5 6 3 2 3" xfId="10309" xr:uid="{7CB64BAE-6435-4C08-B996-95BD40096F7A}"/>
    <cellStyle name="Normal 5 6 3 3" xfId="5254" xr:uid="{00000000-0005-0000-0000-0000B41B0000}"/>
    <cellStyle name="Normal 5 6 3 3 2" xfId="11138" xr:uid="{EA830BE7-6000-4470-9564-32EB9B0C54F8}"/>
    <cellStyle name="Normal 5 6 3 4" xfId="9480" xr:uid="{540E663C-73C2-4297-93A3-A366856A45F1}"/>
    <cellStyle name="Normal 5 6 4" xfId="1359" xr:uid="{00000000-0005-0000-0000-0000B51B0000}"/>
    <cellStyle name="Normal 5 6 4 2" xfId="3589" xr:uid="{00000000-0005-0000-0000-0000B61B0000}"/>
    <cellStyle name="Normal 5 6 4 2 2" xfId="7812" xr:uid="{00000000-0005-0000-0000-0000B71B0000}"/>
    <cellStyle name="Normal 5 6 4 2 3" xfId="11551" xr:uid="{C6E67775-8B6D-4E29-A793-88BB2FC13D8C}"/>
    <cellStyle name="Normal 5 6 4 3" xfId="5667" xr:uid="{00000000-0005-0000-0000-0000B81B0000}"/>
    <cellStyle name="Normal 5 6 4 4" xfId="9893" xr:uid="{58CCD007-2F89-443A-ADB4-5ECF2E320954}"/>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5 4" xfId="10722" xr:uid="{95C7CE8B-C6B5-4545-93C7-805705045E8C}"/>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6 9" xfId="9061" xr:uid="{F56A0222-2F0B-4ED5-A3F5-A5626510341C}"/>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1969" xr:uid="{12E376E9-332B-4F29-8F68-BE4116F10B76}"/>
    <cellStyle name="Normal 5 7 2 2 3" xfId="10311" xr:uid="{7F80C5DE-565A-49FE-B5A1-4B28CC41FE0B}"/>
    <cellStyle name="Normal 5 7 2 3" xfId="5256" xr:uid="{00000000-0005-0000-0000-0000C81B0000}"/>
    <cellStyle name="Normal 5 7 2 3 2" xfId="11140" xr:uid="{00373C2F-290B-4D31-B034-9AE395343DC1}"/>
    <cellStyle name="Normal 5 7 2 4" xfId="9482" xr:uid="{C4609959-D391-4D3E-825E-D73F622EFB96}"/>
    <cellStyle name="Normal 5 7 3" xfId="1361" xr:uid="{00000000-0005-0000-0000-0000C91B0000}"/>
    <cellStyle name="Normal 5 7 3 2" xfId="3591" xr:uid="{00000000-0005-0000-0000-0000CA1B0000}"/>
    <cellStyle name="Normal 5 7 3 2 2" xfId="7814" xr:uid="{00000000-0005-0000-0000-0000CB1B0000}"/>
    <cellStyle name="Normal 5 7 3 2 3" xfId="11553" xr:uid="{8DFE0604-B18A-49B7-9054-3770A079626C}"/>
    <cellStyle name="Normal 5 7 3 3" xfId="5669" xr:uid="{00000000-0005-0000-0000-0000CC1B0000}"/>
    <cellStyle name="Normal 5 7 3 4" xfId="9895" xr:uid="{52BDED36-52CA-4A1E-9293-1E818DA705D9}"/>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4 4" xfId="10724" xr:uid="{5C8D2995-7D70-4EB5-BA4A-DDFC4115F13B}"/>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7 8" xfId="9063" xr:uid="{E9C74E50-5D54-419D-BBC4-CC2E33A814E8}"/>
    <cellStyle name="Normal 5 8" xfId="880" xr:uid="{00000000-0005-0000-0000-0000D81B0000}"/>
    <cellStyle name="Normal 5 8 2" xfId="3115" xr:uid="{00000000-0005-0000-0000-0000D91B0000}"/>
    <cellStyle name="Normal 5 8 2 2" xfId="7338" xr:uid="{00000000-0005-0000-0000-0000DA1B0000}"/>
    <cellStyle name="Normal 5 8 2 2 2" xfId="11906" xr:uid="{91E93AEE-B348-4114-8B61-8D746E983E9B}"/>
    <cellStyle name="Normal 5 8 2 3" xfId="10248" xr:uid="{9B7DD685-75CE-4065-88FE-53D4B2D5970D}"/>
    <cellStyle name="Normal 5 8 3" xfId="5193" xr:uid="{00000000-0005-0000-0000-0000DB1B0000}"/>
    <cellStyle name="Normal 5 8 3 2" xfId="11077" xr:uid="{75DF7DF3-8DE6-4B9D-B1F9-F0981AA0B1A4}"/>
    <cellStyle name="Normal 5 8 4" xfId="9419" xr:uid="{D5D92C0A-5D2F-499A-BF0F-4536B5B02AE7}"/>
    <cellStyle name="Normal 5 9" xfId="1298" xr:uid="{00000000-0005-0000-0000-0000DC1B0000}"/>
    <cellStyle name="Normal 5 9 2" xfId="3528" xr:uid="{00000000-0005-0000-0000-0000DD1B0000}"/>
    <cellStyle name="Normal 5 9 2 2" xfId="7751" xr:uid="{00000000-0005-0000-0000-0000DE1B0000}"/>
    <cellStyle name="Normal 5 9 2 3" xfId="11490" xr:uid="{7FAFFAC4-A706-4373-BE14-27E4BF82A5AE}"/>
    <cellStyle name="Normal 5 9 3" xfId="5606" xr:uid="{00000000-0005-0000-0000-0000DF1B0000}"/>
    <cellStyle name="Normal 5 9 4" xfId="9832" xr:uid="{6FAB3924-CD5F-4103-8BEF-1A58467C6D1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13" xfId="9064" xr:uid="{D2F5B3D2-E2FD-4D5C-BE1A-9E8E8AABB2EC}"/>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12" xfId="9065" xr:uid="{07BC9C84-B17D-4619-9A4D-FB95FD1CE747}"/>
    <cellStyle name="Normal 8 2 2" xfId="480" xr:uid="{00000000-0005-0000-0000-0000F31B0000}"/>
    <cellStyle name="Normal 8 2 2 10" xfId="4846" xr:uid="{00000000-0005-0000-0000-0000F41B0000}"/>
    <cellStyle name="Normal 8 2 2 11" xfId="9066" xr:uid="{D386675D-6D58-4398-8887-A518B42D9862}"/>
    <cellStyle name="Normal 8 2 2 2" xfId="481" xr:uid="{00000000-0005-0000-0000-0000F51B0000}"/>
    <cellStyle name="Normal 8 2 2 2 10" xfId="9067" xr:uid="{CF852D04-8FF0-4924-88C3-D7AF081D2DE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1975" xr:uid="{7C43A74D-8729-45B6-9408-126F61B0B485}"/>
    <cellStyle name="Normal 8 2 2 2 2 2 2 2 3" xfId="10317" xr:uid="{1DADB82F-2A5C-41D9-ADCA-1D0051F0D67E}"/>
    <cellStyle name="Normal 8 2 2 2 2 2 2 3" xfId="5262" xr:uid="{00000000-0005-0000-0000-0000FB1B0000}"/>
    <cellStyle name="Normal 8 2 2 2 2 2 2 3 2" xfId="11146" xr:uid="{B15966E8-2371-4547-91BD-515E716BC577}"/>
    <cellStyle name="Normal 8 2 2 2 2 2 2 4" xfId="9488" xr:uid="{F49CE12E-86BD-4D75-B3AE-FD33C7290654}"/>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3" xfId="11559" xr:uid="{93DA3E1E-D99D-44FA-892B-FACB48594B73}"/>
    <cellStyle name="Normal 8 2 2 2 2 2 3 3" xfId="5675" xr:uid="{00000000-0005-0000-0000-0000FF1B0000}"/>
    <cellStyle name="Normal 8 2 2 2 2 2 3 4" xfId="9901" xr:uid="{DF7961BA-91A5-4185-82E0-1274E66D30B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4 4" xfId="10730" xr:uid="{8544E5F3-F704-4F08-9BBC-E54F0AA8DE99}"/>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2 8" xfId="9069" xr:uid="{396FD5F5-E0D8-4D5C-BD4F-BD8A905D5D2C}"/>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1974" xr:uid="{C195B99C-DBA6-4E1A-A404-01526D678FE0}"/>
    <cellStyle name="Normal 8 2 2 2 2 3 2 3" xfId="10316" xr:uid="{C9F99F63-DDEB-4816-A519-4C3B014BB9B8}"/>
    <cellStyle name="Normal 8 2 2 2 2 3 3" xfId="5261" xr:uid="{00000000-0005-0000-0000-00000E1C0000}"/>
    <cellStyle name="Normal 8 2 2 2 2 3 3 2" xfId="11145" xr:uid="{F1A3F077-7B63-4A41-943B-9BC71D3AF640}"/>
    <cellStyle name="Normal 8 2 2 2 2 3 4" xfId="9487" xr:uid="{40840531-105F-44BB-BB11-E870B5FB6C3F}"/>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3" xfId="11558" xr:uid="{E971D512-53CF-4E72-8DD4-4C37145D0BD6}"/>
    <cellStyle name="Normal 8 2 2 2 2 4 3" xfId="5674" xr:uid="{00000000-0005-0000-0000-0000121C0000}"/>
    <cellStyle name="Normal 8 2 2 2 2 4 4" xfId="9900" xr:uid="{899D2119-7F7A-441F-8E87-2D26543644F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5 4" xfId="10729" xr:uid="{27B07F33-A71B-4077-90CD-36AB5EC02873}"/>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2 9" xfId="9068" xr:uid="{E18A00B2-BF32-491E-A602-9F65EC81A6C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1976" xr:uid="{775CB7F8-97B2-4FA4-A1BA-281E9F058669}"/>
    <cellStyle name="Normal 8 2 2 2 3 2 2 3" xfId="10318" xr:uid="{830B9A18-2C59-4972-B952-70704471E8A2}"/>
    <cellStyle name="Normal 8 2 2 2 3 2 3" xfId="5263" xr:uid="{00000000-0005-0000-0000-0000221C0000}"/>
    <cellStyle name="Normal 8 2 2 2 3 2 3 2" xfId="11147" xr:uid="{7AF7E03A-CA9C-4C77-99B6-AD3DD48BCF9F}"/>
    <cellStyle name="Normal 8 2 2 2 3 2 4" xfId="9489" xr:uid="{A711129E-E327-4D13-B0B1-563F2DA5030C}"/>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3" xfId="11560" xr:uid="{0A52E025-59BD-4F88-A59F-CBBF05542D97}"/>
    <cellStyle name="Normal 8 2 2 2 3 3 3" xfId="5676" xr:uid="{00000000-0005-0000-0000-0000261C0000}"/>
    <cellStyle name="Normal 8 2 2 2 3 3 4" xfId="9902" xr:uid="{FFEB67B2-7C8C-4637-900D-CE31541939E4}"/>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4 4" xfId="10731" xr:uid="{04C9E185-A92E-4DA1-B5DB-DB60ED439817}"/>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3 8" xfId="9070" xr:uid="{4A141793-3EA7-448C-A410-12E341A8613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1973" xr:uid="{891A1201-CC93-4623-9E55-1B40E427D301}"/>
    <cellStyle name="Normal 8 2 2 2 4 2 3" xfId="10315" xr:uid="{FC2C3CEF-26A1-48F7-922C-C6AEEFAF78B5}"/>
    <cellStyle name="Normal 8 2 2 2 4 3" xfId="5260" xr:uid="{00000000-0005-0000-0000-0000351C0000}"/>
    <cellStyle name="Normal 8 2 2 2 4 3 2" xfId="11144" xr:uid="{564BA21F-C69F-4B35-9AFB-7F34CB97F58D}"/>
    <cellStyle name="Normal 8 2 2 2 4 4" xfId="9486" xr:uid="{6568A05D-7DE6-4A62-9954-C3FB94CB7D6E}"/>
    <cellStyle name="Normal 8 2 2 2 5" xfId="1365" xr:uid="{00000000-0005-0000-0000-0000361C0000}"/>
    <cellStyle name="Normal 8 2 2 2 5 2" xfId="3595" xr:uid="{00000000-0005-0000-0000-0000371C0000}"/>
    <cellStyle name="Normal 8 2 2 2 5 2 2" xfId="7818" xr:uid="{00000000-0005-0000-0000-0000381C0000}"/>
    <cellStyle name="Normal 8 2 2 2 5 2 3" xfId="11557" xr:uid="{5B51F0AA-EDDC-435B-A639-B386CB60D20D}"/>
    <cellStyle name="Normal 8 2 2 2 5 3" xfId="5673" xr:uid="{00000000-0005-0000-0000-0000391C0000}"/>
    <cellStyle name="Normal 8 2 2 2 5 4" xfId="9899" xr:uid="{83BB6CEF-5141-447E-A068-7FAC9D4FC238}"/>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6 4" xfId="10728" xr:uid="{6CCDFEC6-530F-4506-AA38-5996437D3636}"/>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1978" xr:uid="{E469060F-BBFA-4AEA-8BA2-902FB2B19898}"/>
    <cellStyle name="Normal 8 2 2 3 2 2 2 3" xfId="10320" xr:uid="{665BD55A-8D6F-436F-A278-5D21B1D455AE}"/>
    <cellStyle name="Normal 8 2 2 3 2 2 3" xfId="5265" xr:uid="{00000000-0005-0000-0000-00004A1C0000}"/>
    <cellStyle name="Normal 8 2 2 3 2 2 3 2" xfId="11149" xr:uid="{CA8D2222-330B-4EDE-82FB-8E808FAA4747}"/>
    <cellStyle name="Normal 8 2 2 3 2 2 4" xfId="9491" xr:uid="{6EF22CEE-11AA-4E45-B8E2-167F973D3579}"/>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3" xfId="11562" xr:uid="{3341EC38-2A73-44E3-B00A-FF4E5B69872A}"/>
    <cellStyle name="Normal 8 2 2 3 2 3 3" xfId="5678" xr:uid="{00000000-0005-0000-0000-00004E1C0000}"/>
    <cellStyle name="Normal 8 2 2 3 2 3 4" xfId="9904" xr:uid="{B3C12B86-292D-459F-A8D0-737F2ECCB09A}"/>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4 4" xfId="10733" xr:uid="{FC1CD3C8-DE88-4CB2-88E3-F62CC990F8A5}"/>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2 8" xfId="9072" xr:uid="{0717C7F7-814B-41B3-ACE1-2B1E83F99128}"/>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1977" xr:uid="{78740716-64FD-460C-BDE4-7A3F48CFF911}"/>
    <cellStyle name="Normal 8 2 2 3 3 2 3" xfId="10319" xr:uid="{0164BFBE-A90E-4538-A8BD-17FE6193FD64}"/>
    <cellStyle name="Normal 8 2 2 3 3 3" xfId="5264" xr:uid="{00000000-0005-0000-0000-00005D1C0000}"/>
    <cellStyle name="Normal 8 2 2 3 3 3 2" xfId="11148" xr:uid="{D90365D7-1ED0-49C8-9FC3-88B70DA30DAF}"/>
    <cellStyle name="Normal 8 2 2 3 3 4" xfId="9490" xr:uid="{DD6FE202-9B48-4702-A8A9-0F24DA5A3EBF}"/>
    <cellStyle name="Normal 8 2 2 3 4" xfId="1369" xr:uid="{00000000-0005-0000-0000-00005E1C0000}"/>
    <cellStyle name="Normal 8 2 2 3 4 2" xfId="3599" xr:uid="{00000000-0005-0000-0000-00005F1C0000}"/>
    <cellStyle name="Normal 8 2 2 3 4 2 2" xfId="7822" xr:uid="{00000000-0005-0000-0000-0000601C0000}"/>
    <cellStyle name="Normal 8 2 2 3 4 2 3" xfId="11561" xr:uid="{5B417D4A-D3AF-44EA-BA4A-3CA237BDFE80}"/>
    <cellStyle name="Normal 8 2 2 3 4 3" xfId="5677" xr:uid="{00000000-0005-0000-0000-0000611C0000}"/>
    <cellStyle name="Normal 8 2 2 3 4 4" xfId="9903" xr:uid="{255830B0-8CF5-424E-8340-6A9A26537982}"/>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5 4" xfId="10732" xr:uid="{BB9EFB8B-9A1C-4879-B4AF-429FE2BDC786}"/>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3 9" xfId="9071" xr:uid="{3A16E3E8-BCDB-4F65-AD25-FEA9D471B0C6}"/>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1979" xr:uid="{7A2325E2-A511-4BDD-8386-7A85B9CF779D}"/>
    <cellStyle name="Normal 8 2 2 4 2 2 3" xfId="10321" xr:uid="{641D7A57-D7BC-4E72-95ED-434887D72DD3}"/>
    <cellStyle name="Normal 8 2 2 4 2 3" xfId="5266" xr:uid="{00000000-0005-0000-0000-0000711C0000}"/>
    <cellStyle name="Normal 8 2 2 4 2 3 2" xfId="11150" xr:uid="{26B0DB5E-C35A-459A-87C7-84A3B9B8EEAE}"/>
    <cellStyle name="Normal 8 2 2 4 2 4" xfId="9492" xr:uid="{97C82695-0491-410D-A44E-956FF4A9EDA9}"/>
    <cellStyle name="Normal 8 2 2 4 3" xfId="1371" xr:uid="{00000000-0005-0000-0000-0000721C0000}"/>
    <cellStyle name="Normal 8 2 2 4 3 2" xfId="3601" xr:uid="{00000000-0005-0000-0000-0000731C0000}"/>
    <cellStyle name="Normal 8 2 2 4 3 2 2" xfId="7824" xr:uid="{00000000-0005-0000-0000-0000741C0000}"/>
    <cellStyle name="Normal 8 2 2 4 3 2 3" xfId="11563" xr:uid="{8D468D78-5304-40EC-BFAA-72369DF142CC}"/>
    <cellStyle name="Normal 8 2 2 4 3 3" xfId="5679" xr:uid="{00000000-0005-0000-0000-0000751C0000}"/>
    <cellStyle name="Normal 8 2 2 4 3 4" xfId="9905" xr:uid="{77593AD4-811B-4B98-9C5F-E5E8F002E384}"/>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4 4" xfId="10734" xr:uid="{26C9D932-4B96-43EC-A546-4683B2F9633D}"/>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4 8" xfId="9073" xr:uid="{47F657C9-3144-47F3-8249-BD4D18CEC4F1}"/>
    <cellStyle name="Normal 8 2 2 5" xfId="947" xr:uid="{00000000-0005-0000-0000-0000811C0000}"/>
    <cellStyle name="Normal 8 2 2 5 2" xfId="3181" xr:uid="{00000000-0005-0000-0000-0000821C0000}"/>
    <cellStyle name="Normal 8 2 2 5 2 2" xfId="7404" xr:uid="{00000000-0005-0000-0000-0000831C0000}"/>
    <cellStyle name="Normal 8 2 2 5 2 2 2" xfId="11972" xr:uid="{D5A60814-4706-4189-9235-5617AC8EE7E5}"/>
    <cellStyle name="Normal 8 2 2 5 2 3" xfId="10314" xr:uid="{E18489F6-4113-4C54-80D9-162D2FB4CFD8}"/>
    <cellStyle name="Normal 8 2 2 5 3" xfId="5259" xr:uid="{00000000-0005-0000-0000-0000841C0000}"/>
    <cellStyle name="Normal 8 2 2 5 3 2" xfId="11143" xr:uid="{FC585BAF-0F28-49D4-B125-6C4281AD4813}"/>
    <cellStyle name="Normal 8 2 2 5 4" xfId="9485" xr:uid="{0439747D-C913-4BDF-9C39-602E3F29FCE7}"/>
    <cellStyle name="Normal 8 2 2 6" xfId="1364" xr:uid="{00000000-0005-0000-0000-0000851C0000}"/>
    <cellStyle name="Normal 8 2 2 6 2" xfId="3594" xr:uid="{00000000-0005-0000-0000-0000861C0000}"/>
    <cellStyle name="Normal 8 2 2 6 2 2" xfId="7817" xr:uid="{00000000-0005-0000-0000-0000871C0000}"/>
    <cellStyle name="Normal 8 2 2 6 2 3" xfId="11556" xr:uid="{CD4257B6-64D7-4B4D-9AFB-91215C51A2D4}"/>
    <cellStyle name="Normal 8 2 2 6 3" xfId="5672" xr:uid="{00000000-0005-0000-0000-0000881C0000}"/>
    <cellStyle name="Normal 8 2 2 6 4" xfId="9898" xr:uid="{E59126C5-99E5-4A04-AA19-BA79F35C31A6}"/>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7 4" xfId="10727" xr:uid="{FC4F93DF-AF30-4B73-BADC-05B5BD54D9E7}"/>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10" xfId="9074" xr:uid="{31780644-C862-4D0A-AAFD-63A901C401FF}"/>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1982" xr:uid="{FD7CBC88-3B8F-48D8-AD96-4591491AC63F}"/>
    <cellStyle name="Normal 8 2 3 2 2 2 2 3" xfId="10324" xr:uid="{1E10EE48-7249-4CD4-97E2-23F8B867DD48}"/>
    <cellStyle name="Normal 8 2 3 2 2 2 3" xfId="5269" xr:uid="{00000000-0005-0000-0000-0000991C0000}"/>
    <cellStyle name="Normal 8 2 3 2 2 2 3 2" xfId="11153" xr:uid="{0C7080C0-CDAA-49E7-B117-D5CD9B3A0F8C}"/>
    <cellStyle name="Normal 8 2 3 2 2 2 4" xfId="9495" xr:uid="{92AB68FC-96E6-4EC2-805B-5C840C6B055A}"/>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3" xfId="11566" xr:uid="{AB276FF2-7609-4BBE-AC87-C2ECE914166F}"/>
    <cellStyle name="Normal 8 2 3 2 2 3 3" xfId="5682" xr:uid="{00000000-0005-0000-0000-00009D1C0000}"/>
    <cellStyle name="Normal 8 2 3 2 2 3 4" xfId="9908" xr:uid="{F8649696-3A60-4BAE-B849-8F4008038B03}"/>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4 4" xfId="10737" xr:uid="{9FD237F5-534D-4A36-993B-0429BCC0DA0C}"/>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2 8" xfId="9076" xr:uid="{93414EC7-A820-4BB2-8248-704DF6F810E2}"/>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1981" xr:uid="{086FB299-EA39-4275-89DE-CC8F849D5788}"/>
    <cellStyle name="Normal 8 2 3 2 3 2 3" xfId="10323" xr:uid="{E43E4146-7557-4CC5-A2A5-C8C8B4C25F34}"/>
    <cellStyle name="Normal 8 2 3 2 3 3" xfId="5268" xr:uid="{00000000-0005-0000-0000-0000AC1C0000}"/>
    <cellStyle name="Normal 8 2 3 2 3 3 2" xfId="11152" xr:uid="{2709CD0F-8164-4BC7-9ACB-1BDDAA34F027}"/>
    <cellStyle name="Normal 8 2 3 2 3 4" xfId="9494" xr:uid="{523088A5-E2EF-42CC-9E9B-B07A12765FC0}"/>
    <cellStyle name="Normal 8 2 3 2 4" xfId="1373" xr:uid="{00000000-0005-0000-0000-0000AD1C0000}"/>
    <cellStyle name="Normal 8 2 3 2 4 2" xfId="3603" xr:uid="{00000000-0005-0000-0000-0000AE1C0000}"/>
    <cellStyle name="Normal 8 2 3 2 4 2 2" xfId="7826" xr:uid="{00000000-0005-0000-0000-0000AF1C0000}"/>
    <cellStyle name="Normal 8 2 3 2 4 2 3" xfId="11565" xr:uid="{919625CA-DE6E-4D32-8A8A-642A72AB8EAF}"/>
    <cellStyle name="Normal 8 2 3 2 4 3" xfId="5681" xr:uid="{00000000-0005-0000-0000-0000B01C0000}"/>
    <cellStyle name="Normal 8 2 3 2 4 4" xfId="9907" xr:uid="{A899CFE5-A099-419E-9918-063FC4BE76EE}"/>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5 4" xfId="10736" xr:uid="{3B3DD693-A098-4EAA-8CEB-0A53911ECB8C}"/>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2 9" xfId="9075" xr:uid="{5BD84392-EB3C-41B1-AB97-C002471616FE}"/>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1983" xr:uid="{901399F7-DB94-4E92-A4AF-9E2956DFDAF8}"/>
    <cellStyle name="Normal 8 2 3 3 2 2 3" xfId="10325" xr:uid="{05B6497D-7F4A-4A2A-9A77-6659FB71EA1C}"/>
    <cellStyle name="Normal 8 2 3 3 2 3" xfId="5270" xr:uid="{00000000-0005-0000-0000-0000C01C0000}"/>
    <cellStyle name="Normal 8 2 3 3 2 3 2" xfId="11154" xr:uid="{BC38F155-06AB-4528-A0F3-FAF1C6EEE2ED}"/>
    <cellStyle name="Normal 8 2 3 3 2 4" xfId="9496" xr:uid="{13DAEC1B-E68E-4D12-AE2F-C87A01E34C16}"/>
    <cellStyle name="Normal 8 2 3 3 3" xfId="1375" xr:uid="{00000000-0005-0000-0000-0000C11C0000}"/>
    <cellStyle name="Normal 8 2 3 3 3 2" xfId="3605" xr:uid="{00000000-0005-0000-0000-0000C21C0000}"/>
    <cellStyle name="Normal 8 2 3 3 3 2 2" xfId="7828" xr:uid="{00000000-0005-0000-0000-0000C31C0000}"/>
    <cellStyle name="Normal 8 2 3 3 3 2 3" xfId="11567" xr:uid="{A5FFCDB7-ED0D-402E-B83F-FA7508E5F3D8}"/>
    <cellStyle name="Normal 8 2 3 3 3 3" xfId="5683" xr:uid="{00000000-0005-0000-0000-0000C41C0000}"/>
    <cellStyle name="Normal 8 2 3 3 3 4" xfId="9909" xr:uid="{79094EC8-DD7D-4BAC-AD15-27DF616001DF}"/>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4 4" xfId="10738" xr:uid="{C6C26F3D-7B1E-41FB-A237-737136C784D1}"/>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3 8" xfId="9077" xr:uid="{61F6EA16-AD75-4C6B-8501-CF22DDDE25C0}"/>
    <cellStyle name="Normal 8 2 3 4" xfId="955" xr:uid="{00000000-0005-0000-0000-0000D01C0000}"/>
    <cellStyle name="Normal 8 2 3 4 2" xfId="3189" xr:uid="{00000000-0005-0000-0000-0000D11C0000}"/>
    <cellStyle name="Normal 8 2 3 4 2 2" xfId="7412" xr:uid="{00000000-0005-0000-0000-0000D21C0000}"/>
    <cellStyle name="Normal 8 2 3 4 2 2 2" xfId="11980" xr:uid="{224470B1-1939-4A17-B175-778CBDF375A4}"/>
    <cellStyle name="Normal 8 2 3 4 2 3" xfId="10322" xr:uid="{9DCCCB25-3D82-4E77-86F0-063B8B7B44C3}"/>
    <cellStyle name="Normal 8 2 3 4 3" xfId="5267" xr:uid="{00000000-0005-0000-0000-0000D31C0000}"/>
    <cellStyle name="Normal 8 2 3 4 3 2" xfId="11151" xr:uid="{8C1DA646-8F48-47C1-B761-86BCD4FE5732}"/>
    <cellStyle name="Normal 8 2 3 4 4" xfId="9493" xr:uid="{50422757-0BA4-4996-BD3E-0D5C293D2B51}"/>
    <cellStyle name="Normal 8 2 3 5" xfId="1372" xr:uid="{00000000-0005-0000-0000-0000D41C0000}"/>
    <cellStyle name="Normal 8 2 3 5 2" xfId="3602" xr:uid="{00000000-0005-0000-0000-0000D51C0000}"/>
    <cellStyle name="Normal 8 2 3 5 2 2" xfId="7825" xr:uid="{00000000-0005-0000-0000-0000D61C0000}"/>
    <cellStyle name="Normal 8 2 3 5 2 3" xfId="11564" xr:uid="{6A071108-8477-4EF1-8A4D-5D60F770EBFF}"/>
    <cellStyle name="Normal 8 2 3 5 3" xfId="5680" xr:uid="{00000000-0005-0000-0000-0000D71C0000}"/>
    <cellStyle name="Normal 8 2 3 5 4" xfId="9906" xr:uid="{E76E4656-804A-4A09-96DC-FFE9F3DC6CDA}"/>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6 4" xfId="10735" xr:uid="{753ECC8B-8D91-422C-9061-539EE78AC8E2}"/>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1985" xr:uid="{82E8BFB8-7401-49F2-9A20-44F8CBDD0047}"/>
    <cellStyle name="Normal 8 2 4 2 2 2 3" xfId="10327" xr:uid="{E1663091-1BAD-457F-A3FC-80E1387FE696}"/>
    <cellStyle name="Normal 8 2 4 2 2 3" xfId="5272" xr:uid="{00000000-0005-0000-0000-0000E81C0000}"/>
    <cellStyle name="Normal 8 2 4 2 2 3 2" xfId="11156" xr:uid="{5852F1C6-F53C-4179-B8F1-A14765B832B7}"/>
    <cellStyle name="Normal 8 2 4 2 2 4" xfId="9498" xr:uid="{FAE1A74A-C38A-4E35-B38E-DBA5A99EE97E}"/>
    <cellStyle name="Normal 8 2 4 2 3" xfId="1377" xr:uid="{00000000-0005-0000-0000-0000E91C0000}"/>
    <cellStyle name="Normal 8 2 4 2 3 2" xfId="3607" xr:uid="{00000000-0005-0000-0000-0000EA1C0000}"/>
    <cellStyle name="Normal 8 2 4 2 3 2 2" xfId="7830" xr:uid="{00000000-0005-0000-0000-0000EB1C0000}"/>
    <cellStyle name="Normal 8 2 4 2 3 2 3" xfId="11569" xr:uid="{FD6F0C2C-AD57-455F-B853-D43355602877}"/>
    <cellStyle name="Normal 8 2 4 2 3 3" xfId="5685" xr:uid="{00000000-0005-0000-0000-0000EC1C0000}"/>
    <cellStyle name="Normal 8 2 4 2 3 4" xfId="9911" xr:uid="{B6B4273B-685E-4355-80D7-873BF23FCAA6}"/>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4 4" xfId="10740" xr:uid="{040615B6-9BE5-4650-B9F5-0E9796DED09D}"/>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2 8" xfId="9079" xr:uid="{0B7D2160-3666-412B-A502-DCE6309319B8}"/>
    <cellStyle name="Normal 8 2 4 3" xfId="959" xr:uid="{00000000-0005-0000-0000-0000F81C0000}"/>
    <cellStyle name="Normal 8 2 4 3 2" xfId="3193" xr:uid="{00000000-0005-0000-0000-0000F91C0000}"/>
    <cellStyle name="Normal 8 2 4 3 2 2" xfId="7416" xr:uid="{00000000-0005-0000-0000-0000FA1C0000}"/>
    <cellStyle name="Normal 8 2 4 3 2 2 2" xfId="11984" xr:uid="{B794995A-AED4-4187-BF24-D8923551CF33}"/>
    <cellStyle name="Normal 8 2 4 3 2 3" xfId="10326" xr:uid="{82DF276B-0B6D-4E95-8D69-7B25947AC67B}"/>
    <cellStyle name="Normal 8 2 4 3 3" xfId="5271" xr:uid="{00000000-0005-0000-0000-0000FB1C0000}"/>
    <cellStyle name="Normal 8 2 4 3 3 2" xfId="11155" xr:uid="{EB100128-6A6D-4BED-9727-EEFF0A364884}"/>
    <cellStyle name="Normal 8 2 4 3 4" xfId="9497" xr:uid="{D5EB49AE-FC42-41D6-A836-51C1702874F1}"/>
    <cellStyle name="Normal 8 2 4 4" xfId="1376" xr:uid="{00000000-0005-0000-0000-0000FC1C0000}"/>
    <cellStyle name="Normal 8 2 4 4 2" xfId="3606" xr:uid="{00000000-0005-0000-0000-0000FD1C0000}"/>
    <cellStyle name="Normal 8 2 4 4 2 2" xfId="7829" xr:uid="{00000000-0005-0000-0000-0000FE1C0000}"/>
    <cellStyle name="Normal 8 2 4 4 2 3" xfId="11568" xr:uid="{93538CB1-050B-46E7-B419-75CF0EE2DE7F}"/>
    <cellStyle name="Normal 8 2 4 4 3" xfId="5684" xr:uid="{00000000-0005-0000-0000-0000FF1C0000}"/>
    <cellStyle name="Normal 8 2 4 4 4" xfId="9910" xr:uid="{4160A484-99CC-4DBB-84EB-6BDF40C6B105}"/>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5 4" xfId="10739" xr:uid="{DC0D5B64-B755-4436-9066-E0314160B5BA}"/>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4 9" xfId="9078" xr:uid="{CA66A0E6-B324-411E-BB26-2FA11FC4DF78}"/>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1986" xr:uid="{A8B643E9-ED98-4F04-8845-27DCA4A01190}"/>
    <cellStyle name="Normal 8 2 5 2 2 3" xfId="10328" xr:uid="{77802B49-F9D2-4EB4-A3CB-B1AA881FC275}"/>
    <cellStyle name="Normal 8 2 5 2 3" xfId="5273" xr:uid="{00000000-0005-0000-0000-00000F1D0000}"/>
    <cellStyle name="Normal 8 2 5 2 3 2" xfId="11157" xr:uid="{43822785-6914-4531-8B2C-6D66B9B77211}"/>
    <cellStyle name="Normal 8 2 5 2 4" xfId="9499" xr:uid="{EF07B173-9C25-4BA6-A06A-FA5EA92F3905}"/>
    <cellStyle name="Normal 8 2 5 3" xfId="1378" xr:uid="{00000000-0005-0000-0000-0000101D0000}"/>
    <cellStyle name="Normal 8 2 5 3 2" xfId="3608" xr:uid="{00000000-0005-0000-0000-0000111D0000}"/>
    <cellStyle name="Normal 8 2 5 3 2 2" xfId="7831" xr:uid="{00000000-0005-0000-0000-0000121D0000}"/>
    <cellStyle name="Normal 8 2 5 3 2 3" xfId="11570" xr:uid="{EF1F37E6-1C33-4E2A-AF53-E471E18C49F2}"/>
    <cellStyle name="Normal 8 2 5 3 3" xfId="5686" xr:uid="{00000000-0005-0000-0000-0000131D0000}"/>
    <cellStyle name="Normal 8 2 5 3 4" xfId="9912" xr:uid="{53C3BA87-94F9-42F9-9724-90051C8D0D18}"/>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4 4" xfId="10741" xr:uid="{0AA0A448-9816-4486-992E-268A8DEEB848}"/>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5 8" xfId="9080" xr:uid="{59D2A62F-DC26-4297-A492-A11814D8C9A6}"/>
    <cellStyle name="Normal 8 2 6" xfId="946" xr:uid="{00000000-0005-0000-0000-00001F1D0000}"/>
    <cellStyle name="Normal 8 2 6 2" xfId="3180" xr:uid="{00000000-0005-0000-0000-0000201D0000}"/>
    <cellStyle name="Normal 8 2 6 2 2" xfId="7403" xr:uid="{00000000-0005-0000-0000-0000211D0000}"/>
    <cellStyle name="Normal 8 2 6 2 2 2" xfId="11971" xr:uid="{E81D8895-0B30-4C40-84D0-BFFA575179DA}"/>
    <cellStyle name="Normal 8 2 6 2 3" xfId="10313" xr:uid="{E0E2A199-ADFB-4390-9866-EB23EE10EB9A}"/>
    <cellStyle name="Normal 8 2 6 3" xfId="5258" xr:uid="{00000000-0005-0000-0000-0000221D0000}"/>
    <cellStyle name="Normal 8 2 6 3 2" xfId="11142" xr:uid="{42018B51-61B9-40CF-80CC-50E39FC984A3}"/>
    <cellStyle name="Normal 8 2 6 4" xfId="9484" xr:uid="{F849F2EF-5635-4EE1-A788-497F8E41501C}"/>
    <cellStyle name="Normal 8 2 7" xfId="1363" xr:uid="{00000000-0005-0000-0000-0000231D0000}"/>
    <cellStyle name="Normal 8 2 7 2" xfId="3593" xr:uid="{00000000-0005-0000-0000-0000241D0000}"/>
    <cellStyle name="Normal 8 2 7 2 2" xfId="7816" xr:uid="{00000000-0005-0000-0000-0000251D0000}"/>
    <cellStyle name="Normal 8 2 7 2 3" xfId="11555" xr:uid="{19E09293-97FD-4000-8154-6B4620411A45}"/>
    <cellStyle name="Normal 8 2 7 3" xfId="5671" xr:uid="{00000000-0005-0000-0000-0000261D0000}"/>
    <cellStyle name="Normal 8 2 7 4" xfId="9897" xr:uid="{169EAA7B-9B0C-4C29-8434-F49EC7C2263A}"/>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8 4" xfId="10726" xr:uid="{9C316561-6595-457C-A5BA-8ED8C2BB7E6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11" xfId="9081" xr:uid="{CB00164C-648D-4495-9AD7-07A77098D1F3}"/>
    <cellStyle name="Normal 8 3 2" xfId="496" xr:uid="{00000000-0005-0000-0000-0000311D0000}"/>
    <cellStyle name="Normal 8 3 2 10" xfId="9082" xr:uid="{A618C18F-74B6-46E0-A001-7785111BF8E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1990" xr:uid="{272E8540-3045-410F-AEC1-A3F76DC11A5C}"/>
    <cellStyle name="Normal 8 3 2 2 2 2 2 3" xfId="10332" xr:uid="{7E5E1E2B-D8E9-49D9-B1FA-36BA99D2C9DC}"/>
    <cellStyle name="Normal 8 3 2 2 2 2 3" xfId="5277" xr:uid="{00000000-0005-0000-0000-0000371D0000}"/>
    <cellStyle name="Normal 8 3 2 2 2 2 3 2" xfId="11161" xr:uid="{DC5BAA57-6982-4E6C-9AFA-CEE7C25C2B8D}"/>
    <cellStyle name="Normal 8 3 2 2 2 2 4" xfId="9503" xr:uid="{20E32DC8-D1F6-40F1-AF01-B8A562C17CF9}"/>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3" xfId="11574" xr:uid="{2DA3A0ED-D603-4EAA-AC1C-AB54634B8B00}"/>
    <cellStyle name="Normal 8 3 2 2 2 3 3" xfId="5690" xr:uid="{00000000-0005-0000-0000-00003B1D0000}"/>
    <cellStyle name="Normal 8 3 2 2 2 3 4" xfId="9916" xr:uid="{AD8D65E0-FDBF-4B4B-B44B-DB16164A9DC7}"/>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4 4" xfId="10745" xr:uid="{414AA547-D313-48BB-8BA1-B4C151100467}"/>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2 8" xfId="9084" xr:uid="{DC819CE5-0FE7-4A44-8F84-DDC0826CE297}"/>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1989" xr:uid="{6A0A4C67-BA12-4B80-A949-942D0BFE86CE}"/>
    <cellStyle name="Normal 8 3 2 2 3 2 3" xfId="10331" xr:uid="{C378D080-1BBB-4F97-A75A-64EF81973DE0}"/>
    <cellStyle name="Normal 8 3 2 2 3 3" xfId="5276" xr:uid="{00000000-0005-0000-0000-00004A1D0000}"/>
    <cellStyle name="Normal 8 3 2 2 3 3 2" xfId="11160" xr:uid="{3D878E3F-0F95-4D39-B177-62BBACA54682}"/>
    <cellStyle name="Normal 8 3 2 2 3 4" xfId="9502" xr:uid="{9ABC7735-CC8D-4461-9852-C795C0FFDA86}"/>
    <cellStyle name="Normal 8 3 2 2 4" xfId="1381" xr:uid="{00000000-0005-0000-0000-00004B1D0000}"/>
    <cellStyle name="Normal 8 3 2 2 4 2" xfId="3611" xr:uid="{00000000-0005-0000-0000-00004C1D0000}"/>
    <cellStyle name="Normal 8 3 2 2 4 2 2" xfId="7834" xr:uid="{00000000-0005-0000-0000-00004D1D0000}"/>
    <cellStyle name="Normal 8 3 2 2 4 2 3" xfId="11573" xr:uid="{23B7BD2B-D75F-4901-90DB-07A3D86D2655}"/>
    <cellStyle name="Normal 8 3 2 2 4 3" xfId="5689" xr:uid="{00000000-0005-0000-0000-00004E1D0000}"/>
    <cellStyle name="Normal 8 3 2 2 4 4" xfId="9915" xr:uid="{80C0A18F-F5C9-45EB-8477-3E3058B46527}"/>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5 4" xfId="10744" xr:uid="{EEB24AD7-0EB2-4445-AC83-BDDADA51CBBA}"/>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2 9" xfId="9083" xr:uid="{DBC68EE9-E017-430C-B6AC-834181827C47}"/>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1991" xr:uid="{0C52406D-650E-4D82-8C5C-FE307EDD6E65}"/>
    <cellStyle name="Normal 8 3 2 3 2 2 3" xfId="10333" xr:uid="{13105E88-7CF7-4DC7-B4D6-F87160A0916C}"/>
    <cellStyle name="Normal 8 3 2 3 2 3" xfId="5278" xr:uid="{00000000-0005-0000-0000-00005E1D0000}"/>
    <cellStyle name="Normal 8 3 2 3 2 3 2" xfId="11162" xr:uid="{AC4300FA-24AC-48FC-BAE5-707BC5A496B1}"/>
    <cellStyle name="Normal 8 3 2 3 2 4" xfId="9504" xr:uid="{E7CE05AF-EF6E-4F1A-A2F4-ADDB7D5A1528}"/>
    <cellStyle name="Normal 8 3 2 3 3" xfId="1383" xr:uid="{00000000-0005-0000-0000-00005F1D0000}"/>
    <cellStyle name="Normal 8 3 2 3 3 2" xfId="3613" xr:uid="{00000000-0005-0000-0000-0000601D0000}"/>
    <cellStyle name="Normal 8 3 2 3 3 2 2" xfId="7836" xr:uid="{00000000-0005-0000-0000-0000611D0000}"/>
    <cellStyle name="Normal 8 3 2 3 3 2 3" xfId="11575" xr:uid="{80B0E99F-D7E7-4BF5-A9B4-460F51E4FD39}"/>
    <cellStyle name="Normal 8 3 2 3 3 3" xfId="5691" xr:uid="{00000000-0005-0000-0000-0000621D0000}"/>
    <cellStyle name="Normal 8 3 2 3 3 4" xfId="9917" xr:uid="{6732F63D-D9B0-4FEB-B7B7-D21ECF667698}"/>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4 4" xfId="10746" xr:uid="{E0760722-8B58-47A9-B18D-B5F7DC1C47A9}"/>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3 8" xfId="9085" xr:uid="{C818C6C5-E642-42EE-B3CC-145ACB2576A9}"/>
    <cellStyle name="Normal 8 3 2 4" xfId="963" xr:uid="{00000000-0005-0000-0000-00006E1D0000}"/>
    <cellStyle name="Normal 8 3 2 4 2" xfId="3197" xr:uid="{00000000-0005-0000-0000-00006F1D0000}"/>
    <cellStyle name="Normal 8 3 2 4 2 2" xfId="7420" xr:uid="{00000000-0005-0000-0000-0000701D0000}"/>
    <cellStyle name="Normal 8 3 2 4 2 2 2" xfId="11988" xr:uid="{F875F5EA-DBEA-43BF-81D9-392973909A29}"/>
    <cellStyle name="Normal 8 3 2 4 2 3" xfId="10330" xr:uid="{1E5468E6-BCFE-432B-8990-D902DF93DC37}"/>
    <cellStyle name="Normal 8 3 2 4 3" xfId="5275" xr:uid="{00000000-0005-0000-0000-0000711D0000}"/>
    <cellStyle name="Normal 8 3 2 4 3 2" xfId="11159" xr:uid="{E88C68B3-B9CF-46CC-80B6-8F2A6B094D3A}"/>
    <cellStyle name="Normal 8 3 2 4 4" xfId="9501" xr:uid="{40ABD55D-C81C-41AB-A1D7-5E8B88C997D7}"/>
    <cellStyle name="Normal 8 3 2 5" xfId="1380" xr:uid="{00000000-0005-0000-0000-0000721D0000}"/>
    <cellStyle name="Normal 8 3 2 5 2" xfId="3610" xr:uid="{00000000-0005-0000-0000-0000731D0000}"/>
    <cellStyle name="Normal 8 3 2 5 2 2" xfId="7833" xr:uid="{00000000-0005-0000-0000-0000741D0000}"/>
    <cellStyle name="Normal 8 3 2 5 2 3" xfId="11572" xr:uid="{0E3C4ACE-1C19-4ED2-803D-CF64A8AD6792}"/>
    <cellStyle name="Normal 8 3 2 5 3" xfId="5688" xr:uid="{00000000-0005-0000-0000-0000751D0000}"/>
    <cellStyle name="Normal 8 3 2 5 4" xfId="9914" xr:uid="{4E378D27-EFE2-4775-B0CA-4C23C19C2DA3}"/>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6 4" xfId="10743" xr:uid="{162BBF24-A366-443F-8274-B5AEAE51CF75}"/>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1993" xr:uid="{CE9AA135-5BD8-479D-B93F-134BDAAE817A}"/>
    <cellStyle name="Normal 8 3 3 2 2 2 3" xfId="10335" xr:uid="{ECB97FB0-FEBC-4528-91E7-A4E3D0E02076}"/>
    <cellStyle name="Normal 8 3 3 2 2 3" xfId="5280" xr:uid="{00000000-0005-0000-0000-0000861D0000}"/>
    <cellStyle name="Normal 8 3 3 2 2 3 2" xfId="11164" xr:uid="{75D138BE-DB14-4393-BC7E-EFC17C4C0870}"/>
    <cellStyle name="Normal 8 3 3 2 2 4" xfId="9506" xr:uid="{29C8F3DD-3A49-4057-9055-700798E29826}"/>
    <cellStyle name="Normal 8 3 3 2 3" xfId="1385" xr:uid="{00000000-0005-0000-0000-0000871D0000}"/>
    <cellStyle name="Normal 8 3 3 2 3 2" xfId="3615" xr:uid="{00000000-0005-0000-0000-0000881D0000}"/>
    <cellStyle name="Normal 8 3 3 2 3 2 2" xfId="7838" xr:uid="{00000000-0005-0000-0000-0000891D0000}"/>
    <cellStyle name="Normal 8 3 3 2 3 2 3" xfId="11577" xr:uid="{3193ECDB-D818-4600-A437-247D68F2D85E}"/>
    <cellStyle name="Normal 8 3 3 2 3 3" xfId="5693" xr:uid="{00000000-0005-0000-0000-00008A1D0000}"/>
    <cellStyle name="Normal 8 3 3 2 3 4" xfId="9919" xr:uid="{A08F6EE2-B137-44B5-BA21-118D2E51EBC1}"/>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4 4" xfId="10748" xr:uid="{32542A70-5D49-43DC-92D4-E03EFE71324E}"/>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2 8" xfId="9087" xr:uid="{0DFB8059-220C-4F91-999C-01F4326E0C67}"/>
    <cellStyle name="Normal 8 3 3 3" xfId="967" xr:uid="{00000000-0005-0000-0000-0000961D0000}"/>
    <cellStyle name="Normal 8 3 3 3 2" xfId="3201" xr:uid="{00000000-0005-0000-0000-0000971D0000}"/>
    <cellStyle name="Normal 8 3 3 3 2 2" xfId="7424" xr:uid="{00000000-0005-0000-0000-0000981D0000}"/>
    <cellStyle name="Normal 8 3 3 3 2 2 2" xfId="11992" xr:uid="{7613D546-87BD-4A2C-8CD7-D67F11C0FA90}"/>
    <cellStyle name="Normal 8 3 3 3 2 3" xfId="10334" xr:uid="{93155242-ADE5-47F9-8842-0D24BA4A67C5}"/>
    <cellStyle name="Normal 8 3 3 3 3" xfId="5279" xr:uid="{00000000-0005-0000-0000-0000991D0000}"/>
    <cellStyle name="Normal 8 3 3 3 3 2" xfId="11163" xr:uid="{F1FCF00D-4A0F-4535-BD87-2A0A62F46116}"/>
    <cellStyle name="Normal 8 3 3 3 4" xfId="9505" xr:uid="{6E0A20FA-71F3-4EBF-A357-FCC0BA2DD754}"/>
    <cellStyle name="Normal 8 3 3 4" xfId="1384" xr:uid="{00000000-0005-0000-0000-00009A1D0000}"/>
    <cellStyle name="Normal 8 3 3 4 2" xfId="3614" xr:uid="{00000000-0005-0000-0000-00009B1D0000}"/>
    <cellStyle name="Normal 8 3 3 4 2 2" xfId="7837" xr:uid="{00000000-0005-0000-0000-00009C1D0000}"/>
    <cellStyle name="Normal 8 3 3 4 2 3" xfId="11576" xr:uid="{11ED8837-6CA7-41B1-8907-10080E02563A}"/>
    <cellStyle name="Normal 8 3 3 4 3" xfId="5692" xr:uid="{00000000-0005-0000-0000-00009D1D0000}"/>
    <cellStyle name="Normal 8 3 3 4 4" xfId="9918" xr:uid="{8E7C347B-0E4F-4852-B124-739F3955AFAD}"/>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5 4" xfId="10747" xr:uid="{7D4D8759-26B8-45B6-92E7-4D6D5DABA58A}"/>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3 9" xfId="9086" xr:uid="{927C8008-437A-4601-BDF1-C05BB373FD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1994" xr:uid="{094CC702-58BF-474F-8AD3-A3FFD7FA6433}"/>
    <cellStyle name="Normal 8 3 4 2 2 3" xfId="10336" xr:uid="{C496FD4B-1BBB-43FB-AA42-5D5DC245E223}"/>
    <cellStyle name="Normal 8 3 4 2 3" xfId="5281" xr:uid="{00000000-0005-0000-0000-0000AD1D0000}"/>
    <cellStyle name="Normal 8 3 4 2 3 2" xfId="11165" xr:uid="{AC5EB657-4B39-439A-97CF-391808A7EB8F}"/>
    <cellStyle name="Normal 8 3 4 2 4" xfId="9507" xr:uid="{DD2C5E57-D2CD-48FD-A60C-B869D9B38993}"/>
    <cellStyle name="Normal 8 3 4 3" xfId="1386" xr:uid="{00000000-0005-0000-0000-0000AE1D0000}"/>
    <cellStyle name="Normal 8 3 4 3 2" xfId="3616" xr:uid="{00000000-0005-0000-0000-0000AF1D0000}"/>
    <cellStyle name="Normal 8 3 4 3 2 2" xfId="7839" xr:uid="{00000000-0005-0000-0000-0000B01D0000}"/>
    <cellStyle name="Normal 8 3 4 3 2 3" xfId="11578" xr:uid="{6A479D29-0C8E-45EC-A87C-256CC26D884F}"/>
    <cellStyle name="Normal 8 3 4 3 3" xfId="5694" xr:uid="{00000000-0005-0000-0000-0000B11D0000}"/>
    <cellStyle name="Normal 8 3 4 3 4" xfId="9920" xr:uid="{51FEA06F-2BDA-44AC-9548-F97523152ABC}"/>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4 4" xfId="10749" xr:uid="{AA50B9B1-102C-42A4-984C-B3B2CCE8886B}"/>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4 8" xfId="9088" xr:uid="{034EF1FE-962B-493A-A20B-BB88E98BCBFE}"/>
    <cellStyle name="Normal 8 3 5" xfId="962" xr:uid="{00000000-0005-0000-0000-0000BD1D0000}"/>
    <cellStyle name="Normal 8 3 5 2" xfId="3196" xr:uid="{00000000-0005-0000-0000-0000BE1D0000}"/>
    <cellStyle name="Normal 8 3 5 2 2" xfId="7419" xr:uid="{00000000-0005-0000-0000-0000BF1D0000}"/>
    <cellStyle name="Normal 8 3 5 2 2 2" xfId="11987" xr:uid="{265BD50D-D148-4C82-98E9-A6A0C4539A05}"/>
    <cellStyle name="Normal 8 3 5 2 3" xfId="10329" xr:uid="{55884B77-A24C-40EE-94F6-1D6360DA9DCE}"/>
    <cellStyle name="Normal 8 3 5 3" xfId="5274" xr:uid="{00000000-0005-0000-0000-0000C01D0000}"/>
    <cellStyle name="Normal 8 3 5 3 2" xfId="11158" xr:uid="{5CB10FCD-2C0C-4A63-9339-67FBBC856C4C}"/>
    <cellStyle name="Normal 8 3 5 4" xfId="9500" xr:uid="{B22007BD-6B7D-4E0F-B399-6B545E0397FA}"/>
    <cellStyle name="Normal 8 3 6" xfId="1379" xr:uid="{00000000-0005-0000-0000-0000C11D0000}"/>
    <cellStyle name="Normal 8 3 6 2" xfId="3609" xr:uid="{00000000-0005-0000-0000-0000C21D0000}"/>
    <cellStyle name="Normal 8 3 6 2 2" xfId="7832" xr:uid="{00000000-0005-0000-0000-0000C31D0000}"/>
    <cellStyle name="Normal 8 3 6 2 3" xfId="11571" xr:uid="{21526034-4265-4A52-89F8-C1489A3A9AB5}"/>
    <cellStyle name="Normal 8 3 6 3" xfId="5687" xr:uid="{00000000-0005-0000-0000-0000C41D0000}"/>
    <cellStyle name="Normal 8 3 6 4" xfId="9913" xr:uid="{7606B97B-B5EF-4C0A-8CC5-4AB1790A5F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7 4" xfId="10742" xr:uid="{0CB7B291-03E3-4D8A-A6A5-8501754C24F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10" xfId="9089" xr:uid="{D7BD9E98-1FFE-4A0E-A843-CA39A52CA984}"/>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1997" xr:uid="{C6D4D8A6-E080-45DE-BBAC-944EB1B9ABF4}"/>
    <cellStyle name="Normal 8 4 2 2 2 2 3" xfId="10339" xr:uid="{0CC27878-B104-4777-AEC0-F55ACEF1D144}"/>
    <cellStyle name="Normal 8 4 2 2 2 3" xfId="5284" xr:uid="{00000000-0005-0000-0000-0000D51D0000}"/>
    <cellStyle name="Normal 8 4 2 2 2 3 2" xfId="11168" xr:uid="{2E8B96D8-250A-4342-9ECD-5B53F3AAECED}"/>
    <cellStyle name="Normal 8 4 2 2 2 4" xfId="9510" xr:uid="{F635273E-8765-4005-959B-F8C23CC2A7BB}"/>
    <cellStyle name="Normal 8 4 2 2 3" xfId="1389" xr:uid="{00000000-0005-0000-0000-0000D61D0000}"/>
    <cellStyle name="Normal 8 4 2 2 3 2" xfId="3619" xr:uid="{00000000-0005-0000-0000-0000D71D0000}"/>
    <cellStyle name="Normal 8 4 2 2 3 2 2" xfId="7842" xr:uid="{00000000-0005-0000-0000-0000D81D0000}"/>
    <cellStyle name="Normal 8 4 2 2 3 2 3" xfId="11581" xr:uid="{2104369B-E89C-4569-91CC-DAF301DD4655}"/>
    <cellStyle name="Normal 8 4 2 2 3 3" xfId="5697" xr:uid="{00000000-0005-0000-0000-0000D91D0000}"/>
    <cellStyle name="Normal 8 4 2 2 3 4" xfId="9923" xr:uid="{428CA093-BE97-4D0C-93D8-3415D2241E67}"/>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4 4" xfId="10752" xr:uid="{98979BB9-28CC-4652-9F27-5DD13F5BB032}"/>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2 8" xfId="9091" xr:uid="{3DA5AD7F-2A76-4FA8-9B18-A1812F06D8F5}"/>
    <cellStyle name="Normal 8 4 2 3" xfId="971" xr:uid="{00000000-0005-0000-0000-0000E51D0000}"/>
    <cellStyle name="Normal 8 4 2 3 2" xfId="3205" xr:uid="{00000000-0005-0000-0000-0000E61D0000}"/>
    <cellStyle name="Normal 8 4 2 3 2 2" xfId="7428" xr:uid="{00000000-0005-0000-0000-0000E71D0000}"/>
    <cellStyle name="Normal 8 4 2 3 2 2 2" xfId="11996" xr:uid="{59F343D0-72EE-4217-B053-9893455978D7}"/>
    <cellStyle name="Normal 8 4 2 3 2 3" xfId="10338" xr:uid="{2EAD0E40-16E6-4F62-B078-37C289E22C9B}"/>
    <cellStyle name="Normal 8 4 2 3 3" xfId="5283" xr:uid="{00000000-0005-0000-0000-0000E81D0000}"/>
    <cellStyle name="Normal 8 4 2 3 3 2" xfId="11167" xr:uid="{0767A159-C1FE-43B1-94DD-D19AA3AA54C7}"/>
    <cellStyle name="Normal 8 4 2 3 4" xfId="9509" xr:uid="{B3E0391D-29CA-4F58-81F6-7C6AF720A984}"/>
    <cellStyle name="Normal 8 4 2 4" xfId="1388" xr:uid="{00000000-0005-0000-0000-0000E91D0000}"/>
    <cellStyle name="Normal 8 4 2 4 2" xfId="3618" xr:uid="{00000000-0005-0000-0000-0000EA1D0000}"/>
    <cellStyle name="Normal 8 4 2 4 2 2" xfId="7841" xr:uid="{00000000-0005-0000-0000-0000EB1D0000}"/>
    <cellStyle name="Normal 8 4 2 4 2 3" xfId="11580" xr:uid="{B404D40F-A63F-4D5B-9E19-6C1755746361}"/>
    <cellStyle name="Normal 8 4 2 4 3" xfId="5696" xr:uid="{00000000-0005-0000-0000-0000EC1D0000}"/>
    <cellStyle name="Normal 8 4 2 4 4" xfId="9922" xr:uid="{D7A563B7-1DBC-4DA9-A7B5-7A186B34603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5 4" xfId="10751" xr:uid="{394EA787-FEA7-4334-8F97-FF3E88A85935}"/>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2 9" xfId="9090" xr:uid="{635B70E1-B2B6-4547-BFF2-D0328A9C77C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1998" xr:uid="{0BADB20F-BAF6-467B-AA9F-078CC1D4F1CF}"/>
    <cellStyle name="Normal 8 4 3 2 2 3" xfId="10340" xr:uid="{2252CA72-7220-46A8-9E81-A34D3B2D9EDC}"/>
    <cellStyle name="Normal 8 4 3 2 3" xfId="5285" xr:uid="{00000000-0005-0000-0000-0000FC1D0000}"/>
    <cellStyle name="Normal 8 4 3 2 3 2" xfId="11169" xr:uid="{7B4A4FDC-A0BE-4B06-9F53-BA79394DC280}"/>
    <cellStyle name="Normal 8 4 3 2 4" xfId="9511" xr:uid="{CB776236-E5B0-4C60-8F6F-67148377B652}"/>
    <cellStyle name="Normal 8 4 3 3" xfId="1390" xr:uid="{00000000-0005-0000-0000-0000FD1D0000}"/>
    <cellStyle name="Normal 8 4 3 3 2" xfId="3620" xr:uid="{00000000-0005-0000-0000-0000FE1D0000}"/>
    <cellStyle name="Normal 8 4 3 3 2 2" xfId="7843" xr:uid="{00000000-0005-0000-0000-0000FF1D0000}"/>
    <cellStyle name="Normal 8 4 3 3 2 3" xfId="11582" xr:uid="{F9A24794-401C-4213-982D-C33CAA6EDA29}"/>
    <cellStyle name="Normal 8 4 3 3 3" xfId="5698" xr:uid="{00000000-0005-0000-0000-0000001E0000}"/>
    <cellStyle name="Normal 8 4 3 3 4" xfId="9924" xr:uid="{03B2C0B6-D3D0-4130-B99A-CCBCF68684CC}"/>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4 4" xfId="10753" xr:uid="{2550C8C1-E5C6-4233-A8B6-EB17F0D06F1F}"/>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3 8" xfId="9092" xr:uid="{1E6C9DBD-C7DD-4D48-B9FE-1C26DB7297CA}"/>
    <cellStyle name="Normal 8 4 4" xfId="970" xr:uid="{00000000-0005-0000-0000-00000C1E0000}"/>
    <cellStyle name="Normal 8 4 4 2" xfId="3204" xr:uid="{00000000-0005-0000-0000-00000D1E0000}"/>
    <cellStyle name="Normal 8 4 4 2 2" xfId="7427" xr:uid="{00000000-0005-0000-0000-00000E1E0000}"/>
    <cellStyle name="Normal 8 4 4 2 2 2" xfId="11995" xr:uid="{A0A2E688-A5C0-4691-B8B2-DFC48AE2BD04}"/>
    <cellStyle name="Normal 8 4 4 2 3" xfId="10337" xr:uid="{66DB219F-A983-4F21-BECE-15263BD7DA41}"/>
    <cellStyle name="Normal 8 4 4 3" xfId="5282" xr:uid="{00000000-0005-0000-0000-00000F1E0000}"/>
    <cellStyle name="Normal 8 4 4 3 2" xfId="11166" xr:uid="{9C027523-5FB4-40FC-984C-A95DF178FD80}"/>
    <cellStyle name="Normal 8 4 4 4" xfId="9508" xr:uid="{53524F2B-E8BA-484E-97BC-E177D010CFD3}"/>
    <cellStyle name="Normal 8 4 5" xfId="1387" xr:uid="{00000000-0005-0000-0000-0000101E0000}"/>
    <cellStyle name="Normal 8 4 5 2" xfId="3617" xr:uid="{00000000-0005-0000-0000-0000111E0000}"/>
    <cellStyle name="Normal 8 4 5 2 2" xfId="7840" xr:uid="{00000000-0005-0000-0000-0000121E0000}"/>
    <cellStyle name="Normal 8 4 5 2 3" xfId="11579" xr:uid="{7B056924-4303-4D5A-8089-1FDB2AFB6481}"/>
    <cellStyle name="Normal 8 4 5 3" xfId="5695" xr:uid="{00000000-0005-0000-0000-0000131E0000}"/>
    <cellStyle name="Normal 8 4 5 4" xfId="9921" xr:uid="{479CDF21-BA56-45F5-B7EE-E65FAE0C5749}"/>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6 4" xfId="10750" xr:uid="{725043EA-0272-43F6-B40A-11344484C7FE}"/>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2000" xr:uid="{613AC18E-E4A7-4B04-9D2F-2D56D62D0B0B}"/>
    <cellStyle name="Normal 8 5 2 2 2 3" xfId="10342" xr:uid="{043B5E64-2FE1-4889-98EE-D55FC8059145}"/>
    <cellStyle name="Normal 8 5 2 2 3" xfId="5287" xr:uid="{00000000-0005-0000-0000-0000241E0000}"/>
    <cellStyle name="Normal 8 5 2 2 3 2" xfId="11171" xr:uid="{742676F4-402A-4716-AE6E-356B8FC3A80E}"/>
    <cellStyle name="Normal 8 5 2 2 4" xfId="9513" xr:uid="{8CA8416F-437E-409D-927C-EC37E3FC9ADF}"/>
    <cellStyle name="Normal 8 5 2 3" xfId="1392" xr:uid="{00000000-0005-0000-0000-0000251E0000}"/>
    <cellStyle name="Normal 8 5 2 3 2" xfId="3622" xr:uid="{00000000-0005-0000-0000-0000261E0000}"/>
    <cellStyle name="Normal 8 5 2 3 2 2" xfId="7845" xr:uid="{00000000-0005-0000-0000-0000271E0000}"/>
    <cellStyle name="Normal 8 5 2 3 2 3" xfId="11584" xr:uid="{091987E3-C172-4A3A-9AC5-A9634629E1D9}"/>
    <cellStyle name="Normal 8 5 2 3 3" xfId="5700" xr:uid="{00000000-0005-0000-0000-0000281E0000}"/>
    <cellStyle name="Normal 8 5 2 3 4" xfId="9926" xr:uid="{43AAA710-E926-4672-8272-6E558F185AFF}"/>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4 4" xfId="10755" xr:uid="{51C48292-2731-4BAD-BD43-D76B78962714}"/>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2 8" xfId="9094" xr:uid="{9EE742A2-F1EE-4BB0-82A9-08C9A2A7BA47}"/>
    <cellStyle name="Normal 8 5 3" xfId="974" xr:uid="{00000000-0005-0000-0000-0000341E0000}"/>
    <cellStyle name="Normal 8 5 3 2" xfId="3208" xr:uid="{00000000-0005-0000-0000-0000351E0000}"/>
    <cellStyle name="Normal 8 5 3 2 2" xfId="7431" xr:uid="{00000000-0005-0000-0000-0000361E0000}"/>
    <cellStyle name="Normal 8 5 3 2 2 2" xfId="11999" xr:uid="{3ECA7231-6527-405D-ADC8-AC53FE7436DC}"/>
    <cellStyle name="Normal 8 5 3 2 3" xfId="10341" xr:uid="{A59E1639-6BFE-4E63-A260-FC1C776C39F4}"/>
    <cellStyle name="Normal 8 5 3 3" xfId="5286" xr:uid="{00000000-0005-0000-0000-0000371E0000}"/>
    <cellStyle name="Normal 8 5 3 3 2" xfId="11170" xr:uid="{573531D5-E27E-4A94-986E-0B589603A2EE}"/>
    <cellStyle name="Normal 8 5 3 4" xfId="9512" xr:uid="{2D57CE5B-2CED-41B1-BCFC-41FAF880678B}"/>
    <cellStyle name="Normal 8 5 4" xfId="1391" xr:uid="{00000000-0005-0000-0000-0000381E0000}"/>
    <cellStyle name="Normal 8 5 4 2" xfId="3621" xr:uid="{00000000-0005-0000-0000-0000391E0000}"/>
    <cellStyle name="Normal 8 5 4 2 2" xfId="7844" xr:uid="{00000000-0005-0000-0000-00003A1E0000}"/>
    <cellStyle name="Normal 8 5 4 2 3" xfId="11583" xr:uid="{1A0BBEE4-E18F-471B-A2EF-F93BA04D71FB}"/>
    <cellStyle name="Normal 8 5 4 3" xfId="5699" xr:uid="{00000000-0005-0000-0000-00003B1E0000}"/>
    <cellStyle name="Normal 8 5 4 4" xfId="9925" xr:uid="{D4AAFD98-AF10-4527-9571-6821968C33E5}"/>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5 4" xfId="10754" xr:uid="{5371C79E-1155-48B8-9727-B279044563C6}"/>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5 9" xfId="9093" xr:uid="{942F94B1-FCA6-4885-9E1F-B18A7F4BE69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2001" xr:uid="{2BD5BDDF-8151-482F-8DD3-C26B4FBBC086}"/>
    <cellStyle name="Normal 8 6 2 2 3" xfId="10343" xr:uid="{11A40C5C-DCE1-4440-BE52-0585AC7020F5}"/>
    <cellStyle name="Normal 8 6 2 3" xfId="5288" xr:uid="{00000000-0005-0000-0000-00004B1E0000}"/>
    <cellStyle name="Normal 8 6 2 3 2" xfId="11172" xr:uid="{E01D853F-F3C7-4886-BFD6-2B07D3C55106}"/>
    <cellStyle name="Normal 8 6 2 4" xfId="9514" xr:uid="{40341D4B-DE62-4D0C-BE14-C4C1C348CD0A}"/>
    <cellStyle name="Normal 8 6 3" xfId="1393" xr:uid="{00000000-0005-0000-0000-00004C1E0000}"/>
    <cellStyle name="Normal 8 6 3 2" xfId="3623" xr:uid="{00000000-0005-0000-0000-00004D1E0000}"/>
    <cellStyle name="Normal 8 6 3 2 2" xfId="7846" xr:uid="{00000000-0005-0000-0000-00004E1E0000}"/>
    <cellStyle name="Normal 8 6 3 2 3" xfId="11585" xr:uid="{1FB988A8-2935-4572-B752-F4DC150CBA84}"/>
    <cellStyle name="Normal 8 6 3 3" xfId="5701" xr:uid="{00000000-0005-0000-0000-00004F1E0000}"/>
    <cellStyle name="Normal 8 6 3 4" xfId="9927" xr:uid="{7E1F6FEA-AC56-4E5E-8BAE-C1A487180DCD}"/>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4 4" xfId="10756" xr:uid="{6591006F-AC52-4F60-B148-946B66C6BB3C}"/>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6 8" xfId="9095" xr:uid="{0304AC4B-689D-4BD9-89E0-AA9E53D55388}"/>
    <cellStyle name="Normal 8 7" xfId="945" xr:uid="{00000000-0005-0000-0000-00005B1E0000}"/>
    <cellStyle name="Normal 8 7 2" xfId="3179" xr:uid="{00000000-0005-0000-0000-00005C1E0000}"/>
    <cellStyle name="Normal 8 7 2 2" xfId="7402" xr:uid="{00000000-0005-0000-0000-00005D1E0000}"/>
    <cellStyle name="Normal 8 7 2 2 2" xfId="11970" xr:uid="{594144A0-E056-42A5-9AA5-B153D55BD73B}"/>
    <cellStyle name="Normal 8 7 2 3" xfId="10312" xr:uid="{18B6CA46-9A78-4D18-A358-ED8243E4A991}"/>
    <cellStyle name="Normal 8 7 3" xfId="5257" xr:uid="{00000000-0005-0000-0000-00005E1E0000}"/>
    <cellStyle name="Normal 8 7 3 2" xfId="11141" xr:uid="{B93470DF-970B-43AC-8EBB-8B3E6E6B811D}"/>
    <cellStyle name="Normal 8 7 4" xfId="9483" xr:uid="{0C40E98D-7728-473C-9BFE-E599EDDEE4E9}"/>
    <cellStyle name="Normal 8 8" xfId="1362" xr:uid="{00000000-0005-0000-0000-00005F1E0000}"/>
    <cellStyle name="Normal 8 8 2" xfId="3592" xr:uid="{00000000-0005-0000-0000-0000601E0000}"/>
    <cellStyle name="Normal 8 8 2 2" xfId="7815" xr:uid="{00000000-0005-0000-0000-0000611E0000}"/>
    <cellStyle name="Normal 8 8 2 3" xfId="11554" xr:uid="{A0A9DD38-B877-4E23-AC1D-48291825AF0E}"/>
    <cellStyle name="Normal 8 8 3" xfId="5670" xr:uid="{00000000-0005-0000-0000-0000621E0000}"/>
    <cellStyle name="Normal 8 8 4" xfId="9896" xr:uid="{8C5ACA97-5562-48CB-A539-439F20AAA51B}"/>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8 9 4" xfId="10725" xr:uid="{D4D9E514-D362-4BD5-8C65-86987A77348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12" xfId="9096" xr:uid="{3B6D61D6-159E-4897-AF0D-47819B86DBC3}"/>
    <cellStyle name="Normal 9 2 2" xfId="512" xr:uid="{00000000-0005-0000-0000-00006C1E0000}"/>
    <cellStyle name="Normal 9 2 2 10" xfId="4877" xr:uid="{00000000-0005-0000-0000-00006D1E0000}"/>
    <cellStyle name="Normal 9 2 2 11" xfId="9097" xr:uid="{BDF3EF31-861D-4D4A-A59F-084BE03D12EC}"/>
    <cellStyle name="Normal 9 2 2 2" xfId="513" xr:uid="{00000000-0005-0000-0000-00006E1E0000}"/>
    <cellStyle name="Normal 9 2 2 2 10" xfId="9098" xr:uid="{BA5530CC-6D2E-4EAA-9820-77F846DE9FF8}"/>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2006" xr:uid="{1DC059DF-D493-4E25-9253-EDE2FB1B9C00}"/>
    <cellStyle name="Normal 9 2 2 2 2 2 2 2 3" xfId="10348" xr:uid="{B00A1A3B-574B-4DA6-AC37-ED9F4259A361}"/>
    <cellStyle name="Normal 9 2 2 2 2 2 2 3" xfId="5293" xr:uid="{00000000-0005-0000-0000-0000741E0000}"/>
    <cellStyle name="Normal 9 2 2 2 2 2 2 3 2" xfId="11177" xr:uid="{DA53D619-B4A0-45C9-B612-5CF6D171A330}"/>
    <cellStyle name="Normal 9 2 2 2 2 2 2 4" xfId="9519" xr:uid="{5D5A1F83-9940-43B6-9D7B-870DE2DDFA04}"/>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3" xfId="11590" xr:uid="{D6FCA120-0C52-4B87-BFAE-47AC66D1DBBB}"/>
    <cellStyle name="Normal 9 2 2 2 2 2 3 3" xfId="5706" xr:uid="{00000000-0005-0000-0000-0000781E0000}"/>
    <cellStyle name="Normal 9 2 2 2 2 2 3 4" xfId="9932" xr:uid="{A209B960-D08A-40DC-8CD0-61D76F83E10E}"/>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4 4" xfId="10761" xr:uid="{02B35DD9-EB97-4671-A4AE-65167F7046CA}"/>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2 8" xfId="9100" xr:uid="{4E668EA1-74C6-4810-9ACE-D1655033A6DA}"/>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2005" xr:uid="{8DCE5E5E-FC28-410C-A1A7-80B5AE256E9F}"/>
    <cellStyle name="Normal 9 2 2 2 2 3 2 3" xfId="10347" xr:uid="{3C3C92A0-2C4C-4055-A1C0-BFFEA73DBB70}"/>
    <cellStyle name="Normal 9 2 2 2 2 3 3" xfId="5292" xr:uid="{00000000-0005-0000-0000-0000871E0000}"/>
    <cellStyle name="Normal 9 2 2 2 2 3 3 2" xfId="11176" xr:uid="{78477514-CEDA-423F-9AFB-D6606C96A6C1}"/>
    <cellStyle name="Normal 9 2 2 2 2 3 4" xfId="9518" xr:uid="{41A2B0F6-B734-473D-BA35-DA689950CED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3" xfId="11589" xr:uid="{D6BFA44D-FE21-4262-ACFF-49BECAB3F112}"/>
    <cellStyle name="Normal 9 2 2 2 2 4 3" xfId="5705" xr:uid="{00000000-0005-0000-0000-00008B1E0000}"/>
    <cellStyle name="Normal 9 2 2 2 2 4 4" xfId="9931" xr:uid="{599AEF7D-7C44-4208-9B1F-6470B84DDAFC}"/>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5 4" xfId="10760" xr:uid="{7ED12473-8C75-42BC-867F-9A0FA4BFB6D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2 9" xfId="9099" xr:uid="{9E9C404C-386E-4BDD-A1EF-0113DE171092}"/>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2007" xr:uid="{EB4ECCFD-0441-45A3-816F-544C3608659D}"/>
    <cellStyle name="Normal 9 2 2 2 3 2 2 3" xfId="10349" xr:uid="{6614A0D9-4BB9-44E9-96EF-D43AD927CCCA}"/>
    <cellStyle name="Normal 9 2 2 2 3 2 3" xfId="5294" xr:uid="{00000000-0005-0000-0000-00009B1E0000}"/>
    <cellStyle name="Normal 9 2 2 2 3 2 3 2" xfId="11178" xr:uid="{5A8660F3-B667-46D5-AE49-A7D7A50CD9F5}"/>
    <cellStyle name="Normal 9 2 2 2 3 2 4" xfId="9520" xr:uid="{185BA428-1CBB-4179-B264-7CDFC47F6381}"/>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3" xfId="11591" xr:uid="{29C7F119-C939-4811-86B6-06595F7D349E}"/>
    <cellStyle name="Normal 9 2 2 2 3 3 3" xfId="5707" xr:uid="{00000000-0005-0000-0000-00009F1E0000}"/>
    <cellStyle name="Normal 9 2 2 2 3 3 4" xfId="9933" xr:uid="{EB34AD05-22AD-4D6F-A276-065A678A4683}"/>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4 4" xfId="10762" xr:uid="{C4EB7499-0D56-4F52-A66F-D0F47F2FED6F}"/>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3 8" xfId="9101" xr:uid="{048C0E58-1D8D-47D4-BBE0-C9A3F7ECA7F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2004" xr:uid="{64D1E434-4139-43CF-BE13-855B38E7D985}"/>
    <cellStyle name="Normal 9 2 2 2 4 2 3" xfId="10346" xr:uid="{063A4842-BA41-4BFC-A54B-7F38CE257E5B}"/>
    <cellStyle name="Normal 9 2 2 2 4 3" xfId="5291" xr:uid="{00000000-0005-0000-0000-0000AE1E0000}"/>
    <cellStyle name="Normal 9 2 2 2 4 3 2" xfId="11175" xr:uid="{A826B788-27D3-4967-9C12-B46F0097EE96}"/>
    <cellStyle name="Normal 9 2 2 2 4 4" xfId="9517" xr:uid="{3E086118-CD26-43A9-ABC8-2132FC8B366E}"/>
    <cellStyle name="Normal 9 2 2 2 5" xfId="1396" xr:uid="{00000000-0005-0000-0000-0000AF1E0000}"/>
    <cellStyle name="Normal 9 2 2 2 5 2" xfId="3626" xr:uid="{00000000-0005-0000-0000-0000B01E0000}"/>
    <cellStyle name="Normal 9 2 2 2 5 2 2" xfId="7849" xr:uid="{00000000-0005-0000-0000-0000B11E0000}"/>
    <cellStyle name="Normal 9 2 2 2 5 2 3" xfId="11588" xr:uid="{E6E74BC5-3AFA-4D87-B9FC-BDBF81D18DCF}"/>
    <cellStyle name="Normal 9 2 2 2 5 3" xfId="5704" xr:uid="{00000000-0005-0000-0000-0000B21E0000}"/>
    <cellStyle name="Normal 9 2 2 2 5 4" xfId="9930" xr:uid="{EDF552F5-0852-4F08-A35A-FA609344ADAD}"/>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6 4" xfId="10759" xr:uid="{31610B69-7211-447F-AAB3-858E107CE9C3}"/>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2009" xr:uid="{C4F9B961-5E31-4333-BE2D-B3B7FC546706}"/>
    <cellStyle name="Normal 9 2 2 3 2 2 2 3" xfId="10351" xr:uid="{DD8AFCAF-09BE-4DE0-A3EE-8B6BE5A4EA96}"/>
    <cellStyle name="Normal 9 2 2 3 2 2 3" xfId="5296" xr:uid="{00000000-0005-0000-0000-0000C31E0000}"/>
    <cellStyle name="Normal 9 2 2 3 2 2 3 2" xfId="11180" xr:uid="{09CEE1AE-FFE0-47EE-A4C1-54993E91BA86}"/>
    <cellStyle name="Normal 9 2 2 3 2 2 4" xfId="9522" xr:uid="{B3C271E1-CDD6-4656-85F9-277F30D8A259}"/>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3" xfId="11593" xr:uid="{7A5E9F71-92DF-4ABC-AF92-A737AC691138}"/>
    <cellStyle name="Normal 9 2 2 3 2 3 3" xfId="5709" xr:uid="{00000000-0005-0000-0000-0000C71E0000}"/>
    <cellStyle name="Normal 9 2 2 3 2 3 4" xfId="9935" xr:uid="{CD14CE95-D840-47E4-8943-07AF89BB26FD}"/>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4 4" xfId="10764" xr:uid="{C0146658-E388-45A5-A0BE-F21B6624733A}"/>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2 8" xfId="9103" xr:uid="{2F289B91-C231-4B53-9E29-78E3696FB32A}"/>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2008" xr:uid="{1DC528DD-C081-4AE4-8269-808B004CA390}"/>
    <cellStyle name="Normal 9 2 2 3 3 2 3" xfId="10350" xr:uid="{A3C3231F-A2F3-425B-B5A8-0893EA0F1E2D}"/>
    <cellStyle name="Normal 9 2 2 3 3 3" xfId="5295" xr:uid="{00000000-0005-0000-0000-0000D61E0000}"/>
    <cellStyle name="Normal 9 2 2 3 3 3 2" xfId="11179" xr:uid="{38115095-8237-45B9-A76D-F314D5460C86}"/>
    <cellStyle name="Normal 9 2 2 3 3 4" xfId="9521" xr:uid="{5AE5FB46-7C0D-4E42-B546-EA88270FC29A}"/>
    <cellStyle name="Normal 9 2 2 3 4" xfId="1400" xr:uid="{00000000-0005-0000-0000-0000D71E0000}"/>
    <cellStyle name="Normal 9 2 2 3 4 2" xfId="3630" xr:uid="{00000000-0005-0000-0000-0000D81E0000}"/>
    <cellStyle name="Normal 9 2 2 3 4 2 2" xfId="7853" xr:uid="{00000000-0005-0000-0000-0000D91E0000}"/>
    <cellStyle name="Normal 9 2 2 3 4 2 3" xfId="11592" xr:uid="{2C8F2B8B-B5A8-41B5-AFA5-61D51DDAD11A}"/>
    <cellStyle name="Normal 9 2 2 3 4 3" xfId="5708" xr:uid="{00000000-0005-0000-0000-0000DA1E0000}"/>
    <cellStyle name="Normal 9 2 2 3 4 4" xfId="9934" xr:uid="{CD2D8B71-F12C-4895-A06D-202D454AB163}"/>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5 4" xfId="10763" xr:uid="{6D66ABAE-7567-4876-BC9C-A85BFF646BDB}"/>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3 9" xfId="9102" xr:uid="{172F1604-8D0A-4532-8CA7-4D7A87FCED51}"/>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2010" xr:uid="{D6EC0B60-3662-44C5-ABAD-93744BB742AE}"/>
    <cellStyle name="Normal 9 2 2 4 2 2 3" xfId="10352" xr:uid="{8D0CAC0C-4DB8-4FF1-BA83-186792BCE56F}"/>
    <cellStyle name="Normal 9 2 2 4 2 3" xfId="5297" xr:uid="{00000000-0005-0000-0000-0000EA1E0000}"/>
    <cellStyle name="Normal 9 2 2 4 2 3 2" xfId="11181" xr:uid="{4CDBBE99-DF3F-4857-BEDB-830C44D3430D}"/>
    <cellStyle name="Normal 9 2 2 4 2 4" xfId="9523" xr:uid="{6D439DFC-F8E5-4B63-A421-E70A4B50C9C8}"/>
    <cellStyle name="Normal 9 2 2 4 3" xfId="1402" xr:uid="{00000000-0005-0000-0000-0000EB1E0000}"/>
    <cellStyle name="Normal 9 2 2 4 3 2" xfId="3632" xr:uid="{00000000-0005-0000-0000-0000EC1E0000}"/>
    <cellStyle name="Normal 9 2 2 4 3 2 2" xfId="7855" xr:uid="{00000000-0005-0000-0000-0000ED1E0000}"/>
    <cellStyle name="Normal 9 2 2 4 3 2 3" xfId="11594" xr:uid="{F7C49619-FA68-4C43-998B-719745C23102}"/>
    <cellStyle name="Normal 9 2 2 4 3 3" xfId="5710" xr:uid="{00000000-0005-0000-0000-0000EE1E0000}"/>
    <cellStyle name="Normal 9 2 2 4 3 4" xfId="9936" xr:uid="{2B4AFBF0-2F43-4A5B-B7C5-B3C32A1C5CD1}"/>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4 4" xfId="10765" xr:uid="{BE2FD130-270E-433D-8EF1-CB032D4AF61A}"/>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4 8" xfId="9104" xr:uid="{427C65B6-FFD2-4CD4-AA66-DC615510FEC3}"/>
    <cellStyle name="Normal 9 2 2 5" xfId="979" xr:uid="{00000000-0005-0000-0000-0000FA1E0000}"/>
    <cellStyle name="Normal 9 2 2 5 2" xfId="3212" xr:uid="{00000000-0005-0000-0000-0000FB1E0000}"/>
    <cellStyle name="Normal 9 2 2 5 2 2" xfId="7435" xr:uid="{00000000-0005-0000-0000-0000FC1E0000}"/>
    <cellStyle name="Normal 9 2 2 5 2 2 2" xfId="12003" xr:uid="{9BDCC09B-2AC0-4456-AA80-170BE82590F4}"/>
    <cellStyle name="Normal 9 2 2 5 2 3" xfId="10345" xr:uid="{ABF09946-2EEE-4CCE-A2BF-0503D3897F74}"/>
    <cellStyle name="Normal 9 2 2 5 3" xfId="5290" xr:uid="{00000000-0005-0000-0000-0000FD1E0000}"/>
    <cellStyle name="Normal 9 2 2 5 3 2" xfId="11174" xr:uid="{1A3D4A77-48BE-4C10-B827-8CFCBAC64333}"/>
    <cellStyle name="Normal 9 2 2 5 4" xfId="9516" xr:uid="{AC6C252B-4DDC-4A26-BE9A-96A383025445}"/>
    <cellStyle name="Normal 9 2 2 6" xfId="1395" xr:uid="{00000000-0005-0000-0000-0000FE1E0000}"/>
    <cellStyle name="Normal 9 2 2 6 2" xfId="3625" xr:uid="{00000000-0005-0000-0000-0000FF1E0000}"/>
    <cellStyle name="Normal 9 2 2 6 2 2" xfId="7848" xr:uid="{00000000-0005-0000-0000-0000001F0000}"/>
    <cellStyle name="Normal 9 2 2 6 2 3" xfId="11587" xr:uid="{006EDA80-0404-475A-9CF9-5ED6714FDAD9}"/>
    <cellStyle name="Normal 9 2 2 6 3" xfId="5703" xr:uid="{00000000-0005-0000-0000-0000011F0000}"/>
    <cellStyle name="Normal 9 2 2 6 4" xfId="9929" xr:uid="{4670574F-5B37-43BD-9E1A-A2A72A08715D}"/>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7 4" xfId="10758" xr:uid="{7C73E06F-3D80-4F0D-99D3-349D1C104405}"/>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10" xfId="9105" xr:uid="{6E08DF87-92BE-46D9-9914-B5D31728B177}"/>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2013" xr:uid="{216F93AD-9523-46DA-9C58-677DE3FEC33D}"/>
    <cellStyle name="Normal 9 2 3 2 2 2 2 3" xfId="10355" xr:uid="{DA5F73CB-9743-4651-A426-F13AC766730D}"/>
    <cellStyle name="Normal 9 2 3 2 2 2 3" xfId="5300" xr:uid="{00000000-0005-0000-0000-0000121F0000}"/>
    <cellStyle name="Normal 9 2 3 2 2 2 3 2" xfId="11184" xr:uid="{079B3984-008E-4A68-A01E-05244DBA8F90}"/>
    <cellStyle name="Normal 9 2 3 2 2 2 4" xfId="9526" xr:uid="{8D1C443E-69DB-44A2-A1B3-C84DEB7DAAB8}"/>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3" xfId="11597" xr:uid="{BF294053-E098-49C5-8AD8-5229FF250036}"/>
    <cellStyle name="Normal 9 2 3 2 2 3 3" xfId="5713" xr:uid="{00000000-0005-0000-0000-0000161F0000}"/>
    <cellStyle name="Normal 9 2 3 2 2 3 4" xfId="9939" xr:uid="{5DD41EA5-7992-42BB-BDA9-059B9C722733}"/>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4 4" xfId="10768" xr:uid="{D6456F28-4D40-4EC5-913B-725D1C7462F5}"/>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2 8" xfId="9107" xr:uid="{C527E8D1-A30B-4C19-8FA9-7017AF98293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2012" xr:uid="{F014EC1B-8284-46C9-8932-9204781CC2AF}"/>
    <cellStyle name="Normal 9 2 3 2 3 2 3" xfId="10354" xr:uid="{999FA587-841A-4070-BDB5-A2D4A2E272D5}"/>
    <cellStyle name="Normal 9 2 3 2 3 3" xfId="5299" xr:uid="{00000000-0005-0000-0000-0000251F0000}"/>
    <cellStyle name="Normal 9 2 3 2 3 3 2" xfId="11183" xr:uid="{7D55FF6F-93B5-4305-96A9-10E9D59320CF}"/>
    <cellStyle name="Normal 9 2 3 2 3 4" xfId="9525" xr:uid="{B0135A48-F6C8-4A86-8D54-415C9C8FDD94}"/>
    <cellStyle name="Normal 9 2 3 2 4" xfId="1404" xr:uid="{00000000-0005-0000-0000-0000261F0000}"/>
    <cellStyle name="Normal 9 2 3 2 4 2" xfId="3634" xr:uid="{00000000-0005-0000-0000-0000271F0000}"/>
    <cellStyle name="Normal 9 2 3 2 4 2 2" xfId="7857" xr:uid="{00000000-0005-0000-0000-0000281F0000}"/>
    <cellStyle name="Normal 9 2 3 2 4 2 3" xfId="11596" xr:uid="{9C4D9563-CB76-47C0-82C1-EC98B3E4A477}"/>
    <cellStyle name="Normal 9 2 3 2 4 3" xfId="5712" xr:uid="{00000000-0005-0000-0000-0000291F0000}"/>
    <cellStyle name="Normal 9 2 3 2 4 4" xfId="9938" xr:uid="{1C35BFD1-AE43-4854-B0DB-D7CD731EFE8B}"/>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5 4" xfId="10767" xr:uid="{190A5101-A04E-4946-81B1-C0907B317939}"/>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2 9" xfId="9106" xr:uid="{022928B7-0498-4F44-B0A7-1448E89E37F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2014" xr:uid="{B9972264-9BC1-4CC7-B8B5-99C8A01016B7}"/>
    <cellStyle name="Normal 9 2 3 3 2 2 3" xfId="10356" xr:uid="{DD3C60E3-1965-42F0-ACF4-87F653D7EEE4}"/>
    <cellStyle name="Normal 9 2 3 3 2 3" xfId="5301" xr:uid="{00000000-0005-0000-0000-0000391F0000}"/>
    <cellStyle name="Normal 9 2 3 3 2 3 2" xfId="11185" xr:uid="{42D6E993-7C84-4627-B47C-69A29B93066E}"/>
    <cellStyle name="Normal 9 2 3 3 2 4" xfId="9527" xr:uid="{6AE1E8C2-3388-4D85-8DD6-BEE69F850D8C}"/>
    <cellStyle name="Normal 9 2 3 3 3" xfId="1406" xr:uid="{00000000-0005-0000-0000-00003A1F0000}"/>
    <cellStyle name="Normal 9 2 3 3 3 2" xfId="3636" xr:uid="{00000000-0005-0000-0000-00003B1F0000}"/>
    <cellStyle name="Normal 9 2 3 3 3 2 2" xfId="7859" xr:uid="{00000000-0005-0000-0000-00003C1F0000}"/>
    <cellStyle name="Normal 9 2 3 3 3 2 3" xfId="11598" xr:uid="{815ED666-7B39-421B-8576-35741A3EC446}"/>
    <cellStyle name="Normal 9 2 3 3 3 3" xfId="5714" xr:uid="{00000000-0005-0000-0000-00003D1F0000}"/>
    <cellStyle name="Normal 9 2 3 3 3 4" xfId="9940" xr:uid="{74008EB8-B8B8-4F28-B11D-F1D56A9D1C34}"/>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4 4" xfId="10769" xr:uid="{864F3A25-FABC-4CE0-BDEB-FB1FE55751DE}"/>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3 8" xfId="9108" xr:uid="{5154E7A9-1D71-43BD-B4C4-4F847BB1DB7F}"/>
    <cellStyle name="Normal 9 2 3 4" xfId="987" xr:uid="{00000000-0005-0000-0000-0000491F0000}"/>
    <cellStyle name="Normal 9 2 3 4 2" xfId="3220" xr:uid="{00000000-0005-0000-0000-00004A1F0000}"/>
    <cellStyle name="Normal 9 2 3 4 2 2" xfId="7443" xr:uid="{00000000-0005-0000-0000-00004B1F0000}"/>
    <cellStyle name="Normal 9 2 3 4 2 2 2" xfId="12011" xr:uid="{CB24068A-7CAF-4824-A320-625A2ECA042A}"/>
    <cellStyle name="Normal 9 2 3 4 2 3" xfId="10353" xr:uid="{AB516796-6BA8-4D63-B020-DCB97552A827}"/>
    <cellStyle name="Normal 9 2 3 4 3" xfId="5298" xr:uid="{00000000-0005-0000-0000-00004C1F0000}"/>
    <cellStyle name="Normal 9 2 3 4 3 2" xfId="11182" xr:uid="{5A961EC7-26A6-4242-955D-2003C4DAEEB9}"/>
    <cellStyle name="Normal 9 2 3 4 4" xfId="9524" xr:uid="{EC1D2F75-F2AA-48A7-8634-BB68E1D602CF}"/>
    <cellStyle name="Normal 9 2 3 5" xfId="1403" xr:uid="{00000000-0005-0000-0000-00004D1F0000}"/>
    <cellStyle name="Normal 9 2 3 5 2" xfId="3633" xr:uid="{00000000-0005-0000-0000-00004E1F0000}"/>
    <cellStyle name="Normal 9 2 3 5 2 2" xfId="7856" xr:uid="{00000000-0005-0000-0000-00004F1F0000}"/>
    <cellStyle name="Normal 9 2 3 5 2 3" xfId="11595" xr:uid="{516F6298-EC68-4559-BD09-FD44DFD12F9B}"/>
    <cellStyle name="Normal 9 2 3 5 3" xfId="5711" xr:uid="{00000000-0005-0000-0000-0000501F0000}"/>
    <cellStyle name="Normal 9 2 3 5 4" xfId="9937" xr:uid="{1F763548-D74B-45BE-AD40-F4025C5DD72F}"/>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6 4" xfId="10766" xr:uid="{C4B09A9D-A1B6-41C0-85A0-FD18E7B193AF}"/>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2016" xr:uid="{CE34DCE2-C660-4B9C-A492-0465895E816B}"/>
    <cellStyle name="Normal 9 2 4 2 2 2 3" xfId="10358" xr:uid="{B25C167F-968A-4C83-994E-C5DEF3DC3B18}"/>
    <cellStyle name="Normal 9 2 4 2 2 3" xfId="5303" xr:uid="{00000000-0005-0000-0000-0000611F0000}"/>
    <cellStyle name="Normal 9 2 4 2 2 3 2" xfId="11187" xr:uid="{366A01C4-F172-4BCD-AC43-855651FE7C62}"/>
    <cellStyle name="Normal 9 2 4 2 2 4" xfId="9529" xr:uid="{ED9FB5D3-1383-48BD-89D3-A55EA5E44F94}"/>
    <cellStyle name="Normal 9 2 4 2 3" xfId="1408" xr:uid="{00000000-0005-0000-0000-0000621F0000}"/>
    <cellStyle name="Normal 9 2 4 2 3 2" xfId="3638" xr:uid="{00000000-0005-0000-0000-0000631F0000}"/>
    <cellStyle name="Normal 9 2 4 2 3 2 2" xfId="7861" xr:uid="{00000000-0005-0000-0000-0000641F0000}"/>
    <cellStyle name="Normal 9 2 4 2 3 2 3" xfId="11600" xr:uid="{BF669B4B-8AA9-489A-BEAB-16A3F837C942}"/>
    <cellStyle name="Normal 9 2 4 2 3 3" xfId="5716" xr:uid="{00000000-0005-0000-0000-0000651F0000}"/>
    <cellStyle name="Normal 9 2 4 2 3 4" xfId="9942" xr:uid="{66177AF4-5EEE-4EAA-9FF1-E82DD2488383}"/>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4 4" xfId="10771" xr:uid="{057A9803-8497-471D-8F85-04C5543DAE5E}"/>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2 8" xfId="9110" xr:uid="{FE6816E2-A8FF-4F26-8D42-E05B05C7C4EC}"/>
    <cellStyle name="Normal 9 2 4 3" xfId="991" xr:uid="{00000000-0005-0000-0000-0000711F0000}"/>
    <cellStyle name="Normal 9 2 4 3 2" xfId="3224" xr:uid="{00000000-0005-0000-0000-0000721F0000}"/>
    <cellStyle name="Normal 9 2 4 3 2 2" xfId="7447" xr:uid="{00000000-0005-0000-0000-0000731F0000}"/>
    <cellStyle name="Normal 9 2 4 3 2 2 2" xfId="12015" xr:uid="{627977B2-C89B-4852-8A49-FDF81EB61BEA}"/>
    <cellStyle name="Normal 9 2 4 3 2 3" xfId="10357" xr:uid="{2A15F9A1-8439-4C8A-9229-561DAF417D67}"/>
    <cellStyle name="Normal 9 2 4 3 3" xfId="5302" xr:uid="{00000000-0005-0000-0000-0000741F0000}"/>
    <cellStyle name="Normal 9 2 4 3 3 2" xfId="11186" xr:uid="{4D84E802-4EDF-4D19-A88B-52AB54816033}"/>
    <cellStyle name="Normal 9 2 4 3 4" xfId="9528" xr:uid="{9B9361A3-7898-4FBF-B8C6-AE95DF7CE3DC}"/>
    <cellStyle name="Normal 9 2 4 4" xfId="1407" xr:uid="{00000000-0005-0000-0000-0000751F0000}"/>
    <cellStyle name="Normal 9 2 4 4 2" xfId="3637" xr:uid="{00000000-0005-0000-0000-0000761F0000}"/>
    <cellStyle name="Normal 9 2 4 4 2 2" xfId="7860" xr:uid="{00000000-0005-0000-0000-0000771F0000}"/>
    <cellStyle name="Normal 9 2 4 4 2 3" xfId="11599" xr:uid="{04ABC6BA-16CA-4D0A-9528-2A9322F2B220}"/>
    <cellStyle name="Normal 9 2 4 4 3" xfId="5715" xr:uid="{00000000-0005-0000-0000-0000781F0000}"/>
    <cellStyle name="Normal 9 2 4 4 4" xfId="9941" xr:uid="{D4DC1FE3-FF2F-4D7C-8B0D-57AFE9B24C2B}"/>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5 4" xfId="10770" xr:uid="{56A39082-6C04-41F8-BE27-C7BC4CBFBCBF}"/>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4 9" xfId="9109" xr:uid="{3B1D5656-8877-4546-A9FA-C32B9457059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2017" xr:uid="{6BF79625-7D56-465F-AB6A-8A73F2CC394A}"/>
    <cellStyle name="Normal 9 2 5 2 2 3" xfId="10359" xr:uid="{EB1703AE-5702-4ECF-BC73-D055DC6850AD}"/>
    <cellStyle name="Normal 9 2 5 2 3" xfId="5304" xr:uid="{00000000-0005-0000-0000-0000881F0000}"/>
    <cellStyle name="Normal 9 2 5 2 3 2" xfId="11188" xr:uid="{B9808F30-0786-4C45-B2CE-9428FF5BBD7A}"/>
    <cellStyle name="Normal 9 2 5 2 4" xfId="9530" xr:uid="{A886B9F6-0822-43A8-A256-8EEE39114EDD}"/>
    <cellStyle name="Normal 9 2 5 3" xfId="1409" xr:uid="{00000000-0005-0000-0000-0000891F0000}"/>
    <cellStyle name="Normal 9 2 5 3 2" xfId="3639" xr:uid="{00000000-0005-0000-0000-00008A1F0000}"/>
    <cellStyle name="Normal 9 2 5 3 2 2" xfId="7862" xr:uid="{00000000-0005-0000-0000-00008B1F0000}"/>
    <cellStyle name="Normal 9 2 5 3 2 3" xfId="11601" xr:uid="{3DD43F92-4E22-4A75-83A0-CB9FB1915351}"/>
    <cellStyle name="Normal 9 2 5 3 3" xfId="5717" xr:uid="{00000000-0005-0000-0000-00008C1F0000}"/>
    <cellStyle name="Normal 9 2 5 3 4" xfId="9943" xr:uid="{C98F3331-F876-4C27-90BE-C8089FC7E7E4}"/>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4 4" xfId="10772" xr:uid="{52577B98-E485-49B6-90A8-944FF7526DF4}"/>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5 8" xfId="9111" xr:uid="{1661A4E8-E3D4-4596-904E-320629EF0A14}"/>
    <cellStyle name="Normal 9 2 6" xfId="978" xr:uid="{00000000-0005-0000-0000-0000981F0000}"/>
    <cellStyle name="Normal 9 2 6 2" xfId="3211" xr:uid="{00000000-0005-0000-0000-0000991F0000}"/>
    <cellStyle name="Normal 9 2 6 2 2" xfId="7434" xr:uid="{00000000-0005-0000-0000-00009A1F0000}"/>
    <cellStyle name="Normal 9 2 6 2 2 2" xfId="12002" xr:uid="{830836E7-6564-4453-A42C-8C88AD8BA620}"/>
    <cellStyle name="Normal 9 2 6 2 3" xfId="10344" xr:uid="{E5BA54FD-6055-4C17-BA81-B735698451F3}"/>
    <cellStyle name="Normal 9 2 6 3" xfId="5289" xr:uid="{00000000-0005-0000-0000-00009B1F0000}"/>
    <cellStyle name="Normal 9 2 6 3 2" xfId="11173" xr:uid="{4E4226EC-1AD8-41CA-AF35-F5DF822A3FE0}"/>
    <cellStyle name="Normal 9 2 6 4" xfId="9515" xr:uid="{44CC6B62-EAC1-474E-A8AA-4D20DC029288}"/>
    <cellStyle name="Normal 9 2 7" xfId="1394" xr:uid="{00000000-0005-0000-0000-00009C1F0000}"/>
    <cellStyle name="Normal 9 2 7 2" xfId="3624" xr:uid="{00000000-0005-0000-0000-00009D1F0000}"/>
    <cellStyle name="Normal 9 2 7 2 2" xfId="7847" xr:uid="{00000000-0005-0000-0000-00009E1F0000}"/>
    <cellStyle name="Normal 9 2 7 2 3" xfId="11586" xr:uid="{640B0085-B2DB-473D-AFE8-F33D5F57DCC8}"/>
    <cellStyle name="Normal 9 2 7 3" xfId="5702" xr:uid="{00000000-0005-0000-0000-00009F1F0000}"/>
    <cellStyle name="Normal 9 2 7 4" xfId="9928" xr:uid="{DE37C81A-4E36-4DB1-A2A0-9F3FE46FF39B}"/>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8 4" xfId="10757" xr:uid="{B7BB1238-D881-4520-A0C1-3F3C2B41D4D4}"/>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11" xfId="9112" xr:uid="{EB656344-9C18-485E-8EAA-395C44ED9B4E}"/>
    <cellStyle name="Normal 9 3 2" xfId="528" xr:uid="{00000000-0005-0000-0000-0000AA1F0000}"/>
    <cellStyle name="Normal 9 3 2 10" xfId="9113" xr:uid="{F774C39A-72DB-42A9-88B6-E62FC625481F}"/>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2021" xr:uid="{868E0E14-99AA-4674-8505-7238C826C77A}"/>
    <cellStyle name="Normal 9 3 2 2 2 2 2 3" xfId="10363" xr:uid="{04361814-6847-4D5E-8BF3-D44959BD2F10}"/>
    <cellStyle name="Normal 9 3 2 2 2 2 3" xfId="5308" xr:uid="{00000000-0005-0000-0000-0000B01F0000}"/>
    <cellStyle name="Normal 9 3 2 2 2 2 3 2" xfId="11192" xr:uid="{F96FC2D0-866E-4709-97B3-7A78CAB4FCBF}"/>
    <cellStyle name="Normal 9 3 2 2 2 2 4" xfId="9534" xr:uid="{4E6C812D-A3F6-40F8-A3F2-342D30F094DF}"/>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3" xfId="11605" xr:uid="{C2BC02C1-0C87-47BD-9601-DED4F29EE743}"/>
    <cellStyle name="Normal 9 3 2 2 2 3 3" xfId="5721" xr:uid="{00000000-0005-0000-0000-0000B41F0000}"/>
    <cellStyle name="Normal 9 3 2 2 2 3 4" xfId="9947" xr:uid="{9C17A9D3-760D-4EF0-8EF9-C6A7D2870479}"/>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4 4" xfId="10776" xr:uid="{D4B00BB6-95EB-454D-B991-DE41B34AC321}"/>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2 8" xfId="9115" xr:uid="{2F7AB144-7779-4601-A60F-7B27D310AF6A}"/>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2020" xr:uid="{E6FF4874-D45D-4157-B770-5E77F0555EC7}"/>
    <cellStyle name="Normal 9 3 2 2 3 2 3" xfId="10362" xr:uid="{1DB720A8-E8A5-4E4B-8B46-3DFF1292D925}"/>
    <cellStyle name="Normal 9 3 2 2 3 3" xfId="5307" xr:uid="{00000000-0005-0000-0000-0000C31F0000}"/>
    <cellStyle name="Normal 9 3 2 2 3 3 2" xfId="11191" xr:uid="{42137001-7784-4B99-8F19-FDFCC67B3899}"/>
    <cellStyle name="Normal 9 3 2 2 3 4" xfId="9533" xr:uid="{64B24433-F892-42E4-A752-BAFF80812594}"/>
    <cellStyle name="Normal 9 3 2 2 4" xfId="1412" xr:uid="{00000000-0005-0000-0000-0000C41F0000}"/>
    <cellStyle name="Normal 9 3 2 2 4 2" xfId="3642" xr:uid="{00000000-0005-0000-0000-0000C51F0000}"/>
    <cellStyle name="Normal 9 3 2 2 4 2 2" xfId="7865" xr:uid="{00000000-0005-0000-0000-0000C61F0000}"/>
    <cellStyle name="Normal 9 3 2 2 4 2 3" xfId="11604" xr:uid="{E844069F-C0E2-41B1-BB07-1EEDA3C31FFC}"/>
    <cellStyle name="Normal 9 3 2 2 4 3" xfId="5720" xr:uid="{00000000-0005-0000-0000-0000C71F0000}"/>
    <cellStyle name="Normal 9 3 2 2 4 4" xfId="9946" xr:uid="{116E40EA-00D5-4D59-A61C-C324F5E1BF71}"/>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5 4" xfId="10775" xr:uid="{70649306-B73E-4A70-981B-B2DDCD6D467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2 9" xfId="9114" xr:uid="{E5BAF9DC-2D18-4561-9B5C-AC581D1970D2}"/>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2022" xr:uid="{0F891E8F-C1B3-4803-B6E8-3E7E5504C73B}"/>
    <cellStyle name="Normal 9 3 2 3 2 2 3" xfId="10364" xr:uid="{D022BE3F-65FC-4CBD-BEB7-F209980D0471}"/>
    <cellStyle name="Normal 9 3 2 3 2 3" xfId="5309" xr:uid="{00000000-0005-0000-0000-0000D71F0000}"/>
    <cellStyle name="Normal 9 3 2 3 2 3 2" xfId="11193" xr:uid="{9D61F22C-F80C-42DD-B8E8-D154AC602442}"/>
    <cellStyle name="Normal 9 3 2 3 2 4" xfId="9535" xr:uid="{6866AB43-368E-4D64-B8C1-C0A9820C1C62}"/>
    <cellStyle name="Normal 9 3 2 3 3" xfId="1414" xr:uid="{00000000-0005-0000-0000-0000D81F0000}"/>
    <cellStyle name="Normal 9 3 2 3 3 2" xfId="3644" xr:uid="{00000000-0005-0000-0000-0000D91F0000}"/>
    <cellStyle name="Normal 9 3 2 3 3 2 2" xfId="7867" xr:uid="{00000000-0005-0000-0000-0000DA1F0000}"/>
    <cellStyle name="Normal 9 3 2 3 3 2 3" xfId="11606" xr:uid="{BD13B6DB-319D-4BEE-88EF-A23A2337F7EA}"/>
    <cellStyle name="Normal 9 3 2 3 3 3" xfId="5722" xr:uid="{00000000-0005-0000-0000-0000DB1F0000}"/>
    <cellStyle name="Normal 9 3 2 3 3 4" xfId="9948" xr:uid="{37D8D0E8-C30B-4733-862B-953984E2CB2E}"/>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4 4" xfId="10777" xr:uid="{DFFFD7B8-6892-484E-ABAB-F4B32557676E}"/>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3 8" xfId="9116" xr:uid="{A61A0905-3CFB-4AEA-88C9-6B098798577A}"/>
    <cellStyle name="Normal 9 3 2 4" xfId="995" xr:uid="{00000000-0005-0000-0000-0000E71F0000}"/>
    <cellStyle name="Normal 9 3 2 4 2" xfId="3228" xr:uid="{00000000-0005-0000-0000-0000E81F0000}"/>
    <cellStyle name="Normal 9 3 2 4 2 2" xfId="7451" xr:uid="{00000000-0005-0000-0000-0000E91F0000}"/>
    <cellStyle name="Normal 9 3 2 4 2 2 2" xfId="12019" xr:uid="{90598152-E7C8-440D-BCB6-969FCAC1ABB0}"/>
    <cellStyle name="Normal 9 3 2 4 2 3" xfId="10361" xr:uid="{C5812EF6-C703-49AE-948C-6D79D53CA552}"/>
    <cellStyle name="Normal 9 3 2 4 3" xfId="5306" xr:uid="{00000000-0005-0000-0000-0000EA1F0000}"/>
    <cellStyle name="Normal 9 3 2 4 3 2" xfId="11190" xr:uid="{BAA4EDBB-1C7C-44C7-BC40-F86DB85DDB1D}"/>
    <cellStyle name="Normal 9 3 2 4 4" xfId="9532" xr:uid="{F0C8C923-33E4-4436-AA1B-0F8359F178AA}"/>
    <cellStyle name="Normal 9 3 2 5" xfId="1411" xr:uid="{00000000-0005-0000-0000-0000EB1F0000}"/>
    <cellStyle name="Normal 9 3 2 5 2" xfId="3641" xr:uid="{00000000-0005-0000-0000-0000EC1F0000}"/>
    <cellStyle name="Normal 9 3 2 5 2 2" xfId="7864" xr:uid="{00000000-0005-0000-0000-0000ED1F0000}"/>
    <cellStyle name="Normal 9 3 2 5 2 3" xfId="11603" xr:uid="{D61FEFDA-F534-4012-80BB-B76C975A2994}"/>
    <cellStyle name="Normal 9 3 2 5 3" xfId="5719" xr:uid="{00000000-0005-0000-0000-0000EE1F0000}"/>
    <cellStyle name="Normal 9 3 2 5 4" xfId="9945" xr:uid="{547FF8EE-6407-4444-9FC8-1AF863A168AD}"/>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6 4" xfId="10774" xr:uid="{97C26573-02C5-477C-BFC7-3721407C8D35}"/>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2024" xr:uid="{39F31A9B-1137-4B32-BC6F-8DA429942A14}"/>
    <cellStyle name="Normal 9 3 3 2 2 2 3" xfId="10366" xr:uid="{1A957FDA-5743-44A5-AA47-9D949BB55629}"/>
    <cellStyle name="Normal 9 3 3 2 2 3" xfId="5311" xr:uid="{00000000-0005-0000-0000-0000FF1F0000}"/>
    <cellStyle name="Normal 9 3 3 2 2 3 2" xfId="11195" xr:uid="{1D800DA9-D75B-42A4-9F90-69815625D48B}"/>
    <cellStyle name="Normal 9 3 3 2 2 4" xfId="9537" xr:uid="{E0170880-3E6C-4697-BAF3-878835121870}"/>
    <cellStyle name="Normal 9 3 3 2 3" xfId="1416" xr:uid="{00000000-0005-0000-0000-000000200000}"/>
    <cellStyle name="Normal 9 3 3 2 3 2" xfId="3646" xr:uid="{00000000-0005-0000-0000-000001200000}"/>
    <cellStyle name="Normal 9 3 3 2 3 2 2" xfId="7869" xr:uid="{00000000-0005-0000-0000-000002200000}"/>
    <cellStyle name="Normal 9 3 3 2 3 2 3" xfId="11608" xr:uid="{9F9F7FFF-FF66-428C-9C2A-5E427AADC21F}"/>
    <cellStyle name="Normal 9 3 3 2 3 3" xfId="5724" xr:uid="{00000000-0005-0000-0000-000003200000}"/>
    <cellStyle name="Normal 9 3 3 2 3 4" xfId="9950" xr:uid="{79A3BFD1-6DD5-4A93-BA8F-08B604AEE85D}"/>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4 4" xfId="10779" xr:uid="{CB31F2D6-7245-46CD-A3BD-36C2874CBC07}"/>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2 8" xfId="9118" xr:uid="{DB440645-7BF3-424F-9CBC-3FEB53C13EF7}"/>
    <cellStyle name="Normal 9 3 3 3" xfId="999" xr:uid="{00000000-0005-0000-0000-00000F200000}"/>
    <cellStyle name="Normal 9 3 3 3 2" xfId="3232" xr:uid="{00000000-0005-0000-0000-000010200000}"/>
    <cellStyle name="Normal 9 3 3 3 2 2" xfId="7455" xr:uid="{00000000-0005-0000-0000-000011200000}"/>
    <cellStyle name="Normal 9 3 3 3 2 2 2" xfId="12023" xr:uid="{B8E9C296-B628-4744-946D-0CE07EB9CA19}"/>
    <cellStyle name="Normal 9 3 3 3 2 3" xfId="10365" xr:uid="{ABE8241F-2957-438A-B02D-2F3634CED8EC}"/>
    <cellStyle name="Normal 9 3 3 3 3" xfId="5310" xr:uid="{00000000-0005-0000-0000-000012200000}"/>
    <cellStyle name="Normal 9 3 3 3 3 2" xfId="11194" xr:uid="{F1F2F4AE-13D7-4E08-95F1-57E5766B49A1}"/>
    <cellStyle name="Normal 9 3 3 3 4" xfId="9536" xr:uid="{81A199A4-53E5-42BE-A3D1-F572F1DD2B03}"/>
    <cellStyle name="Normal 9 3 3 4" xfId="1415" xr:uid="{00000000-0005-0000-0000-000013200000}"/>
    <cellStyle name="Normal 9 3 3 4 2" xfId="3645" xr:uid="{00000000-0005-0000-0000-000014200000}"/>
    <cellStyle name="Normal 9 3 3 4 2 2" xfId="7868" xr:uid="{00000000-0005-0000-0000-000015200000}"/>
    <cellStyle name="Normal 9 3 3 4 2 3" xfId="11607" xr:uid="{0B8B0DEE-906B-4A9E-A33D-C26D21D5B815}"/>
    <cellStyle name="Normal 9 3 3 4 3" xfId="5723" xr:uid="{00000000-0005-0000-0000-000016200000}"/>
    <cellStyle name="Normal 9 3 3 4 4" xfId="9949" xr:uid="{4FF00F40-113C-4464-B6D3-7E29706519E1}"/>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5 4" xfId="10778" xr:uid="{6EACBA9B-F398-480D-85D5-AB7161692D06}"/>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3 9" xfId="9117" xr:uid="{4A8BDFEC-4E3A-47EC-8BA4-385B68040A86}"/>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2025" xr:uid="{4361668C-3881-4773-A064-C6D080F3709E}"/>
    <cellStyle name="Normal 9 3 4 2 2 3" xfId="10367" xr:uid="{7DF34BDA-7D55-42AD-9A56-BF8DAB7E99ED}"/>
    <cellStyle name="Normal 9 3 4 2 3" xfId="5312" xr:uid="{00000000-0005-0000-0000-000026200000}"/>
    <cellStyle name="Normal 9 3 4 2 3 2" xfId="11196" xr:uid="{4B48F07E-D616-45B3-AF40-DC130C345E7A}"/>
    <cellStyle name="Normal 9 3 4 2 4" xfId="9538" xr:uid="{514462F5-BDE8-4231-9CA7-68CA934D564F}"/>
    <cellStyle name="Normal 9 3 4 3" xfId="1417" xr:uid="{00000000-0005-0000-0000-000027200000}"/>
    <cellStyle name="Normal 9 3 4 3 2" xfId="3647" xr:uid="{00000000-0005-0000-0000-000028200000}"/>
    <cellStyle name="Normal 9 3 4 3 2 2" xfId="7870" xr:uid="{00000000-0005-0000-0000-000029200000}"/>
    <cellStyle name="Normal 9 3 4 3 2 3" xfId="11609" xr:uid="{7DBF2EEA-F217-4956-83B3-4B632EA10D57}"/>
    <cellStyle name="Normal 9 3 4 3 3" xfId="5725" xr:uid="{00000000-0005-0000-0000-00002A200000}"/>
    <cellStyle name="Normal 9 3 4 3 4" xfId="9951" xr:uid="{974C233B-B985-41E4-9218-5366853572CC}"/>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4 4" xfId="10780" xr:uid="{5F3EE9CC-6481-4940-A317-6F0D3D9F4A5E}"/>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4 8" xfId="9119" xr:uid="{2A2ABDD0-8BF9-456E-942D-1D493D4090F4}"/>
    <cellStyle name="Normal 9 3 5" xfId="994" xr:uid="{00000000-0005-0000-0000-000036200000}"/>
    <cellStyle name="Normal 9 3 5 2" xfId="3227" xr:uid="{00000000-0005-0000-0000-000037200000}"/>
    <cellStyle name="Normal 9 3 5 2 2" xfId="7450" xr:uid="{00000000-0005-0000-0000-000038200000}"/>
    <cellStyle name="Normal 9 3 5 2 2 2" xfId="12018" xr:uid="{CBBE969C-7A80-4631-9C7B-9B11B0D9BD95}"/>
    <cellStyle name="Normal 9 3 5 2 3" xfId="10360" xr:uid="{AC1A10F0-24DC-4D38-9261-26366C3A6ECB}"/>
    <cellStyle name="Normal 9 3 5 3" xfId="5305" xr:uid="{00000000-0005-0000-0000-000039200000}"/>
    <cellStyle name="Normal 9 3 5 3 2" xfId="11189" xr:uid="{385442B2-B460-4BDB-914F-301D9FC6DF96}"/>
    <cellStyle name="Normal 9 3 5 4" xfId="9531" xr:uid="{807466A1-3000-4503-92E2-0B2A756AA8E1}"/>
    <cellStyle name="Normal 9 3 6" xfId="1410" xr:uid="{00000000-0005-0000-0000-00003A200000}"/>
    <cellStyle name="Normal 9 3 6 2" xfId="3640" xr:uid="{00000000-0005-0000-0000-00003B200000}"/>
    <cellStyle name="Normal 9 3 6 2 2" xfId="7863" xr:uid="{00000000-0005-0000-0000-00003C200000}"/>
    <cellStyle name="Normal 9 3 6 2 3" xfId="11602" xr:uid="{932B241A-2836-4634-AF13-B271ED0A8BD0}"/>
    <cellStyle name="Normal 9 3 6 3" xfId="5718" xr:uid="{00000000-0005-0000-0000-00003D200000}"/>
    <cellStyle name="Normal 9 3 6 4" xfId="9944" xr:uid="{10119F5F-BE77-4089-AF50-DCEBDB4F9902}"/>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7 4" xfId="10773" xr:uid="{CE2B5BDE-7D56-4FF7-B18F-26584E3F0857}"/>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2027" xr:uid="{BDDCE31E-D080-45B2-B8C6-67691052A154}"/>
    <cellStyle name="Normal 9 5 2 2 2 3" xfId="10369" xr:uid="{A5CBA394-47AF-4CEF-A385-46EF44BC6BD3}"/>
    <cellStyle name="Normal 9 5 2 2 3" xfId="5314" xr:uid="{00000000-0005-0000-0000-00004F200000}"/>
    <cellStyle name="Normal 9 5 2 2 3 2" xfId="11198" xr:uid="{167DD620-66D5-4A62-B49B-CA8DCFCEE48F}"/>
    <cellStyle name="Normal 9 5 2 2 4" xfId="9540" xr:uid="{35D6C667-71A4-4195-BA6C-C8D0EAA41E85}"/>
    <cellStyle name="Normal 9 5 2 3" xfId="1419" xr:uid="{00000000-0005-0000-0000-000050200000}"/>
    <cellStyle name="Normal 9 5 2 3 2" xfId="3649" xr:uid="{00000000-0005-0000-0000-000051200000}"/>
    <cellStyle name="Normal 9 5 2 3 2 2" xfId="7872" xr:uid="{00000000-0005-0000-0000-000052200000}"/>
    <cellStyle name="Normal 9 5 2 3 2 3" xfId="11611" xr:uid="{1F577D3B-AB67-403C-A9BB-835745D0B40E}"/>
    <cellStyle name="Normal 9 5 2 3 3" xfId="5727" xr:uid="{00000000-0005-0000-0000-000053200000}"/>
    <cellStyle name="Normal 9 5 2 3 4" xfId="9953" xr:uid="{466B1164-1927-4AAB-96BB-CC282FBF0FE5}"/>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4 4" xfId="10782" xr:uid="{4E8AE5FA-356F-4BBE-A00F-3068CB83A234}"/>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2 8" xfId="9121" xr:uid="{EECEC3E6-F77F-443A-8AD1-43E6009DEA8E}"/>
    <cellStyle name="Normal 9 5 3" xfId="1003" xr:uid="{00000000-0005-0000-0000-00005F200000}"/>
    <cellStyle name="Normal 9 5 3 2" xfId="3235" xr:uid="{00000000-0005-0000-0000-000060200000}"/>
    <cellStyle name="Normal 9 5 3 2 2" xfId="7458" xr:uid="{00000000-0005-0000-0000-000061200000}"/>
    <cellStyle name="Normal 9 5 3 2 2 2" xfId="12026" xr:uid="{0736028F-AD98-4E14-AA84-26EEC131445A}"/>
    <cellStyle name="Normal 9 5 3 2 3" xfId="10368" xr:uid="{2240C9BD-5983-4063-87A6-83890782D20E}"/>
    <cellStyle name="Normal 9 5 3 3" xfId="5313" xr:uid="{00000000-0005-0000-0000-000062200000}"/>
    <cellStyle name="Normal 9 5 3 3 2" xfId="11197" xr:uid="{A044254F-ADA0-4ECE-9832-BD96BE449EA9}"/>
    <cellStyle name="Normal 9 5 3 4" xfId="9539" xr:uid="{03CD5D35-C354-4AC3-BA2C-09AB5F2A0C3D}"/>
    <cellStyle name="Normal 9 5 4" xfId="1418" xr:uid="{00000000-0005-0000-0000-000063200000}"/>
    <cellStyle name="Normal 9 5 4 2" xfId="3648" xr:uid="{00000000-0005-0000-0000-000064200000}"/>
    <cellStyle name="Normal 9 5 4 2 2" xfId="7871" xr:uid="{00000000-0005-0000-0000-000065200000}"/>
    <cellStyle name="Normal 9 5 4 2 3" xfId="11610" xr:uid="{DC2C1BE0-3388-4AF2-82F7-DBC9394E7E5D}"/>
    <cellStyle name="Normal 9 5 4 3" xfId="5726" xr:uid="{00000000-0005-0000-0000-000066200000}"/>
    <cellStyle name="Normal 9 5 4 4" xfId="9952" xr:uid="{43CEAEFE-F98A-41E2-8CBA-C5D56C7BBA11}"/>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5 4" xfId="10781" xr:uid="{379F661A-B60F-44CE-BA4E-5D51F2671A7C}"/>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5 9" xfId="9120" xr:uid="{ED1ACA6D-C653-47A9-89DE-04B2F9B04C0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2028" xr:uid="{101FC99C-328D-47A5-8EE1-01A3FB72389D}"/>
    <cellStyle name="Normal 9 6 2 2 3" xfId="10370" xr:uid="{E5F25651-536E-472B-85D6-E70586D0C157}"/>
    <cellStyle name="Normal 9 6 2 3" xfId="5315" xr:uid="{00000000-0005-0000-0000-000076200000}"/>
    <cellStyle name="Normal 9 6 2 3 2" xfId="11199" xr:uid="{5FCD6FF5-077F-452B-A50E-D695FFC33406}"/>
    <cellStyle name="Normal 9 6 2 4" xfId="9541" xr:uid="{F74275B9-C6CF-4923-868D-4C2399C40652}"/>
    <cellStyle name="Normal 9 6 3" xfId="1420" xr:uid="{00000000-0005-0000-0000-000077200000}"/>
    <cellStyle name="Normal 9 6 3 2" xfId="3650" xr:uid="{00000000-0005-0000-0000-000078200000}"/>
    <cellStyle name="Normal 9 6 3 2 2" xfId="7873" xr:uid="{00000000-0005-0000-0000-000079200000}"/>
    <cellStyle name="Normal 9 6 3 2 3" xfId="11612" xr:uid="{767E3F63-A04F-401C-908F-E78492986BEC}"/>
    <cellStyle name="Normal 9 6 3 3" xfId="5728" xr:uid="{00000000-0005-0000-0000-00007A200000}"/>
    <cellStyle name="Normal 9 6 3 4" xfId="9954" xr:uid="{DCAD96CC-5EB8-4D03-A1CB-A7B63D1BE972}"/>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4 4" xfId="10783" xr:uid="{0A5B00A9-9DAF-4B2F-BDDB-51CD58B66F8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6 8" xfId="9122" xr:uid="{87F73F57-2D0B-445E-9540-84FF179FF92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12" xfId="9123" xr:uid="{15589F15-1C4D-42E6-A5B1-618961B6EA98}"/>
    <cellStyle name="Note 2 2 2" xfId="546" xr:uid="{00000000-0005-0000-0000-000095200000}"/>
    <cellStyle name="Note 2 2 2 10" xfId="4904" xr:uid="{00000000-0005-0000-0000-000096200000}"/>
    <cellStyle name="Note 2 2 2 11" xfId="9124" xr:uid="{B6B04224-9A8C-474C-8F06-4398DE3357C3}"/>
    <cellStyle name="Note 2 2 2 2" xfId="547" xr:uid="{00000000-0005-0000-0000-000097200000}"/>
    <cellStyle name="Note 2 2 2 2 10" xfId="9125" xr:uid="{363A5195-42DC-4961-8469-0E713ABA3ED6}"/>
    <cellStyle name="Note 2 2 2 2 2" xfId="1008" xr:uid="{00000000-0005-0000-0000-000098200000}"/>
    <cellStyle name="Note 2 2 2 2 2 2" xfId="3240" xr:uid="{00000000-0005-0000-0000-000099200000}"/>
    <cellStyle name="Note 2 2 2 2 2 2 2" xfId="7463" xr:uid="{00000000-0005-0000-0000-00009A200000}"/>
    <cellStyle name="Note 2 2 2 2 2 2 2 2" xfId="12031" xr:uid="{B379BB87-45F3-4F4A-8766-07AF970698BE}"/>
    <cellStyle name="Note 2 2 2 2 2 2 3" xfId="10373" xr:uid="{8DF0C200-C599-434B-8249-0B76FFB74E3E}"/>
    <cellStyle name="Note 2 2 2 2 2 3" xfId="5318" xr:uid="{00000000-0005-0000-0000-00009B200000}"/>
    <cellStyle name="Note 2 2 2 2 2 3 2" xfId="11202" xr:uid="{BAEB1D9D-9EA7-4927-B94A-917F0BAA5907}"/>
    <cellStyle name="Note 2 2 2 2 2 4" xfId="9544" xr:uid="{1BA9F2E6-4277-4EC4-82C8-8F3F76E9F6B5}"/>
    <cellStyle name="Note 2 2 2 2 3" xfId="1423" xr:uid="{00000000-0005-0000-0000-00009C200000}"/>
    <cellStyle name="Note 2 2 2 2 3 2" xfId="3653" xr:uid="{00000000-0005-0000-0000-00009D200000}"/>
    <cellStyle name="Note 2 2 2 2 3 2 2" xfId="7876" xr:uid="{00000000-0005-0000-0000-00009E200000}"/>
    <cellStyle name="Note 2 2 2 2 3 2 3" xfId="11615" xr:uid="{25356763-99ED-4BB0-ABD8-1A3836BBEE82}"/>
    <cellStyle name="Note 2 2 2 2 3 3" xfId="5731" xr:uid="{00000000-0005-0000-0000-00009F200000}"/>
    <cellStyle name="Note 2 2 2 2 3 4" xfId="9957" xr:uid="{C9DE6E6B-0BB3-4F5B-8521-76CE054E3D53}"/>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4 4" xfId="10786" xr:uid="{F07AF377-54F2-4AEB-B713-44BC7CB26969}"/>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2 2 2" xfId="12030" xr:uid="{291E255B-35BE-42EA-A3A5-2847EEA263BF}"/>
    <cellStyle name="Note 2 2 2 3 2 3" xfId="10372" xr:uid="{37E24CF5-5FED-436A-857F-71071568DDC4}"/>
    <cellStyle name="Note 2 2 2 3 3" xfId="5317" xr:uid="{00000000-0005-0000-0000-0000B1200000}"/>
    <cellStyle name="Note 2 2 2 3 3 2" xfId="11201" xr:uid="{161C06D8-8DBB-4D4E-AAB6-46E4235D972A}"/>
    <cellStyle name="Note 2 2 2 3 4" xfId="9543" xr:uid="{D75186DB-4BF8-4D29-B92F-510C1F4739B3}"/>
    <cellStyle name="Note 2 2 2 4" xfId="1422" xr:uid="{00000000-0005-0000-0000-0000B2200000}"/>
    <cellStyle name="Note 2 2 2 4 2" xfId="3652" xr:uid="{00000000-0005-0000-0000-0000B3200000}"/>
    <cellStyle name="Note 2 2 2 4 2 2" xfId="7875" xr:uid="{00000000-0005-0000-0000-0000B4200000}"/>
    <cellStyle name="Note 2 2 2 4 2 3" xfId="11614" xr:uid="{58E08C54-5C9D-4829-A1DD-C78A79BA41BA}"/>
    <cellStyle name="Note 2 2 2 4 3" xfId="5730" xr:uid="{00000000-0005-0000-0000-0000B5200000}"/>
    <cellStyle name="Note 2 2 2 4 4" xfId="9956" xr:uid="{CD9E98CD-7FC1-4B6E-85EF-85D3605F8999}"/>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5 4" xfId="10785" xr:uid="{E37889F9-01F2-438D-9BBE-0A6F2A517B6A}"/>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10" xfId="9126" xr:uid="{21FF29AC-60F2-4D7C-920B-25777F49CB2E}"/>
    <cellStyle name="Note 2 2 3 2" xfId="1009" xr:uid="{00000000-0005-0000-0000-0000C4200000}"/>
    <cellStyle name="Note 2 2 3 2 2" xfId="3241" xr:uid="{00000000-0005-0000-0000-0000C5200000}"/>
    <cellStyle name="Note 2 2 3 2 2 2" xfId="7464" xr:uid="{00000000-0005-0000-0000-0000C6200000}"/>
    <cellStyle name="Note 2 2 3 2 2 2 2" xfId="12032" xr:uid="{75599667-0CBB-4321-8715-D85F9C79315A}"/>
    <cellStyle name="Note 2 2 3 2 2 3" xfId="10374" xr:uid="{42261C1F-330D-412E-8CA4-901ED6881640}"/>
    <cellStyle name="Note 2 2 3 2 3" xfId="5319" xr:uid="{00000000-0005-0000-0000-0000C7200000}"/>
    <cellStyle name="Note 2 2 3 2 3 2" xfId="11203" xr:uid="{BFE16422-687B-4059-BF12-A1294EF28019}"/>
    <cellStyle name="Note 2 2 3 2 4" xfId="9545" xr:uid="{3B025E67-A7FC-458C-BD60-9A3769409EB6}"/>
    <cellStyle name="Note 2 2 3 3" xfId="1424" xr:uid="{00000000-0005-0000-0000-0000C8200000}"/>
    <cellStyle name="Note 2 2 3 3 2" xfId="3654" xr:uid="{00000000-0005-0000-0000-0000C9200000}"/>
    <cellStyle name="Note 2 2 3 3 2 2" xfId="7877" xr:uid="{00000000-0005-0000-0000-0000CA200000}"/>
    <cellStyle name="Note 2 2 3 3 2 3" xfId="11616" xr:uid="{C7847011-63F0-4071-A41A-3FD0C0AADF6A}"/>
    <cellStyle name="Note 2 2 3 3 3" xfId="5732" xr:uid="{00000000-0005-0000-0000-0000CB200000}"/>
    <cellStyle name="Note 2 2 3 3 4" xfId="9958" xr:uid="{ECB6ADCB-F090-4FCA-8C95-6FB3C5CBA47E}"/>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4 4" xfId="10787" xr:uid="{6031D8B9-7F0D-44FE-9BFC-DF2F5058BA3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2 2 2" xfId="12029" xr:uid="{DDE2D309-8AD8-4F41-BDA3-0237E12921D8}"/>
    <cellStyle name="Note 2 2 4 2 3" xfId="10371" xr:uid="{98A38F50-596F-45B9-85A8-D54354409D40}"/>
    <cellStyle name="Note 2 2 4 3" xfId="5316" xr:uid="{00000000-0005-0000-0000-0000DD200000}"/>
    <cellStyle name="Note 2 2 4 3 2" xfId="11200" xr:uid="{639C122D-8795-4DB5-B6B5-CEC50D39E519}"/>
    <cellStyle name="Note 2 2 4 4" xfId="9542" xr:uid="{EFD5652E-4CD0-42AC-B348-65053531A2D4}"/>
    <cellStyle name="Note 2 2 5" xfId="1421" xr:uid="{00000000-0005-0000-0000-0000DE200000}"/>
    <cellStyle name="Note 2 2 5 2" xfId="3651" xr:uid="{00000000-0005-0000-0000-0000DF200000}"/>
    <cellStyle name="Note 2 2 5 2 2" xfId="7874" xr:uid="{00000000-0005-0000-0000-0000E0200000}"/>
    <cellStyle name="Note 2 2 5 2 3" xfId="11613" xr:uid="{07286B05-BF47-46A3-B98D-F694B5AA9795}"/>
    <cellStyle name="Note 2 2 5 3" xfId="5729" xr:uid="{00000000-0005-0000-0000-0000E1200000}"/>
    <cellStyle name="Note 2 2 5 4" xfId="9955" xr:uid="{E366999C-8C90-42AD-8953-677AF18A2307}"/>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6 4" xfId="10784" xr:uid="{59968FD4-D26A-47E3-BB02-AFD64A015DF8}"/>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11" xfId="9127" xr:uid="{7E7F431B-4E38-474C-988A-B370FA5FE1EE}"/>
    <cellStyle name="Note 2 3 2" xfId="550" xr:uid="{00000000-0005-0000-0000-0000EF200000}"/>
    <cellStyle name="Note 2 3 2 10" xfId="9128" xr:uid="{B54ACD2E-07FA-4752-AF95-94993C86F19E}"/>
    <cellStyle name="Note 2 3 2 2" xfId="1011" xr:uid="{00000000-0005-0000-0000-0000F0200000}"/>
    <cellStyle name="Note 2 3 2 2 2" xfId="3243" xr:uid="{00000000-0005-0000-0000-0000F1200000}"/>
    <cellStyle name="Note 2 3 2 2 2 2" xfId="7466" xr:uid="{00000000-0005-0000-0000-0000F2200000}"/>
    <cellStyle name="Note 2 3 2 2 2 2 2" xfId="12034" xr:uid="{EAC0D1E2-7988-4DCD-9A1C-7FE9F35B4BCB}"/>
    <cellStyle name="Note 2 3 2 2 2 3" xfId="10376" xr:uid="{96E9614C-ED69-4676-9895-25CF4854E8CD}"/>
    <cellStyle name="Note 2 3 2 2 3" xfId="5321" xr:uid="{00000000-0005-0000-0000-0000F3200000}"/>
    <cellStyle name="Note 2 3 2 2 3 2" xfId="11205" xr:uid="{A4813526-BA33-4E7C-8310-3234E1F5D39A}"/>
    <cellStyle name="Note 2 3 2 2 4" xfId="9547" xr:uid="{86CACA00-35D1-4AE8-A219-9A05DFD10BF5}"/>
    <cellStyle name="Note 2 3 2 3" xfId="1426" xr:uid="{00000000-0005-0000-0000-0000F4200000}"/>
    <cellStyle name="Note 2 3 2 3 2" xfId="3656" xr:uid="{00000000-0005-0000-0000-0000F5200000}"/>
    <cellStyle name="Note 2 3 2 3 2 2" xfId="7879" xr:uid="{00000000-0005-0000-0000-0000F6200000}"/>
    <cellStyle name="Note 2 3 2 3 2 3" xfId="11618" xr:uid="{3A281FF7-1ED7-431C-9270-EFAF580541E4}"/>
    <cellStyle name="Note 2 3 2 3 3" xfId="5734" xr:uid="{00000000-0005-0000-0000-0000F7200000}"/>
    <cellStyle name="Note 2 3 2 3 4" xfId="9960" xr:uid="{183BA051-FCBE-4BE3-B202-6A2244A2EED3}"/>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4 4" xfId="10789" xr:uid="{5888F671-5B63-48B3-99B6-DDCEEB47D2A9}"/>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2 2 2" xfId="12033" xr:uid="{0E6C0DD5-8371-4196-BBC0-742FF270505E}"/>
    <cellStyle name="Note 2 3 3 2 3" xfId="10375" xr:uid="{8F8B1C5C-8D83-4ECB-971A-2180AA703BF9}"/>
    <cellStyle name="Note 2 3 3 3" xfId="5320" xr:uid="{00000000-0005-0000-0000-000009210000}"/>
    <cellStyle name="Note 2 3 3 3 2" xfId="11204" xr:uid="{C6001066-3746-40B0-A79F-58AD735EA04B}"/>
    <cellStyle name="Note 2 3 3 4" xfId="9546" xr:uid="{6D342A89-953D-481B-8D3D-BA21A34D67E3}"/>
    <cellStyle name="Note 2 3 4" xfId="1425" xr:uid="{00000000-0005-0000-0000-00000A210000}"/>
    <cellStyle name="Note 2 3 4 2" xfId="3655" xr:uid="{00000000-0005-0000-0000-00000B210000}"/>
    <cellStyle name="Note 2 3 4 2 2" xfId="7878" xr:uid="{00000000-0005-0000-0000-00000C210000}"/>
    <cellStyle name="Note 2 3 4 2 3" xfId="11617" xr:uid="{4C0E96F7-12D4-456C-8518-3D04D0096EE5}"/>
    <cellStyle name="Note 2 3 4 3" xfId="5733" xr:uid="{00000000-0005-0000-0000-00000D210000}"/>
    <cellStyle name="Note 2 3 4 4" xfId="9959" xr:uid="{924E8EAB-9D45-4A69-886C-3F3B07C13E99}"/>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5 4" xfId="10788" xr:uid="{7DE937ED-9498-44F1-9539-96BDE69D6535}"/>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10" xfId="9129" xr:uid="{5BF3BD0F-87CF-433D-A37F-D3E0C05CB179}"/>
    <cellStyle name="Note 2 4 2" xfId="1012" xr:uid="{00000000-0005-0000-0000-00001C210000}"/>
    <cellStyle name="Note 2 4 2 2" xfId="3244" xr:uid="{00000000-0005-0000-0000-00001D210000}"/>
    <cellStyle name="Note 2 4 2 2 2" xfId="7467" xr:uid="{00000000-0005-0000-0000-00001E210000}"/>
    <cellStyle name="Note 2 4 2 2 2 2" xfId="12035" xr:uid="{FBA5F26F-9481-4D55-9DA9-F051E722E90A}"/>
    <cellStyle name="Note 2 4 2 2 3" xfId="10377" xr:uid="{4EF47AB3-8A40-488F-8631-589AB1042EE0}"/>
    <cellStyle name="Note 2 4 2 3" xfId="5322" xr:uid="{00000000-0005-0000-0000-00001F210000}"/>
    <cellStyle name="Note 2 4 2 3 2" xfId="11206" xr:uid="{557953B7-1881-4265-8001-3D3209DA8C97}"/>
    <cellStyle name="Note 2 4 2 4" xfId="9548" xr:uid="{91ECBF22-561D-4DF1-A4B5-96DC030FDEE8}"/>
    <cellStyle name="Note 2 4 3" xfId="1427" xr:uid="{00000000-0005-0000-0000-000020210000}"/>
    <cellStyle name="Note 2 4 3 2" xfId="3657" xr:uid="{00000000-0005-0000-0000-000021210000}"/>
    <cellStyle name="Note 2 4 3 2 2" xfId="7880" xr:uid="{00000000-0005-0000-0000-000022210000}"/>
    <cellStyle name="Note 2 4 3 2 3" xfId="11619" xr:uid="{AE910C69-5694-443E-92D8-EAD5B5FCA87D}"/>
    <cellStyle name="Note 2 4 3 3" xfId="5735" xr:uid="{00000000-0005-0000-0000-000023210000}"/>
    <cellStyle name="Note 2 4 3 4" xfId="9961" xr:uid="{E9346517-B05A-4DFE-895A-5880584A63A6}"/>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4 4" xfId="10790" xr:uid="{D40BD084-7E91-4B3A-BDBA-8AF9C25A368F}"/>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10" xfId="9130" xr:uid="{8E972EA6-C909-492A-BCB5-716DEDBAEF81}"/>
    <cellStyle name="Note 2 5 2" xfId="1013" xr:uid="{00000000-0005-0000-0000-000033210000}"/>
    <cellStyle name="Note 2 5 2 2" xfId="3245" xr:uid="{00000000-0005-0000-0000-000034210000}"/>
    <cellStyle name="Note 2 5 2 2 2" xfId="7468" xr:uid="{00000000-0005-0000-0000-000035210000}"/>
    <cellStyle name="Note 2 5 2 2 2 2" xfId="12036" xr:uid="{A6CBC2AC-DEC3-496D-8F03-60C46ED3B4A4}"/>
    <cellStyle name="Note 2 5 2 2 3" xfId="10378" xr:uid="{FFA53F0D-00F7-4CD1-B259-20A07E7B33DE}"/>
    <cellStyle name="Note 2 5 2 3" xfId="5323" xr:uid="{00000000-0005-0000-0000-000036210000}"/>
    <cellStyle name="Note 2 5 2 3 2" xfId="11207" xr:uid="{C37B2538-D0E7-4CCD-9CB6-15F683ABE13A}"/>
    <cellStyle name="Note 2 5 2 4" xfId="9549" xr:uid="{7C24377A-F995-4B20-BEDA-AE781F884A4A}"/>
    <cellStyle name="Note 2 5 3" xfId="1428" xr:uid="{00000000-0005-0000-0000-000037210000}"/>
    <cellStyle name="Note 2 5 3 2" xfId="3658" xr:uid="{00000000-0005-0000-0000-000038210000}"/>
    <cellStyle name="Note 2 5 3 2 2" xfId="7881" xr:uid="{00000000-0005-0000-0000-000039210000}"/>
    <cellStyle name="Note 2 5 3 2 3" xfId="11620" xr:uid="{EF7F82B2-B12D-439F-A2AC-F8D74FD98381}"/>
    <cellStyle name="Note 2 5 3 3" xfId="5736" xr:uid="{00000000-0005-0000-0000-00003A210000}"/>
    <cellStyle name="Note 2 5 3 4" xfId="9962" xr:uid="{57FA81FC-4526-4962-9E92-E7ACA035E628}"/>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4 4" xfId="10791" xr:uid="{85A13DC9-9C6B-4163-BDBE-E7E65D614123}"/>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12" xfId="9131" xr:uid="{66B2D7A2-C7F3-4850-9EDD-038A18D8BA65}"/>
    <cellStyle name="Note 3 2 2" xfId="555" xr:uid="{00000000-0005-0000-0000-00004E210000}"/>
    <cellStyle name="Note 3 2 2 10" xfId="4912" xr:uid="{00000000-0005-0000-0000-00004F210000}"/>
    <cellStyle name="Note 3 2 2 11" xfId="9132" xr:uid="{51DE17B1-9873-44EB-A594-875B08D5ABE3}"/>
    <cellStyle name="Note 3 2 2 2" xfId="556" xr:uid="{00000000-0005-0000-0000-000050210000}"/>
    <cellStyle name="Note 3 2 2 2 10" xfId="9133" xr:uid="{94F556BA-2918-46EF-B5DF-3C10412A6712}"/>
    <cellStyle name="Note 3 2 2 2 2" xfId="1016" xr:uid="{00000000-0005-0000-0000-000051210000}"/>
    <cellStyle name="Note 3 2 2 2 2 2" xfId="3248" xr:uid="{00000000-0005-0000-0000-000052210000}"/>
    <cellStyle name="Note 3 2 2 2 2 2 2" xfId="7471" xr:uid="{00000000-0005-0000-0000-000053210000}"/>
    <cellStyle name="Note 3 2 2 2 2 2 2 2" xfId="12039" xr:uid="{029755EF-FA8E-49BD-82DC-DC2D205E3C39}"/>
    <cellStyle name="Note 3 2 2 2 2 2 3" xfId="10381" xr:uid="{F7F63D49-20DE-431E-8F30-DF787A628882}"/>
    <cellStyle name="Note 3 2 2 2 2 3" xfId="5326" xr:uid="{00000000-0005-0000-0000-000054210000}"/>
    <cellStyle name="Note 3 2 2 2 2 3 2" xfId="11210" xr:uid="{F7421BCA-D0A8-4C51-A6CF-F96CAF85A89D}"/>
    <cellStyle name="Note 3 2 2 2 2 4" xfId="9552" xr:uid="{E295202B-4048-4FD2-8548-3D5DB2AADAF0}"/>
    <cellStyle name="Note 3 2 2 2 3" xfId="1431" xr:uid="{00000000-0005-0000-0000-000055210000}"/>
    <cellStyle name="Note 3 2 2 2 3 2" xfId="3661" xr:uid="{00000000-0005-0000-0000-000056210000}"/>
    <cellStyle name="Note 3 2 2 2 3 2 2" xfId="7884" xr:uid="{00000000-0005-0000-0000-000057210000}"/>
    <cellStyle name="Note 3 2 2 2 3 2 3" xfId="11623" xr:uid="{8A0762C7-9291-4FB7-94EA-F65C23BA7750}"/>
    <cellStyle name="Note 3 2 2 2 3 3" xfId="5739" xr:uid="{00000000-0005-0000-0000-000058210000}"/>
    <cellStyle name="Note 3 2 2 2 3 4" xfId="9965" xr:uid="{4C329AF4-6CA3-4654-815E-8036102FF9B2}"/>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4 4" xfId="10794" xr:uid="{5D581EC8-45B0-4BB3-8BA7-F39C3960055C}"/>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2 2 2" xfId="12038" xr:uid="{7A507540-E1D6-4376-945E-E22B04BE6DA9}"/>
    <cellStyle name="Note 3 2 2 3 2 3" xfId="10380" xr:uid="{173778F2-9EAE-42B3-9964-8F25878F0F98}"/>
    <cellStyle name="Note 3 2 2 3 3" xfId="5325" xr:uid="{00000000-0005-0000-0000-00006A210000}"/>
    <cellStyle name="Note 3 2 2 3 3 2" xfId="11209" xr:uid="{0AAE8DA9-5A03-4CD5-9430-02DA827260DB}"/>
    <cellStyle name="Note 3 2 2 3 4" xfId="9551" xr:uid="{EAD9F2BA-D44D-40A4-B7AB-173037F47E88}"/>
    <cellStyle name="Note 3 2 2 4" xfId="1430" xr:uid="{00000000-0005-0000-0000-00006B210000}"/>
    <cellStyle name="Note 3 2 2 4 2" xfId="3660" xr:uid="{00000000-0005-0000-0000-00006C210000}"/>
    <cellStyle name="Note 3 2 2 4 2 2" xfId="7883" xr:uid="{00000000-0005-0000-0000-00006D210000}"/>
    <cellStyle name="Note 3 2 2 4 2 3" xfId="11622" xr:uid="{EDF20116-D627-4D94-BD31-24DEB001ED66}"/>
    <cellStyle name="Note 3 2 2 4 3" xfId="5738" xr:uid="{00000000-0005-0000-0000-00006E210000}"/>
    <cellStyle name="Note 3 2 2 4 4" xfId="9964" xr:uid="{99D51820-395A-4A74-BCD4-8DA6B61AB7FC}"/>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5 4" xfId="10793" xr:uid="{D43CCFDC-F83F-406D-A607-B375E9389F34}"/>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10" xfId="9134" xr:uid="{23B81712-6F0A-495B-9516-8F2D9711D8CB}"/>
    <cellStyle name="Note 3 2 3 2" xfId="1017" xr:uid="{00000000-0005-0000-0000-00007D210000}"/>
    <cellStyle name="Note 3 2 3 2 2" xfId="3249" xr:uid="{00000000-0005-0000-0000-00007E210000}"/>
    <cellStyle name="Note 3 2 3 2 2 2" xfId="7472" xr:uid="{00000000-0005-0000-0000-00007F210000}"/>
    <cellStyle name="Note 3 2 3 2 2 2 2" xfId="12040" xr:uid="{C56F2290-3521-4870-8B7E-33433699DA04}"/>
    <cellStyle name="Note 3 2 3 2 2 3" xfId="10382" xr:uid="{2B684EBC-B0F7-4D4A-ACDF-427A66FC1393}"/>
    <cellStyle name="Note 3 2 3 2 3" xfId="5327" xr:uid="{00000000-0005-0000-0000-000080210000}"/>
    <cellStyle name="Note 3 2 3 2 3 2" xfId="11211" xr:uid="{FC01EFAF-1520-42B6-8289-D8D832E9FB0C}"/>
    <cellStyle name="Note 3 2 3 2 4" xfId="9553" xr:uid="{ED9D5C16-5837-4264-8181-3881115807AA}"/>
    <cellStyle name="Note 3 2 3 3" xfId="1432" xr:uid="{00000000-0005-0000-0000-000081210000}"/>
    <cellStyle name="Note 3 2 3 3 2" xfId="3662" xr:uid="{00000000-0005-0000-0000-000082210000}"/>
    <cellStyle name="Note 3 2 3 3 2 2" xfId="7885" xr:uid="{00000000-0005-0000-0000-000083210000}"/>
    <cellStyle name="Note 3 2 3 3 2 3" xfId="11624" xr:uid="{BF42D430-8A6A-4E91-AE9F-901AE8A23E90}"/>
    <cellStyle name="Note 3 2 3 3 3" xfId="5740" xr:uid="{00000000-0005-0000-0000-000084210000}"/>
    <cellStyle name="Note 3 2 3 3 4" xfId="9966" xr:uid="{626B7607-E744-4EDF-8379-F2851E567B99}"/>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4 4" xfId="10795" xr:uid="{96E68EDF-47F3-4040-9127-F030C92F7205}"/>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2 2 2" xfId="12037" xr:uid="{9C9416EE-885E-4A24-B4FB-7404077B862A}"/>
    <cellStyle name="Note 3 2 4 2 3" xfId="10379" xr:uid="{98F0012D-4D22-4480-878F-1E038F675D16}"/>
    <cellStyle name="Note 3 2 4 3" xfId="5324" xr:uid="{00000000-0005-0000-0000-000096210000}"/>
    <cellStyle name="Note 3 2 4 3 2" xfId="11208" xr:uid="{9259A6FB-BECF-473C-BA36-649A6E08BB18}"/>
    <cellStyle name="Note 3 2 4 4" xfId="9550" xr:uid="{5E750573-D48B-4100-90E6-2971DBB630DA}"/>
    <cellStyle name="Note 3 2 5" xfId="1429" xr:uid="{00000000-0005-0000-0000-000097210000}"/>
    <cellStyle name="Note 3 2 5 2" xfId="3659" xr:uid="{00000000-0005-0000-0000-000098210000}"/>
    <cellStyle name="Note 3 2 5 2 2" xfId="7882" xr:uid="{00000000-0005-0000-0000-000099210000}"/>
    <cellStyle name="Note 3 2 5 2 3" xfId="11621" xr:uid="{403D574C-4337-4F2E-BFA1-D1407EF9D2BA}"/>
    <cellStyle name="Note 3 2 5 3" xfId="5737" xr:uid="{00000000-0005-0000-0000-00009A210000}"/>
    <cellStyle name="Note 3 2 5 4" xfId="9963" xr:uid="{7340F003-560D-47EF-BB11-855C2C75872D}"/>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6 4" xfId="10792" xr:uid="{544D0C60-1B24-49CF-A963-4369137DE59D}"/>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11" xfId="9135" xr:uid="{BEF7D26F-65D7-44AD-B122-CCDDC4327C6A}"/>
    <cellStyle name="Note 3 3 2" xfId="559" xr:uid="{00000000-0005-0000-0000-0000A8210000}"/>
    <cellStyle name="Note 3 3 2 10" xfId="9136" xr:uid="{CD832788-336A-4F32-BC14-BABD0A4C3D39}"/>
    <cellStyle name="Note 3 3 2 2" xfId="1019" xr:uid="{00000000-0005-0000-0000-0000A9210000}"/>
    <cellStyle name="Note 3 3 2 2 2" xfId="3251" xr:uid="{00000000-0005-0000-0000-0000AA210000}"/>
    <cellStyle name="Note 3 3 2 2 2 2" xfId="7474" xr:uid="{00000000-0005-0000-0000-0000AB210000}"/>
    <cellStyle name="Note 3 3 2 2 2 2 2" xfId="12042" xr:uid="{C7D8914E-E688-4AFE-BDC7-BB36A7F62552}"/>
    <cellStyle name="Note 3 3 2 2 2 3" xfId="10384" xr:uid="{08D09F23-A61B-4FE9-ADD8-4A041ED1912B}"/>
    <cellStyle name="Note 3 3 2 2 3" xfId="5329" xr:uid="{00000000-0005-0000-0000-0000AC210000}"/>
    <cellStyle name="Note 3 3 2 2 3 2" xfId="11213" xr:uid="{168DC43B-0E1F-42C0-8B3A-556A3B97DF0F}"/>
    <cellStyle name="Note 3 3 2 2 4" xfId="9555" xr:uid="{6672E4E0-FDC6-409E-B148-E2B58EE3C4FA}"/>
    <cellStyle name="Note 3 3 2 3" xfId="1434" xr:uid="{00000000-0005-0000-0000-0000AD210000}"/>
    <cellStyle name="Note 3 3 2 3 2" xfId="3664" xr:uid="{00000000-0005-0000-0000-0000AE210000}"/>
    <cellStyle name="Note 3 3 2 3 2 2" xfId="7887" xr:uid="{00000000-0005-0000-0000-0000AF210000}"/>
    <cellStyle name="Note 3 3 2 3 2 3" xfId="11626" xr:uid="{31ADFA40-94ED-4642-895A-55CB1CEB35C7}"/>
    <cellStyle name="Note 3 3 2 3 3" xfId="5742" xr:uid="{00000000-0005-0000-0000-0000B0210000}"/>
    <cellStyle name="Note 3 3 2 3 4" xfId="9968" xr:uid="{7F0F512A-4343-4E45-A0DF-AE4788CB286F}"/>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4 4" xfId="10797" xr:uid="{7E5D559F-9349-43C6-940C-31EA553BF13A}"/>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2 2 2" xfId="12041" xr:uid="{312DFAE5-1F05-4E69-9A3E-1B17AEA73679}"/>
    <cellStyle name="Note 3 3 3 2 3" xfId="10383" xr:uid="{A4D1E248-E539-40C5-8CBC-0C972B698933}"/>
    <cellStyle name="Note 3 3 3 3" xfId="5328" xr:uid="{00000000-0005-0000-0000-0000C2210000}"/>
    <cellStyle name="Note 3 3 3 3 2" xfId="11212" xr:uid="{8E1571C5-2350-44D6-A0A1-7CD79C1865E7}"/>
    <cellStyle name="Note 3 3 3 4" xfId="9554" xr:uid="{3BB4639E-781D-458B-B8D8-71219DDFD06E}"/>
    <cellStyle name="Note 3 3 4" xfId="1433" xr:uid="{00000000-0005-0000-0000-0000C3210000}"/>
    <cellStyle name="Note 3 3 4 2" xfId="3663" xr:uid="{00000000-0005-0000-0000-0000C4210000}"/>
    <cellStyle name="Note 3 3 4 2 2" xfId="7886" xr:uid="{00000000-0005-0000-0000-0000C5210000}"/>
    <cellStyle name="Note 3 3 4 2 3" xfId="11625" xr:uid="{D0B9C258-E9D7-44F7-8940-529146ED0B21}"/>
    <cellStyle name="Note 3 3 4 3" xfId="5741" xr:uid="{00000000-0005-0000-0000-0000C6210000}"/>
    <cellStyle name="Note 3 3 4 4" xfId="9967" xr:uid="{86924A13-7805-463A-9D6F-D3860937C5A5}"/>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5 4" xfId="10796" xr:uid="{6E5A20CF-588A-47EF-82E8-7F2382F03663}"/>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10" xfId="9137" xr:uid="{A74621D0-7D10-42DB-8CFB-F2CA5D8B6D5D}"/>
    <cellStyle name="Note 3 4 2" xfId="1020" xr:uid="{00000000-0005-0000-0000-0000D5210000}"/>
    <cellStyle name="Note 3 4 2 2" xfId="3252" xr:uid="{00000000-0005-0000-0000-0000D6210000}"/>
    <cellStyle name="Note 3 4 2 2 2" xfId="7475" xr:uid="{00000000-0005-0000-0000-0000D7210000}"/>
    <cellStyle name="Note 3 4 2 2 2 2" xfId="12043" xr:uid="{9175958D-DC33-46D9-9A31-663DD66AF982}"/>
    <cellStyle name="Note 3 4 2 2 3" xfId="10385" xr:uid="{4847B802-5DE0-4448-844D-1BA1E805C7D7}"/>
    <cellStyle name="Note 3 4 2 3" xfId="5330" xr:uid="{00000000-0005-0000-0000-0000D8210000}"/>
    <cellStyle name="Note 3 4 2 3 2" xfId="11214" xr:uid="{800516C3-70D6-49C1-AC47-07F0070DDDB3}"/>
    <cellStyle name="Note 3 4 2 4" xfId="9556" xr:uid="{4F3C06E0-5939-4FBF-B8BD-F95790C1E753}"/>
    <cellStyle name="Note 3 4 3" xfId="1435" xr:uid="{00000000-0005-0000-0000-0000D9210000}"/>
    <cellStyle name="Note 3 4 3 2" xfId="3665" xr:uid="{00000000-0005-0000-0000-0000DA210000}"/>
    <cellStyle name="Note 3 4 3 2 2" xfId="7888" xr:uid="{00000000-0005-0000-0000-0000DB210000}"/>
    <cellStyle name="Note 3 4 3 2 3" xfId="11627" xr:uid="{AEC260D7-6252-4F36-8D28-1E71AF722FBB}"/>
    <cellStyle name="Note 3 4 3 3" xfId="5743" xr:uid="{00000000-0005-0000-0000-0000DC210000}"/>
    <cellStyle name="Note 3 4 3 4" xfId="9969" xr:uid="{0FE1CF97-D1B3-48DF-9217-C5833FED20EF}"/>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4 4" xfId="10798" xr:uid="{BADD44A6-CA72-464B-B313-FCDB6BBBA235}"/>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10" xfId="9138" xr:uid="{E06B17C9-5C3C-4118-A7D9-EC80C72EA6D0}"/>
    <cellStyle name="Note 3 5 2" xfId="1021" xr:uid="{00000000-0005-0000-0000-0000EC210000}"/>
    <cellStyle name="Note 3 5 2 2" xfId="3253" xr:uid="{00000000-0005-0000-0000-0000ED210000}"/>
    <cellStyle name="Note 3 5 2 2 2" xfId="7476" xr:uid="{00000000-0005-0000-0000-0000EE210000}"/>
    <cellStyle name="Note 3 5 2 2 2 2" xfId="12044" xr:uid="{59E0D5B0-42BB-4D29-9F9F-CE225015BEAD}"/>
    <cellStyle name="Note 3 5 2 2 3" xfId="10386" xr:uid="{A8CD1DE2-CB9A-420F-8AB6-1CB6D08EC216}"/>
    <cellStyle name="Note 3 5 2 3" xfId="5331" xr:uid="{00000000-0005-0000-0000-0000EF210000}"/>
    <cellStyle name="Note 3 5 2 3 2" xfId="11215" xr:uid="{EF1731E9-6828-48CE-A313-B1353589B0B9}"/>
    <cellStyle name="Note 3 5 2 4" xfId="9557" xr:uid="{D3A148A8-C47D-46ED-A6E0-DC701ADB5EDC}"/>
    <cellStyle name="Note 3 5 3" xfId="1436" xr:uid="{00000000-0005-0000-0000-0000F0210000}"/>
    <cellStyle name="Note 3 5 3 2" xfId="3666" xr:uid="{00000000-0005-0000-0000-0000F1210000}"/>
    <cellStyle name="Note 3 5 3 2 2" xfId="7889" xr:uid="{00000000-0005-0000-0000-0000F2210000}"/>
    <cellStyle name="Note 3 5 3 2 3" xfId="11628" xr:uid="{564017A9-11D6-4C95-AA3D-24D72C791EA2}"/>
    <cellStyle name="Note 3 5 3 3" xfId="5744" xr:uid="{00000000-0005-0000-0000-0000F3210000}"/>
    <cellStyle name="Note 3 5 3 4" xfId="9970" xr:uid="{DBB6EEDE-4E6B-428B-867D-EC9C95DEFC06}"/>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4 4" xfId="10799" xr:uid="{7D541BCE-FDDA-4FE7-A34A-1DDFD8EC2DF1}"/>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973" xr:uid="{7A07B04A-91BE-45DB-A1F5-13FF8E13864F}"/>
    <cellStyle name="Percent 3 2 2" xfId="11631" xr:uid="{912C616B-2243-4B7F-B845-40901D5B8AB6}"/>
    <cellStyle name="Percent 3 3" xfId="10802" xr:uid="{F0F59629-C3AC-4375-BF01-2EBB882BC00C}"/>
    <cellStyle name="Percent 3 4" xfId="9142" xr:uid="{887B0D0A-A483-47CD-9A78-04EE0D3FADCB}"/>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52</xdr:row>
      <xdr:rowOff>0</xdr:rowOff>
    </xdr:from>
    <xdr:to>
      <xdr:col>0</xdr:col>
      <xdr:colOff>7620</xdr:colOff>
      <xdr:row>78</xdr:row>
      <xdr:rowOff>99060</xdr:rowOff>
    </xdr:to>
    <xdr:pic>
      <xdr:nvPicPr>
        <xdr:cNvPr id="10" name="Picture 1">
          <a:extLst>
            <a:ext uri="{FF2B5EF4-FFF2-40B4-BE49-F238E27FC236}">
              <a16:creationId xmlns:a16="http://schemas.microsoft.com/office/drawing/2014/main" id="{E3CDFD78-7A04-BB1E-2C79-A80C768CB8E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968740"/>
          <a:ext cx="7620" cy="4457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662</v>
      </c>
      <c r="F42" s="1260" t="s">
        <v>1307</v>
      </c>
    </row>
    <row r="43" spans="1:38" s="1260" customFormat="1" ht="13.2"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2438</v>
      </c>
      <c r="F140" s="2"/>
      <c r="G140" s="2"/>
      <c r="H140" s="2"/>
    </row>
    <row r="141" spans="4:37">
      <c r="E141" t="s">
        <v>113</v>
      </c>
      <c r="F141" t="s">
        <v>52</v>
      </c>
    </row>
    <row r="142" spans="4:37">
      <c r="E142" t="s">
        <v>114</v>
      </c>
      <c r="F142" t="s">
        <v>475</v>
      </c>
    </row>
    <row r="143" spans="4:37"/>
    <row r="144" spans="4:37">
      <c r="D144" s="2" t="s">
        <v>430</v>
      </c>
      <c r="E144" s="2" t="s">
        <v>2439</v>
      </c>
    </row>
    <row r="145" spans="3:7">
      <c r="E145" s="218" t="s">
        <v>2440</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2"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N30" sqref="BN30"/>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59" t="s">
        <v>2515</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c r="AO1" s="2160"/>
      <c r="AP1" s="2160"/>
      <c r="AQ1" s="2160"/>
      <c r="AR1" s="2160"/>
      <c r="AS1" s="2160"/>
      <c r="AT1" s="2160"/>
      <c r="AU1" s="2160"/>
      <c r="AV1" s="2160"/>
      <c r="AW1" s="2160"/>
      <c r="AX1" s="2160"/>
      <c r="AY1" s="2160"/>
      <c r="AZ1" s="2160"/>
      <c r="BA1" s="2160"/>
      <c r="BB1" s="2160"/>
      <c r="BC1" s="2160"/>
      <c r="BD1" s="2160"/>
      <c r="BE1" s="2161"/>
    </row>
    <row r="2" spans="1:65" ht="15.75" customHeight="1">
      <c r="A2" s="2162" t="s">
        <v>2563</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C2" s="2163"/>
      <c r="BD2" s="2163"/>
      <c r="BE2" s="21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1" t="str">
        <f>IF(Application!H18="","",Application!H18)</f>
        <v>Del Nido Apartments</v>
      </c>
      <c r="M4" s="2152"/>
      <c r="N4" s="2152"/>
      <c r="O4" s="2152"/>
      <c r="P4" s="2152"/>
      <c r="Q4" s="2152"/>
      <c r="R4" s="2152"/>
      <c r="S4" s="2152"/>
      <c r="T4" s="2152"/>
      <c r="U4" s="2152"/>
      <c r="V4" s="2152"/>
      <c r="W4" s="2152"/>
      <c r="X4" s="2152"/>
      <c r="Y4" s="2152"/>
      <c r="Z4" s="2152"/>
      <c r="AA4" s="2152"/>
      <c r="AB4" s="2152"/>
      <c r="AC4" s="2153"/>
      <c r="AD4" s="1207"/>
      <c r="AE4" s="1207"/>
      <c r="AF4" s="2165" t="s">
        <v>2564</v>
      </c>
      <c r="AG4" s="2165"/>
      <c r="AH4" s="2165"/>
      <c r="AI4" s="2165"/>
      <c r="AJ4" s="2165"/>
      <c r="AK4" s="2165"/>
      <c r="AL4" s="2165"/>
      <c r="AM4" s="2165"/>
      <c r="AN4" s="2165"/>
      <c r="AO4" s="2165"/>
      <c r="AP4" s="2166"/>
      <c r="AQ4" s="2167"/>
      <c r="AR4" s="2167"/>
      <c r="AS4" s="2167"/>
      <c r="AT4" s="2167"/>
      <c r="AU4" s="21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5" t="s">
        <v>2565</v>
      </c>
      <c r="AG5" s="2165"/>
      <c r="AH5" s="2165"/>
      <c r="AI5" s="2165"/>
      <c r="AJ5" s="2165"/>
      <c r="AK5" s="2165"/>
      <c r="AL5" s="2165"/>
      <c r="AM5" s="2165"/>
      <c r="AN5" s="2165"/>
      <c r="AO5" s="2165"/>
      <c r="AP5" s="2166"/>
      <c r="AQ5" s="2167"/>
      <c r="AR5" s="2167"/>
      <c r="AS5" s="2167"/>
      <c r="AT5" s="2167"/>
      <c r="AU5" s="2167"/>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1" t="str">
        <f>IF(Application!H16="","",Application!H16)</f>
        <v xml:space="preserve"> Eden Housing, Inc.</v>
      </c>
      <c r="M6" s="2152"/>
      <c r="N6" s="2152"/>
      <c r="O6" s="2152"/>
      <c r="P6" s="2152"/>
      <c r="Q6" s="2152"/>
      <c r="R6" s="2152"/>
      <c r="S6" s="2152"/>
      <c r="T6" s="2152"/>
      <c r="U6" s="2152"/>
      <c r="V6" s="2152"/>
      <c r="W6" s="2152"/>
      <c r="X6" s="2152"/>
      <c r="Y6" s="2152"/>
      <c r="Z6" s="2152"/>
      <c r="AA6" s="2152"/>
      <c r="AB6" s="2152"/>
      <c r="AC6" s="2153"/>
      <c r="AD6" s="1207"/>
      <c r="AE6" s="1207"/>
      <c r="AF6" s="2154" t="s">
        <v>2566</v>
      </c>
      <c r="AG6" s="2154"/>
      <c r="AH6" s="2154"/>
      <c r="AI6" s="2154"/>
      <c r="AJ6" s="2154"/>
      <c r="AK6" s="2154"/>
      <c r="AL6" s="2154"/>
      <c r="AM6" s="2154"/>
      <c r="AN6" s="2154"/>
      <c r="AO6" s="2154"/>
      <c r="AP6" s="2155">
        <v>0</v>
      </c>
      <c r="AQ6" s="2155"/>
      <c r="AR6" s="2155"/>
      <c r="AS6" s="2155"/>
      <c r="AT6" s="2155"/>
      <c r="AU6" s="2155"/>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4" t="s">
        <v>2567</v>
      </c>
      <c r="AG7" s="2154"/>
      <c r="AH7" s="2154"/>
      <c r="AI7" s="2154"/>
      <c r="AJ7" s="2154"/>
      <c r="AK7" s="2154"/>
      <c r="AL7" s="2154"/>
      <c r="AM7" s="2154"/>
      <c r="AN7" s="2154"/>
      <c r="AO7" s="2154"/>
      <c r="AP7" s="2155">
        <v>0</v>
      </c>
      <c r="AQ7" s="2155"/>
      <c r="AR7" s="2155"/>
      <c r="AS7" s="2155"/>
      <c r="AT7" s="2155"/>
      <c r="AU7" s="2155"/>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6" t="str">
        <f>Application!T196</f>
        <v>No</v>
      </c>
      <c r="AC8" s="2157"/>
      <c r="AD8" s="2158"/>
      <c r="AE8" s="1207"/>
      <c r="AF8" s="2154" t="s">
        <v>2568</v>
      </c>
      <c r="AG8" s="2154"/>
      <c r="AH8" s="2154"/>
      <c r="AI8" s="2154"/>
      <c r="AJ8" s="2154"/>
      <c r="AK8" s="2154"/>
      <c r="AL8" s="2154"/>
      <c r="AM8" s="2154"/>
      <c r="AN8" s="2154"/>
      <c r="AO8" s="2154"/>
      <c r="AP8" s="2155" t="s">
        <v>2520</v>
      </c>
      <c r="AQ8" s="2155"/>
      <c r="AR8" s="2155"/>
      <c r="AS8" s="2155"/>
      <c r="AT8" s="2155"/>
      <c r="AU8" s="2155"/>
      <c r="AV8" s="1207"/>
      <c r="AW8" s="1207"/>
      <c r="AX8" s="1207"/>
      <c r="AY8" s="1207"/>
      <c r="AZ8" s="1207"/>
      <c r="BA8" s="1207"/>
      <c r="BB8" s="1207"/>
      <c r="BC8" s="1207"/>
      <c r="BD8" s="1207"/>
      <c r="BE8" s="1208"/>
      <c r="BM8" s="1204" t="s">
        <v>2375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4">
      <c r="A10" s="1206"/>
      <c r="B10" s="1209" t="s">
        <v>1860</v>
      </c>
      <c r="C10" s="1209"/>
      <c r="D10" s="1209"/>
      <c r="E10" s="1209"/>
      <c r="F10" s="1209"/>
      <c r="G10" s="1209"/>
      <c r="H10" s="1209"/>
      <c r="I10" s="1209"/>
      <c r="J10" s="1209"/>
      <c r="K10" s="1209"/>
      <c r="L10" s="1209"/>
      <c r="M10" s="1207"/>
      <c r="N10" s="2182">
        <f>Application!AO623</f>
        <v>11574000</v>
      </c>
      <c r="O10" s="2182"/>
      <c r="P10" s="2182"/>
      <c r="Q10" s="2182"/>
      <c r="R10" s="2182"/>
      <c r="S10" s="2182"/>
      <c r="T10" s="2182"/>
      <c r="U10" s="1207"/>
      <c r="V10" s="1207"/>
      <c r="W10" s="1207"/>
      <c r="X10" s="2168" t="s">
        <v>2570</v>
      </c>
      <c r="Y10" s="2168"/>
      <c r="Z10" s="2168"/>
      <c r="AA10" s="2168"/>
      <c r="AB10" s="2168"/>
      <c r="AC10" s="2168"/>
      <c r="AD10" s="2168"/>
      <c r="AE10" s="2168"/>
      <c r="AF10" s="2168"/>
      <c r="AG10" s="2168"/>
      <c r="AH10" s="2168"/>
      <c r="AI10" s="2168"/>
      <c r="AJ10" s="2168"/>
      <c r="AK10" s="2168"/>
      <c r="AL10" s="2183">
        <f>Application!W471</f>
        <v>11</v>
      </c>
      <c r="AM10" s="2184"/>
      <c r="AN10" s="2184"/>
      <c r="AO10" s="2184"/>
      <c r="AP10" s="2184"/>
      <c r="AQ10" s="1210"/>
      <c r="AR10" s="1210"/>
      <c r="AS10" s="1210"/>
      <c r="AT10" s="1210"/>
      <c r="AU10" s="1210"/>
      <c r="AV10" s="1210"/>
      <c r="AW10" s="1210"/>
      <c r="AX10" s="1207"/>
      <c r="AY10" s="1207"/>
      <c r="AZ10" s="1207"/>
      <c r="BA10" s="1207"/>
      <c r="BB10" s="1207"/>
      <c r="BC10" s="1207"/>
      <c r="BD10" s="1207"/>
      <c r="BE10" s="1208"/>
      <c r="BM10" s="1204" t="s">
        <v>2571</v>
      </c>
    </row>
    <row r="11" spans="1:65" ht="14.4">
      <c r="A11" s="1206"/>
      <c r="B11" s="1209" t="s">
        <v>1861</v>
      </c>
      <c r="C11" s="1209"/>
      <c r="D11" s="1209"/>
      <c r="E11" s="1209"/>
      <c r="F11" s="1209"/>
      <c r="G11" s="1209"/>
      <c r="H11" s="1209"/>
      <c r="I11" s="1209"/>
      <c r="J11" s="1209"/>
      <c r="K11" s="1209"/>
      <c r="L11" s="1209"/>
      <c r="M11" s="1207"/>
      <c r="N11" s="2182">
        <f>Application!AA911</f>
        <v>0</v>
      </c>
      <c r="O11" s="2182"/>
      <c r="P11" s="2182"/>
      <c r="Q11" s="2182"/>
      <c r="R11" s="2182"/>
      <c r="S11" s="2182"/>
      <c r="T11" s="2182"/>
      <c r="U11" s="1207"/>
      <c r="V11" s="1207"/>
      <c r="W11" s="1207"/>
      <c r="X11" s="2185" t="s">
        <v>2572</v>
      </c>
      <c r="Y11" s="2185"/>
      <c r="Z11" s="2185"/>
      <c r="AA11" s="2185"/>
      <c r="AB11" s="2185"/>
      <c r="AC11" s="2185"/>
      <c r="AD11" s="2185"/>
      <c r="AE11" s="2185"/>
      <c r="AF11" s="2185"/>
      <c r="AG11" s="2185"/>
      <c r="AH11" s="2185"/>
      <c r="AI11" s="2185"/>
      <c r="AJ11" s="2185"/>
      <c r="AK11" s="2185"/>
      <c r="AL11" s="2169"/>
      <c r="AM11" s="2170"/>
      <c r="AN11" s="2170"/>
      <c r="AO11" s="2170"/>
      <c r="AP11" s="2170"/>
      <c r="AQ11" s="1211"/>
      <c r="AR11" s="1212"/>
      <c r="AS11" s="1210"/>
      <c r="AT11" s="1210"/>
      <c r="AU11" s="1210"/>
      <c r="AV11" s="1210"/>
      <c r="AW11" s="1210"/>
      <c r="AX11" s="1207"/>
      <c r="AY11" s="1207"/>
      <c r="AZ11" s="1207"/>
      <c r="BA11" s="1207"/>
      <c r="BB11" s="1207"/>
      <c r="BC11" s="1207"/>
      <c r="BD11" s="1207"/>
      <c r="BE11" s="1208"/>
      <c r="BM11" s="1204" t="s">
        <v>2520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8" t="s">
        <v>2573</v>
      </c>
      <c r="Y12" s="2168"/>
      <c r="Z12" s="2168"/>
      <c r="AA12" s="2168"/>
      <c r="AB12" s="2168"/>
      <c r="AC12" s="2168"/>
      <c r="AD12" s="2168"/>
      <c r="AE12" s="2168"/>
      <c r="AF12" s="2168"/>
      <c r="AG12" s="2168"/>
      <c r="AH12" s="2168"/>
      <c r="AI12" s="2168"/>
      <c r="AJ12" s="2168"/>
      <c r="AK12" s="2168"/>
      <c r="AL12" s="2169"/>
      <c r="AM12" s="2170"/>
      <c r="AN12" s="2170"/>
      <c r="AO12" s="2170"/>
      <c r="AP12" s="2170"/>
      <c r="AQ12" s="1210"/>
      <c r="AR12" s="1210"/>
      <c r="AS12" s="1210"/>
      <c r="AT12" s="1210"/>
      <c r="AU12" s="1210"/>
      <c r="AV12" s="1207"/>
      <c r="AW12" s="1207"/>
      <c r="AX12" s="1207"/>
      <c r="AY12" s="1207"/>
      <c r="AZ12" s="1207"/>
      <c r="BA12" s="1207"/>
      <c r="BB12" s="1207"/>
      <c r="BC12" s="1207"/>
      <c r="BD12" s="1207"/>
      <c r="BE12" s="1213"/>
      <c r="BM12" s="1204" t="s">
        <v>2574</v>
      </c>
    </row>
    <row r="13" spans="1:65" ht="15" thickBot="1">
      <c r="A13" s="1207"/>
      <c r="B13" s="2171" t="s">
        <v>1862</v>
      </c>
      <c r="C13" s="2172"/>
      <c r="D13" s="2172"/>
      <c r="E13" s="2172"/>
      <c r="F13" s="2172"/>
      <c r="G13" s="2172"/>
      <c r="H13" s="2172"/>
      <c r="I13" s="2172"/>
      <c r="J13" s="2172"/>
      <c r="K13" s="2172"/>
      <c r="L13" s="2172"/>
      <c r="M13" s="2172"/>
      <c r="N13" s="2172"/>
      <c r="O13" s="2172"/>
      <c r="P13" s="2173"/>
      <c r="Q13" s="2174" t="s">
        <v>678</v>
      </c>
      <c r="R13" s="2175"/>
      <c r="S13" s="2175"/>
      <c r="T13" s="217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7" t="s">
        <v>1863</v>
      </c>
      <c r="C15" s="2178"/>
      <c r="D15" s="2178"/>
      <c r="E15" s="2178"/>
      <c r="F15" s="2178"/>
      <c r="G15" s="2178"/>
      <c r="H15" s="2178"/>
      <c r="I15" s="2178"/>
      <c r="J15" s="2178"/>
      <c r="K15" s="2178"/>
      <c r="L15" s="2178"/>
      <c r="M15" s="2178"/>
      <c r="N15" s="2178"/>
      <c r="O15" s="2178"/>
      <c r="P15" s="2178"/>
      <c r="Q15" s="2178"/>
      <c r="R15" s="2179"/>
      <c r="S15" s="2180" t="str">
        <f>IF(Application!AB214="","",Application!AB214)</f>
        <v/>
      </c>
      <c r="T15" s="2180"/>
      <c r="U15" s="2180"/>
      <c r="V15" s="2180"/>
      <c r="W15" s="218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6" t="s">
        <v>1864</v>
      </c>
      <c r="C17" s="2187"/>
      <c r="D17" s="2187"/>
      <c r="E17" s="2187"/>
      <c r="F17" s="2187"/>
      <c r="G17" s="2187"/>
      <c r="H17" s="2187"/>
      <c r="I17" s="2187"/>
      <c r="J17" s="2187"/>
      <c r="K17" s="2187"/>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c r="AS17" s="2187"/>
      <c r="AT17" s="2187"/>
      <c r="AU17" s="2187"/>
      <c r="AV17" s="2187"/>
      <c r="AW17" s="2187"/>
      <c r="AX17" s="2187"/>
      <c r="AY17" s="2188"/>
      <c r="AZ17" s="1207"/>
      <c r="BA17" s="1207"/>
      <c r="BB17" s="1207"/>
      <c r="BC17" s="1207"/>
      <c r="BD17" s="1207"/>
      <c r="BE17" s="1213"/>
      <c r="BF17" s="1205"/>
    </row>
    <row r="18" spans="1:58" ht="15.75" customHeight="1">
      <c r="A18" s="1207"/>
      <c r="B18" s="2189" t="s">
        <v>1865</v>
      </c>
      <c r="C18" s="2190"/>
      <c r="D18" s="2190"/>
      <c r="E18" s="2190"/>
      <c r="F18" s="2190"/>
      <c r="G18" s="2190"/>
      <c r="H18" s="2190"/>
      <c r="I18" s="2191"/>
      <c r="J18" s="2192" t="s">
        <v>1764</v>
      </c>
      <c r="K18" s="2193"/>
      <c r="L18" s="2193"/>
      <c r="M18" s="2193"/>
      <c r="N18" s="2193"/>
      <c r="O18" s="2194"/>
      <c r="P18" s="2192" t="s">
        <v>325</v>
      </c>
      <c r="Q18" s="2193"/>
      <c r="R18" s="2193"/>
      <c r="S18" s="2193"/>
      <c r="T18" s="2193"/>
      <c r="U18" s="2194"/>
      <c r="V18" s="2192" t="s">
        <v>326</v>
      </c>
      <c r="W18" s="2193"/>
      <c r="X18" s="2193"/>
      <c r="Y18" s="2193"/>
      <c r="Z18" s="2193"/>
      <c r="AA18" s="2194"/>
      <c r="AB18" s="2192" t="s">
        <v>164</v>
      </c>
      <c r="AC18" s="2193"/>
      <c r="AD18" s="2193"/>
      <c r="AE18" s="2193"/>
      <c r="AF18" s="2193"/>
      <c r="AG18" s="2194"/>
      <c r="AH18" s="2192" t="s">
        <v>165</v>
      </c>
      <c r="AI18" s="2193"/>
      <c r="AJ18" s="2193"/>
      <c r="AK18" s="2193"/>
      <c r="AL18" s="2193"/>
      <c r="AM18" s="2194"/>
      <c r="AN18" s="2192" t="s">
        <v>166</v>
      </c>
      <c r="AO18" s="2193"/>
      <c r="AP18" s="2193"/>
      <c r="AQ18" s="2193"/>
      <c r="AR18" s="2193"/>
      <c r="AS18" s="2194"/>
      <c r="AT18" s="2192" t="s">
        <v>1866</v>
      </c>
      <c r="AU18" s="2193"/>
      <c r="AV18" s="2193"/>
      <c r="AW18" s="2193"/>
      <c r="AX18" s="2193"/>
      <c r="AY18" s="2195"/>
      <c r="AZ18" s="1207"/>
      <c r="BA18" s="1207"/>
      <c r="BB18" s="1207"/>
      <c r="BC18" s="1207"/>
      <c r="BD18" s="1207"/>
      <c r="BE18" s="1213"/>
    </row>
    <row r="19" spans="1:58" ht="14.4">
      <c r="A19" s="1207"/>
      <c r="B19" s="2202">
        <v>0.3</v>
      </c>
      <c r="C19" s="2203"/>
      <c r="D19" s="2203"/>
      <c r="E19" s="2203"/>
      <c r="F19" s="2203"/>
      <c r="G19" s="2203"/>
      <c r="H19" s="2203"/>
      <c r="I19" s="2204"/>
      <c r="J19" s="2196">
        <f>SUM(P19:AS19)</f>
        <v>30</v>
      </c>
      <c r="K19" s="2197"/>
      <c r="L19" s="2197"/>
      <c r="M19" s="2197"/>
      <c r="N19" s="2197"/>
      <c r="O19" s="2198"/>
      <c r="P19" s="2196" cm="1">
        <f t="array" ref="P19">SUMPRODUCT((Application!$B$714:$B$738 = 'CalHFA Addendum'!P$18)*(Application!$AC$714:$AC$738 = 'CalHFA Addendum'!$B19),Application!$G$714:$G$738)</f>
        <v>12</v>
      </c>
      <c r="Q19" s="2197"/>
      <c r="R19" s="2197"/>
      <c r="S19" s="2197"/>
      <c r="T19" s="2197"/>
      <c r="U19" s="2198"/>
      <c r="V19" s="2196" cm="1">
        <f t="array" ref="V19">SUMPRODUCT((Application!$B$714:$B$738 = 'CalHFA Addendum'!V$18)*(Application!$AC$714:$AC$738 = 'CalHFA Addendum'!$B19),Application!$G$714:$G$738)</f>
        <v>18</v>
      </c>
      <c r="W19" s="2197"/>
      <c r="X19" s="2197"/>
      <c r="Y19" s="2197"/>
      <c r="Z19" s="2197"/>
      <c r="AA19" s="2198"/>
      <c r="AB19" s="2196" cm="1">
        <f t="array" ref="AB19">SUMPRODUCT((Application!$B$714:$B$738 = 'CalHFA Addendum'!AB$18)*(Application!$AC$714:$AC$738 = 'CalHFA Addendum'!$B19),Application!$G$714:$G$738)</f>
        <v>0</v>
      </c>
      <c r="AC19" s="2197"/>
      <c r="AD19" s="2197"/>
      <c r="AE19" s="2197"/>
      <c r="AF19" s="2197"/>
      <c r="AG19" s="2198"/>
      <c r="AH19" s="2196" cm="1">
        <f t="array" ref="AH19">SUMPRODUCT((Application!$B$714:$B$738 = 'CalHFA Addendum'!AH$18)*(Application!$AC$714:$AC$738 = 'CalHFA Addendum'!$B19),Application!$G$714:$G$738)</f>
        <v>0</v>
      </c>
      <c r="AI19" s="2197"/>
      <c r="AJ19" s="2197"/>
      <c r="AK19" s="2197"/>
      <c r="AL19" s="2197"/>
      <c r="AM19" s="2198"/>
      <c r="AN19" s="2196" cm="1">
        <f t="array" ref="AN19">SUMPRODUCT((Application!$B$714:$B$738 = 'CalHFA Addendum'!AN$18)*(Application!$AC$714:$AC$738 = 'CalHFA Addendum'!$B19),Application!$G$714:$G$738)</f>
        <v>0</v>
      </c>
      <c r="AO19" s="2197"/>
      <c r="AP19" s="2197"/>
      <c r="AQ19" s="2197"/>
      <c r="AR19" s="2197"/>
      <c r="AS19" s="2198"/>
      <c r="AT19" s="2199">
        <f t="shared" ref="AT19:AT28" si="0">J19/$J$29</f>
        <v>0.14563106796116504</v>
      </c>
      <c r="AU19" s="2200"/>
      <c r="AV19" s="2200"/>
      <c r="AW19" s="2200"/>
      <c r="AX19" s="2200"/>
      <c r="AY19" s="2201"/>
      <c r="AZ19" s="1214"/>
      <c r="BA19" s="1207"/>
      <c r="BB19" s="1207"/>
      <c r="BC19" s="1207"/>
      <c r="BD19" s="1207"/>
      <c r="BE19" s="1213"/>
    </row>
    <row r="20" spans="1:58" ht="15" customHeight="1">
      <c r="A20" s="1207"/>
      <c r="B20" s="2202">
        <v>0.4</v>
      </c>
      <c r="C20" s="2203"/>
      <c r="D20" s="2203"/>
      <c r="E20" s="2203"/>
      <c r="F20" s="2203"/>
      <c r="G20" s="2203"/>
      <c r="H20" s="2203"/>
      <c r="I20" s="2204"/>
      <c r="J20" s="2196">
        <f t="shared" ref="J20:J28" si="1">SUM(P20:AS20)</f>
        <v>0</v>
      </c>
      <c r="K20" s="2197"/>
      <c r="L20" s="2197"/>
      <c r="M20" s="2197"/>
      <c r="N20" s="2197"/>
      <c r="O20" s="2198"/>
      <c r="P20" s="2196" cm="1">
        <f t="array" ref="P20">SUMPRODUCT((Application!$B$714:$B$738 = 'CalHFA Addendum'!P$18)*(Application!$AC$714:$AC$738 = 'CalHFA Addendum'!$B20),Application!$G$714:$G$738)</f>
        <v>0</v>
      </c>
      <c r="Q20" s="2197"/>
      <c r="R20" s="2197"/>
      <c r="S20" s="2197"/>
      <c r="T20" s="2197"/>
      <c r="U20" s="2198"/>
      <c r="V20" s="2196" cm="1">
        <f t="array" ref="V20">SUMPRODUCT((Application!$B$714:$B$738 = 'CalHFA Addendum'!V$18)*(Application!$AC$714:$AC$738 = 'CalHFA Addendum'!$B20),Application!$G$714:$G$738)</f>
        <v>0</v>
      </c>
      <c r="W20" s="2197"/>
      <c r="X20" s="2197"/>
      <c r="Y20" s="2197"/>
      <c r="Z20" s="2197"/>
      <c r="AA20" s="2198"/>
      <c r="AB20" s="2196" cm="1">
        <f t="array" ref="AB20">SUMPRODUCT((Application!$B$714:$B$738 = 'CalHFA Addendum'!AB$18)*(Application!$AC$714:$AC$738 = 'CalHFA Addendum'!$B20),Application!$G$714:$G$738)</f>
        <v>0</v>
      </c>
      <c r="AC20" s="2197"/>
      <c r="AD20" s="2197"/>
      <c r="AE20" s="2197"/>
      <c r="AF20" s="2197"/>
      <c r="AG20" s="2198"/>
      <c r="AH20" s="2196" cm="1">
        <f t="array" ref="AH20">SUMPRODUCT((Application!$B$714:$B$738 = 'CalHFA Addendum'!AH$18)*(Application!$AC$714:$AC$738 = 'CalHFA Addendum'!$B20),Application!$G$714:$G$738)</f>
        <v>0</v>
      </c>
      <c r="AI20" s="2197"/>
      <c r="AJ20" s="2197"/>
      <c r="AK20" s="2197"/>
      <c r="AL20" s="2197"/>
      <c r="AM20" s="2198"/>
      <c r="AN20" s="2196" cm="1">
        <f t="array" ref="AN20">SUMPRODUCT((Application!$B$714:$B$738 = 'CalHFA Addendum'!AN$18)*(Application!$AC$714:$AC$738 = 'CalHFA Addendum'!$B20),Application!$G$714:$G$738)</f>
        <v>0</v>
      </c>
      <c r="AO20" s="2197"/>
      <c r="AP20" s="2197"/>
      <c r="AQ20" s="2197"/>
      <c r="AR20" s="2197"/>
      <c r="AS20" s="2198"/>
      <c r="AT20" s="2199">
        <f t="shared" si="0"/>
        <v>0</v>
      </c>
      <c r="AU20" s="2200"/>
      <c r="AV20" s="2200"/>
      <c r="AW20" s="2200"/>
      <c r="AX20" s="2200"/>
      <c r="AY20" s="2201"/>
      <c r="AZ20" s="1207"/>
      <c r="BA20" s="1207"/>
      <c r="BB20" s="1207"/>
      <c r="BC20" s="1207"/>
      <c r="BD20" s="1207"/>
      <c r="BE20" s="1213"/>
    </row>
    <row r="21" spans="1:58" ht="14.4">
      <c r="A21" s="1207"/>
      <c r="B21" s="2202">
        <v>0.5</v>
      </c>
      <c r="C21" s="2203"/>
      <c r="D21" s="2203"/>
      <c r="E21" s="2203"/>
      <c r="F21" s="2203"/>
      <c r="G21" s="2203"/>
      <c r="H21" s="2203"/>
      <c r="I21" s="2204"/>
      <c r="J21" s="2196">
        <f t="shared" si="1"/>
        <v>8</v>
      </c>
      <c r="K21" s="2197"/>
      <c r="L21" s="2197"/>
      <c r="M21" s="2197"/>
      <c r="N21" s="2197"/>
      <c r="O21" s="2198"/>
      <c r="P21" s="2196" cm="1">
        <f t="array" ref="P21">SUMPRODUCT((Application!$B$714:$B$738 = 'CalHFA Addendum'!P$18)*(Application!$AC$714:$AC$738 = 'CalHFA Addendum'!$B21),Application!$G$714:$G$738)</f>
        <v>0</v>
      </c>
      <c r="Q21" s="2197"/>
      <c r="R21" s="2197"/>
      <c r="S21" s="2197"/>
      <c r="T21" s="2197"/>
      <c r="U21" s="2198"/>
      <c r="V21" s="2196" cm="1">
        <f t="array" ref="V21">SUMPRODUCT((Application!$B$714:$B$738 = 'CalHFA Addendum'!V$18)*(Application!$AC$714:$AC$738 = 'CalHFA Addendum'!$B21),Application!$G$714:$G$738)</f>
        <v>8</v>
      </c>
      <c r="W21" s="2197"/>
      <c r="X21" s="2197"/>
      <c r="Y21" s="2197"/>
      <c r="Z21" s="2197"/>
      <c r="AA21" s="2198"/>
      <c r="AB21" s="2196" cm="1">
        <f t="array" ref="AB21">SUMPRODUCT((Application!$B$714:$B$738 = 'CalHFA Addendum'!AB$18)*(Application!$AC$714:$AC$738 = 'CalHFA Addendum'!$B21),Application!$G$714:$G$738)</f>
        <v>0</v>
      </c>
      <c r="AC21" s="2197"/>
      <c r="AD21" s="2197"/>
      <c r="AE21" s="2197"/>
      <c r="AF21" s="2197"/>
      <c r="AG21" s="2198"/>
      <c r="AH21" s="2196" cm="1">
        <f t="array" ref="AH21">SUMPRODUCT((Application!$B$714:$B$738 = 'CalHFA Addendum'!AH$18)*(Application!$AC$714:$AC$738 = 'CalHFA Addendum'!$B21),Application!$G$714:$G$738)</f>
        <v>0</v>
      </c>
      <c r="AI21" s="2197"/>
      <c r="AJ21" s="2197"/>
      <c r="AK21" s="2197"/>
      <c r="AL21" s="2197"/>
      <c r="AM21" s="2198"/>
      <c r="AN21" s="2196" cm="1">
        <f t="array" ref="AN21">SUMPRODUCT((Application!$B$714:$B$738 = 'CalHFA Addendum'!AN$18)*(Application!$AC$714:$AC$738 = 'CalHFA Addendum'!$B21),Application!$G$714:$G$738)</f>
        <v>0</v>
      </c>
      <c r="AO21" s="2197"/>
      <c r="AP21" s="2197"/>
      <c r="AQ21" s="2197"/>
      <c r="AR21" s="2197"/>
      <c r="AS21" s="2198"/>
      <c r="AT21" s="2199">
        <f t="shared" si="0"/>
        <v>3.8834951456310676E-2</v>
      </c>
      <c r="AU21" s="2200"/>
      <c r="AV21" s="2200"/>
      <c r="AW21" s="2200"/>
      <c r="AX21" s="2200"/>
      <c r="AY21" s="2201"/>
      <c r="AZ21" s="1207"/>
      <c r="BA21" s="1207"/>
      <c r="BB21" s="1207"/>
      <c r="BC21" s="1207"/>
      <c r="BD21" s="1207"/>
      <c r="BE21" s="1213"/>
    </row>
    <row r="22" spans="1:58" ht="14.4">
      <c r="A22" s="1207"/>
      <c r="B22" s="2202">
        <v>0.6</v>
      </c>
      <c r="C22" s="2203"/>
      <c r="D22" s="2203"/>
      <c r="E22" s="2203"/>
      <c r="F22" s="2203"/>
      <c r="G22" s="2203"/>
      <c r="H22" s="2203"/>
      <c r="I22" s="2204"/>
      <c r="J22" s="2196">
        <f t="shared" si="1"/>
        <v>166</v>
      </c>
      <c r="K22" s="2197"/>
      <c r="L22" s="2197"/>
      <c r="M22" s="2197"/>
      <c r="N22" s="2197"/>
      <c r="O22" s="2198"/>
      <c r="P22" s="2196" cm="1">
        <f t="array" ref="P22">SUMPRODUCT((Application!$B$714:$B$738 = 'CalHFA Addendum'!P$18)*(Application!$AC$714:$AC$738 = 'CalHFA Addendum'!$B22),Application!$G$714:$G$738)</f>
        <v>47</v>
      </c>
      <c r="Q22" s="2197"/>
      <c r="R22" s="2197"/>
      <c r="S22" s="2197"/>
      <c r="T22" s="2197"/>
      <c r="U22" s="2198"/>
      <c r="V22" s="2196" cm="1">
        <f t="array" ref="V22">SUMPRODUCT((Application!$B$714:$B$738 = 'CalHFA Addendum'!V$18)*(Application!$AC$714:$AC$738 = 'CalHFA Addendum'!$B22),Application!$G$714:$G$738)</f>
        <v>119</v>
      </c>
      <c r="W22" s="2197"/>
      <c r="X22" s="2197"/>
      <c r="Y22" s="2197"/>
      <c r="Z22" s="2197"/>
      <c r="AA22" s="2198"/>
      <c r="AB22" s="2196" cm="1">
        <f t="array" ref="AB22">SUMPRODUCT((Application!$B$714:$B$738 = 'CalHFA Addendum'!AB$18)*(Application!$AC$714:$AC$738 = 'CalHFA Addendum'!$B22),Application!$G$714:$G$738)</f>
        <v>0</v>
      </c>
      <c r="AC22" s="2197"/>
      <c r="AD22" s="2197"/>
      <c r="AE22" s="2197"/>
      <c r="AF22" s="2197"/>
      <c r="AG22" s="2198"/>
      <c r="AH22" s="2196" cm="1">
        <f t="array" ref="AH22">SUMPRODUCT((Application!$B$714:$B$738 = 'CalHFA Addendum'!AH$18)*(Application!$AC$714:$AC$738 = 'CalHFA Addendum'!$B22),Application!$G$714:$G$738)</f>
        <v>0</v>
      </c>
      <c r="AI22" s="2197"/>
      <c r="AJ22" s="2197"/>
      <c r="AK22" s="2197"/>
      <c r="AL22" s="2197"/>
      <c r="AM22" s="2198"/>
      <c r="AN22" s="2196" cm="1">
        <f t="array" ref="AN22">SUMPRODUCT((Application!$B$714:$B$738 = 'CalHFA Addendum'!AN$18)*(Application!$AC$714:$AC$738 = 'CalHFA Addendum'!$B22),Application!$G$714:$G$738)</f>
        <v>0</v>
      </c>
      <c r="AO22" s="2197"/>
      <c r="AP22" s="2197"/>
      <c r="AQ22" s="2197"/>
      <c r="AR22" s="2197"/>
      <c r="AS22" s="2198"/>
      <c r="AT22" s="2199">
        <f t="shared" si="0"/>
        <v>0.80582524271844658</v>
      </c>
      <c r="AU22" s="2200"/>
      <c r="AV22" s="2200"/>
      <c r="AW22" s="2200"/>
      <c r="AX22" s="2200"/>
      <c r="AY22" s="2201"/>
      <c r="AZ22" s="1207"/>
      <c r="BA22" s="1207"/>
      <c r="BB22" s="1207"/>
      <c r="BC22" s="1207"/>
      <c r="BD22" s="1207"/>
      <c r="BE22" s="1213"/>
    </row>
    <row r="23" spans="1:58" ht="14.4">
      <c r="A23" s="1207"/>
      <c r="B23" s="2202">
        <v>0.7</v>
      </c>
      <c r="C23" s="2203"/>
      <c r="D23" s="2203"/>
      <c r="E23" s="2203"/>
      <c r="F23" s="2203"/>
      <c r="G23" s="2203"/>
      <c r="H23" s="2203"/>
      <c r="I23" s="2204"/>
      <c r="J23" s="2196">
        <f t="shared" si="1"/>
        <v>0</v>
      </c>
      <c r="K23" s="2197"/>
      <c r="L23" s="2197"/>
      <c r="M23" s="2197"/>
      <c r="N23" s="2197"/>
      <c r="O23" s="2198"/>
      <c r="P23" s="2196" cm="1">
        <f t="array" ref="P23">SUMPRODUCT((Application!$B$714:$B$738 = 'CalHFA Addendum'!P$18)*(Application!$AC$714:$AC$738 = 'CalHFA Addendum'!$B23),Application!$G$714:$G$738)</f>
        <v>0</v>
      </c>
      <c r="Q23" s="2197"/>
      <c r="R23" s="2197"/>
      <c r="S23" s="2197"/>
      <c r="T23" s="2197"/>
      <c r="U23" s="2198"/>
      <c r="V23" s="2196" cm="1">
        <f t="array" ref="V23">SUMPRODUCT((Application!$B$714:$B$738 = 'CalHFA Addendum'!V$18)*(Application!$AC$714:$AC$738 = 'CalHFA Addendum'!$B23),Application!$G$714:$G$738)</f>
        <v>0</v>
      </c>
      <c r="W23" s="2197"/>
      <c r="X23" s="2197"/>
      <c r="Y23" s="2197"/>
      <c r="Z23" s="2197"/>
      <c r="AA23" s="2198"/>
      <c r="AB23" s="2196" cm="1">
        <f t="array" ref="AB23">SUMPRODUCT((Application!$B$714:$B$738 = 'CalHFA Addendum'!AB$18)*(Application!$AC$714:$AC$738 = 'CalHFA Addendum'!$B23),Application!$G$714:$G$738)</f>
        <v>0</v>
      </c>
      <c r="AC23" s="2197"/>
      <c r="AD23" s="2197"/>
      <c r="AE23" s="2197"/>
      <c r="AF23" s="2197"/>
      <c r="AG23" s="2198"/>
      <c r="AH23" s="2196" cm="1">
        <f t="array" ref="AH23">SUMPRODUCT((Application!$B$714:$B$738 = 'CalHFA Addendum'!AH$18)*(Application!$AC$714:$AC$738 = 'CalHFA Addendum'!$B23),Application!$G$714:$G$738)</f>
        <v>0</v>
      </c>
      <c r="AI23" s="2197"/>
      <c r="AJ23" s="2197"/>
      <c r="AK23" s="2197"/>
      <c r="AL23" s="2197"/>
      <c r="AM23" s="2198"/>
      <c r="AN23" s="2196" cm="1">
        <f t="array" ref="AN23">SUMPRODUCT((Application!$B$714:$B$738 = 'CalHFA Addendum'!AN$18)*(Application!$AC$714:$AC$738 = 'CalHFA Addendum'!$B23),Application!$G$714:$G$738)</f>
        <v>0</v>
      </c>
      <c r="AO23" s="2197"/>
      <c r="AP23" s="2197"/>
      <c r="AQ23" s="2197"/>
      <c r="AR23" s="2197"/>
      <c r="AS23" s="2198"/>
      <c r="AT23" s="2199">
        <f t="shared" si="0"/>
        <v>0</v>
      </c>
      <c r="AU23" s="2200"/>
      <c r="AV23" s="2200"/>
      <c r="AW23" s="2200"/>
      <c r="AX23" s="2200"/>
      <c r="AY23" s="2201"/>
      <c r="AZ23" s="1207"/>
      <c r="BA23" s="1207"/>
      <c r="BB23" s="1207"/>
      <c r="BC23" s="1207"/>
      <c r="BD23" s="1207"/>
      <c r="BE23" s="1213"/>
    </row>
    <row r="24" spans="1:58" ht="14.4">
      <c r="A24" s="1207"/>
      <c r="B24" s="2202">
        <v>0.8</v>
      </c>
      <c r="C24" s="2203"/>
      <c r="D24" s="2203"/>
      <c r="E24" s="2203"/>
      <c r="F24" s="2203"/>
      <c r="G24" s="2203"/>
      <c r="H24" s="2203"/>
      <c r="I24" s="2204"/>
      <c r="J24" s="2196">
        <f t="shared" si="1"/>
        <v>0</v>
      </c>
      <c r="K24" s="2197"/>
      <c r="L24" s="2197"/>
      <c r="M24" s="2197"/>
      <c r="N24" s="2197"/>
      <c r="O24" s="2198"/>
      <c r="P24" s="2196" cm="1">
        <f t="array" ref="P24">SUMPRODUCT((Application!$B$714:$B$738 = 'CalHFA Addendum'!P$18)*(Application!$AC$714:$AC$738 = 'CalHFA Addendum'!$B24),Application!$G$714:$G$738)</f>
        <v>0</v>
      </c>
      <c r="Q24" s="2197"/>
      <c r="R24" s="2197"/>
      <c r="S24" s="2197"/>
      <c r="T24" s="2197"/>
      <c r="U24" s="2198"/>
      <c r="V24" s="2196" cm="1">
        <f t="array" ref="V24">SUMPRODUCT((Application!$B$714:$B$738 = 'CalHFA Addendum'!V$18)*(Application!$AC$714:$AC$738 = 'CalHFA Addendum'!$B24),Application!$G$714:$G$738)</f>
        <v>0</v>
      </c>
      <c r="W24" s="2197"/>
      <c r="X24" s="2197"/>
      <c r="Y24" s="2197"/>
      <c r="Z24" s="2197"/>
      <c r="AA24" s="2198"/>
      <c r="AB24" s="2196" cm="1">
        <f t="array" ref="AB24">SUMPRODUCT((Application!$B$714:$B$738 = 'CalHFA Addendum'!AB$18)*(Application!$AC$714:$AC$738 = 'CalHFA Addendum'!$B24),Application!$G$714:$G$738)</f>
        <v>0</v>
      </c>
      <c r="AC24" s="2197"/>
      <c r="AD24" s="2197"/>
      <c r="AE24" s="2197"/>
      <c r="AF24" s="2197"/>
      <c r="AG24" s="2198"/>
      <c r="AH24" s="2196" cm="1">
        <f t="array" ref="AH24">SUMPRODUCT((Application!$B$714:$B$738 = 'CalHFA Addendum'!AH$18)*(Application!$AC$714:$AC$738 = 'CalHFA Addendum'!$B24),Application!$G$714:$G$738)</f>
        <v>0</v>
      </c>
      <c r="AI24" s="2197"/>
      <c r="AJ24" s="2197"/>
      <c r="AK24" s="2197"/>
      <c r="AL24" s="2197"/>
      <c r="AM24" s="2198"/>
      <c r="AN24" s="2196" cm="1">
        <f t="array" ref="AN24">SUMPRODUCT((Application!$B$714:$B$738 = 'CalHFA Addendum'!AN$18)*(Application!$AC$714:$AC$738 = 'CalHFA Addendum'!$B24),Application!$G$714:$G$738)</f>
        <v>0</v>
      </c>
      <c r="AO24" s="2197"/>
      <c r="AP24" s="2197"/>
      <c r="AQ24" s="2197"/>
      <c r="AR24" s="2197"/>
      <c r="AS24" s="2198"/>
      <c r="AT24" s="2199">
        <f t="shared" si="0"/>
        <v>0</v>
      </c>
      <c r="AU24" s="2200"/>
      <c r="AV24" s="2200"/>
      <c r="AW24" s="2200"/>
      <c r="AX24" s="2200"/>
      <c r="AY24" s="2201"/>
      <c r="AZ24" s="1207"/>
      <c r="BA24" s="1207"/>
      <c r="BB24" s="1207"/>
      <c r="BC24" s="1207"/>
      <c r="BD24" s="1207"/>
      <c r="BE24" s="1213"/>
    </row>
    <row r="25" spans="1:58" ht="14.4">
      <c r="A25" s="1207"/>
      <c r="B25" s="2202">
        <v>0.9</v>
      </c>
      <c r="C25" s="2203"/>
      <c r="D25" s="2203"/>
      <c r="E25" s="2203"/>
      <c r="F25" s="2203"/>
      <c r="G25" s="2203"/>
      <c r="H25" s="2203"/>
      <c r="I25" s="2204"/>
      <c r="J25" s="2196">
        <f t="shared" si="1"/>
        <v>0</v>
      </c>
      <c r="K25" s="2197"/>
      <c r="L25" s="2197"/>
      <c r="M25" s="2197"/>
      <c r="N25" s="2197"/>
      <c r="O25" s="2198"/>
      <c r="P25" s="2196" cm="1">
        <f t="array" ref="P25">SUMPRODUCT((Application!$B$714:$B$738 = 'CalHFA Addendum'!P$18)*(Application!$AC$714:$AC$738 = 'CalHFA Addendum'!$B25),Application!$G$714:$G$738)</f>
        <v>0</v>
      </c>
      <c r="Q25" s="2197"/>
      <c r="R25" s="2197"/>
      <c r="S25" s="2197"/>
      <c r="T25" s="2197"/>
      <c r="U25" s="2198"/>
      <c r="V25" s="2196" cm="1">
        <f t="array" ref="V25">SUMPRODUCT((Application!$B$714:$B$738 = 'CalHFA Addendum'!V$18)*(Application!$AC$714:$AC$738 = 'CalHFA Addendum'!$B25),Application!$G$714:$G$738)</f>
        <v>0</v>
      </c>
      <c r="W25" s="2197"/>
      <c r="X25" s="2197"/>
      <c r="Y25" s="2197"/>
      <c r="Z25" s="2197"/>
      <c r="AA25" s="2198"/>
      <c r="AB25" s="2196" cm="1">
        <f t="array" ref="AB25">SUMPRODUCT((Application!$B$714:$B$738 = 'CalHFA Addendum'!AB$18)*(Application!$AC$714:$AC$738 = 'CalHFA Addendum'!$B25),Application!$G$714:$G$738)</f>
        <v>0</v>
      </c>
      <c r="AC25" s="2197"/>
      <c r="AD25" s="2197"/>
      <c r="AE25" s="2197"/>
      <c r="AF25" s="2197"/>
      <c r="AG25" s="2198"/>
      <c r="AH25" s="2196" cm="1">
        <f t="array" ref="AH25">SUMPRODUCT((Application!$B$714:$B$738 = 'CalHFA Addendum'!AH$18)*(Application!$AC$714:$AC$738 = 'CalHFA Addendum'!$B25),Application!$G$714:$G$738)</f>
        <v>0</v>
      </c>
      <c r="AI25" s="2197"/>
      <c r="AJ25" s="2197"/>
      <c r="AK25" s="2197"/>
      <c r="AL25" s="2197"/>
      <c r="AM25" s="2198"/>
      <c r="AN25" s="2196" cm="1">
        <f t="array" ref="AN25">SUMPRODUCT((Application!$B$714:$B$738 = 'CalHFA Addendum'!AN$18)*(Application!$AC$714:$AC$738 = 'CalHFA Addendum'!$B25),Application!$G$714:$G$738)</f>
        <v>0</v>
      </c>
      <c r="AO25" s="2197"/>
      <c r="AP25" s="2197"/>
      <c r="AQ25" s="2197"/>
      <c r="AR25" s="2197"/>
      <c r="AS25" s="2198"/>
      <c r="AT25" s="2199">
        <f t="shared" si="0"/>
        <v>0</v>
      </c>
      <c r="AU25" s="2200"/>
      <c r="AV25" s="2200"/>
      <c r="AW25" s="2200"/>
      <c r="AX25" s="2200"/>
      <c r="AY25" s="2201"/>
      <c r="AZ25" s="1207"/>
      <c r="BA25" s="1207"/>
      <c r="BB25" s="1207"/>
      <c r="BC25" s="1207"/>
      <c r="BD25" s="1207"/>
      <c r="BE25" s="1213"/>
    </row>
    <row r="26" spans="1:58" ht="14.4">
      <c r="A26" s="1207"/>
      <c r="B26" s="2202">
        <v>1</v>
      </c>
      <c r="C26" s="2203"/>
      <c r="D26" s="2203"/>
      <c r="E26" s="2203"/>
      <c r="F26" s="2203"/>
      <c r="G26" s="2203"/>
      <c r="H26" s="2203"/>
      <c r="I26" s="2204"/>
      <c r="J26" s="2196">
        <f t="shared" si="1"/>
        <v>0</v>
      </c>
      <c r="K26" s="2197"/>
      <c r="L26" s="2197"/>
      <c r="M26" s="2197"/>
      <c r="N26" s="2197"/>
      <c r="O26" s="2198"/>
      <c r="P26" s="2196" cm="1">
        <f t="array" ref="P26">SUMPRODUCT((Application!$B$714:$B$738 = 'CalHFA Addendum'!P$18)*(Application!$AC$714:$AC$738 = 'CalHFA Addendum'!$B26),Application!$G$714:$G$738)</f>
        <v>0</v>
      </c>
      <c r="Q26" s="2197"/>
      <c r="R26" s="2197"/>
      <c r="S26" s="2197"/>
      <c r="T26" s="2197"/>
      <c r="U26" s="2198"/>
      <c r="V26" s="2196" cm="1">
        <f t="array" ref="V26">SUMPRODUCT((Application!$B$714:$B$738 = 'CalHFA Addendum'!V$18)*(Application!$AC$714:$AC$738 = 'CalHFA Addendum'!$B26),Application!$G$714:$G$738)</f>
        <v>0</v>
      </c>
      <c r="W26" s="2197"/>
      <c r="X26" s="2197"/>
      <c r="Y26" s="2197"/>
      <c r="Z26" s="2197"/>
      <c r="AA26" s="2198"/>
      <c r="AB26" s="2196" cm="1">
        <f t="array" ref="AB26">SUMPRODUCT((Application!$B$714:$B$738 = 'CalHFA Addendum'!AB$18)*(Application!$AC$714:$AC$738 = 'CalHFA Addendum'!$B26),Application!$G$714:$G$738)</f>
        <v>0</v>
      </c>
      <c r="AC26" s="2197"/>
      <c r="AD26" s="2197"/>
      <c r="AE26" s="2197"/>
      <c r="AF26" s="2197"/>
      <c r="AG26" s="2198"/>
      <c r="AH26" s="2196" cm="1">
        <f t="array" ref="AH26">SUMPRODUCT((Application!$B$714:$B$738 = 'CalHFA Addendum'!AH$18)*(Application!$AC$714:$AC$738 = 'CalHFA Addendum'!$B26),Application!$G$714:$G$738)</f>
        <v>0</v>
      </c>
      <c r="AI26" s="2197"/>
      <c r="AJ26" s="2197"/>
      <c r="AK26" s="2197"/>
      <c r="AL26" s="2197"/>
      <c r="AM26" s="2198"/>
      <c r="AN26" s="2196" cm="1">
        <f t="array" ref="AN26">SUMPRODUCT((Application!$B$714:$B$738 = 'CalHFA Addendum'!AN$18)*(Application!$AC$714:$AC$738 = 'CalHFA Addendum'!$B26),Application!$G$714:$G$738)</f>
        <v>0</v>
      </c>
      <c r="AO26" s="2197"/>
      <c r="AP26" s="2197"/>
      <c r="AQ26" s="2197"/>
      <c r="AR26" s="2197"/>
      <c r="AS26" s="2198"/>
      <c r="AT26" s="2199">
        <f t="shared" si="0"/>
        <v>0</v>
      </c>
      <c r="AU26" s="2200"/>
      <c r="AV26" s="2200"/>
      <c r="AW26" s="2200"/>
      <c r="AX26" s="2200"/>
      <c r="AY26" s="2201"/>
      <c r="AZ26" s="1207"/>
      <c r="BA26" s="1207"/>
      <c r="BB26" s="1207"/>
      <c r="BC26" s="1207"/>
      <c r="BD26" s="1207"/>
      <c r="BE26" s="1213"/>
    </row>
    <row r="27" spans="1:58" ht="14.4">
      <c r="A27" s="1207"/>
      <c r="B27" s="2202">
        <v>1.1000000000000001</v>
      </c>
      <c r="C27" s="2203"/>
      <c r="D27" s="2203"/>
      <c r="E27" s="2203"/>
      <c r="F27" s="2203"/>
      <c r="G27" s="2203"/>
      <c r="H27" s="2203"/>
      <c r="I27" s="2204"/>
      <c r="J27" s="2196">
        <f t="shared" si="1"/>
        <v>0</v>
      </c>
      <c r="K27" s="2197"/>
      <c r="L27" s="2197"/>
      <c r="M27" s="2197"/>
      <c r="N27" s="2197"/>
      <c r="O27" s="2198"/>
      <c r="P27" s="2196" cm="1">
        <f t="array" ref="P27">SUMPRODUCT((Application!$B$714:$B$738 = 'CalHFA Addendum'!P$18)*(Application!$AC$714:$AC$738 = 'CalHFA Addendum'!$B27),Application!$G$714:$G$738)</f>
        <v>0</v>
      </c>
      <c r="Q27" s="2197"/>
      <c r="R27" s="2197"/>
      <c r="S27" s="2197"/>
      <c r="T27" s="2197"/>
      <c r="U27" s="2198"/>
      <c r="V27" s="2196" cm="1">
        <f t="array" ref="V27">SUMPRODUCT((Application!$B$714:$B$738 = 'CalHFA Addendum'!V$18)*(Application!$AC$714:$AC$738 = 'CalHFA Addendum'!$B27),Application!$G$714:$G$738)</f>
        <v>0</v>
      </c>
      <c r="W27" s="2197"/>
      <c r="X27" s="2197"/>
      <c r="Y27" s="2197"/>
      <c r="Z27" s="2197"/>
      <c r="AA27" s="2198"/>
      <c r="AB27" s="2196" cm="1">
        <f t="array" ref="AB27">SUMPRODUCT((Application!$B$714:$B$738 = 'CalHFA Addendum'!AB$18)*(Application!$AC$714:$AC$738 = 'CalHFA Addendum'!$B27),Application!$G$714:$G$738)</f>
        <v>0</v>
      </c>
      <c r="AC27" s="2197"/>
      <c r="AD27" s="2197"/>
      <c r="AE27" s="2197"/>
      <c r="AF27" s="2197"/>
      <c r="AG27" s="2198"/>
      <c r="AH27" s="2196" cm="1">
        <f t="array" ref="AH27">SUMPRODUCT((Application!$B$714:$B$738 = 'CalHFA Addendum'!AH$18)*(Application!$AC$714:$AC$738 = 'CalHFA Addendum'!$B27),Application!$G$714:$G$738)</f>
        <v>0</v>
      </c>
      <c r="AI27" s="2197"/>
      <c r="AJ27" s="2197"/>
      <c r="AK27" s="2197"/>
      <c r="AL27" s="2197"/>
      <c r="AM27" s="2198"/>
      <c r="AN27" s="2196" cm="1">
        <f t="array" ref="AN27">SUMPRODUCT((Application!$B$714:$B$738 = 'CalHFA Addendum'!AN$18)*(Application!$AC$714:$AC$738 = 'CalHFA Addendum'!$B27),Application!$G$714:$G$738)</f>
        <v>0</v>
      </c>
      <c r="AO27" s="2197"/>
      <c r="AP27" s="2197"/>
      <c r="AQ27" s="2197"/>
      <c r="AR27" s="2197"/>
      <c r="AS27" s="2198"/>
      <c r="AT27" s="2199">
        <f t="shared" si="0"/>
        <v>0</v>
      </c>
      <c r="AU27" s="2200"/>
      <c r="AV27" s="2200"/>
      <c r="AW27" s="2200"/>
      <c r="AX27" s="2200"/>
      <c r="AY27" s="2201"/>
      <c r="AZ27" s="1207"/>
      <c r="BA27" s="1207"/>
      <c r="BB27" s="1207"/>
      <c r="BC27" s="1207"/>
      <c r="BD27" s="1207"/>
      <c r="BE27" s="1213"/>
    </row>
    <row r="28" spans="1:58" ht="15" thickBot="1">
      <c r="A28" s="1207"/>
      <c r="B28" s="2205" t="s">
        <v>1867</v>
      </c>
      <c r="C28" s="2206"/>
      <c r="D28" s="2206"/>
      <c r="E28" s="2206"/>
      <c r="F28" s="2206"/>
      <c r="G28" s="2206"/>
      <c r="H28" s="2206"/>
      <c r="I28" s="2207"/>
      <c r="J28" s="2208">
        <f t="shared" si="1"/>
        <v>2</v>
      </c>
      <c r="K28" s="2209"/>
      <c r="L28" s="2209"/>
      <c r="M28" s="2209"/>
      <c r="N28" s="2209"/>
      <c r="O28" s="2210"/>
      <c r="P28" s="2208">
        <f>_xlfn.IFNA(VLOOKUP(P$18,Application!$J$758:$S$761,6,FALSE), 0)</f>
        <v>0</v>
      </c>
      <c r="Q28" s="2209"/>
      <c r="R28" s="2209"/>
      <c r="S28" s="2209"/>
      <c r="T28" s="2209"/>
      <c r="U28" s="2210"/>
      <c r="V28" s="2208">
        <f>_xlfn.IFNA(VLOOKUP(V$18,Application!$J$758:$S$761,6,FALSE), 0)</f>
        <v>1</v>
      </c>
      <c r="W28" s="2209"/>
      <c r="X28" s="2209"/>
      <c r="Y28" s="2209"/>
      <c r="Z28" s="2209"/>
      <c r="AA28" s="2210"/>
      <c r="AB28" s="2208">
        <f>_xlfn.IFNA(VLOOKUP(AB$18,Application!$J$758:$S$761,6,FALSE), 0)</f>
        <v>1</v>
      </c>
      <c r="AC28" s="2209"/>
      <c r="AD28" s="2209"/>
      <c r="AE28" s="2209"/>
      <c r="AF28" s="2209"/>
      <c r="AG28" s="2210"/>
      <c r="AH28" s="2208">
        <f>_xlfn.IFNA(VLOOKUP(AH$18,Application!$J$758:$S$761,6,FALSE), 0)</f>
        <v>0</v>
      </c>
      <c r="AI28" s="2209"/>
      <c r="AJ28" s="2209"/>
      <c r="AK28" s="2209"/>
      <c r="AL28" s="2209"/>
      <c r="AM28" s="2210"/>
      <c r="AN28" s="2208">
        <f>_xlfn.IFNA(VLOOKUP(AN$18,Application!$J$758:$S$761,6,FALSE), 0)</f>
        <v>0</v>
      </c>
      <c r="AO28" s="2209"/>
      <c r="AP28" s="2209"/>
      <c r="AQ28" s="2209"/>
      <c r="AR28" s="2209"/>
      <c r="AS28" s="2210"/>
      <c r="AT28" s="2211">
        <f t="shared" si="0"/>
        <v>9.7087378640776691E-3</v>
      </c>
      <c r="AU28" s="2212"/>
      <c r="AV28" s="2212"/>
      <c r="AW28" s="2212"/>
      <c r="AX28" s="2212"/>
      <c r="AY28" s="2213"/>
      <c r="AZ28" s="1207"/>
      <c r="BA28" s="1207"/>
      <c r="BB28" s="1207"/>
      <c r="BC28" s="1207"/>
      <c r="BD28" s="1207"/>
      <c r="BE28" s="1213"/>
    </row>
    <row r="29" spans="1:58" ht="15" thickBot="1">
      <c r="A29" s="1207"/>
      <c r="B29" s="2236" t="s">
        <v>1764</v>
      </c>
      <c r="C29" s="2219"/>
      <c r="D29" s="2219"/>
      <c r="E29" s="2219"/>
      <c r="F29" s="2219"/>
      <c r="G29" s="2219"/>
      <c r="H29" s="2219"/>
      <c r="I29" s="2220"/>
      <c r="J29" s="2218">
        <f>SUM(J19:O28)</f>
        <v>206</v>
      </c>
      <c r="K29" s="2219"/>
      <c r="L29" s="2219"/>
      <c r="M29" s="2219"/>
      <c r="N29" s="2219"/>
      <c r="O29" s="2220"/>
      <c r="P29" s="2218">
        <f>SUM(P19:U28)</f>
        <v>59</v>
      </c>
      <c r="Q29" s="2219"/>
      <c r="R29" s="2219"/>
      <c r="S29" s="2219"/>
      <c r="T29" s="2219"/>
      <c r="U29" s="2220"/>
      <c r="V29" s="2218">
        <f>SUM(V19:AA28)</f>
        <v>146</v>
      </c>
      <c r="W29" s="2219"/>
      <c r="X29" s="2219"/>
      <c r="Y29" s="2219"/>
      <c r="Z29" s="2219"/>
      <c r="AA29" s="2220"/>
      <c r="AB29" s="2218">
        <f>SUM(AB19:AG28)</f>
        <v>1</v>
      </c>
      <c r="AC29" s="2219"/>
      <c r="AD29" s="2219"/>
      <c r="AE29" s="2219"/>
      <c r="AF29" s="2219"/>
      <c r="AG29" s="2220"/>
      <c r="AH29" s="2218">
        <f>SUM(AH19:AM28)</f>
        <v>0</v>
      </c>
      <c r="AI29" s="2219"/>
      <c r="AJ29" s="2219"/>
      <c r="AK29" s="2219"/>
      <c r="AL29" s="2219"/>
      <c r="AM29" s="2220"/>
      <c r="AN29" s="2218">
        <f>SUM(AN19:AS28)</f>
        <v>0</v>
      </c>
      <c r="AO29" s="2219"/>
      <c r="AP29" s="2219"/>
      <c r="AQ29" s="2219"/>
      <c r="AR29" s="2219"/>
      <c r="AS29" s="2220"/>
      <c r="AT29" s="2221">
        <f>J29/$J$29</f>
        <v>1</v>
      </c>
      <c r="AU29" s="2222"/>
      <c r="AV29" s="2222"/>
      <c r="AW29" s="2222"/>
      <c r="AX29" s="2222"/>
      <c r="AY29" s="2223"/>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24" t="s">
        <v>1868</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6"/>
      <c r="BA31" s="1207"/>
      <c r="BB31" s="1207"/>
      <c r="BC31" s="1207"/>
      <c r="BD31" s="1207"/>
      <c r="BE31" s="1213"/>
    </row>
    <row r="32" spans="1:58" ht="14.4">
      <c r="A32" s="1207"/>
      <c r="B32" s="2227" t="s">
        <v>2576</v>
      </c>
      <c r="C32" s="2228"/>
      <c r="D32" s="2228"/>
      <c r="E32" s="2228"/>
      <c r="F32" s="2228"/>
      <c r="G32" s="2228"/>
      <c r="H32" s="2228"/>
      <c r="I32" s="2228"/>
      <c r="J32" s="2230" t="s">
        <v>2577</v>
      </c>
      <c r="K32" s="2231"/>
      <c r="L32" s="2231"/>
      <c r="M32" s="2231"/>
      <c r="N32" s="2230" t="s">
        <v>1869</v>
      </c>
      <c r="O32" s="2231"/>
      <c r="P32" s="2231"/>
      <c r="Q32" s="2231"/>
      <c r="R32" s="2232" t="s">
        <v>1870</v>
      </c>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3"/>
      <c r="BA32" s="1207"/>
      <c r="BB32" s="1207"/>
      <c r="BC32" s="1207"/>
      <c r="BD32" s="1207"/>
      <c r="BE32" s="1213"/>
    </row>
    <row r="33" spans="1:58" ht="15" customHeight="1">
      <c r="A33" s="1207"/>
      <c r="B33" s="2229"/>
      <c r="C33" s="2228"/>
      <c r="D33" s="2228"/>
      <c r="E33" s="2228"/>
      <c r="F33" s="2228"/>
      <c r="G33" s="2228"/>
      <c r="H33" s="2228"/>
      <c r="I33" s="2228"/>
      <c r="J33" s="2231"/>
      <c r="K33" s="2231"/>
      <c r="L33" s="2231"/>
      <c r="M33" s="2231"/>
      <c r="N33" s="2231"/>
      <c r="O33" s="2231"/>
      <c r="P33" s="2231"/>
      <c r="Q33" s="2231"/>
      <c r="R33" s="2234" t="s">
        <v>1871</v>
      </c>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5"/>
      <c r="BA33" s="1214"/>
      <c r="BB33" s="1207"/>
      <c r="BC33" s="1207"/>
      <c r="BD33" s="1207"/>
      <c r="BE33" s="1213"/>
    </row>
    <row r="34" spans="1:58" ht="15.75" customHeight="1">
      <c r="A34" s="1207"/>
      <c r="B34" s="2229"/>
      <c r="C34" s="2228"/>
      <c r="D34" s="2228"/>
      <c r="E34" s="2228"/>
      <c r="F34" s="2228"/>
      <c r="G34" s="2228"/>
      <c r="H34" s="2228"/>
      <c r="I34" s="2228"/>
      <c r="J34" s="2231"/>
      <c r="K34" s="2231"/>
      <c r="L34" s="2231"/>
      <c r="M34" s="2231"/>
      <c r="N34" s="2231"/>
      <c r="O34" s="2231"/>
      <c r="P34" s="2231"/>
      <c r="Q34" s="2231"/>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5"/>
      <c r="BA34" s="1214"/>
      <c r="BB34" s="1207"/>
      <c r="BC34" s="1207"/>
      <c r="BD34" s="1207"/>
      <c r="BE34" s="1213"/>
    </row>
    <row r="35" spans="1:58" ht="15.75" customHeight="1">
      <c r="A35" s="1207"/>
      <c r="B35" s="2229"/>
      <c r="C35" s="2228"/>
      <c r="D35" s="2228"/>
      <c r="E35" s="2228"/>
      <c r="F35" s="2228"/>
      <c r="G35" s="2228"/>
      <c r="H35" s="2228"/>
      <c r="I35" s="2228"/>
      <c r="J35" s="2231"/>
      <c r="K35" s="2231"/>
      <c r="L35" s="2231"/>
      <c r="M35" s="2231"/>
      <c r="N35" s="2231"/>
      <c r="O35" s="2231"/>
      <c r="P35" s="2231"/>
      <c r="Q35" s="2231"/>
      <c r="R35" s="2214">
        <v>0.3</v>
      </c>
      <c r="S35" s="2214"/>
      <c r="T35" s="2214"/>
      <c r="U35" s="2214"/>
      <c r="V35" s="2214">
        <v>0.4</v>
      </c>
      <c r="W35" s="2214"/>
      <c r="X35" s="2214"/>
      <c r="Y35" s="2214"/>
      <c r="Z35" s="2214">
        <v>0.5</v>
      </c>
      <c r="AA35" s="2214"/>
      <c r="AB35" s="2214"/>
      <c r="AC35" s="2214"/>
      <c r="AD35" s="2214">
        <v>0.6</v>
      </c>
      <c r="AE35" s="2214"/>
      <c r="AF35" s="2214"/>
      <c r="AG35" s="2214"/>
      <c r="AH35" s="2214">
        <v>0.8</v>
      </c>
      <c r="AI35" s="2214"/>
      <c r="AJ35" s="2214"/>
      <c r="AK35" s="2214"/>
      <c r="AL35" s="2215">
        <v>1</v>
      </c>
      <c r="AM35" s="2215"/>
      <c r="AN35" s="2215"/>
      <c r="AO35" s="2216" t="s">
        <v>1872</v>
      </c>
      <c r="AP35" s="2216"/>
      <c r="AQ35" s="2216"/>
      <c r="AR35" s="2216"/>
      <c r="AS35" s="2216"/>
      <c r="AT35" s="2216"/>
      <c r="AU35" s="2216" t="s">
        <v>1873</v>
      </c>
      <c r="AV35" s="2216"/>
      <c r="AW35" s="2216"/>
      <c r="AX35" s="2216"/>
      <c r="AY35" s="2216"/>
      <c r="AZ35" s="2217"/>
      <c r="BA35" s="1214"/>
      <c r="BB35" s="1207"/>
      <c r="BC35" s="1207"/>
      <c r="BD35" s="1207"/>
      <c r="BE35" s="1213"/>
      <c r="BF35" s="1205"/>
    </row>
    <row r="36" spans="1:58" ht="15.75" customHeight="1">
      <c r="A36" s="1207"/>
      <c r="B36" s="2237" t="s">
        <v>1874</v>
      </c>
      <c r="C36" s="2238"/>
      <c r="D36" s="2238"/>
      <c r="E36" s="2238"/>
      <c r="F36" s="2238"/>
      <c r="G36" s="2238"/>
      <c r="H36" s="2238"/>
      <c r="I36" s="2238"/>
      <c r="J36" s="2239" t="s">
        <v>1875</v>
      </c>
      <c r="K36" s="2239"/>
      <c r="L36" s="2239"/>
      <c r="M36" s="2239"/>
      <c r="N36" s="2239">
        <v>55</v>
      </c>
      <c r="O36" s="2239"/>
      <c r="P36" s="2239"/>
      <c r="Q36" s="2239"/>
      <c r="R36" s="2240">
        <v>0</v>
      </c>
      <c r="S36" s="2240"/>
      <c r="T36" s="2240"/>
      <c r="U36" s="2240"/>
      <c r="V36" s="2240">
        <v>0</v>
      </c>
      <c r="W36" s="2240"/>
      <c r="X36" s="2240"/>
      <c r="Y36" s="2240"/>
      <c r="Z36" s="2240">
        <v>10</v>
      </c>
      <c r="AA36" s="2240"/>
      <c r="AB36" s="2240"/>
      <c r="AC36" s="2240"/>
      <c r="AD36" s="2240">
        <v>30</v>
      </c>
      <c r="AE36" s="2240"/>
      <c r="AF36" s="2240"/>
      <c r="AG36" s="2240"/>
      <c r="AH36" s="2240">
        <v>0</v>
      </c>
      <c r="AI36" s="2240"/>
      <c r="AJ36" s="2240"/>
      <c r="AK36" s="2240"/>
      <c r="AL36" s="2240">
        <v>0</v>
      </c>
      <c r="AM36" s="2240"/>
      <c r="AN36" s="2240"/>
      <c r="AO36" s="2241">
        <f>SUM(R36:AN36)</f>
        <v>40</v>
      </c>
      <c r="AP36" s="2241"/>
      <c r="AQ36" s="2241"/>
      <c r="AR36" s="2241"/>
      <c r="AS36" s="2241"/>
      <c r="AT36" s="2241"/>
      <c r="AU36" s="2242">
        <f>AO36/$J$29</f>
        <v>0.1941747572815534</v>
      </c>
      <c r="AV36" s="2242"/>
      <c r="AW36" s="2242"/>
      <c r="AX36" s="2242"/>
      <c r="AY36" s="2242"/>
      <c r="AZ36" s="2243"/>
      <c r="BA36" s="1207"/>
      <c r="BB36" s="1207"/>
      <c r="BC36" s="1207"/>
      <c r="BD36" s="1207"/>
      <c r="BE36" s="1213"/>
      <c r="BF36" s="1205"/>
    </row>
    <row r="37" spans="1:58" ht="15.75" customHeight="1">
      <c r="A37" s="1207"/>
      <c r="B37" s="2237" t="s">
        <v>2578</v>
      </c>
      <c r="C37" s="2238"/>
      <c r="D37" s="2238"/>
      <c r="E37" s="2238"/>
      <c r="F37" s="2238"/>
      <c r="G37" s="2238"/>
      <c r="H37" s="2238"/>
      <c r="I37" s="2238"/>
      <c r="J37" s="2239" t="s">
        <v>1876</v>
      </c>
      <c r="K37" s="2239"/>
      <c r="L37" s="2239"/>
      <c r="M37" s="2239"/>
      <c r="N37" s="2239">
        <v>55</v>
      </c>
      <c r="O37" s="2239"/>
      <c r="P37" s="2239"/>
      <c r="Q37" s="2239"/>
      <c r="R37" s="2240">
        <v>10</v>
      </c>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1">
        <f t="shared" ref="AO37:AO47" si="2">SUM(R37:AN37)</f>
        <v>10</v>
      </c>
      <c r="AP37" s="2241"/>
      <c r="AQ37" s="2241"/>
      <c r="AR37" s="2241"/>
      <c r="AS37" s="2241"/>
      <c r="AT37" s="2241"/>
      <c r="AU37" s="2242">
        <f t="shared" ref="AU37:AU47" si="3">AO37/$J$29</f>
        <v>4.8543689320388349E-2</v>
      </c>
      <c r="AV37" s="2242"/>
      <c r="AW37" s="2242"/>
      <c r="AX37" s="2242"/>
      <c r="AY37" s="2242"/>
      <c r="AZ37" s="2243"/>
      <c r="BA37" s="1207"/>
      <c r="BB37" s="1207"/>
      <c r="BC37" s="1207"/>
      <c r="BD37" s="1207"/>
      <c r="BE37" s="1213"/>
      <c r="BF37" s="1205"/>
    </row>
    <row r="38" spans="1:58" ht="15.75" customHeight="1">
      <c r="A38" s="1207"/>
      <c r="B38" s="2237" t="s">
        <v>2516</v>
      </c>
      <c r="C38" s="2238"/>
      <c r="D38" s="2238"/>
      <c r="E38" s="2238"/>
      <c r="F38" s="2238"/>
      <c r="G38" s="2238"/>
      <c r="H38" s="2238"/>
      <c r="I38" s="2238"/>
      <c r="J38" s="2239" t="s">
        <v>1877</v>
      </c>
      <c r="K38" s="2239"/>
      <c r="L38" s="2239"/>
      <c r="M38" s="2239"/>
      <c r="N38" s="2239">
        <v>55</v>
      </c>
      <c r="O38" s="2239"/>
      <c r="P38" s="2239"/>
      <c r="Q38" s="2239"/>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1">
        <f t="shared" si="2"/>
        <v>0</v>
      </c>
      <c r="AP38" s="2241"/>
      <c r="AQ38" s="2241"/>
      <c r="AR38" s="2241"/>
      <c r="AS38" s="2241"/>
      <c r="AT38" s="2241"/>
      <c r="AU38" s="2242">
        <f t="shared" si="3"/>
        <v>0</v>
      </c>
      <c r="AV38" s="2242"/>
      <c r="AW38" s="2242"/>
      <c r="AX38" s="2242"/>
      <c r="AY38" s="2242"/>
      <c r="AZ38" s="2243"/>
      <c r="BA38" s="1207"/>
      <c r="BB38" s="1207"/>
      <c r="BC38" s="1207"/>
      <c r="BD38" s="1207"/>
      <c r="BE38" s="1213"/>
      <c r="BF38" s="1205"/>
    </row>
    <row r="39" spans="1:58" ht="15.75" customHeight="1">
      <c r="A39" s="1207"/>
      <c r="B39" s="2237" t="s">
        <v>1878</v>
      </c>
      <c r="C39" s="2238"/>
      <c r="D39" s="2238"/>
      <c r="E39" s="2238"/>
      <c r="F39" s="2238"/>
      <c r="G39" s="2238"/>
      <c r="H39" s="2238"/>
      <c r="I39" s="2238"/>
      <c r="J39" s="2239"/>
      <c r="K39" s="2239"/>
      <c r="L39" s="2239"/>
      <c r="M39" s="2239"/>
      <c r="N39" s="2239"/>
      <c r="O39" s="2239"/>
      <c r="P39" s="2239"/>
      <c r="Q39" s="2239"/>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1">
        <f t="shared" si="2"/>
        <v>0</v>
      </c>
      <c r="AP39" s="2241"/>
      <c r="AQ39" s="2241"/>
      <c r="AR39" s="2241"/>
      <c r="AS39" s="2241"/>
      <c r="AT39" s="2241"/>
      <c r="AU39" s="2242">
        <f t="shared" si="3"/>
        <v>0</v>
      </c>
      <c r="AV39" s="2242"/>
      <c r="AW39" s="2242"/>
      <c r="AX39" s="2242"/>
      <c r="AY39" s="2242"/>
      <c r="AZ39" s="2243"/>
      <c r="BA39" s="1207"/>
      <c r="BB39" s="1207"/>
      <c r="BC39" s="1207"/>
      <c r="BD39" s="1207"/>
      <c r="BE39" s="1213"/>
    </row>
    <row r="40" spans="1:58" ht="15.75" customHeight="1">
      <c r="A40" s="1207"/>
      <c r="B40" s="2237" t="s">
        <v>1878</v>
      </c>
      <c r="C40" s="2238"/>
      <c r="D40" s="2238"/>
      <c r="E40" s="2238"/>
      <c r="F40" s="2238"/>
      <c r="G40" s="2238"/>
      <c r="H40" s="2238"/>
      <c r="I40" s="2238"/>
      <c r="J40" s="2239"/>
      <c r="K40" s="2239"/>
      <c r="L40" s="2239"/>
      <c r="M40" s="2239"/>
      <c r="N40" s="2239"/>
      <c r="O40" s="2239"/>
      <c r="P40" s="2239"/>
      <c r="Q40" s="2239"/>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1">
        <f t="shared" si="2"/>
        <v>0</v>
      </c>
      <c r="AP40" s="2241"/>
      <c r="AQ40" s="2241"/>
      <c r="AR40" s="2241"/>
      <c r="AS40" s="2241"/>
      <c r="AT40" s="2241"/>
      <c r="AU40" s="2242">
        <f t="shared" si="3"/>
        <v>0</v>
      </c>
      <c r="AV40" s="2242"/>
      <c r="AW40" s="2242"/>
      <c r="AX40" s="2242"/>
      <c r="AY40" s="2242"/>
      <c r="AZ40" s="2243"/>
      <c r="BA40" s="1207"/>
      <c r="BB40" s="1207"/>
      <c r="BC40" s="1207"/>
      <c r="BD40" s="1207"/>
      <c r="BE40" s="1213"/>
    </row>
    <row r="41" spans="1:58" ht="15.75" customHeight="1">
      <c r="A41" s="1207"/>
      <c r="B41" s="2237" t="s">
        <v>1879</v>
      </c>
      <c r="C41" s="2238"/>
      <c r="D41" s="2238"/>
      <c r="E41" s="2238"/>
      <c r="F41" s="2238"/>
      <c r="G41" s="2238"/>
      <c r="H41" s="2238"/>
      <c r="I41" s="2238"/>
      <c r="J41" s="2239"/>
      <c r="K41" s="2239"/>
      <c r="L41" s="2239"/>
      <c r="M41" s="2239"/>
      <c r="N41" s="2239"/>
      <c r="O41" s="2239"/>
      <c r="P41" s="2239"/>
      <c r="Q41" s="2239"/>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1">
        <f t="shared" si="2"/>
        <v>0</v>
      </c>
      <c r="AP41" s="2241"/>
      <c r="AQ41" s="2241"/>
      <c r="AR41" s="2241"/>
      <c r="AS41" s="2241"/>
      <c r="AT41" s="2241"/>
      <c r="AU41" s="2242">
        <f t="shared" si="3"/>
        <v>0</v>
      </c>
      <c r="AV41" s="2242"/>
      <c r="AW41" s="2242"/>
      <c r="AX41" s="2242"/>
      <c r="AY41" s="2242"/>
      <c r="AZ41" s="2243"/>
      <c r="BA41" s="1207"/>
      <c r="BB41" s="1207"/>
      <c r="BC41" s="1207"/>
      <c r="BD41" s="1207"/>
      <c r="BE41" s="1213"/>
    </row>
    <row r="42" spans="1:58" ht="15.75" customHeight="1">
      <c r="A42" s="1207"/>
      <c r="B42" s="2237" t="s">
        <v>1879</v>
      </c>
      <c r="C42" s="2238"/>
      <c r="D42" s="2238"/>
      <c r="E42" s="2238"/>
      <c r="F42" s="2238"/>
      <c r="G42" s="2238"/>
      <c r="H42" s="2238"/>
      <c r="I42" s="2238"/>
      <c r="J42" s="2239"/>
      <c r="K42" s="2239"/>
      <c r="L42" s="2239"/>
      <c r="M42" s="2239"/>
      <c r="N42" s="2239"/>
      <c r="O42" s="2239"/>
      <c r="P42" s="2239"/>
      <c r="Q42" s="2239"/>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1">
        <f t="shared" si="2"/>
        <v>0</v>
      </c>
      <c r="AP42" s="2241"/>
      <c r="AQ42" s="2241"/>
      <c r="AR42" s="2241"/>
      <c r="AS42" s="2241"/>
      <c r="AT42" s="2241"/>
      <c r="AU42" s="2242">
        <f t="shared" si="3"/>
        <v>0</v>
      </c>
      <c r="AV42" s="2242"/>
      <c r="AW42" s="2242"/>
      <c r="AX42" s="2242"/>
      <c r="AY42" s="2242"/>
      <c r="AZ42" s="2243"/>
      <c r="BA42" s="1207"/>
      <c r="BB42" s="1207"/>
      <c r="BC42" s="1207"/>
      <c r="BD42" s="1207"/>
      <c r="BE42" s="1213"/>
    </row>
    <row r="43" spans="1:58" ht="15.75" customHeight="1">
      <c r="A43" s="1207"/>
      <c r="B43" s="2244" t="s">
        <v>1880</v>
      </c>
      <c r="C43" s="2245"/>
      <c r="D43" s="2245"/>
      <c r="E43" s="2245"/>
      <c r="F43" s="2245"/>
      <c r="G43" s="2245"/>
      <c r="H43" s="2245"/>
      <c r="I43" s="2245"/>
      <c r="J43" s="2239"/>
      <c r="K43" s="2239"/>
      <c r="L43" s="2239"/>
      <c r="M43" s="2239"/>
      <c r="N43" s="2239"/>
      <c r="O43" s="2239"/>
      <c r="P43" s="2239"/>
      <c r="Q43" s="2239"/>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1">
        <f t="shared" si="2"/>
        <v>0</v>
      </c>
      <c r="AP43" s="2241"/>
      <c r="AQ43" s="2241"/>
      <c r="AR43" s="2241"/>
      <c r="AS43" s="2241"/>
      <c r="AT43" s="2241"/>
      <c r="AU43" s="2242">
        <f t="shared" si="3"/>
        <v>0</v>
      </c>
      <c r="AV43" s="2242"/>
      <c r="AW43" s="2242"/>
      <c r="AX43" s="2242"/>
      <c r="AY43" s="2242"/>
      <c r="AZ43" s="2243"/>
      <c r="BA43" s="1207"/>
      <c r="BB43" s="1207"/>
      <c r="BC43" s="1207"/>
      <c r="BD43" s="1207"/>
      <c r="BE43" s="1213"/>
    </row>
    <row r="44" spans="1:58" ht="15.75" customHeight="1">
      <c r="A44" s="1207"/>
      <c r="B44" s="2244" t="s">
        <v>1881</v>
      </c>
      <c r="C44" s="2245"/>
      <c r="D44" s="2245"/>
      <c r="E44" s="2245"/>
      <c r="F44" s="2245"/>
      <c r="G44" s="2245"/>
      <c r="H44" s="2245"/>
      <c r="I44" s="2245"/>
      <c r="J44" s="2239"/>
      <c r="K44" s="2239"/>
      <c r="L44" s="2239"/>
      <c r="M44" s="2239"/>
      <c r="N44" s="2239"/>
      <c r="O44" s="2239"/>
      <c r="P44" s="2239"/>
      <c r="Q44" s="2239"/>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1">
        <f t="shared" si="2"/>
        <v>0</v>
      </c>
      <c r="AP44" s="2241"/>
      <c r="AQ44" s="2241"/>
      <c r="AR44" s="2241"/>
      <c r="AS44" s="2241"/>
      <c r="AT44" s="2241"/>
      <c r="AU44" s="2242">
        <f t="shared" si="3"/>
        <v>0</v>
      </c>
      <c r="AV44" s="2242"/>
      <c r="AW44" s="2242"/>
      <c r="AX44" s="2242"/>
      <c r="AY44" s="2242"/>
      <c r="AZ44" s="2243"/>
      <c r="BA44" s="1207"/>
      <c r="BB44" s="1207"/>
      <c r="BC44" s="1207"/>
      <c r="BD44" s="1207"/>
      <c r="BE44" s="1213"/>
    </row>
    <row r="45" spans="1:58" ht="15.75" customHeight="1">
      <c r="A45" s="1207"/>
      <c r="B45" s="2244" t="s">
        <v>1882</v>
      </c>
      <c r="C45" s="2245"/>
      <c r="D45" s="2245"/>
      <c r="E45" s="2245"/>
      <c r="F45" s="2245"/>
      <c r="G45" s="2245"/>
      <c r="H45" s="2245"/>
      <c r="I45" s="2245"/>
      <c r="J45" s="2239"/>
      <c r="K45" s="2239"/>
      <c r="L45" s="2239"/>
      <c r="M45" s="2239"/>
      <c r="N45" s="2239"/>
      <c r="O45" s="2239"/>
      <c r="P45" s="2239"/>
      <c r="Q45" s="2239"/>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1">
        <f t="shared" si="2"/>
        <v>0</v>
      </c>
      <c r="AP45" s="2241"/>
      <c r="AQ45" s="2241"/>
      <c r="AR45" s="2241"/>
      <c r="AS45" s="2241"/>
      <c r="AT45" s="2241"/>
      <c r="AU45" s="2242">
        <f t="shared" si="3"/>
        <v>0</v>
      </c>
      <c r="AV45" s="2242"/>
      <c r="AW45" s="2242"/>
      <c r="AX45" s="2242"/>
      <c r="AY45" s="2242"/>
      <c r="AZ45" s="2243"/>
      <c r="BA45" s="1207"/>
      <c r="BB45" s="1207"/>
      <c r="BC45" s="1207"/>
      <c r="BD45" s="1207"/>
      <c r="BE45" s="1213"/>
    </row>
    <row r="46" spans="1:58" ht="15.75" customHeight="1">
      <c r="A46" s="1207"/>
      <c r="B46" s="2244" t="s">
        <v>1883</v>
      </c>
      <c r="C46" s="2245"/>
      <c r="D46" s="2245"/>
      <c r="E46" s="2245"/>
      <c r="F46" s="2245"/>
      <c r="G46" s="2245"/>
      <c r="H46" s="2245"/>
      <c r="I46" s="2245"/>
      <c r="J46" s="2239"/>
      <c r="K46" s="2239"/>
      <c r="L46" s="2239"/>
      <c r="M46" s="2239"/>
      <c r="N46" s="2239">
        <v>99</v>
      </c>
      <c r="O46" s="2239"/>
      <c r="P46" s="2239"/>
      <c r="Q46" s="2239"/>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1">
        <f t="shared" si="2"/>
        <v>0</v>
      </c>
      <c r="AP46" s="2241"/>
      <c r="AQ46" s="2241"/>
      <c r="AR46" s="2241"/>
      <c r="AS46" s="2241"/>
      <c r="AT46" s="2241"/>
      <c r="AU46" s="2242">
        <f t="shared" si="3"/>
        <v>0</v>
      </c>
      <c r="AV46" s="2242"/>
      <c r="AW46" s="2242"/>
      <c r="AX46" s="2242"/>
      <c r="AY46" s="2242"/>
      <c r="AZ46" s="2243"/>
      <c r="BA46" s="1207"/>
      <c r="BB46" s="1207"/>
      <c r="BC46" s="1207"/>
      <c r="BD46" s="1207"/>
      <c r="BE46" s="1213"/>
    </row>
    <row r="47" spans="1:58" ht="15.75" customHeight="1" thickBot="1">
      <c r="A47" s="1207"/>
      <c r="B47" s="2248" t="s">
        <v>301</v>
      </c>
      <c r="C47" s="2249"/>
      <c r="D47" s="2249"/>
      <c r="E47" s="2249"/>
      <c r="F47" s="2249"/>
      <c r="G47" s="2249"/>
      <c r="H47" s="2249"/>
      <c r="I47" s="2249"/>
      <c r="J47" s="2250"/>
      <c r="K47" s="2250"/>
      <c r="L47" s="2250"/>
      <c r="M47" s="2250"/>
      <c r="N47" s="2250"/>
      <c r="O47" s="2250"/>
      <c r="P47" s="2250"/>
      <c r="Q47" s="2250"/>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5">
        <f t="shared" si="2"/>
        <v>0</v>
      </c>
      <c r="AP47" s="2255"/>
      <c r="AQ47" s="2255"/>
      <c r="AR47" s="2255"/>
      <c r="AS47" s="2255"/>
      <c r="AT47" s="2255"/>
      <c r="AU47" s="2246">
        <f t="shared" si="3"/>
        <v>0</v>
      </c>
      <c r="AV47" s="2246"/>
      <c r="AW47" s="2246"/>
      <c r="AX47" s="2246"/>
      <c r="AY47" s="2246"/>
      <c r="AZ47" s="2247"/>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4" t="s">
        <v>1884</v>
      </c>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2" t="s">
        <v>1885</v>
      </c>
      <c r="C51" s="2253"/>
      <c r="D51" s="2253"/>
      <c r="E51" s="2253"/>
      <c r="F51" s="2253"/>
      <c r="G51" s="2253"/>
      <c r="H51" s="2253"/>
      <c r="I51" s="2253"/>
      <c r="J51" s="2253" t="s">
        <v>2580</v>
      </c>
      <c r="K51" s="2253"/>
      <c r="L51" s="2253"/>
      <c r="M51" s="2253"/>
      <c r="N51" s="2253"/>
      <c r="O51" s="2253"/>
      <c r="P51" s="2253"/>
      <c r="Q51" s="2253"/>
      <c r="R51" s="2234" t="s">
        <v>2581</v>
      </c>
      <c r="S51" s="2234"/>
      <c r="T51" s="2234"/>
      <c r="U51" s="2234"/>
      <c r="V51" s="2234"/>
      <c r="W51" s="2234"/>
      <c r="X51" s="2234"/>
      <c r="Y51" s="2234"/>
      <c r="Z51" s="2234" t="s">
        <v>1886</v>
      </c>
      <c r="AA51" s="2234"/>
      <c r="AB51" s="2234"/>
      <c r="AC51" s="2234"/>
      <c r="AD51" s="2234"/>
      <c r="AE51" s="2234"/>
      <c r="AF51" s="2234"/>
      <c r="AG51" s="2234"/>
      <c r="AH51" s="2234" t="s">
        <v>1887</v>
      </c>
      <c r="AI51" s="2234"/>
      <c r="AJ51" s="2234"/>
      <c r="AK51" s="2234"/>
      <c r="AL51" s="2234"/>
      <c r="AM51" s="2234"/>
      <c r="AN51" s="2234"/>
      <c r="AO51" s="225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4" t="s">
        <v>2260</v>
      </c>
      <c r="C52" s="2245"/>
      <c r="D52" s="2245"/>
      <c r="E52" s="2245"/>
      <c r="F52" s="2245"/>
      <c r="G52" s="2245"/>
      <c r="H52" s="2245"/>
      <c r="I52" s="2245"/>
      <c r="J52" s="2256">
        <v>0</v>
      </c>
      <c r="K52" s="2256"/>
      <c r="L52" s="2256"/>
      <c r="M52" s="2256"/>
      <c r="N52" s="2256"/>
      <c r="O52" s="2256"/>
      <c r="P52" s="2256"/>
      <c r="Q52" s="2256"/>
      <c r="R52" s="2257">
        <v>0</v>
      </c>
      <c r="S52" s="2257"/>
      <c r="T52" s="2257"/>
      <c r="U52" s="2257"/>
      <c r="V52" s="2257"/>
      <c r="W52" s="2257"/>
      <c r="X52" s="2257"/>
      <c r="Y52" s="2257"/>
      <c r="Z52" s="2258">
        <v>0</v>
      </c>
      <c r="AA52" s="2258"/>
      <c r="AB52" s="2258"/>
      <c r="AC52" s="2258"/>
      <c r="AD52" s="2258"/>
      <c r="AE52" s="2258"/>
      <c r="AF52" s="2258"/>
      <c r="AG52" s="2258"/>
      <c r="AH52" s="2259"/>
      <c r="AI52" s="2259"/>
      <c r="AJ52" s="2259"/>
      <c r="AK52" s="2259"/>
      <c r="AL52" s="2259"/>
      <c r="AM52" s="2259"/>
      <c r="AN52" s="2259"/>
      <c r="AO52" s="226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4" t="s">
        <v>2261</v>
      </c>
      <c r="C53" s="2245"/>
      <c r="D53" s="2245"/>
      <c r="E53" s="2245"/>
      <c r="F53" s="2245"/>
      <c r="G53" s="2245"/>
      <c r="H53" s="2245"/>
      <c r="I53" s="2245"/>
      <c r="J53" s="2256">
        <v>0</v>
      </c>
      <c r="K53" s="2256"/>
      <c r="L53" s="2256"/>
      <c r="M53" s="2256"/>
      <c r="N53" s="2256"/>
      <c r="O53" s="2256"/>
      <c r="P53" s="2256"/>
      <c r="Q53" s="2256"/>
      <c r="R53" s="2257">
        <v>0</v>
      </c>
      <c r="S53" s="2257"/>
      <c r="T53" s="2257"/>
      <c r="U53" s="2257"/>
      <c r="V53" s="2257"/>
      <c r="W53" s="2257"/>
      <c r="X53" s="2257"/>
      <c r="Y53" s="2257"/>
      <c r="Z53" s="2258">
        <v>0</v>
      </c>
      <c r="AA53" s="2258"/>
      <c r="AB53" s="2258"/>
      <c r="AC53" s="2258"/>
      <c r="AD53" s="2258"/>
      <c r="AE53" s="2258"/>
      <c r="AF53" s="2258"/>
      <c r="AG53" s="2258"/>
      <c r="AH53" s="2259"/>
      <c r="AI53" s="2259"/>
      <c r="AJ53" s="2259"/>
      <c r="AK53" s="2259"/>
      <c r="AL53" s="2259"/>
      <c r="AM53" s="2259"/>
      <c r="AN53" s="2259"/>
      <c r="AO53" s="226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4"/>
      <c r="C54" s="2245"/>
      <c r="D54" s="2245"/>
      <c r="E54" s="2245"/>
      <c r="F54" s="2245"/>
      <c r="G54" s="2245"/>
      <c r="H54" s="2245"/>
      <c r="I54" s="2245"/>
      <c r="J54" s="2256"/>
      <c r="K54" s="2256"/>
      <c r="L54" s="2256"/>
      <c r="M54" s="2256"/>
      <c r="N54" s="2256"/>
      <c r="O54" s="2256"/>
      <c r="P54" s="2256"/>
      <c r="Q54" s="2256"/>
      <c r="R54" s="2257"/>
      <c r="S54" s="2257"/>
      <c r="T54" s="2257"/>
      <c r="U54" s="2257"/>
      <c r="V54" s="2257"/>
      <c r="W54" s="2257"/>
      <c r="X54" s="2257"/>
      <c r="Y54" s="2257"/>
      <c r="Z54" s="2258"/>
      <c r="AA54" s="2258"/>
      <c r="AB54" s="2258"/>
      <c r="AC54" s="2258"/>
      <c r="AD54" s="2258"/>
      <c r="AE54" s="2258"/>
      <c r="AF54" s="2258"/>
      <c r="AG54" s="2258"/>
      <c r="AH54" s="2259"/>
      <c r="AI54" s="2259"/>
      <c r="AJ54" s="2259"/>
      <c r="AK54" s="2259"/>
      <c r="AL54" s="2259"/>
      <c r="AM54" s="2259"/>
      <c r="AN54" s="2259"/>
      <c r="AO54" s="226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4"/>
      <c r="C55" s="2245"/>
      <c r="D55" s="2245"/>
      <c r="E55" s="2245"/>
      <c r="F55" s="2245"/>
      <c r="G55" s="2245"/>
      <c r="H55" s="2245"/>
      <c r="I55" s="2245"/>
      <c r="J55" s="2256"/>
      <c r="K55" s="2256"/>
      <c r="L55" s="2256"/>
      <c r="M55" s="2256"/>
      <c r="N55" s="2256"/>
      <c r="O55" s="2256"/>
      <c r="P55" s="2256"/>
      <c r="Q55" s="2256"/>
      <c r="R55" s="2257"/>
      <c r="S55" s="2257"/>
      <c r="T55" s="2257"/>
      <c r="U55" s="2257"/>
      <c r="V55" s="2257"/>
      <c r="W55" s="2257"/>
      <c r="X55" s="2257"/>
      <c r="Y55" s="2257"/>
      <c r="Z55" s="2258"/>
      <c r="AA55" s="2258"/>
      <c r="AB55" s="2258"/>
      <c r="AC55" s="2258"/>
      <c r="AD55" s="2258"/>
      <c r="AE55" s="2258"/>
      <c r="AF55" s="2258"/>
      <c r="AG55" s="2258"/>
      <c r="AH55" s="2259"/>
      <c r="AI55" s="2259"/>
      <c r="AJ55" s="2259"/>
      <c r="AK55" s="2259"/>
      <c r="AL55" s="2259"/>
      <c r="AM55" s="2259"/>
      <c r="AN55" s="2259"/>
      <c r="AO55" s="226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4"/>
      <c r="C56" s="2245"/>
      <c r="D56" s="2245"/>
      <c r="E56" s="2245"/>
      <c r="F56" s="2245"/>
      <c r="G56" s="2245"/>
      <c r="H56" s="2245"/>
      <c r="I56" s="2245"/>
      <c r="J56" s="2256"/>
      <c r="K56" s="2256"/>
      <c r="L56" s="2256"/>
      <c r="M56" s="2256"/>
      <c r="N56" s="2256"/>
      <c r="O56" s="2256"/>
      <c r="P56" s="2256"/>
      <c r="Q56" s="2256"/>
      <c r="R56" s="2257"/>
      <c r="S56" s="2257"/>
      <c r="T56" s="2257"/>
      <c r="U56" s="2257"/>
      <c r="V56" s="2257"/>
      <c r="W56" s="2257"/>
      <c r="X56" s="2257"/>
      <c r="Y56" s="2257"/>
      <c r="Z56" s="2258"/>
      <c r="AA56" s="2258"/>
      <c r="AB56" s="2258"/>
      <c r="AC56" s="2258"/>
      <c r="AD56" s="2258"/>
      <c r="AE56" s="2258"/>
      <c r="AF56" s="2258"/>
      <c r="AG56" s="2258"/>
      <c r="AH56" s="2259"/>
      <c r="AI56" s="2259"/>
      <c r="AJ56" s="2259"/>
      <c r="AK56" s="2259"/>
      <c r="AL56" s="2259"/>
      <c r="AM56" s="2259"/>
      <c r="AN56" s="2259"/>
      <c r="AO56" s="226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0" t="s">
        <v>1764</v>
      </c>
      <c r="C57" s="2271"/>
      <c r="D57" s="2271"/>
      <c r="E57" s="2271"/>
      <c r="F57" s="2271"/>
      <c r="G57" s="2271"/>
      <c r="H57" s="2271"/>
      <c r="I57" s="2271"/>
      <c r="J57" s="2271"/>
      <c r="K57" s="2271"/>
      <c r="L57" s="2271"/>
      <c r="M57" s="2271"/>
      <c r="N57" s="2271"/>
      <c r="O57" s="2271"/>
      <c r="P57" s="2271"/>
      <c r="Q57" s="2271"/>
      <c r="R57" s="2272">
        <f>SUM(R52:Y56)</f>
        <v>0</v>
      </c>
      <c r="S57" s="2272"/>
      <c r="T57" s="2272"/>
      <c r="U57" s="2272"/>
      <c r="V57" s="2272"/>
      <c r="W57" s="2272"/>
      <c r="X57" s="2272"/>
      <c r="Y57" s="2272"/>
      <c r="Z57" s="2273">
        <f>SUM(Z52:AG56)</f>
        <v>0</v>
      </c>
      <c r="AA57" s="2273"/>
      <c r="AB57" s="2273"/>
      <c r="AC57" s="2273"/>
      <c r="AD57" s="2273"/>
      <c r="AE57" s="2273"/>
      <c r="AF57" s="2273"/>
      <c r="AG57" s="2273"/>
      <c r="AH57" s="2274"/>
      <c r="AI57" s="2274"/>
      <c r="AJ57" s="2274"/>
      <c r="AK57" s="2274"/>
      <c r="AL57" s="2274"/>
      <c r="AM57" s="2274"/>
      <c r="AN57" s="2274"/>
      <c r="AO57" s="2275"/>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1" t="s">
        <v>1885</v>
      </c>
      <c r="C59" s="2262"/>
      <c r="D59" s="2262"/>
      <c r="E59" s="2262"/>
      <c r="F59" s="2262"/>
      <c r="G59" s="2262"/>
      <c r="H59" s="2262"/>
      <c r="I59" s="2263"/>
      <c r="J59" s="2187" t="s">
        <v>2582</v>
      </c>
      <c r="K59" s="2187"/>
      <c r="L59" s="2187"/>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c r="AS59" s="2187"/>
      <c r="AT59" s="2187"/>
      <c r="AU59" s="2187"/>
      <c r="AV59" s="2187"/>
      <c r="AW59" s="2188"/>
      <c r="AX59" s="1207"/>
      <c r="AY59" s="1207"/>
      <c r="AZ59" s="1207"/>
      <c r="BA59" s="1207"/>
      <c r="BB59" s="1207"/>
      <c r="BC59" s="1207"/>
      <c r="BD59" s="1207"/>
      <c r="BE59" s="1213"/>
    </row>
    <row r="60" spans="1:58" ht="15.75" customHeight="1">
      <c r="A60" s="1207"/>
      <c r="B60" s="2264" t="str">
        <f>IF(B52="", "", B52)</f>
        <v>Services Company 1</v>
      </c>
      <c r="C60" s="2265"/>
      <c r="D60" s="2265"/>
      <c r="E60" s="2265"/>
      <c r="F60" s="2265"/>
      <c r="G60" s="2265"/>
      <c r="H60" s="2265"/>
      <c r="I60" s="2266"/>
      <c r="J60" s="2267"/>
      <c r="K60" s="2268"/>
      <c r="L60" s="2268"/>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c r="AS60" s="2268"/>
      <c r="AT60" s="2268"/>
      <c r="AU60" s="2268"/>
      <c r="AV60" s="2268"/>
      <c r="AW60" s="2269"/>
      <c r="AX60" s="1207"/>
      <c r="AY60" s="1207"/>
      <c r="AZ60" s="1207"/>
      <c r="BA60" s="1207"/>
      <c r="BB60" s="1207"/>
      <c r="BC60" s="1207"/>
      <c r="BD60" s="1207"/>
      <c r="BE60" s="1213"/>
    </row>
    <row r="61" spans="1:58" ht="15.75" customHeight="1">
      <c r="A61" s="1207"/>
      <c r="B61" s="2264" t="str">
        <f>IF(B53="", "", B53)</f>
        <v>Services Company 2</v>
      </c>
      <c r="C61" s="2265"/>
      <c r="D61" s="2265"/>
      <c r="E61" s="2265"/>
      <c r="F61" s="2265"/>
      <c r="G61" s="2265"/>
      <c r="H61" s="2265"/>
      <c r="I61" s="2266"/>
      <c r="J61" s="2267"/>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9"/>
      <c r="AX61" s="1207"/>
      <c r="AY61" s="1207"/>
      <c r="AZ61" s="1207"/>
      <c r="BA61" s="1207"/>
      <c r="BB61" s="1207"/>
      <c r="BC61" s="1207"/>
      <c r="BD61" s="1207"/>
      <c r="BE61" s="1213"/>
    </row>
    <row r="62" spans="1:58" ht="15.75" customHeight="1">
      <c r="A62" s="1207"/>
      <c r="B62" s="2264" t="str">
        <f>IF(B54="", "", B54)</f>
        <v/>
      </c>
      <c r="C62" s="2265"/>
      <c r="D62" s="2265"/>
      <c r="E62" s="2265"/>
      <c r="F62" s="2265"/>
      <c r="G62" s="2265"/>
      <c r="H62" s="2265"/>
      <c r="I62" s="2266"/>
      <c r="J62" s="2267"/>
      <c r="K62" s="2268"/>
      <c r="L62" s="22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c r="AS62" s="2268"/>
      <c r="AT62" s="2268"/>
      <c r="AU62" s="2268"/>
      <c r="AV62" s="2268"/>
      <c r="AW62" s="2269"/>
      <c r="AX62" s="1207"/>
      <c r="AY62" s="1207"/>
      <c r="AZ62" s="1207"/>
      <c r="BA62" s="1207"/>
      <c r="BB62" s="1207"/>
      <c r="BC62" s="1207"/>
      <c r="BD62" s="1207"/>
      <c r="BE62" s="1213"/>
    </row>
    <row r="63" spans="1:58" ht="15.75" customHeight="1">
      <c r="A63" s="1207"/>
      <c r="B63" s="2264" t="str">
        <f>IF(B55="", "", B55)</f>
        <v/>
      </c>
      <c r="C63" s="2265"/>
      <c r="D63" s="2265"/>
      <c r="E63" s="2265"/>
      <c r="F63" s="2265"/>
      <c r="G63" s="2265"/>
      <c r="H63" s="2265"/>
      <c r="I63" s="2266"/>
      <c r="J63" s="2267"/>
      <c r="K63" s="2268"/>
      <c r="L63" s="2268"/>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c r="AS63" s="2268"/>
      <c r="AT63" s="2268"/>
      <c r="AU63" s="2268"/>
      <c r="AV63" s="2268"/>
      <c r="AW63" s="2269"/>
      <c r="AX63" s="1207"/>
      <c r="AY63" s="1207"/>
      <c r="AZ63" s="1207"/>
      <c r="BA63" s="1207"/>
      <c r="BB63" s="1207"/>
      <c r="BC63" s="1207"/>
      <c r="BD63" s="1207"/>
      <c r="BE63" s="1213"/>
    </row>
    <row r="64" spans="1:58" ht="15.75" customHeight="1" thickBot="1">
      <c r="A64" s="1207"/>
      <c r="B64" s="2289" t="str">
        <f>IF(B56="", "", B56)</f>
        <v/>
      </c>
      <c r="C64" s="2290"/>
      <c r="D64" s="2290"/>
      <c r="E64" s="2290"/>
      <c r="F64" s="2290"/>
      <c r="G64" s="2290"/>
      <c r="H64" s="2290"/>
      <c r="I64" s="2291"/>
      <c r="J64" s="2292"/>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AV64" s="2293"/>
      <c r="AW64" s="229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6" t="s">
        <v>1889</v>
      </c>
      <c r="C68" s="2187"/>
      <c r="D68" s="2187"/>
      <c r="E68" s="2187"/>
      <c r="F68" s="2187"/>
      <c r="G68" s="2187"/>
      <c r="H68" s="2187"/>
      <c r="I68" s="2187"/>
      <c r="J68" s="2187"/>
      <c r="K68" s="2187"/>
      <c r="L68" s="2187"/>
      <c r="M68" s="2187"/>
      <c r="N68" s="2187"/>
      <c r="O68" s="2187"/>
      <c r="P68" s="2187"/>
      <c r="Q68" s="2187"/>
      <c r="R68" s="2187"/>
      <c r="S68" s="2187"/>
      <c r="T68" s="2187"/>
      <c r="U68" s="2187"/>
      <c r="V68" s="2187"/>
      <c r="W68" s="2187"/>
      <c r="X68" s="2187"/>
      <c r="Y68" s="2187"/>
      <c r="Z68" s="2187"/>
      <c r="AA68" s="2188"/>
      <c r="AB68" s="1207"/>
      <c r="AC68" s="2301" t="s">
        <v>1890</v>
      </c>
      <c r="AD68" s="2302"/>
      <c r="AE68" s="2302"/>
      <c r="AF68" s="2302"/>
      <c r="AG68" s="2302"/>
      <c r="AH68" s="2302"/>
      <c r="AI68" s="2302"/>
      <c r="AJ68" s="2302"/>
      <c r="AK68" s="2302"/>
      <c r="AL68" s="2302"/>
      <c r="AM68" s="2302"/>
      <c r="AN68" s="2302"/>
      <c r="AO68" s="2302"/>
      <c r="AP68" s="2302"/>
      <c r="AQ68" s="2302"/>
      <c r="AR68" s="2302"/>
      <c r="AS68" s="2302"/>
      <c r="AT68" s="2302"/>
      <c r="AU68" s="2302"/>
      <c r="AV68" s="2276" t="s">
        <v>678</v>
      </c>
      <c r="AW68" s="2277"/>
      <c r="AX68" s="2277"/>
      <c r="AY68" s="2277"/>
      <c r="AZ68" s="2277"/>
      <c r="BA68" s="2277"/>
      <c r="BB68" s="2277"/>
      <c r="BC68" s="2278"/>
      <c r="BD68" s="1207"/>
      <c r="BE68" s="1213"/>
      <c r="BM68" s="1218" t="s">
        <v>2583</v>
      </c>
    </row>
    <row r="69" spans="1:65" ht="15.75" customHeight="1" thickTop="1" thickBot="1">
      <c r="A69" s="1207"/>
      <c r="B69" s="2279" t="s">
        <v>1891</v>
      </c>
      <c r="C69" s="2280"/>
      <c r="D69" s="2280"/>
      <c r="E69" s="2280"/>
      <c r="F69" s="2280"/>
      <c r="G69" s="2280"/>
      <c r="H69" s="2280"/>
      <c r="I69" s="2280"/>
      <c r="J69" s="2280"/>
      <c r="K69" s="2280"/>
      <c r="L69" s="2280"/>
      <c r="M69" s="2280"/>
      <c r="N69" s="2280"/>
      <c r="O69" s="2281" t="s">
        <v>1892</v>
      </c>
      <c r="P69" s="2282"/>
      <c r="Q69" s="2282"/>
      <c r="R69" s="2282"/>
      <c r="S69" s="2282"/>
      <c r="T69" s="2282"/>
      <c r="U69" s="2282"/>
      <c r="V69" s="2282"/>
      <c r="W69" s="2282"/>
      <c r="X69" s="2282"/>
      <c r="Y69" s="2282"/>
      <c r="Z69" s="2282"/>
      <c r="AA69" s="2283"/>
      <c r="AB69" s="1207"/>
      <c r="AC69" s="2284" t="s">
        <v>1893</v>
      </c>
      <c r="AD69" s="2285"/>
      <c r="AE69" s="2285"/>
      <c r="AF69" s="2285"/>
      <c r="AG69" s="2285"/>
      <c r="AH69" s="2285"/>
      <c r="AI69" s="2285"/>
      <c r="AJ69" s="2285"/>
      <c r="AK69" s="2285"/>
      <c r="AL69" s="2285"/>
      <c r="AM69" s="2285"/>
      <c r="AN69" s="2285"/>
      <c r="AO69" s="2285"/>
      <c r="AP69" s="2285"/>
      <c r="AQ69" s="2285"/>
      <c r="AR69" s="2285"/>
      <c r="AS69" s="2285"/>
      <c r="AT69" s="2285"/>
      <c r="AU69" s="2285"/>
      <c r="AV69" s="2286"/>
      <c r="AW69" s="2287"/>
      <c r="AX69" s="2287"/>
      <c r="AY69" s="2287"/>
      <c r="AZ69" s="2287"/>
      <c r="BA69" s="2287"/>
      <c r="BB69" s="2287"/>
      <c r="BC69" s="2288"/>
      <c r="BD69" s="1207"/>
      <c r="BE69" s="1213"/>
      <c r="BM69" s="1219" t="s">
        <v>554</v>
      </c>
    </row>
    <row r="70" spans="1:65" ht="15.75" customHeight="1">
      <c r="A70" s="1207"/>
      <c r="B70" s="2237" t="s">
        <v>2584</v>
      </c>
      <c r="C70" s="2238"/>
      <c r="D70" s="2238"/>
      <c r="E70" s="2238"/>
      <c r="F70" s="2238"/>
      <c r="G70" s="2238"/>
      <c r="H70" s="2238"/>
      <c r="I70" s="2238"/>
      <c r="J70" s="2238"/>
      <c r="K70" s="2238"/>
      <c r="L70" s="2238"/>
      <c r="M70" s="2238"/>
      <c r="N70" s="2238"/>
      <c r="O70" s="2295">
        <v>0</v>
      </c>
      <c r="P70" s="2295"/>
      <c r="Q70" s="2295"/>
      <c r="R70" s="2295"/>
      <c r="S70" s="2295"/>
      <c r="T70" s="2295"/>
      <c r="U70" s="2295"/>
      <c r="V70" s="2295"/>
      <c r="W70" s="2295"/>
      <c r="X70" s="2295"/>
      <c r="Y70" s="2295"/>
      <c r="Z70" s="2295"/>
      <c r="AA70" s="2296"/>
      <c r="AB70" s="1207"/>
      <c r="AC70" s="2224" t="s">
        <v>1894</v>
      </c>
      <c r="AD70" s="2225"/>
      <c r="AE70" s="2225"/>
      <c r="AF70" s="2297"/>
      <c r="AG70" s="2297"/>
      <c r="AH70" s="2297"/>
      <c r="AI70" s="2297"/>
      <c r="AJ70" s="2297"/>
      <c r="AK70" s="2297"/>
      <c r="AL70" s="2297"/>
      <c r="AM70" s="2297"/>
      <c r="AN70" s="2297"/>
      <c r="AO70" s="2297"/>
      <c r="AP70" s="2297"/>
      <c r="AQ70" s="2297"/>
      <c r="AR70" s="2297"/>
      <c r="AS70" s="2297"/>
      <c r="AT70" s="2297"/>
      <c r="AU70" s="2298"/>
      <c r="AV70" s="1207"/>
      <c r="AW70" s="1207"/>
      <c r="AX70" s="1207"/>
      <c r="AY70" s="1207"/>
      <c r="AZ70" s="1207"/>
      <c r="BA70" s="1207"/>
      <c r="BB70" s="1207"/>
      <c r="BC70" s="1207"/>
      <c r="BD70" s="1207"/>
      <c r="BE70" s="1213"/>
      <c r="BM70" s="1220" t="s">
        <v>678</v>
      </c>
    </row>
    <row r="71" spans="1:65" ht="15.75" customHeight="1" thickBot="1">
      <c r="A71" s="1207"/>
      <c r="B71" s="2237" t="s">
        <v>2585</v>
      </c>
      <c r="C71" s="2238"/>
      <c r="D71" s="2238"/>
      <c r="E71" s="2238"/>
      <c r="F71" s="2238"/>
      <c r="G71" s="2238"/>
      <c r="H71" s="2238"/>
      <c r="I71" s="2238"/>
      <c r="J71" s="2238"/>
      <c r="K71" s="2238"/>
      <c r="L71" s="2238"/>
      <c r="M71" s="2238"/>
      <c r="N71" s="2238"/>
      <c r="O71" s="2295">
        <v>0</v>
      </c>
      <c r="P71" s="2295"/>
      <c r="Q71" s="2295"/>
      <c r="R71" s="2295"/>
      <c r="S71" s="2295"/>
      <c r="T71" s="2295"/>
      <c r="U71" s="2295"/>
      <c r="V71" s="2295"/>
      <c r="W71" s="2295"/>
      <c r="X71" s="2295"/>
      <c r="Y71" s="2295"/>
      <c r="Z71" s="2295"/>
      <c r="AA71" s="2296"/>
      <c r="AB71" s="1207"/>
      <c r="AC71" s="2299" t="s">
        <v>1895</v>
      </c>
      <c r="AD71" s="2300"/>
      <c r="AE71" s="2300"/>
      <c r="AF71" s="2293"/>
      <c r="AG71" s="2293"/>
      <c r="AH71" s="2293"/>
      <c r="AI71" s="2293"/>
      <c r="AJ71" s="2293"/>
      <c r="AK71" s="2293"/>
      <c r="AL71" s="2293"/>
      <c r="AM71" s="2293"/>
      <c r="AN71" s="2293"/>
      <c r="AO71" s="2293"/>
      <c r="AP71" s="2293"/>
      <c r="AQ71" s="2293"/>
      <c r="AR71" s="2293"/>
      <c r="AS71" s="2293"/>
      <c r="AT71" s="2293"/>
      <c r="AU71" s="2294"/>
      <c r="AV71" s="1207"/>
      <c r="AW71" s="1207"/>
      <c r="AX71" s="1207"/>
      <c r="AY71" s="1207"/>
      <c r="AZ71" s="1207"/>
      <c r="BA71" s="1207"/>
      <c r="BB71" s="1207"/>
      <c r="BC71" s="1207"/>
      <c r="BD71" s="1207"/>
      <c r="BE71" s="1213"/>
      <c r="BM71" s="1204" t="s">
        <v>2586</v>
      </c>
    </row>
    <row r="72" spans="1:65" ht="15.75" customHeight="1">
      <c r="A72" s="1207"/>
      <c r="B72" s="2237" t="s">
        <v>2587</v>
      </c>
      <c r="C72" s="2238"/>
      <c r="D72" s="2238"/>
      <c r="E72" s="2238"/>
      <c r="F72" s="2238"/>
      <c r="G72" s="2238"/>
      <c r="H72" s="2238"/>
      <c r="I72" s="2238"/>
      <c r="J72" s="2238"/>
      <c r="K72" s="2238"/>
      <c r="L72" s="2238"/>
      <c r="M72" s="2238"/>
      <c r="N72" s="2238"/>
      <c r="O72" s="2295">
        <v>0</v>
      </c>
      <c r="P72" s="2295"/>
      <c r="Q72" s="2295"/>
      <c r="R72" s="2295"/>
      <c r="S72" s="2295"/>
      <c r="T72" s="2295"/>
      <c r="U72" s="2295"/>
      <c r="V72" s="2295"/>
      <c r="W72" s="2295"/>
      <c r="X72" s="2295"/>
      <c r="Y72" s="2295"/>
      <c r="Z72" s="2295"/>
      <c r="AA72" s="2296"/>
      <c r="AB72" s="1207"/>
      <c r="AC72" s="2303" t="s">
        <v>2588</v>
      </c>
      <c r="AD72" s="2304"/>
      <c r="AE72" s="2304"/>
      <c r="AF72" s="2304"/>
      <c r="AG72" s="2304"/>
      <c r="AH72" s="2304"/>
      <c r="AI72" s="2304"/>
      <c r="AJ72" s="2304"/>
      <c r="AK72" s="2304"/>
      <c r="AL72" s="2304"/>
      <c r="AM72" s="2304"/>
      <c r="AN72" s="2304"/>
      <c r="AO72" s="2304"/>
      <c r="AP72" s="2304"/>
      <c r="AQ72" s="2304"/>
      <c r="AR72" s="2304"/>
      <c r="AS72" s="2304"/>
      <c r="AT72" s="2304"/>
      <c r="AU72" s="2304"/>
      <c r="AV72" s="2225"/>
      <c r="AW72" s="2225"/>
      <c r="AX72" s="2225"/>
      <c r="AY72" s="2225"/>
      <c r="AZ72" s="2225"/>
      <c r="BA72" s="2225"/>
      <c r="BB72" s="2225"/>
      <c r="BC72" s="2226"/>
      <c r="BD72" s="1207"/>
      <c r="BE72" s="1213"/>
    </row>
    <row r="73" spans="1:65" ht="15.75" customHeight="1">
      <c r="A73" s="1207"/>
      <c r="B73" s="2244" t="s">
        <v>2589</v>
      </c>
      <c r="C73" s="2245"/>
      <c r="D73" s="2245"/>
      <c r="E73" s="2245"/>
      <c r="F73" s="2245"/>
      <c r="G73" s="2245"/>
      <c r="H73" s="2245"/>
      <c r="I73" s="2245"/>
      <c r="J73" s="2245"/>
      <c r="K73" s="2245"/>
      <c r="L73" s="2245"/>
      <c r="M73" s="2245"/>
      <c r="N73" s="2245"/>
      <c r="O73" s="2295">
        <v>0</v>
      </c>
      <c r="P73" s="2295"/>
      <c r="Q73" s="2295"/>
      <c r="R73" s="2295"/>
      <c r="S73" s="2295"/>
      <c r="T73" s="2295"/>
      <c r="U73" s="2295"/>
      <c r="V73" s="2295"/>
      <c r="W73" s="2295"/>
      <c r="X73" s="2295"/>
      <c r="Y73" s="2295"/>
      <c r="Z73" s="2295"/>
      <c r="AA73" s="2296"/>
      <c r="AB73" s="1207"/>
      <c r="AC73" s="2305" t="s">
        <v>2262</v>
      </c>
      <c r="AD73" s="2306"/>
      <c r="AE73" s="2306"/>
      <c r="AF73" s="2306"/>
      <c r="AG73" s="2306"/>
      <c r="AH73" s="2306"/>
      <c r="AI73" s="2306"/>
      <c r="AJ73" s="2306"/>
      <c r="AK73" s="2306"/>
      <c r="AL73" s="2306"/>
      <c r="AM73" s="2306"/>
      <c r="AN73" s="2306"/>
      <c r="AO73" s="2306"/>
      <c r="AP73" s="2306"/>
      <c r="AQ73" s="2306"/>
      <c r="AR73" s="2306"/>
      <c r="AS73" s="2306"/>
      <c r="AT73" s="2306"/>
      <c r="AU73" s="2306"/>
      <c r="AV73" s="2306"/>
      <c r="AW73" s="2306"/>
      <c r="AX73" s="2306"/>
      <c r="AY73" s="2306"/>
      <c r="AZ73" s="2306"/>
      <c r="BA73" s="2306"/>
      <c r="BB73" s="2306"/>
      <c r="BC73" s="2307"/>
      <c r="BD73" s="1207"/>
      <c r="BE73" s="1213"/>
    </row>
    <row r="74" spans="1:65" ht="15.75" customHeight="1">
      <c r="A74" s="1207"/>
      <c r="B74" s="2311"/>
      <c r="C74" s="2256"/>
      <c r="D74" s="2256"/>
      <c r="E74" s="2256"/>
      <c r="F74" s="2256"/>
      <c r="G74" s="2256"/>
      <c r="H74" s="2256"/>
      <c r="I74" s="2256"/>
      <c r="J74" s="2256"/>
      <c r="K74" s="2256"/>
      <c r="L74" s="2256"/>
      <c r="M74" s="2256"/>
      <c r="N74" s="2256"/>
      <c r="O74" s="2295"/>
      <c r="P74" s="2295"/>
      <c r="Q74" s="2295"/>
      <c r="R74" s="2295"/>
      <c r="S74" s="2295"/>
      <c r="T74" s="2295"/>
      <c r="U74" s="2295"/>
      <c r="V74" s="2295"/>
      <c r="W74" s="2295"/>
      <c r="X74" s="2295"/>
      <c r="Y74" s="2295"/>
      <c r="Z74" s="2295"/>
      <c r="AA74" s="2296"/>
      <c r="AB74" s="1207"/>
      <c r="AC74" s="2305"/>
      <c r="AD74" s="2306"/>
      <c r="AE74" s="2306"/>
      <c r="AF74" s="2306"/>
      <c r="AG74" s="2306"/>
      <c r="AH74" s="2306"/>
      <c r="AI74" s="2306"/>
      <c r="AJ74" s="2306"/>
      <c r="AK74" s="2306"/>
      <c r="AL74" s="2306"/>
      <c r="AM74" s="2306"/>
      <c r="AN74" s="2306"/>
      <c r="AO74" s="2306"/>
      <c r="AP74" s="2306"/>
      <c r="AQ74" s="2306"/>
      <c r="AR74" s="2306"/>
      <c r="AS74" s="2306"/>
      <c r="AT74" s="2306"/>
      <c r="AU74" s="2306"/>
      <c r="AV74" s="2306"/>
      <c r="AW74" s="2306"/>
      <c r="AX74" s="2306"/>
      <c r="AY74" s="2306"/>
      <c r="AZ74" s="2306"/>
      <c r="BA74" s="2306"/>
      <c r="BB74" s="2306"/>
      <c r="BC74" s="2307"/>
      <c r="BD74" s="1207"/>
      <c r="BE74" s="1213"/>
    </row>
    <row r="75" spans="1:65" ht="15.75" customHeight="1" thickBot="1">
      <c r="A75" s="1207"/>
      <c r="B75" s="2312" t="s">
        <v>125</v>
      </c>
      <c r="C75" s="2313"/>
      <c r="D75" s="2313"/>
      <c r="E75" s="2313"/>
      <c r="F75" s="2313"/>
      <c r="G75" s="2313"/>
      <c r="H75" s="2313"/>
      <c r="I75" s="2313"/>
      <c r="J75" s="2313"/>
      <c r="K75" s="2313"/>
      <c r="L75" s="2313"/>
      <c r="M75" s="2313"/>
      <c r="N75" s="2313"/>
      <c r="O75" s="2314">
        <f>SUM(O70:AA74)</f>
        <v>0</v>
      </c>
      <c r="P75" s="2314"/>
      <c r="Q75" s="2314"/>
      <c r="R75" s="2314"/>
      <c r="S75" s="2314"/>
      <c r="T75" s="2314"/>
      <c r="U75" s="2314"/>
      <c r="V75" s="2314"/>
      <c r="W75" s="2314"/>
      <c r="X75" s="2314"/>
      <c r="Y75" s="2314"/>
      <c r="Z75" s="2314"/>
      <c r="AA75" s="2315"/>
      <c r="AB75" s="1207"/>
      <c r="AC75" s="2305"/>
      <c r="AD75" s="2306"/>
      <c r="AE75" s="2306"/>
      <c r="AF75" s="2306"/>
      <c r="AG75" s="2306"/>
      <c r="AH75" s="2306"/>
      <c r="AI75" s="2306"/>
      <c r="AJ75" s="2306"/>
      <c r="AK75" s="2306"/>
      <c r="AL75" s="2306"/>
      <c r="AM75" s="2306"/>
      <c r="AN75" s="2306"/>
      <c r="AO75" s="2306"/>
      <c r="AP75" s="2306"/>
      <c r="AQ75" s="2306"/>
      <c r="AR75" s="2306"/>
      <c r="AS75" s="2306"/>
      <c r="AT75" s="2306"/>
      <c r="AU75" s="2306"/>
      <c r="AV75" s="2306"/>
      <c r="AW75" s="2306"/>
      <c r="AX75" s="2306"/>
      <c r="AY75" s="2306"/>
      <c r="AZ75" s="2306"/>
      <c r="BA75" s="2306"/>
      <c r="BB75" s="2306"/>
      <c r="BC75" s="230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5"/>
      <c r="AD76" s="2306"/>
      <c r="AE76" s="2306"/>
      <c r="AF76" s="2306"/>
      <c r="AG76" s="2306"/>
      <c r="AH76" s="2306"/>
      <c r="AI76" s="2306"/>
      <c r="AJ76" s="2306"/>
      <c r="AK76" s="2306"/>
      <c r="AL76" s="2306"/>
      <c r="AM76" s="2306"/>
      <c r="AN76" s="2306"/>
      <c r="AO76" s="2306"/>
      <c r="AP76" s="2306"/>
      <c r="AQ76" s="2306"/>
      <c r="AR76" s="2306"/>
      <c r="AS76" s="2306"/>
      <c r="AT76" s="2306"/>
      <c r="AU76" s="2306"/>
      <c r="AV76" s="2306"/>
      <c r="AW76" s="2306"/>
      <c r="AX76" s="2306"/>
      <c r="AY76" s="2306"/>
      <c r="AZ76" s="2306"/>
      <c r="BA76" s="2306"/>
      <c r="BB76" s="2306"/>
      <c r="BC76" s="2307"/>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8"/>
      <c r="AD77" s="2309"/>
      <c r="AE77" s="2309"/>
      <c r="AF77" s="2309"/>
      <c r="AG77" s="2309"/>
      <c r="AH77" s="2309"/>
      <c r="AI77" s="2309"/>
      <c r="AJ77" s="2309"/>
      <c r="AK77" s="2309"/>
      <c r="AL77" s="2309"/>
      <c r="AM77" s="2309"/>
      <c r="AN77" s="2309"/>
      <c r="AO77" s="2309"/>
      <c r="AP77" s="2309"/>
      <c r="AQ77" s="2309"/>
      <c r="AR77" s="2309"/>
      <c r="AS77" s="2309"/>
      <c r="AT77" s="2309"/>
      <c r="AU77" s="2309"/>
      <c r="AV77" s="2309"/>
      <c r="AW77" s="2309"/>
      <c r="AX77" s="2309"/>
      <c r="AY77" s="2309"/>
      <c r="AZ77" s="2309"/>
      <c r="BA77" s="2309"/>
      <c r="BB77" s="2309"/>
      <c r="BC77" s="231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6" t="s">
        <v>2245</v>
      </c>
      <c r="C79" s="2317"/>
      <c r="D79" s="2317"/>
      <c r="E79" s="2317"/>
      <c r="F79" s="2317"/>
      <c r="G79" s="2317"/>
      <c r="H79" s="2317"/>
      <c r="I79" s="2317"/>
      <c r="J79" s="2317"/>
      <c r="K79" s="2317"/>
      <c r="L79" s="2317"/>
      <c r="M79" s="2317"/>
      <c r="N79" s="2317"/>
      <c r="O79" s="2317"/>
      <c r="P79" s="2317"/>
      <c r="Q79" s="2317"/>
      <c r="R79" s="2317"/>
      <c r="S79" s="2317"/>
      <c r="T79" s="2317"/>
      <c r="U79" s="2317"/>
      <c r="V79" s="2317"/>
      <c r="W79" s="2317"/>
      <c r="X79" s="2317"/>
      <c r="Y79" s="2317"/>
      <c r="Z79" s="2317"/>
      <c r="AA79" s="2317"/>
      <c r="AB79" s="2317"/>
      <c r="AC79" s="2317"/>
      <c r="AD79" s="2317"/>
      <c r="AE79" s="2317"/>
      <c r="AF79" s="2317"/>
      <c r="AG79" s="2317"/>
      <c r="AH79" s="2318"/>
      <c r="AI79" s="1207"/>
      <c r="AJ79" s="2319" t="s">
        <v>2590</v>
      </c>
      <c r="AK79" s="2320"/>
      <c r="AL79" s="2320"/>
      <c r="AM79" s="2320"/>
      <c r="AN79" s="2320"/>
      <c r="AO79" s="2320"/>
      <c r="AP79" s="2320"/>
      <c r="AQ79" s="2320"/>
      <c r="AR79" s="2320"/>
      <c r="AS79" s="2320"/>
      <c r="AT79" s="2320"/>
      <c r="AU79" s="2320"/>
      <c r="AV79" s="2320"/>
      <c r="AW79" s="2320"/>
      <c r="AX79" s="2320"/>
      <c r="AY79" s="2323" t="s">
        <v>554</v>
      </c>
      <c r="AZ79" s="2323"/>
      <c r="BA79" s="2323"/>
      <c r="BB79" s="2324"/>
      <c r="BC79" s="1207"/>
      <c r="BD79" s="1207"/>
      <c r="BE79" s="1213"/>
    </row>
    <row r="80" spans="1:65" ht="15.75" customHeight="1">
      <c r="A80" s="1207"/>
      <c r="B80" s="2252"/>
      <c r="C80" s="2253"/>
      <c r="D80" s="2253"/>
      <c r="E80" s="2253"/>
      <c r="F80" s="2253"/>
      <c r="G80" s="2253"/>
      <c r="H80" s="2253"/>
      <c r="I80" s="2253" t="s">
        <v>1897</v>
      </c>
      <c r="J80" s="2253"/>
      <c r="K80" s="2253"/>
      <c r="L80" s="2253"/>
      <c r="M80" s="2253"/>
      <c r="N80" s="2253"/>
      <c r="O80" s="2253" t="s">
        <v>1898</v>
      </c>
      <c r="P80" s="2253"/>
      <c r="Q80" s="2253"/>
      <c r="R80" s="2253"/>
      <c r="S80" s="2253"/>
      <c r="T80" s="2253"/>
      <c r="U80" s="2253"/>
      <c r="V80" s="2327" t="s">
        <v>2263</v>
      </c>
      <c r="W80" s="2327"/>
      <c r="X80" s="2327"/>
      <c r="Y80" s="2327"/>
      <c r="Z80" s="2327"/>
      <c r="AA80" s="2327"/>
      <c r="AB80" s="2232" t="s">
        <v>1899</v>
      </c>
      <c r="AC80" s="2232"/>
      <c r="AD80" s="2232"/>
      <c r="AE80" s="2232"/>
      <c r="AF80" s="2232"/>
      <c r="AG80" s="2232"/>
      <c r="AH80" s="2233"/>
      <c r="AI80" s="1207"/>
      <c r="AJ80" s="2321"/>
      <c r="AK80" s="2322"/>
      <c r="AL80" s="2322"/>
      <c r="AM80" s="2322"/>
      <c r="AN80" s="2322"/>
      <c r="AO80" s="2322"/>
      <c r="AP80" s="2322"/>
      <c r="AQ80" s="2322"/>
      <c r="AR80" s="2322"/>
      <c r="AS80" s="2322"/>
      <c r="AT80" s="2322"/>
      <c r="AU80" s="2322"/>
      <c r="AV80" s="2322"/>
      <c r="AW80" s="2322"/>
      <c r="AX80" s="2322"/>
      <c r="AY80" s="2325"/>
      <c r="AZ80" s="2325"/>
      <c r="BA80" s="2325"/>
      <c r="BB80" s="2326"/>
      <c r="BC80" s="1207"/>
      <c r="BD80" s="1207"/>
      <c r="BE80" s="1213"/>
    </row>
    <row r="81" spans="1:57" ht="15.75" customHeight="1">
      <c r="A81" s="1207"/>
      <c r="B81" s="2252"/>
      <c r="C81" s="2253"/>
      <c r="D81" s="2253"/>
      <c r="E81" s="2253"/>
      <c r="F81" s="2253"/>
      <c r="G81" s="2253"/>
      <c r="H81" s="2253"/>
      <c r="I81" s="2253"/>
      <c r="J81" s="2253"/>
      <c r="K81" s="2253"/>
      <c r="L81" s="2253"/>
      <c r="M81" s="2253"/>
      <c r="N81" s="2253"/>
      <c r="O81" s="2253"/>
      <c r="P81" s="2253"/>
      <c r="Q81" s="2253"/>
      <c r="R81" s="2253"/>
      <c r="S81" s="2253"/>
      <c r="T81" s="2253"/>
      <c r="U81" s="2253"/>
      <c r="V81" s="2327"/>
      <c r="W81" s="2327"/>
      <c r="X81" s="2327"/>
      <c r="Y81" s="2327"/>
      <c r="Z81" s="2327"/>
      <c r="AA81" s="2327"/>
      <c r="AB81" s="2232"/>
      <c r="AC81" s="2232"/>
      <c r="AD81" s="2232"/>
      <c r="AE81" s="2232"/>
      <c r="AF81" s="2232"/>
      <c r="AG81" s="2232"/>
      <c r="AH81" s="2233"/>
      <c r="AI81" s="1207"/>
      <c r="AJ81" s="2321"/>
      <c r="AK81" s="2322"/>
      <c r="AL81" s="2322"/>
      <c r="AM81" s="2322"/>
      <c r="AN81" s="2322"/>
      <c r="AO81" s="2322"/>
      <c r="AP81" s="2322"/>
      <c r="AQ81" s="2322"/>
      <c r="AR81" s="2322"/>
      <c r="AS81" s="2322"/>
      <c r="AT81" s="2322"/>
      <c r="AU81" s="2322"/>
      <c r="AV81" s="2322"/>
      <c r="AW81" s="2322"/>
      <c r="AX81" s="2322"/>
      <c r="AY81" s="2325"/>
      <c r="AZ81" s="2325"/>
      <c r="BA81" s="2325"/>
      <c r="BB81" s="2326"/>
      <c r="BC81" s="1207"/>
      <c r="BD81" s="1207"/>
      <c r="BE81" s="1213"/>
    </row>
    <row r="82" spans="1:57" ht="15.75" customHeight="1">
      <c r="A82" s="1207"/>
      <c r="B82" s="2252" t="s">
        <v>2246</v>
      </c>
      <c r="C82" s="2253"/>
      <c r="D82" s="2253"/>
      <c r="E82" s="2253"/>
      <c r="F82" s="2253"/>
      <c r="G82" s="2253"/>
      <c r="H82" s="2253"/>
      <c r="I82" s="2328">
        <v>0</v>
      </c>
      <c r="J82" s="2328"/>
      <c r="K82" s="2328"/>
      <c r="L82" s="2328"/>
      <c r="M82" s="2328"/>
      <c r="N82" s="2328"/>
      <c r="O82" s="2328">
        <v>0</v>
      </c>
      <c r="P82" s="2328"/>
      <c r="Q82" s="2328"/>
      <c r="R82" s="2328"/>
      <c r="S82" s="2328"/>
      <c r="T82" s="2328"/>
      <c r="U82" s="2328"/>
      <c r="V82" s="2328">
        <v>0</v>
      </c>
      <c r="W82" s="2328"/>
      <c r="X82" s="2328"/>
      <c r="Y82" s="2328"/>
      <c r="Z82" s="2328"/>
      <c r="AA82" s="2328"/>
      <c r="AB82" s="2328">
        <v>0</v>
      </c>
      <c r="AC82" s="2328"/>
      <c r="AD82" s="2328"/>
      <c r="AE82" s="2328"/>
      <c r="AF82" s="2328"/>
      <c r="AG82" s="2328"/>
      <c r="AH82" s="2337"/>
      <c r="AI82" s="1207"/>
      <c r="AJ82" s="2321"/>
      <c r="AK82" s="2322"/>
      <c r="AL82" s="2322"/>
      <c r="AM82" s="2322"/>
      <c r="AN82" s="2322"/>
      <c r="AO82" s="2322"/>
      <c r="AP82" s="2322"/>
      <c r="AQ82" s="2322"/>
      <c r="AR82" s="2322"/>
      <c r="AS82" s="2322"/>
      <c r="AT82" s="2322"/>
      <c r="AU82" s="2322"/>
      <c r="AV82" s="2322"/>
      <c r="AW82" s="2322"/>
      <c r="AX82" s="2322"/>
      <c r="AY82" s="2325"/>
      <c r="AZ82" s="2325"/>
      <c r="BA82" s="2325"/>
      <c r="BB82" s="2326"/>
      <c r="BC82" s="1207"/>
      <c r="BD82" s="1207"/>
      <c r="BE82" s="1213"/>
    </row>
    <row r="83" spans="1:57" ht="15.75" customHeight="1">
      <c r="A83" s="1207"/>
      <c r="B83" s="2252" t="s">
        <v>2247</v>
      </c>
      <c r="C83" s="2253"/>
      <c r="D83" s="2253"/>
      <c r="E83" s="2253"/>
      <c r="F83" s="2253"/>
      <c r="G83" s="2253"/>
      <c r="H83" s="2253"/>
      <c r="I83" s="2328">
        <v>0</v>
      </c>
      <c r="J83" s="2328"/>
      <c r="K83" s="2328"/>
      <c r="L83" s="2328"/>
      <c r="M83" s="2328"/>
      <c r="N83" s="2328"/>
      <c r="O83" s="2328">
        <v>0</v>
      </c>
      <c r="P83" s="2328"/>
      <c r="Q83" s="2328"/>
      <c r="R83" s="2328"/>
      <c r="S83" s="2328"/>
      <c r="T83" s="2328"/>
      <c r="U83" s="2328"/>
      <c r="V83" s="2328">
        <v>0</v>
      </c>
      <c r="W83" s="2328"/>
      <c r="X83" s="2328"/>
      <c r="Y83" s="2328"/>
      <c r="Z83" s="2328"/>
      <c r="AA83" s="2328"/>
      <c r="AB83" s="2328">
        <v>0</v>
      </c>
      <c r="AC83" s="2328"/>
      <c r="AD83" s="2328"/>
      <c r="AE83" s="2328"/>
      <c r="AF83" s="2328"/>
      <c r="AG83" s="2328"/>
      <c r="AH83" s="2337"/>
      <c r="AI83" s="1207"/>
      <c r="AJ83" s="2329" t="s">
        <v>2591</v>
      </c>
      <c r="AK83" s="2330"/>
      <c r="AL83" s="2330"/>
      <c r="AM83" s="2330"/>
      <c r="AN83" s="2330"/>
      <c r="AO83" s="2330"/>
      <c r="AP83" s="2330"/>
      <c r="AQ83" s="2330"/>
      <c r="AR83" s="2330"/>
      <c r="AS83" s="2330"/>
      <c r="AT83" s="2330"/>
      <c r="AU83" s="2330"/>
      <c r="AV83" s="2330"/>
      <c r="AW83" s="2330"/>
      <c r="AX83" s="2330"/>
      <c r="AY83" s="2330"/>
      <c r="AZ83" s="2330"/>
      <c r="BA83" s="2330"/>
      <c r="BB83" s="2331"/>
      <c r="BC83" s="1207"/>
      <c r="BD83" s="1207"/>
      <c r="BE83" s="1213"/>
    </row>
    <row r="84" spans="1:57" ht="15.75" customHeight="1" thickBot="1">
      <c r="A84" s="1207"/>
      <c r="B84" s="2270" t="s">
        <v>1900</v>
      </c>
      <c r="C84" s="2271"/>
      <c r="D84" s="2271"/>
      <c r="E84" s="2271"/>
      <c r="F84" s="2271"/>
      <c r="G84" s="2271"/>
      <c r="H84" s="2271"/>
      <c r="I84" s="2335">
        <v>0</v>
      </c>
      <c r="J84" s="2335"/>
      <c r="K84" s="2335"/>
      <c r="L84" s="2335"/>
      <c r="M84" s="2335"/>
      <c r="N84" s="2335"/>
      <c r="O84" s="2335">
        <v>0</v>
      </c>
      <c r="P84" s="2335"/>
      <c r="Q84" s="2335"/>
      <c r="R84" s="2335"/>
      <c r="S84" s="2335"/>
      <c r="T84" s="2335"/>
      <c r="U84" s="2335"/>
      <c r="V84" s="2335">
        <v>0</v>
      </c>
      <c r="W84" s="2335"/>
      <c r="X84" s="2335"/>
      <c r="Y84" s="2335"/>
      <c r="Z84" s="2335"/>
      <c r="AA84" s="2335"/>
      <c r="AB84" s="2335">
        <v>0</v>
      </c>
      <c r="AC84" s="2335"/>
      <c r="AD84" s="2335"/>
      <c r="AE84" s="2335"/>
      <c r="AF84" s="2335"/>
      <c r="AG84" s="2335"/>
      <c r="AH84" s="2336"/>
      <c r="AI84" s="1207"/>
      <c r="AJ84" s="2332"/>
      <c r="AK84" s="2333"/>
      <c r="AL84" s="2333"/>
      <c r="AM84" s="2333"/>
      <c r="AN84" s="2333"/>
      <c r="AO84" s="2333"/>
      <c r="AP84" s="2333"/>
      <c r="AQ84" s="2333"/>
      <c r="AR84" s="2333"/>
      <c r="AS84" s="2333"/>
      <c r="AT84" s="2333"/>
      <c r="AU84" s="2333"/>
      <c r="AV84" s="2333"/>
      <c r="AW84" s="2333"/>
      <c r="AX84" s="2333"/>
      <c r="AY84" s="2333"/>
      <c r="AZ84" s="2333"/>
      <c r="BA84" s="2333"/>
      <c r="BB84" s="233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1" t="s">
        <v>1902</v>
      </c>
      <c r="C88" s="2302"/>
      <c r="D88" s="2302"/>
      <c r="E88" s="2302"/>
      <c r="F88" s="2302"/>
      <c r="G88" s="2302"/>
      <c r="H88" s="2302"/>
      <c r="I88" s="2302"/>
      <c r="J88" s="2302"/>
      <c r="K88" s="2302"/>
      <c r="L88" s="2302"/>
      <c r="M88" s="2302"/>
      <c r="N88" s="2302"/>
      <c r="O88" s="2302"/>
      <c r="P88" s="2302"/>
      <c r="Q88" s="2302"/>
      <c r="R88" s="2302"/>
      <c r="S88" s="2302"/>
      <c r="T88" s="2302"/>
      <c r="U88" s="2302"/>
      <c r="V88" s="2302"/>
      <c r="W88" s="2302"/>
      <c r="X88" s="2302"/>
      <c r="Y88" s="2302"/>
      <c r="Z88" s="2302"/>
      <c r="AA88" s="2302"/>
      <c r="AB88" s="2302"/>
      <c r="AC88" s="2302"/>
      <c r="AD88" s="2302"/>
      <c r="AE88" s="2302"/>
      <c r="AF88" s="2302"/>
      <c r="AG88" s="2302"/>
      <c r="AH88" s="2338"/>
      <c r="AI88" s="1207"/>
      <c r="AJ88" s="2319" t="s">
        <v>2592</v>
      </c>
      <c r="AK88" s="2320"/>
      <c r="AL88" s="2320"/>
      <c r="AM88" s="2320"/>
      <c r="AN88" s="2320"/>
      <c r="AO88" s="2320"/>
      <c r="AP88" s="2320"/>
      <c r="AQ88" s="2320"/>
      <c r="AR88" s="2320"/>
      <c r="AS88" s="2320"/>
      <c r="AT88" s="2320"/>
      <c r="AU88" s="2320"/>
      <c r="AV88" s="2320"/>
      <c r="AW88" s="2320"/>
      <c r="AX88" s="2320"/>
      <c r="AY88" s="2323" t="s">
        <v>554</v>
      </c>
      <c r="AZ88" s="2323"/>
      <c r="BA88" s="2323"/>
      <c r="BB88" s="2324"/>
      <c r="BC88" s="1207"/>
      <c r="BD88" s="1207"/>
      <c r="BE88" s="1213"/>
    </row>
    <row r="89" spans="1:57" ht="16.5" customHeight="1">
      <c r="A89" s="1207"/>
      <c r="B89" s="2252"/>
      <c r="C89" s="2253"/>
      <c r="D89" s="2253"/>
      <c r="E89" s="2253"/>
      <c r="F89" s="2253"/>
      <c r="G89" s="2253"/>
      <c r="H89" s="2253"/>
      <c r="I89" s="2253" t="s">
        <v>1897</v>
      </c>
      <c r="J89" s="2253"/>
      <c r="K89" s="2253"/>
      <c r="L89" s="2253"/>
      <c r="M89" s="2253"/>
      <c r="N89" s="2253"/>
      <c r="O89" s="2253" t="s">
        <v>1898</v>
      </c>
      <c r="P89" s="2253"/>
      <c r="Q89" s="2253"/>
      <c r="R89" s="2253"/>
      <c r="S89" s="2253"/>
      <c r="T89" s="2253"/>
      <c r="U89" s="2253"/>
      <c r="V89" s="2327" t="s">
        <v>2263</v>
      </c>
      <c r="W89" s="2327"/>
      <c r="X89" s="2327"/>
      <c r="Y89" s="2327"/>
      <c r="Z89" s="2327"/>
      <c r="AA89" s="2327"/>
      <c r="AB89" s="2232" t="s">
        <v>1899</v>
      </c>
      <c r="AC89" s="2232"/>
      <c r="AD89" s="2232"/>
      <c r="AE89" s="2232"/>
      <c r="AF89" s="2232"/>
      <c r="AG89" s="2232"/>
      <c r="AH89" s="2233"/>
      <c r="AI89" s="1207"/>
      <c r="AJ89" s="2321"/>
      <c r="AK89" s="2322"/>
      <c r="AL89" s="2322"/>
      <c r="AM89" s="2322"/>
      <c r="AN89" s="2322"/>
      <c r="AO89" s="2322"/>
      <c r="AP89" s="2322"/>
      <c r="AQ89" s="2322"/>
      <c r="AR89" s="2322"/>
      <c r="AS89" s="2322"/>
      <c r="AT89" s="2322"/>
      <c r="AU89" s="2322"/>
      <c r="AV89" s="2322"/>
      <c r="AW89" s="2322"/>
      <c r="AX89" s="2322"/>
      <c r="AY89" s="2325"/>
      <c r="AZ89" s="2325"/>
      <c r="BA89" s="2325"/>
      <c r="BB89" s="2326"/>
      <c r="BC89" s="1207"/>
      <c r="BD89" s="1207"/>
      <c r="BE89" s="1213"/>
    </row>
    <row r="90" spans="1:57" ht="16.5" customHeight="1">
      <c r="A90" s="1207"/>
      <c r="B90" s="2252"/>
      <c r="C90" s="2253"/>
      <c r="D90" s="2253"/>
      <c r="E90" s="2253"/>
      <c r="F90" s="2253"/>
      <c r="G90" s="2253"/>
      <c r="H90" s="2253"/>
      <c r="I90" s="2253"/>
      <c r="J90" s="2253"/>
      <c r="K90" s="2253"/>
      <c r="L90" s="2253"/>
      <c r="M90" s="2253"/>
      <c r="N90" s="2253"/>
      <c r="O90" s="2253"/>
      <c r="P90" s="2253"/>
      <c r="Q90" s="2253"/>
      <c r="R90" s="2253"/>
      <c r="S90" s="2253"/>
      <c r="T90" s="2253"/>
      <c r="U90" s="2253"/>
      <c r="V90" s="2327"/>
      <c r="W90" s="2327"/>
      <c r="X90" s="2327"/>
      <c r="Y90" s="2327"/>
      <c r="Z90" s="2327"/>
      <c r="AA90" s="2327"/>
      <c r="AB90" s="2232"/>
      <c r="AC90" s="2232"/>
      <c r="AD90" s="2232"/>
      <c r="AE90" s="2232"/>
      <c r="AF90" s="2232"/>
      <c r="AG90" s="2232"/>
      <c r="AH90" s="2233"/>
      <c r="AI90" s="1207"/>
      <c r="AJ90" s="2321"/>
      <c r="AK90" s="2322"/>
      <c r="AL90" s="2322"/>
      <c r="AM90" s="2322"/>
      <c r="AN90" s="2322"/>
      <c r="AO90" s="2322"/>
      <c r="AP90" s="2322"/>
      <c r="AQ90" s="2322"/>
      <c r="AR90" s="2322"/>
      <c r="AS90" s="2322"/>
      <c r="AT90" s="2322"/>
      <c r="AU90" s="2322"/>
      <c r="AV90" s="2322"/>
      <c r="AW90" s="2322"/>
      <c r="AX90" s="2322"/>
      <c r="AY90" s="2325"/>
      <c r="AZ90" s="2325"/>
      <c r="BA90" s="2325"/>
      <c r="BB90" s="2326"/>
      <c r="BC90" s="1207"/>
      <c r="BD90" s="1207"/>
      <c r="BE90" s="1213"/>
    </row>
    <row r="91" spans="1:57" ht="15.75" customHeight="1">
      <c r="A91" s="1207"/>
      <c r="B91" s="2252" t="s">
        <v>2246</v>
      </c>
      <c r="C91" s="2253"/>
      <c r="D91" s="2253"/>
      <c r="E91" s="2253"/>
      <c r="F91" s="2253"/>
      <c r="G91" s="2253"/>
      <c r="H91" s="2253"/>
      <c r="I91" s="2328">
        <v>0</v>
      </c>
      <c r="J91" s="2328"/>
      <c r="K91" s="2328"/>
      <c r="L91" s="2328"/>
      <c r="M91" s="2328"/>
      <c r="N91" s="2328"/>
      <c r="O91" s="2328">
        <v>0</v>
      </c>
      <c r="P91" s="2328"/>
      <c r="Q91" s="2328"/>
      <c r="R91" s="2328"/>
      <c r="S91" s="2328"/>
      <c r="T91" s="2328"/>
      <c r="U91" s="2328"/>
      <c r="V91" s="2328">
        <v>0</v>
      </c>
      <c r="W91" s="2328"/>
      <c r="X91" s="2328"/>
      <c r="Y91" s="2328"/>
      <c r="Z91" s="2328"/>
      <c r="AA91" s="2328"/>
      <c r="AB91" s="2328">
        <v>0</v>
      </c>
      <c r="AC91" s="2328"/>
      <c r="AD91" s="2328"/>
      <c r="AE91" s="2328"/>
      <c r="AF91" s="2328"/>
      <c r="AG91" s="2328"/>
      <c r="AH91" s="2337"/>
      <c r="AI91" s="1207"/>
      <c r="AJ91" s="2321"/>
      <c r="AK91" s="2322"/>
      <c r="AL91" s="2322"/>
      <c r="AM91" s="2322"/>
      <c r="AN91" s="2322"/>
      <c r="AO91" s="2322"/>
      <c r="AP91" s="2322"/>
      <c r="AQ91" s="2322"/>
      <c r="AR91" s="2322"/>
      <c r="AS91" s="2322"/>
      <c r="AT91" s="2322"/>
      <c r="AU91" s="2322"/>
      <c r="AV91" s="2322"/>
      <c r="AW91" s="2322"/>
      <c r="AX91" s="2322"/>
      <c r="AY91" s="2325"/>
      <c r="AZ91" s="2325"/>
      <c r="BA91" s="2325"/>
      <c r="BB91" s="2326"/>
      <c r="BC91" s="1207"/>
      <c r="BD91" s="1207"/>
      <c r="BE91" s="1213"/>
    </row>
    <row r="92" spans="1:57" ht="15.75" customHeight="1">
      <c r="A92" s="1207"/>
      <c r="B92" s="2252" t="s">
        <v>2247</v>
      </c>
      <c r="C92" s="2253"/>
      <c r="D92" s="2253"/>
      <c r="E92" s="2253"/>
      <c r="F92" s="2253"/>
      <c r="G92" s="2253"/>
      <c r="H92" s="2253"/>
      <c r="I92" s="2328">
        <v>0</v>
      </c>
      <c r="J92" s="2328"/>
      <c r="K92" s="2328"/>
      <c r="L92" s="2328"/>
      <c r="M92" s="2328"/>
      <c r="N92" s="2328"/>
      <c r="O92" s="2328">
        <v>0</v>
      </c>
      <c r="P92" s="2328"/>
      <c r="Q92" s="2328"/>
      <c r="R92" s="2328"/>
      <c r="S92" s="2328"/>
      <c r="T92" s="2328"/>
      <c r="U92" s="2328"/>
      <c r="V92" s="2328">
        <v>0</v>
      </c>
      <c r="W92" s="2328"/>
      <c r="X92" s="2328"/>
      <c r="Y92" s="2328"/>
      <c r="Z92" s="2328"/>
      <c r="AA92" s="2328"/>
      <c r="AB92" s="2328">
        <v>0</v>
      </c>
      <c r="AC92" s="2328"/>
      <c r="AD92" s="2328"/>
      <c r="AE92" s="2328"/>
      <c r="AF92" s="2328"/>
      <c r="AG92" s="2328"/>
      <c r="AH92" s="2337"/>
      <c r="AI92" s="1207"/>
      <c r="AJ92" s="2329" t="s">
        <v>2264</v>
      </c>
      <c r="AK92" s="2330"/>
      <c r="AL92" s="2330"/>
      <c r="AM92" s="2330"/>
      <c r="AN92" s="2330"/>
      <c r="AO92" s="2330"/>
      <c r="AP92" s="2330"/>
      <c r="AQ92" s="2330"/>
      <c r="AR92" s="2330"/>
      <c r="AS92" s="2330"/>
      <c r="AT92" s="2330"/>
      <c r="AU92" s="2330"/>
      <c r="AV92" s="2330"/>
      <c r="AW92" s="2330"/>
      <c r="AX92" s="2330"/>
      <c r="AY92" s="2330"/>
      <c r="AZ92" s="2330"/>
      <c r="BA92" s="2330"/>
      <c r="BB92" s="2331"/>
      <c r="BC92" s="1207"/>
      <c r="BD92" s="1207"/>
      <c r="BE92" s="1213"/>
    </row>
    <row r="93" spans="1:57" ht="15.75" customHeight="1" thickBot="1">
      <c r="A93" s="1207"/>
      <c r="B93" s="2270" t="s">
        <v>1900</v>
      </c>
      <c r="C93" s="2271"/>
      <c r="D93" s="2271"/>
      <c r="E93" s="2271"/>
      <c r="F93" s="2271"/>
      <c r="G93" s="2271"/>
      <c r="H93" s="2271"/>
      <c r="I93" s="2335">
        <v>0</v>
      </c>
      <c r="J93" s="2335"/>
      <c r="K93" s="2335"/>
      <c r="L93" s="2335"/>
      <c r="M93" s="2335"/>
      <c r="N93" s="2335"/>
      <c r="O93" s="2335">
        <v>0</v>
      </c>
      <c r="P93" s="2335"/>
      <c r="Q93" s="2335"/>
      <c r="R93" s="2335"/>
      <c r="S93" s="2335"/>
      <c r="T93" s="2335"/>
      <c r="U93" s="2335"/>
      <c r="V93" s="2335">
        <v>0</v>
      </c>
      <c r="W93" s="2335"/>
      <c r="X93" s="2335"/>
      <c r="Y93" s="2335"/>
      <c r="Z93" s="2335"/>
      <c r="AA93" s="2335"/>
      <c r="AB93" s="2335">
        <v>0</v>
      </c>
      <c r="AC93" s="2335"/>
      <c r="AD93" s="2335"/>
      <c r="AE93" s="2335"/>
      <c r="AF93" s="2335"/>
      <c r="AG93" s="2335"/>
      <c r="AH93" s="2336"/>
      <c r="AI93" s="1207"/>
      <c r="AJ93" s="2332"/>
      <c r="AK93" s="2333"/>
      <c r="AL93" s="2333"/>
      <c r="AM93" s="2333"/>
      <c r="AN93" s="2333"/>
      <c r="AO93" s="2333"/>
      <c r="AP93" s="2333"/>
      <c r="AQ93" s="2333"/>
      <c r="AR93" s="2333"/>
      <c r="AS93" s="2333"/>
      <c r="AT93" s="2333"/>
      <c r="AU93" s="2333"/>
      <c r="AV93" s="2333"/>
      <c r="AW93" s="2333"/>
      <c r="AX93" s="2333"/>
      <c r="AY93" s="2333"/>
      <c r="AZ93" s="2333"/>
      <c r="BA93" s="2333"/>
      <c r="BB93" s="233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9" t="s">
        <v>2248</v>
      </c>
      <c r="Y96" s="2320"/>
      <c r="Z96" s="2320"/>
      <c r="AA96" s="2320"/>
      <c r="AB96" s="2320"/>
      <c r="AC96" s="2320"/>
      <c r="AD96" s="2320"/>
      <c r="AE96" s="2320"/>
      <c r="AF96" s="2320"/>
      <c r="AG96" s="2320"/>
      <c r="AH96" s="2320"/>
      <c r="AI96" s="2320"/>
      <c r="AJ96" s="2320"/>
      <c r="AK96" s="2320"/>
      <c r="AL96" s="2320"/>
      <c r="AM96" s="2320"/>
      <c r="AN96" s="2320"/>
      <c r="AO96" s="2320"/>
      <c r="AP96" s="2320"/>
      <c r="AQ96" s="2320"/>
      <c r="AR96" s="2320"/>
      <c r="AS96" s="2320"/>
      <c r="AT96" s="2320"/>
      <c r="AU96" s="2320"/>
      <c r="AV96" s="2320"/>
      <c r="AW96" s="2320"/>
      <c r="AX96" s="2320"/>
      <c r="AY96" s="2320"/>
      <c r="AZ96" s="2320"/>
      <c r="BA96" s="2320"/>
      <c r="BB96" s="2320"/>
      <c r="BC96" s="2320"/>
      <c r="BD96" s="2345"/>
      <c r="BE96" s="1213"/>
    </row>
    <row r="97" spans="1:57" ht="15.75" customHeight="1">
      <c r="A97" s="1207"/>
      <c r="B97" s="2347" t="s">
        <v>1754</v>
      </c>
      <c r="C97" s="2348"/>
      <c r="D97" s="2348"/>
      <c r="E97" s="2348"/>
      <c r="F97" s="2348"/>
      <c r="G97" s="2348"/>
      <c r="H97" s="2348"/>
      <c r="I97" s="2348"/>
      <c r="J97" s="2348"/>
      <c r="K97" s="2348"/>
      <c r="L97" s="2348"/>
      <c r="M97" s="2348"/>
      <c r="N97" s="2348"/>
      <c r="O97" s="2348"/>
      <c r="P97" s="2348"/>
      <c r="Q97" s="2348"/>
      <c r="R97" s="2348"/>
      <c r="S97" s="2348"/>
      <c r="T97" s="2348"/>
      <c r="U97" s="2349"/>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46"/>
      <c r="BE97" s="1213"/>
    </row>
    <row r="98" spans="1:57" ht="15.75" customHeight="1">
      <c r="A98" s="1207"/>
      <c r="B98" s="2341"/>
      <c r="C98" s="2342"/>
      <c r="D98" s="2342"/>
      <c r="E98" s="2342"/>
      <c r="F98" s="2342"/>
      <c r="G98" s="2342"/>
      <c r="H98" s="2342"/>
      <c r="I98" s="2253" t="s">
        <v>2249</v>
      </c>
      <c r="J98" s="2253"/>
      <c r="K98" s="2253"/>
      <c r="L98" s="2253"/>
      <c r="M98" s="2253"/>
      <c r="N98" s="2253"/>
      <c r="O98" s="2350" t="s">
        <v>2250</v>
      </c>
      <c r="P98" s="2350"/>
      <c r="Q98" s="2350"/>
      <c r="R98" s="2350"/>
      <c r="S98" s="2350"/>
      <c r="T98" s="2350"/>
      <c r="U98" s="2351"/>
      <c r="V98" s="1207"/>
      <c r="W98" s="1207"/>
      <c r="X98" s="2305" t="s">
        <v>2262</v>
      </c>
      <c r="Y98" s="2306"/>
      <c r="Z98" s="2306"/>
      <c r="AA98" s="2306"/>
      <c r="AB98" s="2306"/>
      <c r="AC98" s="2306"/>
      <c r="AD98" s="2306"/>
      <c r="AE98" s="2306"/>
      <c r="AF98" s="2306"/>
      <c r="AG98" s="2306"/>
      <c r="AH98" s="2306"/>
      <c r="AI98" s="2306"/>
      <c r="AJ98" s="2306"/>
      <c r="AK98" s="2306"/>
      <c r="AL98" s="2306"/>
      <c r="AM98" s="2306"/>
      <c r="AN98" s="2306"/>
      <c r="AO98" s="2306"/>
      <c r="AP98" s="2306"/>
      <c r="AQ98" s="2306"/>
      <c r="AR98" s="2306"/>
      <c r="AS98" s="2306"/>
      <c r="AT98" s="2306"/>
      <c r="AU98" s="2306"/>
      <c r="AV98" s="2306"/>
      <c r="AW98" s="2306"/>
      <c r="AX98" s="2306"/>
      <c r="AY98" s="2306"/>
      <c r="AZ98" s="2306"/>
      <c r="BA98" s="2306"/>
      <c r="BB98" s="2306"/>
      <c r="BC98" s="2306"/>
      <c r="BD98" s="2307"/>
      <c r="BE98" s="1213"/>
    </row>
    <row r="99" spans="1:57" ht="15.75" customHeight="1">
      <c r="A99" s="1207"/>
      <c r="B99" s="2352" t="s">
        <v>2251</v>
      </c>
      <c r="C99" s="2353"/>
      <c r="D99" s="2353"/>
      <c r="E99" s="2353"/>
      <c r="F99" s="2353"/>
      <c r="G99" s="2353"/>
      <c r="H99" s="2353"/>
      <c r="I99" s="2328">
        <v>0</v>
      </c>
      <c r="J99" s="2328"/>
      <c r="K99" s="2328"/>
      <c r="L99" s="2328"/>
      <c r="M99" s="2328"/>
      <c r="N99" s="2328"/>
      <c r="O99" s="2328">
        <v>0</v>
      </c>
      <c r="P99" s="2328"/>
      <c r="Q99" s="2328"/>
      <c r="R99" s="2328"/>
      <c r="S99" s="2328"/>
      <c r="T99" s="2328"/>
      <c r="U99" s="2337"/>
      <c r="V99" s="1207"/>
      <c r="W99" s="1207"/>
      <c r="X99" s="2305"/>
      <c r="Y99" s="2306"/>
      <c r="Z99" s="2306"/>
      <c r="AA99" s="2306"/>
      <c r="AB99" s="2306"/>
      <c r="AC99" s="2306"/>
      <c r="AD99" s="2306"/>
      <c r="AE99" s="2306"/>
      <c r="AF99" s="2306"/>
      <c r="AG99" s="2306"/>
      <c r="AH99" s="2306"/>
      <c r="AI99" s="2306"/>
      <c r="AJ99" s="2306"/>
      <c r="AK99" s="2306"/>
      <c r="AL99" s="2306"/>
      <c r="AM99" s="2306"/>
      <c r="AN99" s="2306"/>
      <c r="AO99" s="2306"/>
      <c r="AP99" s="2306"/>
      <c r="AQ99" s="2306"/>
      <c r="AR99" s="2306"/>
      <c r="AS99" s="2306"/>
      <c r="AT99" s="2306"/>
      <c r="AU99" s="2306"/>
      <c r="AV99" s="2306"/>
      <c r="AW99" s="2306"/>
      <c r="AX99" s="2306"/>
      <c r="AY99" s="2306"/>
      <c r="AZ99" s="2306"/>
      <c r="BA99" s="2306"/>
      <c r="BB99" s="2306"/>
      <c r="BC99" s="2306"/>
      <c r="BD99" s="2307"/>
      <c r="BE99" s="1213"/>
    </row>
    <row r="100" spans="1:57" ht="15.75" customHeight="1" thickBot="1">
      <c r="A100" s="1207"/>
      <c r="B100" s="2354" t="s">
        <v>2252</v>
      </c>
      <c r="C100" s="2355"/>
      <c r="D100" s="2355"/>
      <c r="E100" s="2355"/>
      <c r="F100" s="2355"/>
      <c r="G100" s="2355"/>
      <c r="H100" s="2355"/>
      <c r="I100" s="2335">
        <v>0</v>
      </c>
      <c r="J100" s="2335"/>
      <c r="K100" s="2335"/>
      <c r="L100" s="2335"/>
      <c r="M100" s="2335"/>
      <c r="N100" s="2335"/>
      <c r="O100" s="2339"/>
      <c r="P100" s="2339"/>
      <c r="Q100" s="2339"/>
      <c r="R100" s="2339"/>
      <c r="S100" s="2339"/>
      <c r="T100" s="2339"/>
      <c r="U100" s="2340"/>
      <c r="V100" s="1207"/>
      <c r="W100" s="1207"/>
      <c r="X100" s="2305"/>
      <c r="Y100" s="2306"/>
      <c r="Z100" s="2306"/>
      <c r="AA100" s="2306"/>
      <c r="AB100" s="2306"/>
      <c r="AC100" s="2306"/>
      <c r="AD100" s="2306"/>
      <c r="AE100" s="2306"/>
      <c r="AF100" s="2306"/>
      <c r="AG100" s="2306"/>
      <c r="AH100" s="2306"/>
      <c r="AI100" s="2306"/>
      <c r="AJ100" s="2306"/>
      <c r="AK100" s="2306"/>
      <c r="AL100" s="2306"/>
      <c r="AM100" s="2306"/>
      <c r="AN100" s="2306"/>
      <c r="AO100" s="2306"/>
      <c r="AP100" s="2306"/>
      <c r="AQ100" s="2306"/>
      <c r="AR100" s="2306"/>
      <c r="AS100" s="2306"/>
      <c r="AT100" s="2306"/>
      <c r="AU100" s="2306"/>
      <c r="AV100" s="2306"/>
      <c r="AW100" s="2306"/>
      <c r="AX100" s="2306"/>
      <c r="AY100" s="2306"/>
      <c r="AZ100" s="2306"/>
      <c r="BA100" s="2306"/>
      <c r="BB100" s="2306"/>
      <c r="BC100" s="2306"/>
      <c r="BD100" s="230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5"/>
      <c r="Y101" s="2306"/>
      <c r="Z101" s="2306"/>
      <c r="AA101" s="2306"/>
      <c r="AB101" s="2306"/>
      <c r="AC101" s="2306"/>
      <c r="AD101" s="2306"/>
      <c r="AE101" s="2306"/>
      <c r="AF101" s="2306"/>
      <c r="AG101" s="2306"/>
      <c r="AH101" s="2306"/>
      <c r="AI101" s="2306"/>
      <c r="AJ101" s="2306"/>
      <c r="AK101" s="2306"/>
      <c r="AL101" s="2306"/>
      <c r="AM101" s="2306"/>
      <c r="AN101" s="2306"/>
      <c r="AO101" s="2306"/>
      <c r="AP101" s="2306"/>
      <c r="AQ101" s="2306"/>
      <c r="AR101" s="2306"/>
      <c r="AS101" s="2306"/>
      <c r="AT101" s="2306"/>
      <c r="AU101" s="2306"/>
      <c r="AV101" s="2306"/>
      <c r="AW101" s="2306"/>
      <c r="AX101" s="2306"/>
      <c r="AY101" s="2306"/>
      <c r="AZ101" s="2306"/>
      <c r="BA101" s="2306"/>
      <c r="BB101" s="2306"/>
      <c r="BC101" s="2306"/>
      <c r="BD101" s="2307"/>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5"/>
      <c r="Y102" s="2306"/>
      <c r="Z102" s="2306"/>
      <c r="AA102" s="2306"/>
      <c r="AB102" s="2306"/>
      <c r="AC102" s="2306"/>
      <c r="AD102" s="2306"/>
      <c r="AE102" s="2306"/>
      <c r="AF102" s="2306"/>
      <c r="AG102" s="2306"/>
      <c r="AH102" s="2306"/>
      <c r="AI102" s="2306"/>
      <c r="AJ102" s="2306"/>
      <c r="AK102" s="2306"/>
      <c r="AL102" s="2306"/>
      <c r="AM102" s="2306"/>
      <c r="AN102" s="2306"/>
      <c r="AO102" s="2306"/>
      <c r="AP102" s="2306"/>
      <c r="AQ102" s="2306"/>
      <c r="AR102" s="2306"/>
      <c r="AS102" s="2306"/>
      <c r="AT102" s="2306"/>
      <c r="AU102" s="2306"/>
      <c r="AV102" s="2306"/>
      <c r="AW102" s="2306"/>
      <c r="AX102" s="2306"/>
      <c r="AY102" s="2306"/>
      <c r="AZ102" s="2306"/>
      <c r="BA102" s="2306"/>
      <c r="BB102" s="2306"/>
      <c r="BC102" s="2306"/>
      <c r="BD102" s="230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5"/>
      <c r="Y103" s="2306"/>
      <c r="Z103" s="2306"/>
      <c r="AA103" s="2306"/>
      <c r="AB103" s="2306"/>
      <c r="AC103" s="2306"/>
      <c r="AD103" s="2306"/>
      <c r="AE103" s="2306"/>
      <c r="AF103" s="2306"/>
      <c r="AG103" s="2306"/>
      <c r="AH103" s="2306"/>
      <c r="AI103" s="2306"/>
      <c r="AJ103" s="2306"/>
      <c r="AK103" s="2306"/>
      <c r="AL103" s="2306"/>
      <c r="AM103" s="2306"/>
      <c r="AN103" s="2306"/>
      <c r="AO103" s="2306"/>
      <c r="AP103" s="2306"/>
      <c r="AQ103" s="2306"/>
      <c r="AR103" s="2306"/>
      <c r="AS103" s="2306"/>
      <c r="AT103" s="2306"/>
      <c r="AU103" s="2306"/>
      <c r="AV103" s="2306"/>
      <c r="AW103" s="2306"/>
      <c r="AX103" s="2306"/>
      <c r="AY103" s="2306"/>
      <c r="AZ103" s="2306"/>
      <c r="BA103" s="2306"/>
      <c r="BB103" s="2306"/>
      <c r="BC103" s="2306"/>
      <c r="BD103" s="2307"/>
      <c r="BE103" s="1213"/>
    </row>
    <row r="104" spans="1:57" ht="15.75" customHeight="1">
      <c r="A104" s="1207"/>
      <c r="B104" s="2186" t="s">
        <v>1905</v>
      </c>
      <c r="C104" s="2187"/>
      <c r="D104" s="2187"/>
      <c r="E104" s="2187"/>
      <c r="F104" s="2187"/>
      <c r="G104" s="2187"/>
      <c r="H104" s="2187"/>
      <c r="I104" s="2187"/>
      <c r="J104" s="2187"/>
      <c r="K104" s="2187"/>
      <c r="L104" s="2187"/>
      <c r="M104" s="2187"/>
      <c r="N104" s="2187"/>
      <c r="O104" s="2187"/>
      <c r="P104" s="2187"/>
      <c r="Q104" s="2187"/>
      <c r="R104" s="2187"/>
      <c r="S104" s="2187"/>
      <c r="T104" s="2187"/>
      <c r="U104" s="2188"/>
      <c r="V104" s="1207"/>
      <c r="W104" s="1207"/>
      <c r="X104" s="2305"/>
      <c r="Y104" s="2306"/>
      <c r="Z104" s="2306"/>
      <c r="AA104" s="2306"/>
      <c r="AB104" s="2306"/>
      <c r="AC104" s="2306"/>
      <c r="AD104" s="2306"/>
      <c r="AE104" s="2306"/>
      <c r="AF104" s="2306"/>
      <c r="AG104" s="2306"/>
      <c r="AH104" s="2306"/>
      <c r="AI104" s="2306"/>
      <c r="AJ104" s="2306"/>
      <c r="AK104" s="2306"/>
      <c r="AL104" s="2306"/>
      <c r="AM104" s="2306"/>
      <c r="AN104" s="2306"/>
      <c r="AO104" s="2306"/>
      <c r="AP104" s="2306"/>
      <c r="AQ104" s="2306"/>
      <c r="AR104" s="2306"/>
      <c r="AS104" s="2306"/>
      <c r="AT104" s="2306"/>
      <c r="AU104" s="2306"/>
      <c r="AV104" s="2306"/>
      <c r="AW104" s="2306"/>
      <c r="AX104" s="2306"/>
      <c r="AY104" s="2306"/>
      <c r="AZ104" s="2306"/>
      <c r="BA104" s="2306"/>
      <c r="BB104" s="2306"/>
      <c r="BC104" s="2306"/>
      <c r="BD104" s="2307"/>
      <c r="BE104" s="1213"/>
    </row>
    <row r="105" spans="1:57" ht="15.75" customHeight="1">
      <c r="A105" s="1207"/>
      <c r="B105" s="2341"/>
      <c r="C105" s="2342"/>
      <c r="D105" s="2342"/>
      <c r="E105" s="2342"/>
      <c r="F105" s="2342"/>
      <c r="G105" s="2342"/>
      <c r="H105" s="2342"/>
      <c r="I105" s="2343" t="s">
        <v>1898</v>
      </c>
      <c r="J105" s="2343"/>
      <c r="K105" s="2343"/>
      <c r="L105" s="2343"/>
      <c r="M105" s="2343"/>
      <c r="N105" s="2343"/>
      <c r="O105" s="2343"/>
      <c r="P105" s="2343" t="s">
        <v>2263</v>
      </c>
      <c r="Q105" s="2343"/>
      <c r="R105" s="2343"/>
      <c r="S105" s="2343"/>
      <c r="T105" s="2343"/>
      <c r="U105" s="2344"/>
      <c r="V105" s="1207"/>
      <c r="W105" s="1207"/>
      <c r="X105" s="2305"/>
      <c r="Y105" s="2306"/>
      <c r="Z105" s="2306"/>
      <c r="AA105" s="2306"/>
      <c r="AB105" s="2306"/>
      <c r="AC105" s="2306"/>
      <c r="AD105" s="2306"/>
      <c r="AE105" s="2306"/>
      <c r="AF105" s="2306"/>
      <c r="AG105" s="2306"/>
      <c r="AH105" s="2306"/>
      <c r="AI105" s="2306"/>
      <c r="AJ105" s="2306"/>
      <c r="AK105" s="2306"/>
      <c r="AL105" s="2306"/>
      <c r="AM105" s="2306"/>
      <c r="AN105" s="2306"/>
      <c r="AO105" s="2306"/>
      <c r="AP105" s="2306"/>
      <c r="AQ105" s="2306"/>
      <c r="AR105" s="2306"/>
      <c r="AS105" s="2306"/>
      <c r="AT105" s="2306"/>
      <c r="AU105" s="2306"/>
      <c r="AV105" s="2306"/>
      <c r="AW105" s="2306"/>
      <c r="AX105" s="2306"/>
      <c r="AY105" s="2306"/>
      <c r="AZ105" s="2306"/>
      <c r="BA105" s="2306"/>
      <c r="BB105" s="2306"/>
      <c r="BC105" s="2306"/>
      <c r="BD105" s="2307"/>
      <c r="BE105" s="1213"/>
    </row>
    <row r="106" spans="1:57" ht="15.75" customHeight="1">
      <c r="A106" s="1207"/>
      <c r="B106" s="2341"/>
      <c r="C106" s="2342"/>
      <c r="D106" s="2342"/>
      <c r="E106" s="2342"/>
      <c r="F106" s="2342"/>
      <c r="G106" s="2342"/>
      <c r="H106" s="2342"/>
      <c r="I106" s="2343"/>
      <c r="J106" s="2343"/>
      <c r="K106" s="2343"/>
      <c r="L106" s="2343"/>
      <c r="M106" s="2343"/>
      <c r="N106" s="2343"/>
      <c r="O106" s="2343"/>
      <c r="P106" s="2343"/>
      <c r="Q106" s="2343"/>
      <c r="R106" s="2343"/>
      <c r="S106" s="2343"/>
      <c r="T106" s="2343"/>
      <c r="U106" s="2344"/>
      <c r="V106" s="1207"/>
      <c r="W106" s="1207"/>
      <c r="X106" s="2305"/>
      <c r="Y106" s="2306"/>
      <c r="Z106" s="2306"/>
      <c r="AA106" s="2306"/>
      <c r="AB106" s="2306"/>
      <c r="AC106" s="2306"/>
      <c r="AD106" s="2306"/>
      <c r="AE106" s="2306"/>
      <c r="AF106" s="2306"/>
      <c r="AG106" s="2306"/>
      <c r="AH106" s="2306"/>
      <c r="AI106" s="2306"/>
      <c r="AJ106" s="2306"/>
      <c r="AK106" s="2306"/>
      <c r="AL106" s="2306"/>
      <c r="AM106" s="2306"/>
      <c r="AN106" s="2306"/>
      <c r="AO106" s="2306"/>
      <c r="AP106" s="2306"/>
      <c r="AQ106" s="2306"/>
      <c r="AR106" s="2306"/>
      <c r="AS106" s="2306"/>
      <c r="AT106" s="2306"/>
      <c r="AU106" s="2306"/>
      <c r="AV106" s="2306"/>
      <c r="AW106" s="2306"/>
      <c r="AX106" s="2306"/>
      <c r="AY106" s="2306"/>
      <c r="AZ106" s="2306"/>
      <c r="BA106" s="2306"/>
      <c r="BB106" s="2306"/>
      <c r="BC106" s="2306"/>
      <c r="BD106" s="2307"/>
      <c r="BE106" s="1213"/>
    </row>
    <row r="107" spans="1:57" ht="15.75" customHeight="1">
      <c r="A107" s="1207"/>
      <c r="B107" s="2352" t="s">
        <v>2251</v>
      </c>
      <c r="C107" s="2353"/>
      <c r="D107" s="2353"/>
      <c r="E107" s="2353"/>
      <c r="F107" s="2353"/>
      <c r="G107" s="2353"/>
      <c r="H107" s="2353"/>
      <c r="I107" s="2328">
        <v>0</v>
      </c>
      <c r="J107" s="2328"/>
      <c r="K107" s="2328"/>
      <c r="L107" s="2328"/>
      <c r="M107" s="2328"/>
      <c r="N107" s="2328"/>
      <c r="O107" s="2328"/>
      <c r="P107" s="2328">
        <v>0</v>
      </c>
      <c r="Q107" s="2328"/>
      <c r="R107" s="2328"/>
      <c r="S107" s="2328"/>
      <c r="T107" s="2328"/>
      <c r="U107" s="2337"/>
      <c r="V107" s="1207"/>
      <c r="W107" s="1207"/>
      <c r="X107" s="2305"/>
      <c r="Y107" s="2306"/>
      <c r="Z107" s="2306"/>
      <c r="AA107" s="2306"/>
      <c r="AB107" s="2306"/>
      <c r="AC107" s="2306"/>
      <c r="AD107" s="2306"/>
      <c r="AE107" s="2306"/>
      <c r="AF107" s="2306"/>
      <c r="AG107" s="2306"/>
      <c r="AH107" s="2306"/>
      <c r="AI107" s="2306"/>
      <c r="AJ107" s="2306"/>
      <c r="AK107" s="2306"/>
      <c r="AL107" s="2306"/>
      <c r="AM107" s="2306"/>
      <c r="AN107" s="2306"/>
      <c r="AO107" s="2306"/>
      <c r="AP107" s="2306"/>
      <c r="AQ107" s="2306"/>
      <c r="AR107" s="2306"/>
      <c r="AS107" s="2306"/>
      <c r="AT107" s="2306"/>
      <c r="AU107" s="2306"/>
      <c r="AV107" s="2306"/>
      <c r="AW107" s="2306"/>
      <c r="AX107" s="2306"/>
      <c r="AY107" s="2306"/>
      <c r="AZ107" s="2306"/>
      <c r="BA107" s="2306"/>
      <c r="BB107" s="2306"/>
      <c r="BC107" s="2306"/>
      <c r="BD107" s="2307"/>
      <c r="BE107" s="1213"/>
    </row>
    <row r="108" spans="1:57" ht="15.75" customHeight="1" thickBot="1">
      <c r="A108" s="1207"/>
      <c r="B108" s="2354" t="s">
        <v>2252</v>
      </c>
      <c r="C108" s="2355"/>
      <c r="D108" s="2355"/>
      <c r="E108" s="2355"/>
      <c r="F108" s="2355"/>
      <c r="G108" s="2355"/>
      <c r="H108" s="2355"/>
      <c r="I108" s="2335">
        <v>0</v>
      </c>
      <c r="J108" s="2335"/>
      <c r="K108" s="2335"/>
      <c r="L108" s="2335"/>
      <c r="M108" s="2335"/>
      <c r="N108" s="2335"/>
      <c r="O108" s="2335"/>
      <c r="P108" s="2335">
        <v>0</v>
      </c>
      <c r="Q108" s="2335"/>
      <c r="R108" s="2335"/>
      <c r="S108" s="2335"/>
      <c r="T108" s="2335"/>
      <c r="U108" s="2336"/>
      <c r="V108" s="1207"/>
      <c r="W108" s="1207"/>
      <c r="X108" s="2308"/>
      <c r="Y108" s="2309"/>
      <c r="Z108" s="2309"/>
      <c r="AA108" s="2309"/>
      <c r="AB108" s="2309"/>
      <c r="AC108" s="2309"/>
      <c r="AD108" s="2309"/>
      <c r="AE108" s="2309"/>
      <c r="AF108" s="2309"/>
      <c r="AG108" s="2309"/>
      <c r="AH108" s="2309"/>
      <c r="AI108" s="2309"/>
      <c r="AJ108" s="2309"/>
      <c r="AK108" s="2309"/>
      <c r="AL108" s="2309"/>
      <c r="AM108" s="2309"/>
      <c r="AN108" s="2309"/>
      <c r="AO108" s="2309"/>
      <c r="AP108" s="2309"/>
      <c r="AQ108" s="2309"/>
      <c r="AR108" s="2309"/>
      <c r="AS108" s="2309"/>
      <c r="AT108" s="2309"/>
      <c r="AU108" s="2309"/>
      <c r="AV108" s="2309"/>
      <c r="AW108" s="2309"/>
      <c r="AX108" s="2309"/>
      <c r="AY108" s="2309"/>
      <c r="AZ108" s="2309"/>
      <c r="BA108" s="2309"/>
      <c r="BB108" s="2309"/>
      <c r="BC108" s="2309"/>
      <c r="BD108" s="231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6" t="s">
        <v>1906</v>
      </c>
      <c r="C110" s="2357"/>
      <c r="D110" s="2357"/>
      <c r="E110" s="2357"/>
      <c r="F110" s="2357"/>
      <c r="G110" s="2357"/>
      <c r="H110" s="2357"/>
      <c r="I110" s="2357"/>
      <c r="J110" s="2357"/>
      <c r="K110" s="2357"/>
      <c r="L110" s="2357"/>
      <c r="M110" s="2357"/>
      <c r="N110" s="2357"/>
      <c r="O110" s="2357"/>
      <c r="P110" s="2357"/>
      <c r="Q110" s="2357"/>
      <c r="R110" s="2357"/>
      <c r="S110" s="2357"/>
      <c r="T110" s="2357"/>
      <c r="U110" s="2357"/>
      <c r="V110" s="2357"/>
      <c r="W110" s="2357"/>
      <c r="X110" s="2357"/>
      <c r="Y110" s="2357"/>
      <c r="Z110" s="2357"/>
      <c r="AA110" s="2357"/>
      <c r="AB110" s="2357"/>
      <c r="AC110" s="2357"/>
      <c r="AD110" s="2357"/>
      <c r="AE110" s="2357"/>
      <c r="AF110" s="2357"/>
      <c r="AG110" s="2357"/>
      <c r="AH110" s="2277" t="s">
        <v>554</v>
      </c>
      <c r="AI110" s="2277"/>
      <c r="AJ110" s="2277"/>
      <c r="AK110" s="2277"/>
      <c r="AL110" s="2277"/>
      <c r="AM110" s="2277"/>
      <c r="AN110" s="2277"/>
      <c r="AO110" s="2277"/>
      <c r="AP110" s="2277"/>
      <c r="AQ110" s="2277"/>
      <c r="AR110" s="2277"/>
      <c r="AS110" s="2277"/>
      <c r="AT110" s="2277"/>
      <c r="AU110" s="2277"/>
      <c r="AV110" s="2277"/>
      <c r="AW110" s="2277"/>
      <c r="AX110" s="2278"/>
      <c r="AY110" s="1207"/>
      <c r="AZ110" s="1207"/>
      <c r="BA110" s="1207"/>
      <c r="BB110" s="1207"/>
      <c r="BC110" s="1207"/>
      <c r="BD110" s="1207"/>
      <c r="BE110" s="1213"/>
    </row>
    <row r="111" spans="1:57" ht="15.75" customHeight="1">
      <c r="A111" s="1207"/>
      <c r="B111" s="2358" t="s">
        <v>1907</v>
      </c>
      <c r="C111" s="2359"/>
      <c r="D111" s="2359"/>
      <c r="E111" s="2359"/>
      <c r="F111" s="2359"/>
      <c r="G111" s="2359"/>
      <c r="H111" s="2359"/>
      <c r="I111" s="2359"/>
      <c r="J111" s="2359"/>
      <c r="K111" s="2359"/>
      <c r="L111" s="2359"/>
      <c r="M111" s="2359"/>
      <c r="N111" s="2359"/>
      <c r="O111" s="2359"/>
      <c r="P111" s="2359"/>
      <c r="Q111" s="2359"/>
      <c r="R111" s="2360" t="s">
        <v>2265</v>
      </c>
      <c r="S111" s="2360"/>
      <c r="T111" s="2360"/>
      <c r="U111" s="2360"/>
      <c r="V111" s="2360"/>
      <c r="W111" s="2360"/>
      <c r="X111" s="2360"/>
      <c r="Y111" s="2360"/>
      <c r="Z111" s="2360"/>
      <c r="AA111" s="2360"/>
      <c r="AB111" s="2360"/>
      <c r="AC111" s="2360"/>
      <c r="AD111" s="2360"/>
      <c r="AE111" s="2360"/>
      <c r="AF111" s="2360"/>
      <c r="AG111" s="2360"/>
      <c r="AH111" s="2360"/>
      <c r="AI111" s="2360"/>
      <c r="AJ111" s="2360"/>
      <c r="AK111" s="2360"/>
      <c r="AL111" s="2360"/>
      <c r="AM111" s="2360"/>
      <c r="AN111" s="2360"/>
      <c r="AO111" s="2360"/>
      <c r="AP111" s="2360"/>
      <c r="AQ111" s="2360"/>
      <c r="AR111" s="2360"/>
      <c r="AS111" s="2360"/>
      <c r="AT111" s="2360"/>
      <c r="AU111" s="2360"/>
      <c r="AV111" s="2360"/>
      <c r="AW111" s="2360"/>
      <c r="AX111" s="2361"/>
      <c r="AY111" s="1207"/>
      <c r="AZ111" s="1207"/>
      <c r="BA111" s="1207"/>
      <c r="BB111" s="1207"/>
      <c r="BC111" s="1207" t="s">
        <v>251</v>
      </c>
      <c r="BD111" s="1207"/>
      <c r="BE111" s="1213"/>
    </row>
    <row r="112" spans="1:57" ht="15.75" customHeight="1">
      <c r="A112" s="1207"/>
      <c r="B112" s="2362" t="s">
        <v>2266</v>
      </c>
      <c r="C112" s="2363"/>
      <c r="D112" s="2363"/>
      <c r="E112" s="2363"/>
      <c r="F112" s="2363"/>
      <c r="G112" s="2363"/>
      <c r="H112" s="2363"/>
      <c r="I112" s="2363"/>
      <c r="J112" s="2363"/>
      <c r="K112" s="2363"/>
      <c r="L112" s="2363"/>
      <c r="M112" s="2363"/>
      <c r="N112" s="2363"/>
      <c r="O112" s="2363"/>
      <c r="P112" s="2363"/>
      <c r="Q112" s="2363"/>
      <c r="R112" s="2363"/>
      <c r="S112" s="2363"/>
      <c r="T112" s="2363"/>
      <c r="U112" s="2363"/>
      <c r="V112" s="2363"/>
      <c r="W112" s="2363"/>
      <c r="X112" s="2363"/>
      <c r="Y112" s="2363"/>
      <c r="Z112" s="2363"/>
      <c r="AA112" s="2363"/>
      <c r="AB112" s="2363"/>
      <c r="AC112" s="2363"/>
      <c r="AD112" s="2363"/>
      <c r="AE112" s="2363"/>
      <c r="AF112" s="2363"/>
      <c r="AG112" s="2363"/>
      <c r="AH112" s="2363"/>
      <c r="AI112" s="2363"/>
      <c r="AJ112" s="2363"/>
      <c r="AK112" s="2363"/>
      <c r="AL112" s="2363"/>
      <c r="AM112" s="2363"/>
      <c r="AN112" s="2363"/>
      <c r="AO112" s="2363"/>
      <c r="AP112" s="2363"/>
      <c r="AQ112" s="2363"/>
      <c r="AR112" s="2363"/>
      <c r="AS112" s="2363"/>
      <c r="AT112" s="2363"/>
      <c r="AU112" s="2363"/>
      <c r="AV112" s="2363"/>
      <c r="AW112" s="2363"/>
      <c r="AX112" s="2364"/>
      <c r="AY112" s="1207"/>
      <c r="AZ112" s="1207"/>
      <c r="BA112" s="1207"/>
      <c r="BB112" s="1207"/>
      <c r="BC112" s="1207"/>
      <c r="BD112" s="1207"/>
      <c r="BE112" s="1213"/>
    </row>
    <row r="113" spans="1:57" ht="15.75" customHeight="1">
      <c r="A113" s="1207"/>
      <c r="B113" s="2362"/>
      <c r="C113" s="2363"/>
      <c r="D113" s="2363"/>
      <c r="E113" s="2363"/>
      <c r="F113" s="2363"/>
      <c r="G113" s="2363"/>
      <c r="H113" s="2363"/>
      <c r="I113" s="2363"/>
      <c r="J113" s="2363"/>
      <c r="K113" s="2363"/>
      <c r="L113" s="2363"/>
      <c r="M113" s="2363"/>
      <c r="N113" s="2363"/>
      <c r="O113" s="2363"/>
      <c r="P113" s="2363"/>
      <c r="Q113" s="2363"/>
      <c r="R113" s="2363"/>
      <c r="S113" s="2363"/>
      <c r="T113" s="2363"/>
      <c r="U113" s="2363"/>
      <c r="V113" s="2363"/>
      <c r="W113" s="2363"/>
      <c r="X113" s="2363"/>
      <c r="Y113" s="2363"/>
      <c r="Z113" s="2363"/>
      <c r="AA113" s="2363"/>
      <c r="AB113" s="2363"/>
      <c r="AC113" s="2363"/>
      <c r="AD113" s="2363"/>
      <c r="AE113" s="2363"/>
      <c r="AF113" s="2363"/>
      <c r="AG113" s="2363"/>
      <c r="AH113" s="2363"/>
      <c r="AI113" s="2363"/>
      <c r="AJ113" s="2363"/>
      <c r="AK113" s="2363"/>
      <c r="AL113" s="2363"/>
      <c r="AM113" s="2363"/>
      <c r="AN113" s="2363"/>
      <c r="AO113" s="2363"/>
      <c r="AP113" s="2363"/>
      <c r="AQ113" s="2363"/>
      <c r="AR113" s="2363"/>
      <c r="AS113" s="2363"/>
      <c r="AT113" s="2363"/>
      <c r="AU113" s="2363"/>
      <c r="AV113" s="2363"/>
      <c r="AW113" s="2363"/>
      <c r="AX113" s="2364"/>
      <c r="AY113" s="1207"/>
      <c r="AZ113" s="1207"/>
      <c r="BA113" s="1207"/>
      <c r="BB113" s="1207"/>
      <c r="BC113" s="1207"/>
      <c r="BD113" s="1207"/>
      <c r="BE113" s="1213"/>
    </row>
    <row r="114" spans="1:57" ht="15.75" customHeight="1">
      <c r="A114" s="1207"/>
      <c r="B114" s="2362"/>
      <c r="C114" s="2363"/>
      <c r="D114" s="2363"/>
      <c r="E114" s="2363"/>
      <c r="F114" s="2363"/>
      <c r="G114" s="2363"/>
      <c r="H114" s="2363"/>
      <c r="I114" s="2363"/>
      <c r="J114" s="2363"/>
      <c r="K114" s="2363"/>
      <c r="L114" s="2363"/>
      <c r="M114" s="2363"/>
      <c r="N114" s="2363"/>
      <c r="O114" s="2363"/>
      <c r="P114" s="2363"/>
      <c r="Q114" s="2363"/>
      <c r="R114" s="2363"/>
      <c r="S114" s="2363"/>
      <c r="T114" s="2363"/>
      <c r="U114" s="2363"/>
      <c r="V114" s="2363"/>
      <c r="W114" s="2363"/>
      <c r="X114" s="2363"/>
      <c r="Y114" s="2363"/>
      <c r="Z114" s="2363"/>
      <c r="AA114" s="2363"/>
      <c r="AB114" s="2363"/>
      <c r="AC114" s="2363"/>
      <c r="AD114" s="2363"/>
      <c r="AE114" s="2363"/>
      <c r="AF114" s="2363"/>
      <c r="AG114" s="2363"/>
      <c r="AH114" s="2363"/>
      <c r="AI114" s="2363"/>
      <c r="AJ114" s="2363"/>
      <c r="AK114" s="2363"/>
      <c r="AL114" s="2363"/>
      <c r="AM114" s="2363"/>
      <c r="AN114" s="2363"/>
      <c r="AO114" s="2363"/>
      <c r="AP114" s="2363"/>
      <c r="AQ114" s="2363"/>
      <c r="AR114" s="2363"/>
      <c r="AS114" s="2363"/>
      <c r="AT114" s="2363"/>
      <c r="AU114" s="2363"/>
      <c r="AV114" s="2363"/>
      <c r="AW114" s="2363"/>
      <c r="AX114" s="2364"/>
      <c r="AY114" s="1207"/>
      <c r="AZ114" s="1207"/>
      <c r="BA114" s="1207"/>
      <c r="BB114" s="1207"/>
      <c r="BC114" s="1207"/>
      <c r="BD114" s="1207"/>
      <c r="BE114" s="1213"/>
    </row>
    <row r="115" spans="1:57" ht="15.75" customHeight="1">
      <c r="A115" s="1207"/>
      <c r="B115" s="2362"/>
      <c r="C115" s="2363"/>
      <c r="D115" s="2363"/>
      <c r="E115" s="2363"/>
      <c r="F115" s="2363"/>
      <c r="G115" s="2363"/>
      <c r="H115" s="2363"/>
      <c r="I115" s="2363"/>
      <c r="J115" s="2363"/>
      <c r="K115" s="2363"/>
      <c r="L115" s="2363"/>
      <c r="M115" s="2363"/>
      <c r="N115" s="2363"/>
      <c r="O115" s="2363"/>
      <c r="P115" s="2363"/>
      <c r="Q115" s="2363"/>
      <c r="R115" s="2363"/>
      <c r="S115" s="2363"/>
      <c r="T115" s="2363"/>
      <c r="U115" s="2363"/>
      <c r="V115" s="2363"/>
      <c r="W115" s="2363"/>
      <c r="X115" s="2363"/>
      <c r="Y115" s="2363"/>
      <c r="Z115" s="2363"/>
      <c r="AA115" s="2363"/>
      <c r="AB115" s="2363"/>
      <c r="AC115" s="2363"/>
      <c r="AD115" s="2363"/>
      <c r="AE115" s="2363"/>
      <c r="AF115" s="2363"/>
      <c r="AG115" s="2363"/>
      <c r="AH115" s="2363"/>
      <c r="AI115" s="2363"/>
      <c r="AJ115" s="2363"/>
      <c r="AK115" s="2363"/>
      <c r="AL115" s="2363"/>
      <c r="AM115" s="2363"/>
      <c r="AN115" s="2363"/>
      <c r="AO115" s="2363"/>
      <c r="AP115" s="2363"/>
      <c r="AQ115" s="2363"/>
      <c r="AR115" s="2363"/>
      <c r="AS115" s="2363"/>
      <c r="AT115" s="2363"/>
      <c r="AU115" s="2363"/>
      <c r="AV115" s="2363"/>
      <c r="AW115" s="2363"/>
      <c r="AX115" s="2364"/>
      <c r="AY115" s="1207"/>
      <c r="AZ115" s="1207"/>
      <c r="BA115" s="1207"/>
      <c r="BB115" s="1207"/>
      <c r="BC115" s="1207"/>
      <c r="BD115" s="1207"/>
      <c r="BE115" s="1213"/>
    </row>
    <row r="116" spans="1:57" ht="15.75" customHeight="1">
      <c r="A116" s="1207"/>
      <c r="B116" s="2362"/>
      <c r="C116" s="2363"/>
      <c r="D116" s="2363"/>
      <c r="E116" s="2363"/>
      <c r="F116" s="2363"/>
      <c r="G116" s="2363"/>
      <c r="H116" s="2363"/>
      <c r="I116" s="2363"/>
      <c r="J116" s="2363"/>
      <c r="K116" s="2363"/>
      <c r="L116" s="2363"/>
      <c r="M116" s="2363"/>
      <c r="N116" s="2363"/>
      <c r="O116" s="2363"/>
      <c r="P116" s="2363"/>
      <c r="Q116" s="2363"/>
      <c r="R116" s="2363"/>
      <c r="S116" s="2363"/>
      <c r="T116" s="2363"/>
      <c r="U116" s="2363"/>
      <c r="V116" s="2363"/>
      <c r="W116" s="2363"/>
      <c r="X116" s="2363"/>
      <c r="Y116" s="2363"/>
      <c r="Z116" s="2363"/>
      <c r="AA116" s="2363"/>
      <c r="AB116" s="2363"/>
      <c r="AC116" s="2363"/>
      <c r="AD116" s="2363"/>
      <c r="AE116" s="2363"/>
      <c r="AF116" s="2363"/>
      <c r="AG116" s="2363"/>
      <c r="AH116" s="2363"/>
      <c r="AI116" s="2363"/>
      <c r="AJ116" s="2363"/>
      <c r="AK116" s="2363"/>
      <c r="AL116" s="2363"/>
      <c r="AM116" s="2363"/>
      <c r="AN116" s="2363"/>
      <c r="AO116" s="2363"/>
      <c r="AP116" s="2363"/>
      <c r="AQ116" s="2363"/>
      <c r="AR116" s="2363"/>
      <c r="AS116" s="2363"/>
      <c r="AT116" s="2363"/>
      <c r="AU116" s="2363"/>
      <c r="AV116" s="2363"/>
      <c r="AW116" s="2363"/>
      <c r="AX116" s="2364"/>
      <c r="AY116" s="1207"/>
      <c r="AZ116" s="1207"/>
      <c r="BA116" s="1207"/>
      <c r="BB116" s="1207"/>
      <c r="BC116" s="1207"/>
      <c r="BD116" s="1207"/>
      <c r="BE116" s="1213"/>
    </row>
    <row r="117" spans="1:57" ht="15.75" customHeight="1">
      <c r="A117" s="1207"/>
      <c r="B117" s="2362"/>
      <c r="C117" s="2363"/>
      <c r="D117" s="2363"/>
      <c r="E117" s="2363"/>
      <c r="F117" s="2363"/>
      <c r="G117" s="2363"/>
      <c r="H117" s="2363"/>
      <c r="I117" s="2363"/>
      <c r="J117" s="2363"/>
      <c r="K117" s="2363"/>
      <c r="L117" s="2363"/>
      <c r="M117" s="2363"/>
      <c r="N117" s="2363"/>
      <c r="O117" s="2363"/>
      <c r="P117" s="2363"/>
      <c r="Q117" s="2363"/>
      <c r="R117" s="2363"/>
      <c r="S117" s="2363"/>
      <c r="T117" s="2363"/>
      <c r="U117" s="2363"/>
      <c r="V117" s="2363"/>
      <c r="W117" s="2363"/>
      <c r="X117" s="2363"/>
      <c r="Y117" s="2363"/>
      <c r="Z117" s="2363"/>
      <c r="AA117" s="2363"/>
      <c r="AB117" s="2363"/>
      <c r="AC117" s="2363"/>
      <c r="AD117" s="2363"/>
      <c r="AE117" s="2363"/>
      <c r="AF117" s="2363"/>
      <c r="AG117" s="2363"/>
      <c r="AH117" s="2363"/>
      <c r="AI117" s="2363"/>
      <c r="AJ117" s="2363"/>
      <c r="AK117" s="2363"/>
      <c r="AL117" s="2363"/>
      <c r="AM117" s="2363"/>
      <c r="AN117" s="2363"/>
      <c r="AO117" s="2363"/>
      <c r="AP117" s="2363"/>
      <c r="AQ117" s="2363"/>
      <c r="AR117" s="2363"/>
      <c r="AS117" s="2363"/>
      <c r="AT117" s="2363"/>
      <c r="AU117" s="2363"/>
      <c r="AV117" s="2363"/>
      <c r="AW117" s="2363"/>
      <c r="AX117" s="2364"/>
      <c r="AY117" s="1207"/>
      <c r="AZ117" s="1207"/>
      <c r="BA117" s="1207"/>
      <c r="BB117" s="1207"/>
      <c r="BC117" s="1207"/>
      <c r="BD117" s="1207"/>
      <c r="BE117" s="1213"/>
    </row>
    <row r="118" spans="1:57" ht="15.75" customHeight="1">
      <c r="A118" s="1207"/>
      <c r="B118" s="2362"/>
      <c r="C118" s="2363"/>
      <c r="D118" s="2363"/>
      <c r="E118" s="2363"/>
      <c r="F118" s="2363"/>
      <c r="G118" s="2363"/>
      <c r="H118" s="2363"/>
      <c r="I118" s="2363"/>
      <c r="J118" s="2363"/>
      <c r="K118" s="2363"/>
      <c r="L118" s="2363"/>
      <c r="M118" s="2363"/>
      <c r="N118" s="2363"/>
      <c r="O118" s="2363"/>
      <c r="P118" s="2363"/>
      <c r="Q118" s="2363"/>
      <c r="R118" s="2363"/>
      <c r="S118" s="2363"/>
      <c r="T118" s="2363"/>
      <c r="U118" s="2363"/>
      <c r="V118" s="2363"/>
      <c r="W118" s="2363"/>
      <c r="X118" s="2363"/>
      <c r="Y118" s="2363"/>
      <c r="Z118" s="2363"/>
      <c r="AA118" s="2363"/>
      <c r="AB118" s="2363"/>
      <c r="AC118" s="2363"/>
      <c r="AD118" s="2363"/>
      <c r="AE118" s="2363"/>
      <c r="AF118" s="2363"/>
      <c r="AG118" s="2363"/>
      <c r="AH118" s="2363"/>
      <c r="AI118" s="2363"/>
      <c r="AJ118" s="2363"/>
      <c r="AK118" s="2363"/>
      <c r="AL118" s="2363"/>
      <c r="AM118" s="2363"/>
      <c r="AN118" s="2363"/>
      <c r="AO118" s="2363"/>
      <c r="AP118" s="2363"/>
      <c r="AQ118" s="2363"/>
      <c r="AR118" s="2363"/>
      <c r="AS118" s="2363"/>
      <c r="AT118" s="2363"/>
      <c r="AU118" s="2363"/>
      <c r="AV118" s="2363"/>
      <c r="AW118" s="2363"/>
      <c r="AX118" s="2364"/>
      <c r="AY118" s="1207"/>
      <c r="AZ118" s="1207"/>
      <c r="BA118" s="1207"/>
      <c r="BB118" s="1207"/>
      <c r="BC118" s="1207"/>
      <c r="BD118" s="1207"/>
      <c r="BE118" s="1213"/>
    </row>
    <row r="119" spans="1:57" ht="15.75" customHeight="1">
      <c r="A119" s="1207"/>
      <c r="B119" s="2362"/>
      <c r="C119" s="2363"/>
      <c r="D119" s="2363"/>
      <c r="E119" s="2363"/>
      <c r="F119" s="2363"/>
      <c r="G119" s="2363"/>
      <c r="H119" s="2363"/>
      <c r="I119" s="2363"/>
      <c r="J119" s="2363"/>
      <c r="K119" s="2363"/>
      <c r="L119" s="2363"/>
      <c r="M119" s="2363"/>
      <c r="N119" s="2363"/>
      <c r="O119" s="2363"/>
      <c r="P119" s="2363"/>
      <c r="Q119" s="2363"/>
      <c r="R119" s="2363"/>
      <c r="S119" s="2363"/>
      <c r="T119" s="2363"/>
      <c r="U119" s="2363"/>
      <c r="V119" s="2363"/>
      <c r="W119" s="2363"/>
      <c r="X119" s="2363"/>
      <c r="Y119" s="2363"/>
      <c r="Z119" s="2363"/>
      <c r="AA119" s="2363"/>
      <c r="AB119" s="2363"/>
      <c r="AC119" s="2363"/>
      <c r="AD119" s="2363"/>
      <c r="AE119" s="2363"/>
      <c r="AF119" s="2363"/>
      <c r="AG119" s="2363"/>
      <c r="AH119" s="2363"/>
      <c r="AI119" s="2363"/>
      <c r="AJ119" s="2363"/>
      <c r="AK119" s="2363"/>
      <c r="AL119" s="2363"/>
      <c r="AM119" s="2363"/>
      <c r="AN119" s="2363"/>
      <c r="AO119" s="2363"/>
      <c r="AP119" s="2363"/>
      <c r="AQ119" s="2363"/>
      <c r="AR119" s="2363"/>
      <c r="AS119" s="2363"/>
      <c r="AT119" s="2363"/>
      <c r="AU119" s="2363"/>
      <c r="AV119" s="2363"/>
      <c r="AW119" s="2363"/>
      <c r="AX119" s="2364"/>
      <c r="AY119" s="1207"/>
      <c r="AZ119" s="1207"/>
      <c r="BA119" s="1207"/>
      <c r="BB119" s="1207"/>
      <c r="BC119" s="1207"/>
      <c r="BD119" s="1207"/>
      <c r="BE119" s="1213"/>
    </row>
    <row r="120" spans="1:57" ht="15.75" customHeight="1">
      <c r="A120" s="1207"/>
      <c r="B120" s="2362"/>
      <c r="C120" s="2363"/>
      <c r="D120" s="2363"/>
      <c r="E120" s="2363"/>
      <c r="F120" s="2363"/>
      <c r="G120" s="2363"/>
      <c r="H120" s="2363"/>
      <c r="I120" s="2363"/>
      <c r="J120" s="2363"/>
      <c r="K120" s="2363"/>
      <c r="L120" s="2363"/>
      <c r="M120" s="2363"/>
      <c r="N120" s="2363"/>
      <c r="O120" s="2363"/>
      <c r="P120" s="2363"/>
      <c r="Q120" s="2363"/>
      <c r="R120" s="2363"/>
      <c r="S120" s="2363"/>
      <c r="T120" s="2363"/>
      <c r="U120" s="2363"/>
      <c r="V120" s="2363"/>
      <c r="W120" s="2363"/>
      <c r="X120" s="2363"/>
      <c r="Y120" s="2363"/>
      <c r="Z120" s="2363"/>
      <c r="AA120" s="2363"/>
      <c r="AB120" s="2363"/>
      <c r="AC120" s="2363"/>
      <c r="AD120" s="2363"/>
      <c r="AE120" s="2363"/>
      <c r="AF120" s="2363"/>
      <c r="AG120" s="2363"/>
      <c r="AH120" s="2363"/>
      <c r="AI120" s="2363"/>
      <c r="AJ120" s="2363"/>
      <c r="AK120" s="2363"/>
      <c r="AL120" s="2363"/>
      <c r="AM120" s="2363"/>
      <c r="AN120" s="2363"/>
      <c r="AO120" s="2363"/>
      <c r="AP120" s="2363"/>
      <c r="AQ120" s="2363"/>
      <c r="AR120" s="2363"/>
      <c r="AS120" s="2363"/>
      <c r="AT120" s="2363"/>
      <c r="AU120" s="2363"/>
      <c r="AV120" s="2363"/>
      <c r="AW120" s="2363"/>
      <c r="AX120" s="2364"/>
      <c r="AY120" s="1207"/>
      <c r="AZ120" s="1207"/>
      <c r="BA120" s="1207"/>
      <c r="BB120" s="1207"/>
      <c r="BC120" s="1207"/>
      <c r="BD120" s="1207"/>
      <c r="BE120" s="1213"/>
    </row>
    <row r="121" spans="1:57" ht="15.75" customHeight="1" thickBot="1">
      <c r="A121" s="1207"/>
      <c r="B121" s="2365"/>
      <c r="C121" s="2366"/>
      <c r="D121" s="2366"/>
      <c r="E121" s="2366"/>
      <c r="F121" s="2366"/>
      <c r="G121" s="2366"/>
      <c r="H121" s="2366"/>
      <c r="I121" s="2366"/>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6"/>
      <c r="AD121" s="2366"/>
      <c r="AE121" s="2366"/>
      <c r="AF121" s="2366"/>
      <c r="AG121" s="2366"/>
      <c r="AH121" s="2366"/>
      <c r="AI121" s="2366"/>
      <c r="AJ121" s="2366"/>
      <c r="AK121" s="2366"/>
      <c r="AL121" s="2366"/>
      <c r="AM121" s="2366"/>
      <c r="AN121" s="2366"/>
      <c r="AO121" s="2366"/>
      <c r="AP121" s="2366"/>
      <c r="AQ121" s="2366"/>
      <c r="AR121" s="2366"/>
      <c r="AS121" s="2366"/>
      <c r="AT121" s="2366"/>
      <c r="AU121" s="2366"/>
      <c r="AV121" s="2366"/>
      <c r="AW121" s="2366"/>
      <c r="AX121" s="236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4" t="s">
        <v>1909</v>
      </c>
      <c r="C125" s="2225"/>
      <c r="D125" s="2225"/>
      <c r="E125" s="2225"/>
      <c r="F125" s="2225"/>
      <c r="G125" s="2225"/>
      <c r="H125" s="2225"/>
      <c r="I125" s="2225"/>
      <c r="J125" s="2225"/>
      <c r="K125" s="2225"/>
      <c r="L125" s="2225"/>
      <c r="M125" s="2225"/>
      <c r="N125" s="2225"/>
      <c r="O125" s="2225"/>
      <c r="P125" s="2225"/>
      <c r="Q125" s="2225"/>
      <c r="R125" s="2225"/>
      <c r="S125" s="2225"/>
      <c r="T125" s="2225"/>
      <c r="U125" s="2226"/>
      <c r="V125" s="1207"/>
      <c r="W125" s="1209"/>
      <c r="X125" s="2224" t="s">
        <v>2268</v>
      </c>
      <c r="Y125" s="2225"/>
      <c r="Z125" s="2225"/>
      <c r="AA125" s="2225"/>
      <c r="AB125" s="2225"/>
      <c r="AC125" s="2225"/>
      <c r="AD125" s="2225"/>
      <c r="AE125" s="2225"/>
      <c r="AF125" s="2225"/>
      <c r="AG125" s="2225"/>
      <c r="AH125" s="2225"/>
      <c r="AI125" s="2225"/>
      <c r="AJ125" s="2225"/>
      <c r="AK125" s="2225"/>
      <c r="AL125" s="2225"/>
      <c r="AM125" s="2225"/>
      <c r="AN125" s="2225"/>
      <c r="AO125" s="2225"/>
      <c r="AP125" s="2225"/>
      <c r="AQ125" s="2226"/>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1"/>
      <c r="C126" s="2342"/>
      <c r="D126" s="2342"/>
      <c r="E126" s="2342"/>
      <c r="F126" s="2342"/>
      <c r="G126" s="2342"/>
      <c r="H126" s="2342"/>
      <c r="I126" s="2343" t="s">
        <v>1898</v>
      </c>
      <c r="J126" s="2343"/>
      <c r="K126" s="2343"/>
      <c r="L126" s="2343"/>
      <c r="M126" s="2343"/>
      <c r="N126" s="2343"/>
      <c r="O126" s="2343"/>
      <c r="P126" s="2343" t="s">
        <v>2269</v>
      </c>
      <c r="Q126" s="2343"/>
      <c r="R126" s="2343"/>
      <c r="S126" s="2343"/>
      <c r="T126" s="2343"/>
      <c r="U126" s="2344"/>
      <c r="V126" s="1207"/>
      <c r="W126" s="1207"/>
      <c r="X126" s="2341"/>
      <c r="Y126" s="2342"/>
      <c r="Z126" s="2342"/>
      <c r="AA126" s="2342"/>
      <c r="AB126" s="2342"/>
      <c r="AC126" s="2342"/>
      <c r="AD126" s="2342"/>
      <c r="AE126" s="2343" t="s">
        <v>1898</v>
      </c>
      <c r="AF126" s="2343"/>
      <c r="AG126" s="2343"/>
      <c r="AH126" s="2343"/>
      <c r="AI126" s="2343"/>
      <c r="AJ126" s="2343"/>
      <c r="AK126" s="2343"/>
      <c r="AL126" s="2343" t="s">
        <v>2263</v>
      </c>
      <c r="AM126" s="2343"/>
      <c r="AN126" s="2343"/>
      <c r="AO126" s="2343"/>
      <c r="AP126" s="2343"/>
      <c r="AQ126" s="2344"/>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1"/>
      <c r="C127" s="2342"/>
      <c r="D127" s="2342"/>
      <c r="E127" s="2342"/>
      <c r="F127" s="2342"/>
      <c r="G127" s="2342"/>
      <c r="H127" s="2342"/>
      <c r="I127" s="2343"/>
      <c r="J127" s="2343"/>
      <c r="K127" s="2343"/>
      <c r="L127" s="2343"/>
      <c r="M127" s="2343"/>
      <c r="N127" s="2343"/>
      <c r="O127" s="2343"/>
      <c r="P127" s="2343"/>
      <c r="Q127" s="2343"/>
      <c r="R127" s="2343"/>
      <c r="S127" s="2343"/>
      <c r="T127" s="2343"/>
      <c r="U127" s="2344"/>
      <c r="V127" s="1207"/>
      <c r="W127" s="1207"/>
      <c r="X127" s="2341"/>
      <c r="Y127" s="2342"/>
      <c r="Z127" s="2342"/>
      <c r="AA127" s="2342"/>
      <c r="AB127" s="2342"/>
      <c r="AC127" s="2342"/>
      <c r="AD127" s="2342"/>
      <c r="AE127" s="2343"/>
      <c r="AF127" s="2343"/>
      <c r="AG127" s="2343"/>
      <c r="AH127" s="2343"/>
      <c r="AI127" s="2343"/>
      <c r="AJ127" s="2343"/>
      <c r="AK127" s="2343"/>
      <c r="AL127" s="2343"/>
      <c r="AM127" s="2343"/>
      <c r="AN127" s="2343"/>
      <c r="AO127" s="2343"/>
      <c r="AP127" s="2343"/>
      <c r="AQ127" s="234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2" t="s">
        <v>2251</v>
      </c>
      <c r="C128" s="2353"/>
      <c r="D128" s="2353"/>
      <c r="E128" s="2353"/>
      <c r="F128" s="2353"/>
      <c r="G128" s="2353"/>
      <c r="H128" s="2353"/>
      <c r="I128" s="2328">
        <v>0</v>
      </c>
      <c r="J128" s="2328"/>
      <c r="K128" s="2328"/>
      <c r="L128" s="2328"/>
      <c r="M128" s="2328"/>
      <c r="N128" s="2328"/>
      <c r="O128" s="2328"/>
      <c r="P128" s="2328">
        <v>0</v>
      </c>
      <c r="Q128" s="2328"/>
      <c r="R128" s="2328"/>
      <c r="S128" s="2328"/>
      <c r="T128" s="2328"/>
      <c r="U128" s="2337"/>
      <c r="V128" s="1207"/>
      <c r="W128" s="1207"/>
      <c r="X128" s="2354" t="s">
        <v>2251</v>
      </c>
      <c r="Y128" s="2355"/>
      <c r="Z128" s="2355"/>
      <c r="AA128" s="2355"/>
      <c r="AB128" s="2355"/>
      <c r="AC128" s="2355"/>
      <c r="AD128" s="2355"/>
      <c r="AE128" s="2335">
        <v>0</v>
      </c>
      <c r="AF128" s="2335"/>
      <c r="AG128" s="2335"/>
      <c r="AH128" s="2335"/>
      <c r="AI128" s="2335"/>
      <c r="AJ128" s="2335"/>
      <c r="AK128" s="2335"/>
      <c r="AL128" s="2335">
        <v>0</v>
      </c>
      <c r="AM128" s="2335"/>
      <c r="AN128" s="2335"/>
      <c r="AO128" s="2335"/>
      <c r="AP128" s="2335"/>
      <c r="AQ128" s="233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4" t="s">
        <v>2252</v>
      </c>
      <c r="C129" s="2355"/>
      <c r="D129" s="2355"/>
      <c r="E129" s="2355"/>
      <c r="F129" s="2355"/>
      <c r="G129" s="2355"/>
      <c r="H129" s="2355"/>
      <c r="I129" s="2335">
        <v>0</v>
      </c>
      <c r="J129" s="2335"/>
      <c r="K129" s="2335"/>
      <c r="L129" s="2335"/>
      <c r="M129" s="2335"/>
      <c r="N129" s="2335"/>
      <c r="O129" s="2335"/>
      <c r="P129" s="2335">
        <v>0</v>
      </c>
      <c r="Q129" s="2335"/>
      <c r="R129" s="2335"/>
      <c r="S129" s="2335"/>
      <c r="T129" s="2335"/>
      <c r="U129" s="233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4" t="s">
        <v>2253</v>
      </c>
      <c r="D131" s="2225"/>
      <c r="E131" s="2225"/>
      <c r="F131" s="2225"/>
      <c r="G131" s="2225"/>
      <c r="H131" s="2225"/>
      <c r="I131" s="2225"/>
      <c r="J131" s="2225"/>
      <c r="K131" s="2225"/>
      <c r="L131" s="2225"/>
      <c r="M131" s="2225"/>
      <c r="N131" s="2225"/>
      <c r="O131" s="2225"/>
      <c r="P131" s="2225"/>
      <c r="Q131" s="2225"/>
      <c r="R131" s="2225"/>
      <c r="S131" s="2225"/>
      <c r="T131" s="2225"/>
      <c r="U131" s="2225"/>
      <c r="V131" s="2225"/>
      <c r="W131" s="2225"/>
      <c r="X131" s="2225"/>
      <c r="Y131" s="2225"/>
      <c r="Z131" s="2225"/>
      <c r="AA131" s="2225"/>
      <c r="AB131" s="2225"/>
      <c r="AC131" s="2225"/>
      <c r="AD131" s="2225"/>
      <c r="AE131" s="2225"/>
      <c r="AF131" s="2225"/>
      <c r="AG131" s="222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1" t="s">
        <v>1910</v>
      </c>
      <c r="D132" s="2342"/>
      <c r="E132" s="2342"/>
      <c r="F132" s="2342"/>
      <c r="G132" s="2342"/>
      <c r="H132" s="2342"/>
      <c r="I132" s="2342"/>
      <c r="J132" s="2342"/>
      <c r="K132" s="2342"/>
      <c r="L132" s="2342"/>
      <c r="M132" s="2342"/>
      <c r="N132" s="2342"/>
      <c r="O132" s="2342"/>
      <c r="P132" s="2342"/>
      <c r="Q132" s="2342" t="s">
        <v>1911</v>
      </c>
      <c r="R132" s="2342"/>
      <c r="S132" s="2342"/>
      <c r="T132" s="2232" t="s">
        <v>2254</v>
      </c>
      <c r="U132" s="2232"/>
      <c r="V132" s="2232"/>
      <c r="W132" s="2232"/>
      <c r="X132" s="2232"/>
      <c r="Y132" s="2232"/>
      <c r="Z132" s="2232"/>
      <c r="AA132" s="2232"/>
      <c r="AB132" s="2342" t="s">
        <v>1912</v>
      </c>
      <c r="AC132" s="2342"/>
      <c r="AD132" s="2342"/>
      <c r="AE132" s="2342"/>
      <c r="AF132" s="2342"/>
      <c r="AG132" s="237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8" t="s">
        <v>1913</v>
      </c>
      <c r="D133" s="2369"/>
      <c r="E133" s="2369"/>
      <c r="F133" s="2369"/>
      <c r="G133" s="2369"/>
      <c r="H133" s="2369"/>
      <c r="I133" s="2369"/>
      <c r="J133" s="2369"/>
      <c r="K133" s="2369"/>
      <c r="L133" s="2369"/>
      <c r="M133" s="2369"/>
      <c r="N133" s="2369"/>
      <c r="O133" s="2369"/>
      <c r="P133" s="2369"/>
      <c r="Q133" s="2370">
        <v>55</v>
      </c>
      <c r="R133" s="2370"/>
      <c r="S133" s="2370"/>
      <c r="T133" s="2371"/>
      <c r="U133" s="2371"/>
      <c r="V133" s="2371"/>
      <c r="W133" s="2371"/>
      <c r="X133" s="2371"/>
      <c r="Y133" s="2371"/>
      <c r="Z133" s="2371"/>
      <c r="AA133" s="237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8" t="s">
        <v>1914</v>
      </c>
      <c r="D134" s="2369"/>
      <c r="E134" s="2369"/>
      <c r="F134" s="2369"/>
      <c r="G134" s="2369"/>
      <c r="H134" s="2369"/>
      <c r="I134" s="2369"/>
      <c r="J134" s="2369"/>
      <c r="K134" s="2369"/>
      <c r="L134" s="2369"/>
      <c r="M134" s="2369"/>
      <c r="N134" s="2369"/>
      <c r="O134" s="2369"/>
      <c r="P134" s="2369"/>
      <c r="Q134" s="2370">
        <v>55</v>
      </c>
      <c r="R134" s="2370"/>
      <c r="S134" s="2370"/>
      <c r="T134" s="2372"/>
      <c r="U134" s="2372"/>
      <c r="V134" s="2372"/>
      <c r="W134" s="2372"/>
      <c r="X134" s="2372"/>
      <c r="Y134" s="2372"/>
      <c r="Z134" s="2372"/>
      <c r="AA134" s="2372"/>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8" t="s">
        <v>1915</v>
      </c>
      <c r="D135" s="2369"/>
      <c r="E135" s="2369"/>
      <c r="F135" s="2369"/>
      <c r="G135" s="2369"/>
      <c r="H135" s="2369"/>
      <c r="I135" s="2369"/>
      <c r="J135" s="2369"/>
      <c r="K135" s="2369"/>
      <c r="L135" s="2369"/>
      <c r="M135" s="2369"/>
      <c r="N135" s="2369"/>
      <c r="O135" s="2369"/>
      <c r="P135" s="2369"/>
      <c r="Q135" s="2370">
        <v>55</v>
      </c>
      <c r="R135" s="2370"/>
      <c r="S135" s="2370"/>
      <c r="T135" s="2371"/>
      <c r="U135" s="2371"/>
      <c r="V135" s="2371"/>
      <c r="W135" s="2371"/>
      <c r="X135" s="2371"/>
      <c r="Y135" s="2371"/>
      <c r="Z135" s="2371"/>
      <c r="AA135" s="237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8" t="s">
        <v>1883</v>
      </c>
      <c r="D136" s="2369"/>
      <c r="E136" s="2369"/>
      <c r="F136" s="2369"/>
      <c r="G136" s="2369"/>
      <c r="H136" s="2369"/>
      <c r="I136" s="2369"/>
      <c r="J136" s="2369"/>
      <c r="K136" s="2369"/>
      <c r="L136" s="2369"/>
      <c r="M136" s="2369"/>
      <c r="N136" s="2369"/>
      <c r="O136" s="2369"/>
      <c r="P136" s="2369"/>
      <c r="Q136" s="2370">
        <v>55</v>
      </c>
      <c r="R136" s="2370"/>
      <c r="S136" s="2370"/>
      <c r="T136" s="2371"/>
      <c r="U136" s="2371"/>
      <c r="V136" s="2371"/>
      <c r="W136" s="2371"/>
      <c r="X136" s="2371"/>
      <c r="Y136" s="2371"/>
      <c r="Z136" s="2371"/>
      <c r="AA136" s="2371"/>
      <c r="AB136" s="2374">
        <v>0</v>
      </c>
      <c r="AC136" s="2374"/>
      <c r="AD136" s="2374"/>
      <c r="AE136" s="2374"/>
      <c r="AF136" s="2374"/>
      <c r="AG136" s="237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8" t="s">
        <v>170</v>
      </c>
      <c r="D137" s="2369"/>
      <c r="E137" s="2369"/>
      <c r="F137" s="2376" t="s">
        <v>1916</v>
      </c>
      <c r="G137" s="2376"/>
      <c r="H137" s="2376"/>
      <c r="I137" s="2376"/>
      <c r="J137" s="2376"/>
      <c r="K137" s="2376"/>
      <c r="L137" s="2376"/>
      <c r="M137" s="2376"/>
      <c r="N137" s="2376"/>
      <c r="O137" s="2376"/>
      <c r="P137" s="2376"/>
      <c r="Q137" s="2370">
        <v>55</v>
      </c>
      <c r="R137" s="2370"/>
      <c r="S137" s="2370"/>
      <c r="T137" s="2372"/>
      <c r="U137" s="2372"/>
      <c r="V137" s="2372"/>
      <c r="W137" s="2372"/>
      <c r="X137" s="2372"/>
      <c r="Y137" s="2372"/>
      <c r="Z137" s="2372"/>
      <c r="AA137" s="2372"/>
      <c r="AB137" s="2374">
        <v>0</v>
      </c>
      <c r="AC137" s="2374"/>
      <c r="AD137" s="2374"/>
      <c r="AE137" s="2374"/>
      <c r="AF137" s="2374"/>
      <c r="AG137" s="237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8" t="s">
        <v>170</v>
      </c>
      <c r="D138" s="2369"/>
      <c r="E138" s="2369"/>
      <c r="F138" s="2376" t="s">
        <v>1916</v>
      </c>
      <c r="G138" s="2376"/>
      <c r="H138" s="2376"/>
      <c r="I138" s="2376"/>
      <c r="J138" s="2376"/>
      <c r="K138" s="2376"/>
      <c r="L138" s="2376"/>
      <c r="M138" s="2376"/>
      <c r="N138" s="2376"/>
      <c r="O138" s="2376"/>
      <c r="P138" s="2376"/>
      <c r="Q138" s="2370">
        <v>55</v>
      </c>
      <c r="R138" s="2370"/>
      <c r="S138" s="2370"/>
      <c r="T138" s="2372"/>
      <c r="U138" s="2372"/>
      <c r="V138" s="2372"/>
      <c r="W138" s="2372"/>
      <c r="X138" s="2372"/>
      <c r="Y138" s="2372"/>
      <c r="Z138" s="2372"/>
      <c r="AA138" s="2372"/>
      <c r="AB138" s="2374">
        <v>0</v>
      </c>
      <c r="AC138" s="2374"/>
      <c r="AD138" s="2374"/>
      <c r="AE138" s="2374"/>
      <c r="AF138" s="2374"/>
      <c r="AG138" s="2375"/>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7" t="s">
        <v>170</v>
      </c>
      <c r="D139" s="2378"/>
      <c r="E139" s="2378"/>
      <c r="F139" s="2379" t="s">
        <v>1916</v>
      </c>
      <c r="G139" s="2379"/>
      <c r="H139" s="2379"/>
      <c r="I139" s="2379"/>
      <c r="J139" s="2379"/>
      <c r="K139" s="2379"/>
      <c r="L139" s="2379"/>
      <c r="M139" s="2379"/>
      <c r="N139" s="2379"/>
      <c r="O139" s="2379"/>
      <c r="P139" s="2379"/>
      <c r="Q139" s="2380">
        <v>55</v>
      </c>
      <c r="R139" s="2380"/>
      <c r="S139" s="2380"/>
      <c r="T139" s="2381"/>
      <c r="U139" s="2381"/>
      <c r="V139" s="2381"/>
      <c r="W139" s="2381"/>
      <c r="X139" s="2381"/>
      <c r="Y139" s="2381"/>
      <c r="Z139" s="2381"/>
      <c r="AA139" s="2381"/>
      <c r="AB139" s="2382">
        <v>0</v>
      </c>
      <c r="AC139" s="2382"/>
      <c r="AD139" s="2382"/>
      <c r="AE139" s="2382"/>
      <c r="AF139" s="2382"/>
      <c r="AG139" s="238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1" t="s">
        <v>1917</v>
      </c>
      <c r="D141" s="2302"/>
      <c r="E141" s="2302"/>
      <c r="F141" s="2302"/>
      <c r="G141" s="2302"/>
      <c r="H141" s="2302"/>
      <c r="I141" s="2302"/>
      <c r="J141" s="2302"/>
      <c r="K141" s="2302"/>
      <c r="L141" s="2302"/>
      <c r="M141" s="2302"/>
      <c r="N141" s="2338"/>
      <c r="O141" s="1207"/>
      <c r="P141" s="2356" t="s">
        <v>1918</v>
      </c>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8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1" t="s">
        <v>1919</v>
      </c>
      <c r="D142" s="2342"/>
      <c r="E142" s="2342"/>
      <c r="F142" s="2342"/>
      <c r="G142" s="2342"/>
      <c r="H142" s="2342"/>
      <c r="I142" s="2342" t="s">
        <v>1920</v>
      </c>
      <c r="J142" s="2342"/>
      <c r="K142" s="2342"/>
      <c r="L142" s="2342"/>
      <c r="M142" s="2342"/>
      <c r="N142" s="2373"/>
      <c r="O142" s="1207"/>
      <c r="P142" s="2305" t="s">
        <v>2262</v>
      </c>
      <c r="Q142" s="2306"/>
      <c r="R142" s="2306"/>
      <c r="S142" s="2306"/>
      <c r="T142" s="2306"/>
      <c r="U142" s="2306"/>
      <c r="V142" s="2306"/>
      <c r="W142" s="2306"/>
      <c r="X142" s="2306"/>
      <c r="Y142" s="2306"/>
      <c r="Z142" s="2306"/>
      <c r="AA142" s="2306"/>
      <c r="AB142" s="2306"/>
      <c r="AC142" s="2306"/>
      <c r="AD142" s="2306"/>
      <c r="AE142" s="2306"/>
      <c r="AF142" s="2306"/>
      <c r="AG142" s="2306"/>
      <c r="AH142" s="2306"/>
      <c r="AI142" s="2306"/>
      <c r="AJ142" s="2306"/>
      <c r="AK142" s="2306"/>
      <c r="AL142" s="2306"/>
      <c r="AM142" s="2306"/>
      <c r="AN142" s="2306"/>
      <c r="AO142" s="230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1"/>
      <c r="D143" s="2256"/>
      <c r="E143" s="2256"/>
      <c r="F143" s="2256"/>
      <c r="G143" s="2256"/>
      <c r="H143" s="2256"/>
      <c r="I143" s="2371"/>
      <c r="J143" s="2371"/>
      <c r="K143" s="2371"/>
      <c r="L143" s="2371"/>
      <c r="M143" s="2371"/>
      <c r="N143" s="2384"/>
      <c r="O143" s="1207"/>
      <c r="P143" s="2305"/>
      <c r="Q143" s="2306"/>
      <c r="R143" s="2306"/>
      <c r="S143" s="2306"/>
      <c r="T143" s="2306"/>
      <c r="U143" s="2306"/>
      <c r="V143" s="2306"/>
      <c r="W143" s="2306"/>
      <c r="X143" s="2306"/>
      <c r="Y143" s="2306"/>
      <c r="Z143" s="2306"/>
      <c r="AA143" s="2306"/>
      <c r="AB143" s="2306"/>
      <c r="AC143" s="2306"/>
      <c r="AD143" s="2306"/>
      <c r="AE143" s="2306"/>
      <c r="AF143" s="2306"/>
      <c r="AG143" s="2306"/>
      <c r="AH143" s="2306"/>
      <c r="AI143" s="2306"/>
      <c r="AJ143" s="2306"/>
      <c r="AK143" s="2306"/>
      <c r="AL143" s="2306"/>
      <c r="AM143" s="2306"/>
      <c r="AN143" s="2306"/>
      <c r="AO143" s="230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1"/>
      <c r="D144" s="2256"/>
      <c r="E144" s="2256"/>
      <c r="F144" s="2256"/>
      <c r="G144" s="2256"/>
      <c r="H144" s="2256"/>
      <c r="I144" s="2371"/>
      <c r="J144" s="2371"/>
      <c r="K144" s="2371"/>
      <c r="L144" s="2371"/>
      <c r="M144" s="2371"/>
      <c r="N144" s="2384"/>
      <c r="O144" s="1207"/>
      <c r="P144" s="2305"/>
      <c r="Q144" s="2306"/>
      <c r="R144" s="2306"/>
      <c r="S144" s="2306"/>
      <c r="T144" s="2306"/>
      <c r="U144" s="2306"/>
      <c r="V144" s="2306"/>
      <c r="W144" s="2306"/>
      <c r="X144" s="2306"/>
      <c r="Y144" s="2306"/>
      <c r="Z144" s="2306"/>
      <c r="AA144" s="2306"/>
      <c r="AB144" s="2306"/>
      <c r="AC144" s="2306"/>
      <c r="AD144" s="2306"/>
      <c r="AE144" s="2306"/>
      <c r="AF144" s="2306"/>
      <c r="AG144" s="2306"/>
      <c r="AH144" s="2306"/>
      <c r="AI144" s="2306"/>
      <c r="AJ144" s="2306"/>
      <c r="AK144" s="2306"/>
      <c r="AL144" s="2306"/>
      <c r="AM144" s="2306"/>
      <c r="AN144" s="2306"/>
      <c r="AO144" s="230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1"/>
      <c r="D145" s="2256"/>
      <c r="E145" s="2256"/>
      <c r="F145" s="2256"/>
      <c r="G145" s="2256"/>
      <c r="H145" s="2256"/>
      <c r="I145" s="2371"/>
      <c r="J145" s="2371"/>
      <c r="K145" s="2371"/>
      <c r="L145" s="2371"/>
      <c r="M145" s="2371"/>
      <c r="N145" s="2384"/>
      <c r="O145" s="1207"/>
      <c r="P145" s="2305"/>
      <c r="Q145" s="2306"/>
      <c r="R145" s="2306"/>
      <c r="S145" s="2306"/>
      <c r="T145" s="2306"/>
      <c r="U145" s="2306"/>
      <c r="V145" s="2306"/>
      <c r="W145" s="2306"/>
      <c r="X145" s="2306"/>
      <c r="Y145" s="2306"/>
      <c r="Z145" s="2306"/>
      <c r="AA145" s="2306"/>
      <c r="AB145" s="2306"/>
      <c r="AC145" s="2306"/>
      <c r="AD145" s="2306"/>
      <c r="AE145" s="2306"/>
      <c r="AF145" s="2306"/>
      <c r="AG145" s="2306"/>
      <c r="AH145" s="2306"/>
      <c r="AI145" s="2306"/>
      <c r="AJ145" s="2306"/>
      <c r="AK145" s="2306"/>
      <c r="AL145" s="2306"/>
      <c r="AM145" s="2306"/>
      <c r="AN145" s="2306"/>
      <c r="AO145" s="230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1"/>
      <c r="D146" s="2256"/>
      <c r="E146" s="2256"/>
      <c r="F146" s="2256"/>
      <c r="G146" s="2256"/>
      <c r="H146" s="2256"/>
      <c r="I146" s="2371"/>
      <c r="J146" s="2371"/>
      <c r="K146" s="2371"/>
      <c r="L146" s="2371"/>
      <c r="M146" s="2371"/>
      <c r="N146" s="2384"/>
      <c r="O146" s="1207"/>
      <c r="P146" s="2305"/>
      <c r="Q146" s="2306"/>
      <c r="R146" s="2306"/>
      <c r="S146" s="2306"/>
      <c r="T146" s="2306"/>
      <c r="U146" s="2306"/>
      <c r="V146" s="2306"/>
      <c r="W146" s="2306"/>
      <c r="X146" s="2306"/>
      <c r="Y146" s="2306"/>
      <c r="Z146" s="2306"/>
      <c r="AA146" s="2306"/>
      <c r="AB146" s="2306"/>
      <c r="AC146" s="2306"/>
      <c r="AD146" s="2306"/>
      <c r="AE146" s="2306"/>
      <c r="AF146" s="2306"/>
      <c r="AG146" s="2306"/>
      <c r="AH146" s="2306"/>
      <c r="AI146" s="2306"/>
      <c r="AJ146" s="2306"/>
      <c r="AK146" s="2306"/>
      <c r="AL146" s="2306"/>
      <c r="AM146" s="2306"/>
      <c r="AN146" s="2306"/>
      <c r="AO146" s="230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1"/>
      <c r="D147" s="2256"/>
      <c r="E147" s="2256"/>
      <c r="F147" s="2256"/>
      <c r="G147" s="2256"/>
      <c r="H147" s="2256"/>
      <c r="I147" s="2371"/>
      <c r="J147" s="2371"/>
      <c r="K147" s="2371"/>
      <c r="L147" s="2371"/>
      <c r="M147" s="2371"/>
      <c r="N147" s="2384"/>
      <c r="O147" s="1207"/>
      <c r="P147" s="2305"/>
      <c r="Q147" s="2306"/>
      <c r="R147" s="2306"/>
      <c r="S147" s="2306"/>
      <c r="T147" s="2306"/>
      <c r="U147" s="2306"/>
      <c r="V147" s="2306"/>
      <c r="W147" s="2306"/>
      <c r="X147" s="2306"/>
      <c r="Y147" s="2306"/>
      <c r="Z147" s="2306"/>
      <c r="AA147" s="2306"/>
      <c r="AB147" s="2306"/>
      <c r="AC147" s="2306"/>
      <c r="AD147" s="2306"/>
      <c r="AE147" s="2306"/>
      <c r="AF147" s="2306"/>
      <c r="AG147" s="2306"/>
      <c r="AH147" s="2306"/>
      <c r="AI147" s="2306"/>
      <c r="AJ147" s="2306"/>
      <c r="AK147" s="2306"/>
      <c r="AL147" s="2306"/>
      <c r="AM147" s="2306"/>
      <c r="AN147" s="2306"/>
      <c r="AO147" s="230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1"/>
      <c r="D148" s="2256"/>
      <c r="E148" s="2256"/>
      <c r="F148" s="2256"/>
      <c r="G148" s="2256"/>
      <c r="H148" s="2256"/>
      <c r="I148" s="2371"/>
      <c r="J148" s="2371"/>
      <c r="K148" s="2371"/>
      <c r="L148" s="2371"/>
      <c r="M148" s="2371"/>
      <c r="N148" s="2384"/>
      <c r="O148" s="1207"/>
      <c r="P148" s="2305"/>
      <c r="Q148" s="2306"/>
      <c r="R148" s="2306"/>
      <c r="S148" s="2306"/>
      <c r="T148" s="2306"/>
      <c r="U148" s="2306"/>
      <c r="V148" s="2306"/>
      <c r="W148" s="2306"/>
      <c r="X148" s="2306"/>
      <c r="Y148" s="2306"/>
      <c r="Z148" s="2306"/>
      <c r="AA148" s="2306"/>
      <c r="AB148" s="2306"/>
      <c r="AC148" s="2306"/>
      <c r="AD148" s="2306"/>
      <c r="AE148" s="2306"/>
      <c r="AF148" s="2306"/>
      <c r="AG148" s="2306"/>
      <c r="AH148" s="2306"/>
      <c r="AI148" s="2306"/>
      <c r="AJ148" s="2306"/>
      <c r="AK148" s="2306"/>
      <c r="AL148" s="2306"/>
      <c r="AM148" s="2306"/>
      <c r="AN148" s="2306"/>
      <c r="AO148" s="230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3"/>
      <c r="D149" s="2394"/>
      <c r="E149" s="2394"/>
      <c r="F149" s="2394"/>
      <c r="G149" s="2394"/>
      <c r="H149" s="2394"/>
      <c r="I149" s="2395"/>
      <c r="J149" s="2395"/>
      <c r="K149" s="2395"/>
      <c r="L149" s="2395"/>
      <c r="M149" s="2395"/>
      <c r="N149" s="2396"/>
      <c r="O149" s="1207"/>
      <c r="P149" s="2308"/>
      <c r="Q149" s="2309"/>
      <c r="R149" s="2309"/>
      <c r="S149" s="2309"/>
      <c r="T149" s="2309"/>
      <c r="U149" s="2309"/>
      <c r="V149" s="2309"/>
      <c r="W149" s="2309"/>
      <c r="X149" s="2309"/>
      <c r="Y149" s="2309"/>
      <c r="Z149" s="2309"/>
      <c r="AA149" s="2309"/>
      <c r="AB149" s="2309"/>
      <c r="AC149" s="2309"/>
      <c r="AD149" s="2309"/>
      <c r="AE149" s="2309"/>
      <c r="AF149" s="2309"/>
      <c r="AG149" s="2309"/>
      <c r="AH149" s="2309"/>
      <c r="AI149" s="2309"/>
      <c r="AJ149" s="2309"/>
      <c r="AK149" s="2309"/>
      <c r="AL149" s="2309"/>
      <c r="AM149" s="2309"/>
      <c r="AN149" s="2309"/>
      <c r="AO149" s="231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7" t="s">
        <v>2593</v>
      </c>
      <c r="D151" s="2397"/>
      <c r="E151" s="2397"/>
      <c r="F151" s="2397"/>
      <c r="G151" s="2397"/>
      <c r="H151" s="2397"/>
      <c r="I151" s="2397"/>
      <c r="J151" s="2397"/>
      <c r="K151" s="2397"/>
      <c r="L151" s="2397"/>
      <c r="M151" s="2397"/>
      <c r="N151" s="2397"/>
      <c r="O151" s="2397"/>
      <c r="P151" s="2397"/>
      <c r="Q151" s="2397"/>
      <c r="R151" s="2397"/>
      <c r="S151" s="2397"/>
      <c r="T151" s="2397"/>
      <c r="U151" s="2397"/>
      <c r="V151" s="2397"/>
      <c r="W151" s="2397"/>
      <c r="X151" s="2397"/>
      <c r="Y151" s="2397"/>
      <c r="Z151" s="2397"/>
      <c r="AA151" s="2397"/>
      <c r="AB151" s="2397"/>
      <c r="AC151" s="2397"/>
      <c r="AD151" s="2397"/>
      <c r="AE151" s="2397"/>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c r="AA152" s="2397"/>
      <c r="AB152" s="2397"/>
      <c r="AC152" s="2397"/>
      <c r="AD152" s="2397"/>
      <c r="AE152" s="2397"/>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1" t="s">
        <v>1910</v>
      </c>
      <c r="D153" s="2302"/>
      <c r="E153" s="2302"/>
      <c r="F153" s="2302"/>
      <c r="G153" s="2302"/>
      <c r="H153" s="2302"/>
      <c r="I153" s="2302"/>
      <c r="J153" s="2302"/>
      <c r="K153" s="2302"/>
      <c r="L153" s="2302"/>
      <c r="M153" s="2302"/>
      <c r="N153" s="2302" t="s">
        <v>1921</v>
      </c>
      <c r="O153" s="2302"/>
      <c r="P153" s="2302"/>
      <c r="Q153" s="2302"/>
      <c r="R153" s="2302"/>
      <c r="S153" s="2302"/>
      <c r="T153" s="2302"/>
      <c r="U153" s="2225" t="s">
        <v>1910</v>
      </c>
      <c r="V153" s="2225"/>
      <c r="W153" s="2225"/>
      <c r="X153" s="2225"/>
      <c r="Y153" s="2225"/>
      <c r="Z153" s="2225"/>
      <c r="AA153" s="2225"/>
      <c r="AB153" s="2225"/>
      <c r="AC153" s="2225"/>
      <c r="AD153" s="2225"/>
      <c r="AE153" s="2226"/>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6" t="s">
        <v>2594</v>
      </c>
      <c r="D154" s="2387"/>
      <c r="E154" s="2387"/>
      <c r="F154" s="2387"/>
      <c r="G154" s="2387"/>
      <c r="H154" s="2387"/>
      <c r="I154" s="2387"/>
      <c r="J154" s="2387"/>
      <c r="K154" s="2387"/>
      <c r="L154" s="2387"/>
      <c r="M154" s="2387"/>
      <c r="N154" s="2388">
        <f>'Sources and Uses Budget'!B105</f>
        <v>74468171</v>
      </c>
      <c r="O154" s="2388"/>
      <c r="P154" s="2388"/>
      <c r="Q154" s="2388"/>
      <c r="R154" s="2388"/>
      <c r="S154" s="2388"/>
      <c r="T154" s="2388"/>
      <c r="U154" s="2389"/>
      <c r="V154" s="2389"/>
      <c r="W154" s="2389"/>
      <c r="X154" s="2389"/>
      <c r="Y154" s="2389"/>
      <c r="Z154" s="2389"/>
      <c r="AA154" s="2389"/>
      <c r="AB154" s="2389"/>
      <c r="AC154" s="2389"/>
      <c r="AD154" s="2389"/>
      <c r="AE154" s="2390"/>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6" t="s">
        <v>2596</v>
      </c>
      <c r="D155" s="2387"/>
      <c r="E155" s="2387"/>
      <c r="F155" s="2387"/>
      <c r="G155" s="2387"/>
      <c r="H155" s="2387"/>
      <c r="I155" s="2387"/>
      <c r="J155" s="2387"/>
      <c r="K155" s="2387"/>
      <c r="L155" s="2387"/>
      <c r="M155" s="2387"/>
      <c r="N155" s="2388">
        <f>N154/J29</f>
        <v>361495.97572815535</v>
      </c>
      <c r="O155" s="2388"/>
      <c r="P155" s="2388"/>
      <c r="Q155" s="2388"/>
      <c r="R155" s="2388"/>
      <c r="S155" s="2388"/>
      <c r="T155" s="238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1" t="s">
        <v>2597</v>
      </c>
      <c r="D156" s="2392"/>
      <c r="E156" s="2392"/>
      <c r="F156" s="2392"/>
      <c r="G156" s="2392"/>
      <c r="H156" s="2392"/>
      <c r="I156" s="2392"/>
      <c r="J156" s="2392"/>
      <c r="K156" s="2392"/>
      <c r="L156" s="2392"/>
      <c r="M156" s="2392"/>
      <c r="N156" s="2295">
        <v>0</v>
      </c>
      <c r="O156" s="2295"/>
      <c r="P156" s="2295"/>
      <c r="Q156" s="2295"/>
      <c r="R156" s="2295"/>
      <c r="S156" s="2295"/>
      <c r="T156" s="2295"/>
      <c r="U156" s="2268"/>
      <c r="V156" s="2268"/>
      <c r="W156" s="2268"/>
      <c r="X156" s="2268"/>
      <c r="Y156" s="2268"/>
      <c r="Z156" s="2268"/>
      <c r="AA156" s="2268"/>
      <c r="AB156" s="2268"/>
      <c r="AC156" s="2268"/>
      <c r="AD156" s="2268"/>
      <c r="AE156" s="2269"/>
      <c r="AF156" s="1207"/>
      <c r="AG156" s="1207"/>
      <c r="AH156" s="2398" t="s">
        <v>2270</v>
      </c>
      <c r="AI156" s="2399"/>
      <c r="AJ156" s="2399"/>
      <c r="AK156" s="2399"/>
      <c r="AL156" s="2399"/>
      <c r="AM156" s="2399"/>
      <c r="AN156" s="2399"/>
      <c r="AO156" s="2399"/>
      <c r="AP156" s="2399"/>
      <c r="AQ156" s="2399"/>
      <c r="AR156" s="2399"/>
      <c r="AS156" s="2400">
        <f>SUM(AS152:AW154)</f>
        <v>0</v>
      </c>
      <c r="AT156" s="2400"/>
      <c r="AU156" s="2400"/>
      <c r="AV156" s="2400"/>
      <c r="AW156" s="2401"/>
      <c r="AX156" s="1207"/>
      <c r="AY156" s="1207"/>
      <c r="AZ156" s="1207"/>
      <c r="BA156" s="1207"/>
      <c r="BB156" s="1207"/>
      <c r="BC156" s="1207"/>
      <c r="BD156" s="1207"/>
      <c r="BE156" s="1213"/>
    </row>
    <row r="157" spans="1:57" ht="15.75" customHeight="1" thickBot="1">
      <c r="A157" s="1207"/>
      <c r="B157" s="1207"/>
      <c r="C157" s="2386" t="s">
        <v>2598</v>
      </c>
      <c r="D157" s="2387"/>
      <c r="E157" s="2387"/>
      <c r="F157" s="2387"/>
      <c r="G157" s="2387"/>
      <c r="H157" s="2387"/>
      <c r="I157" s="2387"/>
      <c r="J157" s="2387"/>
      <c r="K157" s="2387"/>
      <c r="L157" s="2387"/>
      <c r="M157" s="2387"/>
      <c r="N157" s="2402">
        <f>SUM('Sources and Uses Budget'!B85:B86)</f>
        <v>360000</v>
      </c>
      <c r="O157" s="2402"/>
      <c r="P157" s="2402"/>
      <c r="Q157" s="2402"/>
      <c r="R157" s="2402"/>
      <c r="S157" s="2402"/>
      <c r="T157" s="2402"/>
      <c r="U157" s="2268"/>
      <c r="V157" s="2268"/>
      <c r="W157" s="2268"/>
      <c r="X157" s="2268"/>
      <c r="Y157" s="2268"/>
      <c r="Z157" s="2268"/>
      <c r="AA157" s="2268"/>
      <c r="AB157" s="2268"/>
      <c r="AC157" s="2268"/>
      <c r="AD157" s="2268"/>
      <c r="AE157" s="2269"/>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6" t="s">
        <v>2600</v>
      </c>
      <c r="D158" s="2387"/>
      <c r="E158" s="2387"/>
      <c r="F158" s="2387"/>
      <c r="G158" s="2387"/>
      <c r="H158" s="2387"/>
      <c r="I158" s="2387"/>
      <c r="J158" s="2387"/>
      <c r="K158" s="2387"/>
      <c r="L158" s="2387"/>
      <c r="M158" s="2387"/>
      <c r="N158" s="2402">
        <f>'Sources and Uses Budget'!B8</f>
        <v>1163000</v>
      </c>
      <c r="O158" s="2402"/>
      <c r="P158" s="2402"/>
      <c r="Q158" s="2402"/>
      <c r="R158" s="2402"/>
      <c r="S158" s="2402"/>
      <c r="T158" s="2402"/>
      <c r="U158" s="2268"/>
      <c r="V158" s="2268"/>
      <c r="W158" s="2268"/>
      <c r="X158" s="2268"/>
      <c r="Y158" s="2268"/>
      <c r="Z158" s="2268"/>
      <c r="AA158" s="2268"/>
      <c r="AB158" s="2268"/>
      <c r="AC158" s="2268"/>
      <c r="AD158" s="2268"/>
      <c r="AE158" s="2269"/>
      <c r="AF158" s="1207"/>
      <c r="AG158" s="1207"/>
      <c r="AH158" s="2403" t="s">
        <v>2601</v>
      </c>
      <c r="AI158" s="2404"/>
      <c r="AJ158" s="2404"/>
      <c r="AK158" s="2404"/>
      <c r="AL158" s="2404"/>
      <c r="AM158" s="2404"/>
      <c r="AN158" s="2404"/>
      <c r="AO158" s="2404"/>
      <c r="AP158" s="2404"/>
      <c r="AQ158" s="2404"/>
      <c r="AR158" s="2405"/>
      <c r="AS158" s="2409" t="s">
        <v>2602</v>
      </c>
      <c r="AT158" s="2410"/>
      <c r="AU158" s="2410"/>
      <c r="AV158" s="2410"/>
      <c r="AW158" s="2410"/>
      <c r="AX158" s="2411"/>
      <c r="AY158" s="2410" t="s">
        <v>2603</v>
      </c>
      <c r="AZ158" s="2410"/>
      <c r="BA158" s="2410"/>
      <c r="BB158" s="2410"/>
      <c r="BC158" s="2410"/>
      <c r="BD158" s="2415"/>
      <c r="BE158" s="1213"/>
    </row>
    <row r="159" spans="1:57" ht="15.75" customHeight="1">
      <c r="A159" s="1207"/>
      <c r="B159" s="1207"/>
      <c r="C159" s="2386" t="s">
        <v>2604</v>
      </c>
      <c r="D159" s="2387"/>
      <c r="E159" s="2387"/>
      <c r="F159" s="2387"/>
      <c r="G159" s="2387"/>
      <c r="H159" s="2387"/>
      <c r="I159" s="2387"/>
      <c r="J159" s="2387"/>
      <c r="K159" s="2387"/>
      <c r="L159" s="2387"/>
      <c r="M159" s="2387"/>
      <c r="N159" s="2417">
        <v>0</v>
      </c>
      <c r="O159" s="2417"/>
      <c r="P159" s="2417"/>
      <c r="Q159" s="2417"/>
      <c r="R159" s="2417"/>
      <c r="S159" s="2417"/>
      <c r="T159" s="2417"/>
      <c r="U159" s="2268"/>
      <c r="V159" s="2268"/>
      <c r="W159" s="2268"/>
      <c r="X159" s="2268"/>
      <c r="Y159" s="2268"/>
      <c r="Z159" s="2268"/>
      <c r="AA159" s="2268"/>
      <c r="AB159" s="2268"/>
      <c r="AC159" s="2268"/>
      <c r="AD159" s="2268"/>
      <c r="AE159" s="2269"/>
      <c r="AF159" s="1207"/>
      <c r="AG159" s="1207"/>
      <c r="AH159" s="2406"/>
      <c r="AI159" s="2407"/>
      <c r="AJ159" s="2407"/>
      <c r="AK159" s="2407"/>
      <c r="AL159" s="2407"/>
      <c r="AM159" s="2407"/>
      <c r="AN159" s="2407"/>
      <c r="AO159" s="2407"/>
      <c r="AP159" s="2407"/>
      <c r="AQ159" s="2407"/>
      <c r="AR159" s="2408"/>
      <c r="AS159" s="2412"/>
      <c r="AT159" s="2413"/>
      <c r="AU159" s="2413"/>
      <c r="AV159" s="2413"/>
      <c r="AW159" s="2413"/>
      <c r="AX159" s="2414"/>
      <c r="AY159" s="2413"/>
      <c r="AZ159" s="2413"/>
      <c r="BA159" s="2413"/>
      <c r="BB159" s="2413"/>
      <c r="BC159" s="2413"/>
      <c r="BD159" s="2416"/>
      <c r="BE159" s="1213"/>
    </row>
    <row r="160" spans="1:57" ht="15.75" customHeight="1">
      <c r="A160" s="1207"/>
      <c r="B160" s="1207"/>
      <c r="C160" s="2386" t="s">
        <v>2605</v>
      </c>
      <c r="D160" s="2387"/>
      <c r="E160" s="2387"/>
      <c r="F160" s="2387"/>
      <c r="G160" s="2387"/>
      <c r="H160" s="2387"/>
      <c r="I160" s="2387"/>
      <c r="J160" s="2387"/>
      <c r="K160" s="2387"/>
      <c r="L160" s="2387"/>
      <c r="M160" s="2387"/>
      <c r="N160" s="2417">
        <v>0</v>
      </c>
      <c r="O160" s="2417"/>
      <c r="P160" s="2417"/>
      <c r="Q160" s="2417"/>
      <c r="R160" s="2417"/>
      <c r="S160" s="2417"/>
      <c r="T160" s="2417"/>
      <c r="U160" s="2268"/>
      <c r="V160" s="2268"/>
      <c r="W160" s="2268"/>
      <c r="X160" s="2268"/>
      <c r="Y160" s="2268"/>
      <c r="Z160" s="2268"/>
      <c r="AA160" s="2268"/>
      <c r="AB160" s="2268"/>
      <c r="AC160" s="2268"/>
      <c r="AD160" s="2268"/>
      <c r="AE160" s="2269"/>
      <c r="AF160" s="1207"/>
      <c r="AG160" s="1207"/>
      <c r="AH160" s="2418" t="s">
        <v>2271</v>
      </c>
      <c r="AI160" s="2419"/>
      <c r="AJ160" s="2419"/>
      <c r="AK160" s="2419"/>
      <c r="AL160" s="2419"/>
      <c r="AM160" s="2419"/>
      <c r="AN160" s="2419"/>
      <c r="AO160" s="2419"/>
      <c r="AP160" s="2419"/>
      <c r="AQ160" s="2419"/>
      <c r="AR160" s="2419"/>
      <c r="AS160" s="2420">
        <v>0</v>
      </c>
      <c r="AT160" s="2420"/>
      <c r="AU160" s="2420"/>
      <c r="AV160" s="2420"/>
      <c r="AW160" s="2420"/>
      <c r="AX160" s="2420"/>
      <c r="AY160" s="2420">
        <v>0</v>
      </c>
      <c r="AZ160" s="2420"/>
      <c r="BA160" s="2420"/>
      <c r="BB160" s="2420"/>
      <c r="BC160" s="2420"/>
      <c r="BD160" s="2421"/>
      <c r="BE160" s="1213"/>
    </row>
    <row r="161" spans="1:57" ht="15.75" customHeight="1">
      <c r="A161" s="1207"/>
      <c r="B161" s="1207"/>
      <c r="C161" s="2423" t="s">
        <v>301</v>
      </c>
      <c r="D161" s="2370"/>
      <c r="E161" s="2422" t="s">
        <v>1916</v>
      </c>
      <c r="F161" s="2422"/>
      <c r="G161" s="2422"/>
      <c r="H161" s="2422"/>
      <c r="I161" s="2422"/>
      <c r="J161" s="2422"/>
      <c r="K161" s="2422"/>
      <c r="L161" s="2422"/>
      <c r="M161" s="2422"/>
      <c r="N161" s="2417">
        <v>0</v>
      </c>
      <c r="O161" s="2417"/>
      <c r="P161" s="2417"/>
      <c r="Q161" s="2417"/>
      <c r="R161" s="2417"/>
      <c r="S161" s="2417"/>
      <c r="T161" s="2417"/>
      <c r="U161" s="2268"/>
      <c r="V161" s="2268"/>
      <c r="W161" s="2268"/>
      <c r="X161" s="2268"/>
      <c r="Y161" s="2268"/>
      <c r="Z161" s="2268"/>
      <c r="AA161" s="2268"/>
      <c r="AB161" s="2268"/>
      <c r="AC161" s="2268"/>
      <c r="AD161" s="2268"/>
      <c r="AE161" s="2269"/>
      <c r="AF161" s="1207"/>
      <c r="AG161" s="1207"/>
      <c r="AH161" s="2418" t="s">
        <v>2272</v>
      </c>
      <c r="AI161" s="2419"/>
      <c r="AJ161" s="2419"/>
      <c r="AK161" s="2419"/>
      <c r="AL161" s="2419"/>
      <c r="AM161" s="2419"/>
      <c r="AN161" s="2419"/>
      <c r="AO161" s="2419"/>
      <c r="AP161" s="2419"/>
      <c r="AQ161" s="2419"/>
      <c r="AR161" s="2419"/>
      <c r="AS161" s="2420">
        <v>0</v>
      </c>
      <c r="AT161" s="2420"/>
      <c r="AU161" s="2420"/>
      <c r="AV161" s="2420"/>
      <c r="AW161" s="2420"/>
      <c r="AX161" s="2420"/>
      <c r="AY161" s="2420">
        <v>0</v>
      </c>
      <c r="AZ161" s="2420"/>
      <c r="BA161" s="2420"/>
      <c r="BB161" s="2420"/>
      <c r="BC161" s="2420"/>
      <c r="BD161" s="2421"/>
      <c r="BE161" s="1213"/>
    </row>
    <row r="162" spans="1:57" ht="15.75" customHeight="1">
      <c r="A162" s="1207"/>
      <c r="B162" s="1207"/>
      <c r="C162" s="2311" t="s">
        <v>301</v>
      </c>
      <c r="D162" s="2256"/>
      <c r="E162" s="2422" t="s">
        <v>1916</v>
      </c>
      <c r="F162" s="2422"/>
      <c r="G162" s="2422"/>
      <c r="H162" s="2422"/>
      <c r="I162" s="2422"/>
      <c r="J162" s="2422"/>
      <c r="K162" s="2422"/>
      <c r="L162" s="2422"/>
      <c r="M162" s="2422"/>
      <c r="N162" s="2417">
        <v>0</v>
      </c>
      <c r="O162" s="2417"/>
      <c r="P162" s="2417"/>
      <c r="Q162" s="2417"/>
      <c r="R162" s="2417"/>
      <c r="S162" s="2417"/>
      <c r="T162" s="2417"/>
      <c r="U162" s="2268"/>
      <c r="V162" s="2268"/>
      <c r="W162" s="2268"/>
      <c r="X162" s="2268"/>
      <c r="Y162" s="2268"/>
      <c r="Z162" s="2268"/>
      <c r="AA162" s="2268"/>
      <c r="AB162" s="2268"/>
      <c r="AC162" s="2268"/>
      <c r="AD162" s="2268"/>
      <c r="AE162" s="2269"/>
      <c r="AF162" s="1207"/>
      <c r="AG162" s="1207"/>
      <c r="AH162" s="2418" t="s">
        <v>2273</v>
      </c>
      <c r="AI162" s="2419"/>
      <c r="AJ162" s="2419"/>
      <c r="AK162" s="2419"/>
      <c r="AL162" s="2419"/>
      <c r="AM162" s="2419"/>
      <c r="AN162" s="2419"/>
      <c r="AO162" s="2419"/>
      <c r="AP162" s="2419"/>
      <c r="AQ162" s="2419"/>
      <c r="AR162" s="2419"/>
      <c r="AS162" s="2420">
        <v>0</v>
      </c>
      <c r="AT162" s="2420"/>
      <c r="AU162" s="2420"/>
      <c r="AV162" s="2420"/>
      <c r="AW162" s="2420"/>
      <c r="AX162" s="2420"/>
      <c r="AY162" s="2420">
        <v>0</v>
      </c>
      <c r="AZ162" s="2420"/>
      <c r="BA162" s="2420"/>
      <c r="BB162" s="2420"/>
      <c r="BC162" s="2420"/>
      <c r="BD162" s="2421"/>
      <c r="BE162" s="1213"/>
    </row>
    <row r="163" spans="1:57" ht="15.75" customHeight="1" thickBot="1">
      <c r="A163" s="1207"/>
      <c r="B163" s="1207"/>
      <c r="C163" s="2428" t="s">
        <v>301</v>
      </c>
      <c r="D163" s="2429"/>
      <c r="E163" s="2430" t="s">
        <v>1916</v>
      </c>
      <c r="F163" s="2430"/>
      <c r="G163" s="2430"/>
      <c r="H163" s="2430"/>
      <c r="I163" s="2430"/>
      <c r="J163" s="2430"/>
      <c r="K163" s="2430"/>
      <c r="L163" s="2430"/>
      <c r="M163" s="2431"/>
      <c r="N163" s="2432">
        <v>0</v>
      </c>
      <c r="O163" s="2432"/>
      <c r="P163" s="2432"/>
      <c r="Q163" s="2432"/>
      <c r="R163" s="2432"/>
      <c r="S163" s="2432"/>
      <c r="T163" s="2433"/>
      <c r="U163" s="2434"/>
      <c r="V163" s="2435"/>
      <c r="W163" s="2435"/>
      <c r="X163" s="2435"/>
      <c r="Y163" s="2435"/>
      <c r="Z163" s="2435"/>
      <c r="AA163" s="2435"/>
      <c r="AB163" s="2435"/>
      <c r="AC163" s="2435"/>
      <c r="AD163" s="2435"/>
      <c r="AE163" s="2436"/>
      <c r="AF163" s="1207"/>
      <c r="AG163" s="1207"/>
      <c r="AH163" s="2418" t="s">
        <v>2274</v>
      </c>
      <c r="AI163" s="2419"/>
      <c r="AJ163" s="2419"/>
      <c r="AK163" s="2419"/>
      <c r="AL163" s="2419"/>
      <c r="AM163" s="2419"/>
      <c r="AN163" s="2419"/>
      <c r="AO163" s="2419"/>
      <c r="AP163" s="2419"/>
      <c r="AQ163" s="2419"/>
      <c r="AR163" s="2419"/>
      <c r="AS163" s="2420">
        <v>0</v>
      </c>
      <c r="AT163" s="2420"/>
      <c r="AU163" s="2420"/>
      <c r="AV163" s="2420"/>
      <c r="AW163" s="2420"/>
      <c r="AX163" s="2420"/>
      <c r="AY163" s="2420">
        <v>0</v>
      </c>
      <c r="AZ163" s="2420"/>
      <c r="BA163" s="2420"/>
      <c r="BB163" s="2420"/>
      <c r="BC163" s="2420"/>
      <c r="BD163" s="2421"/>
      <c r="BE163" s="1213"/>
    </row>
    <row r="164" spans="1:57" ht="15.75" customHeight="1">
      <c r="A164" s="1207"/>
      <c r="B164" s="1207"/>
      <c r="C164" s="2424" t="s">
        <v>1924</v>
      </c>
      <c r="D164" s="2425"/>
      <c r="E164" s="2425"/>
      <c r="F164" s="2425"/>
      <c r="G164" s="2425"/>
      <c r="H164" s="2425"/>
      <c r="I164" s="2425"/>
      <c r="J164" s="2425"/>
      <c r="K164" s="2425"/>
      <c r="L164" s="2425"/>
      <c r="M164" s="2425"/>
      <c r="N164" s="2426">
        <f>SUM(N156:T163)</f>
        <v>1523000</v>
      </c>
      <c r="O164" s="2426"/>
      <c r="P164" s="2426"/>
      <c r="Q164" s="2426"/>
      <c r="R164" s="2426"/>
      <c r="S164" s="2426"/>
      <c r="T164" s="2427"/>
      <c r="U164" s="1207"/>
      <c r="V164" s="1207"/>
      <c r="W164" s="1207"/>
      <c r="X164" s="1207"/>
      <c r="Y164" s="1207"/>
      <c r="Z164" s="1207"/>
      <c r="AA164" s="1207"/>
      <c r="AB164" s="1207"/>
      <c r="AC164" s="1207"/>
      <c r="AD164" s="1207"/>
      <c r="AE164" s="1207"/>
      <c r="AF164" s="1207"/>
      <c r="AG164" s="1207"/>
      <c r="AH164" s="2418" t="s">
        <v>2275</v>
      </c>
      <c r="AI164" s="2419"/>
      <c r="AJ164" s="2419"/>
      <c r="AK164" s="2419"/>
      <c r="AL164" s="2419"/>
      <c r="AM164" s="2419"/>
      <c r="AN164" s="2419"/>
      <c r="AO164" s="2419"/>
      <c r="AP164" s="2419"/>
      <c r="AQ164" s="2419"/>
      <c r="AR164" s="2419"/>
      <c r="AS164" s="2420">
        <v>0</v>
      </c>
      <c r="AT164" s="2420"/>
      <c r="AU164" s="2420"/>
      <c r="AV164" s="2420"/>
      <c r="AW164" s="2420"/>
      <c r="AX164" s="2420"/>
      <c r="AY164" s="2420">
        <v>0</v>
      </c>
      <c r="AZ164" s="2420"/>
      <c r="BA164" s="2420"/>
      <c r="BB164" s="2420"/>
      <c r="BC164" s="2420"/>
      <c r="BD164" s="2421"/>
      <c r="BE164" s="1213"/>
    </row>
    <row r="165" spans="1:57" ht="15.75" customHeight="1" thickBot="1">
      <c r="A165" s="1207"/>
      <c r="B165" s="1207"/>
      <c r="C165" s="2450" t="s">
        <v>2606</v>
      </c>
      <c r="D165" s="2451"/>
      <c r="E165" s="2451"/>
      <c r="F165" s="2451"/>
      <c r="G165" s="2451"/>
      <c r="H165" s="2451"/>
      <c r="I165" s="2451"/>
      <c r="J165" s="2451"/>
      <c r="K165" s="2451"/>
      <c r="L165" s="2451"/>
      <c r="M165" s="2451"/>
      <c r="N165" s="2452">
        <f>(N154-N164)/J29</f>
        <v>354102.77184466022</v>
      </c>
      <c r="O165" s="2453"/>
      <c r="P165" s="2453"/>
      <c r="Q165" s="2453"/>
      <c r="R165" s="2453"/>
      <c r="S165" s="2453"/>
      <c r="T165" s="2454"/>
      <c r="U165" s="1214"/>
      <c r="V165" s="1207"/>
      <c r="W165" s="1207"/>
      <c r="X165" s="1207"/>
      <c r="Y165" s="1207"/>
      <c r="Z165" s="1207"/>
      <c r="AA165" s="1207"/>
      <c r="AB165" s="1207"/>
      <c r="AC165" s="1207"/>
      <c r="AD165" s="1207"/>
      <c r="AE165" s="1207"/>
      <c r="AF165" s="1207"/>
      <c r="AG165" s="1207"/>
      <c r="AH165" s="2418" t="s">
        <v>2276</v>
      </c>
      <c r="AI165" s="2419"/>
      <c r="AJ165" s="2419"/>
      <c r="AK165" s="2419"/>
      <c r="AL165" s="2419"/>
      <c r="AM165" s="2419"/>
      <c r="AN165" s="2419"/>
      <c r="AO165" s="2419"/>
      <c r="AP165" s="2419"/>
      <c r="AQ165" s="2419"/>
      <c r="AR165" s="2419"/>
      <c r="AS165" s="2420">
        <v>0</v>
      </c>
      <c r="AT165" s="2420"/>
      <c r="AU165" s="2420"/>
      <c r="AV165" s="2420"/>
      <c r="AW165" s="2420"/>
      <c r="AX165" s="2420"/>
      <c r="AY165" s="2420">
        <v>0</v>
      </c>
      <c r="AZ165" s="2420"/>
      <c r="BA165" s="2420"/>
      <c r="BB165" s="2420"/>
      <c r="BC165" s="2420"/>
      <c r="BD165" s="242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5" t="s">
        <v>125</v>
      </c>
      <c r="AI166" s="2456"/>
      <c r="AJ166" s="2456"/>
      <c r="AK166" s="2456"/>
      <c r="AL166" s="2456"/>
      <c r="AM166" s="2456"/>
      <c r="AN166" s="2456"/>
      <c r="AO166" s="2456"/>
      <c r="AP166" s="2456"/>
      <c r="AQ166" s="2456"/>
      <c r="AR166" s="2456"/>
      <c r="AS166" s="2457">
        <f>SUM(AS160:AX165)</f>
        <v>0</v>
      </c>
      <c r="AT166" s="2457"/>
      <c r="AU166" s="2457"/>
      <c r="AV166" s="2457"/>
      <c r="AW166" s="2457"/>
      <c r="AX166" s="2457"/>
      <c r="AY166" s="2457">
        <f>SUM(AY160:BD165)</f>
        <v>0</v>
      </c>
      <c r="AZ166" s="2457"/>
      <c r="BA166" s="2457"/>
      <c r="BB166" s="2457"/>
      <c r="BC166" s="2457"/>
      <c r="BD166" s="245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7" t="s">
        <v>1925</v>
      </c>
      <c r="C168" s="2438"/>
      <c r="D168" s="2438"/>
      <c r="E168" s="2438"/>
      <c r="F168" s="2438"/>
      <c r="G168" s="2438"/>
      <c r="H168" s="2438"/>
      <c r="I168" s="2438"/>
      <c r="J168" s="2438"/>
      <c r="K168" s="2438"/>
      <c r="L168" s="2438"/>
      <c r="M168" s="2438"/>
      <c r="N168" s="2438"/>
      <c r="O168" s="2438"/>
      <c r="P168" s="2438"/>
      <c r="Q168" s="2438"/>
      <c r="R168" s="2438"/>
      <c r="S168" s="2438"/>
      <c r="T168" s="2438"/>
      <c r="U168" s="2438"/>
      <c r="V168" s="2438"/>
      <c r="W168" s="2438"/>
      <c r="X168" s="2438"/>
      <c r="Y168" s="2438"/>
      <c r="Z168" s="2438"/>
      <c r="AA168" s="2438"/>
      <c r="AB168" s="2438"/>
      <c r="AC168" s="2438"/>
      <c r="AD168" s="2438"/>
      <c r="AE168" s="2438"/>
      <c r="AF168" s="2438"/>
      <c r="AG168" s="2438"/>
      <c r="AH168" s="2438"/>
      <c r="AI168" s="2438"/>
      <c r="AJ168" s="2438"/>
      <c r="AK168" s="2438"/>
      <c r="AL168" s="2438"/>
      <c r="AM168" s="2438"/>
      <c r="AN168" s="2438"/>
      <c r="AO168" s="2438"/>
      <c r="AP168" s="2438"/>
      <c r="AQ168" s="2438"/>
      <c r="AR168" s="2438"/>
      <c r="AS168" s="2438"/>
      <c r="AT168" s="2438"/>
      <c r="AU168" s="2438"/>
      <c r="AV168" s="2438"/>
      <c r="AW168" s="2438"/>
      <c r="AX168" s="2438"/>
      <c r="AY168" s="2438"/>
      <c r="AZ168" s="2438"/>
      <c r="BA168" s="2438"/>
      <c r="BB168" s="2438"/>
      <c r="BC168" s="2438"/>
      <c r="BD168" s="2439"/>
      <c r="BE168" s="1213"/>
    </row>
    <row r="169" spans="1:57" ht="15.75" customHeight="1">
      <c r="A169" s="1207"/>
      <c r="B169" s="2440"/>
      <c r="C169" s="2441"/>
      <c r="D169" s="2441"/>
      <c r="E169" s="2441"/>
      <c r="F169" s="2441"/>
      <c r="G169" s="2441"/>
      <c r="H169" s="2441"/>
      <c r="I169" s="2441"/>
      <c r="J169" s="2441"/>
      <c r="K169" s="2441"/>
      <c r="L169" s="2441"/>
      <c r="M169" s="2441"/>
      <c r="N169" s="2441"/>
      <c r="O169" s="2441"/>
      <c r="P169" s="2441"/>
      <c r="Q169" s="2441"/>
      <c r="R169" s="2441"/>
      <c r="S169" s="2441"/>
      <c r="T169" s="2441"/>
      <c r="U169" s="2441"/>
      <c r="V169" s="2441"/>
      <c r="W169" s="2441"/>
      <c r="X169" s="2441"/>
      <c r="Y169" s="2441"/>
      <c r="Z169" s="2441"/>
      <c r="AA169" s="2441"/>
      <c r="AB169" s="2441"/>
      <c r="AC169" s="2441"/>
      <c r="AD169" s="2441"/>
      <c r="AE169" s="2441"/>
      <c r="AF169" s="2441"/>
      <c r="AG169" s="2441"/>
      <c r="AH169" s="2441"/>
      <c r="AI169" s="2441"/>
      <c r="AJ169" s="2441"/>
      <c r="AK169" s="2441"/>
      <c r="AL169" s="2441"/>
      <c r="AM169" s="2441"/>
      <c r="AN169" s="2441"/>
      <c r="AO169" s="2441"/>
      <c r="AP169" s="2441"/>
      <c r="AQ169" s="2441"/>
      <c r="AR169" s="2441"/>
      <c r="AS169" s="2441"/>
      <c r="AT169" s="2441"/>
      <c r="AU169" s="2441"/>
      <c r="AV169" s="2441"/>
      <c r="AW169" s="2441"/>
      <c r="AX169" s="2441"/>
      <c r="AY169" s="2441"/>
      <c r="AZ169" s="2441"/>
      <c r="BA169" s="2441"/>
      <c r="BB169" s="2441"/>
      <c r="BC169" s="2441"/>
      <c r="BD169" s="2442"/>
      <c r="BE169" s="1213"/>
    </row>
    <row r="170" spans="1:57" ht="15.75" customHeight="1">
      <c r="A170" s="1207"/>
      <c r="B170" s="2443" t="s">
        <v>1926</v>
      </c>
      <c r="C170" s="2444"/>
      <c r="D170" s="2444"/>
      <c r="E170" s="2444"/>
      <c r="F170" s="2444"/>
      <c r="G170" s="2444"/>
      <c r="H170" s="2444"/>
      <c r="I170" s="2444"/>
      <c r="J170" s="2444"/>
      <c r="K170" s="2444"/>
      <c r="L170" s="2444"/>
      <c r="M170" s="2444"/>
      <c r="N170" s="2444"/>
      <c r="O170" s="2444"/>
      <c r="P170" s="2444"/>
      <c r="Q170" s="2444"/>
      <c r="R170" s="2444"/>
      <c r="S170" s="2444"/>
      <c r="T170" s="2444"/>
      <c r="U170" s="2444"/>
      <c r="V170" s="2444"/>
      <c r="W170" s="2444"/>
      <c r="X170" s="2444"/>
      <c r="Y170" s="2444"/>
      <c r="Z170" s="2444"/>
      <c r="AA170" s="2444"/>
      <c r="AB170" s="2444"/>
      <c r="AC170" s="2444"/>
      <c r="AD170" s="2444"/>
      <c r="AE170" s="2444"/>
      <c r="AF170" s="2444"/>
      <c r="AG170" s="2444"/>
      <c r="AH170" s="2444"/>
      <c r="AI170" s="2444"/>
      <c r="AJ170" s="2444"/>
      <c r="AK170" s="2444"/>
      <c r="AL170" s="2444"/>
      <c r="AM170" s="2444"/>
      <c r="AN170" s="2444"/>
      <c r="AO170" s="2444"/>
      <c r="AP170" s="2444"/>
      <c r="AQ170" s="2444"/>
      <c r="AR170" s="2444"/>
      <c r="AS170" s="2444"/>
      <c r="AT170" s="2444"/>
      <c r="AU170" s="2444"/>
      <c r="AV170" s="2444"/>
      <c r="AW170" s="2444"/>
      <c r="AX170" s="2444"/>
      <c r="AY170" s="2444"/>
      <c r="AZ170" s="2444"/>
      <c r="BA170" s="2444"/>
      <c r="BB170" s="2444"/>
      <c r="BC170" s="2444"/>
      <c r="BD170" s="2445"/>
      <c r="BE170" s="1213"/>
    </row>
    <row r="171" spans="1:57" ht="15.75" customHeight="1">
      <c r="A171" s="1207"/>
      <c r="B171" s="2443" t="s">
        <v>1927</v>
      </c>
      <c r="C171" s="2444"/>
      <c r="D171" s="2444"/>
      <c r="E171" s="2444"/>
      <c r="F171" s="2444"/>
      <c r="G171" s="2444"/>
      <c r="H171" s="2444"/>
      <c r="I171" s="2444"/>
      <c r="J171" s="2444"/>
      <c r="K171" s="2444"/>
      <c r="L171" s="2444"/>
      <c r="M171" s="2444"/>
      <c r="N171" s="2444"/>
      <c r="O171" s="2444"/>
      <c r="P171" s="2444"/>
      <c r="Q171" s="2444"/>
      <c r="R171" s="2444"/>
      <c r="S171" s="2444"/>
      <c r="T171" s="2444"/>
      <c r="U171" s="2444"/>
      <c r="V171" s="2444"/>
      <c r="W171" s="2444"/>
      <c r="X171" s="2444"/>
      <c r="Y171" s="2444"/>
      <c r="Z171" s="2444"/>
      <c r="AA171" s="2444"/>
      <c r="AB171" s="2444"/>
      <c r="AC171" s="2444"/>
      <c r="AD171" s="2444"/>
      <c r="AE171" s="2444"/>
      <c r="AF171" s="2444"/>
      <c r="AG171" s="2444"/>
      <c r="AH171" s="2444"/>
      <c r="AI171" s="2444"/>
      <c r="AJ171" s="2444"/>
      <c r="AK171" s="2444"/>
      <c r="AL171" s="2444"/>
      <c r="AM171" s="2444"/>
      <c r="AN171" s="2444"/>
      <c r="AO171" s="2444"/>
      <c r="AP171" s="2444"/>
      <c r="AQ171" s="2444"/>
      <c r="AR171" s="2444"/>
      <c r="AS171" s="2444"/>
      <c r="AT171" s="2444"/>
      <c r="AU171" s="2444"/>
      <c r="AV171" s="2444"/>
      <c r="AW171" s="2444"/>
      <c r="AX171" s="2444"/>
      <c r="AY171" s="2444"/>
      <c r="AZ171" s="2444"/>
      <c r="BA171" s="2444"/>
      <c r="BB171" s="2444"/>
      <c r="BC171" s="2444"/>
      <c r="BD171" s="244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6" t="s">
        <v>1928</v>
      </c>
      <c r="C173" s="2447"/>
      <c r="D173" s="2447"/>
      <c r="E173" s="2447"/>
      <c r="F173" s="2447"/>
      <c r="G173" s="2447"/>
      <c r="H173" s="2447"/>
      <c r="I173" s="2447"/>
      <c r="J173" s="2447"/>
      <c r="K173" s="2447"/>
      <c r="L173" s="2447"/>
      <c r="M173" s="2447"/>
      <c r="N173" s="2447"/>
      <c r="O173" s="2447"/>
      <c r="P173" s="2447"/>
      <c r="Q173" s="2447"/>
      <c r="R173" s="2447"/>
      <c r="S173" s="2447"/>
      <c r="T173" s="2447"/>
      <c r="U173" s="2447"/>
      <c r="V173" s="2447"/>
      <c r="W173" s="2447"/>
      <c r="X173" s="2447"/>
      <c r="Y173" s="2447"/>
      <c r="Z173" s="2447"/>
      <c r="AA173" s="2447"/>
      <c r="AB173" s="2447"/>
      <c r="AC173" s="2447"/>
      <c r="AD173" s="2447"/>
      <c r="AE173" s="2447"/>
      <c r="AF173" s="2447"/>
      <c r="AG173" s="2447"/>
      <c r="AH173" s="2447"/>
      <c r="AI173" s="2447"/>
      <c r="AJ173" s="2447"/>
      <c r="AK173" s="2447"/>
      <c r="AL173" s="2447"/>
      <c r="AM173" s="2447"/>
      <c r="AN173" s="2447"/>
      <c r="AO173" s="2447"/>
      <c r="AP173" s="2447"/>
      <c r="AQ173" s="2447"/>
      <c r="AR173" s="2447"/>
      <c r="AS173" s="2447"/>
      <c r="AT173" s="2447"/>
      <c r="AU173" s="2447"/>
      <c r="AV173" s="2447"/>
      <c r="AW173" s="2447"/>
      <c r="AX173" s="2447"/>
      <c r="AY173" s="2447"/>
      <c r="AZ173" s="2447"/>
      <c r="BA173" s="2447"/>
      <c r="BB173" s="2447"/>
      <c r="BC173" s="2447"/>
      <c r="BD173" s="244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9" t="s">
        <v>1930</v>
      </c>
      <c r="I177" s="2449"/>
      <c r="J177" s="2449"/>
      <c r="K177" s="2449"/>
      <c r="L177" s="2449"/>
      <c r="M177" s="2449"/>
      <c r="N177" s="2449"/>
      <c r="O177" s="2449"/>
      <c r="P177" s="2449"/>
      <c r="Q177" s="2449"/>
      <c r="R177" s="2449"/>
      <c r="S177" s="2449"/>
      <c r="T177" s="2449"/>
      <c r="U177" s="2449"/>
      <c r="V177" s="2449"/>
      <c r="W177" s="2449"/>
      <c r="X177" s="2449"/>
      <c r="Y177" s="2449"/>
      <c r="Z177" s="2449"/>
      <c r="AA177" s="2449"/>
      <c r="AB177" s="2449"/>
      <c r="AC177" s="2449"/>
      <c r="AD177" s="2449"/>
      <c r="AE177" s="2449"/>
      <c r="AF177" s="2449"/>
      <c r="AG177" s="2449"/>
      <c r="AH177" s="2449"/>
      <c r="AI177" s="2449"/>
      <c r="AJ177" s="2449"/>
      <c r="AK177" s="2449"/>
      <c r="AL177" s="2449"/>
      <c r="AM177" s="2449"/>
      <c r="AN177" s="2449"/>
      <c r="AO177" s="2449"/>
      <c r="AP177" s="2449"/>
      <c r="AQ177" s="2449"/>
      <c r="AR177" s="2449"/>
      <c r="AS177" s="2449"/>
      <c r="AT177" s="2449"/>
      <c r="AU177" s="2449"/>
      <c r="AV177" s="2449"/>
      <c r="AW177" s="2449"/>
      <c r="AX177" s="2449"/>
      <c r="AY177" s="244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8" t="s">
        <v>2607</v>
      </c>
      <c r="I179" s="2468"/>
      <c r="J179" s="2468"/>
      <c r="K179" s="2468"/>
      <c r="L179" s="2468"/>
      <c r="M179" s="2468"/>
      <c r="N179" s="2468"/>
      <c r="O179" s="2468"/>
      <c r="P179" s="2468"/>
      <c r="Q179" s="2468"/>
      <c r="R179" s="2468"/>
      <c r="S179" s="2468"/>
      <c r="T179" s="2468"/>
      <c r="U179" s="2468"/>
      <c r="V179" s="2468"/>
      <c r="W179" s="2468"/>
      <c r="X179" s="2468"/>
      <c r="Y179" s="2468"/>
      <c r="Z179" s="2468"/>
      <c r="AA179" s="2468"/>
      <c r="AB179" s="2468"/>
      <c r="AC179" s="2468"/>
      <c r="AD179" s="2468"/>
      <c r="AE179" s="2468"/>
      <c r="AF179" s="2468"/>
      <c r="AG179" s="2468"/>
      <c r="AH179" s="2468"/>
      <c r="AI179" s="2468"/>
      <c r="AJ179" s="2468"/>
      <c r="AK179" s="2468"/>
      <c r="AL179" s="2468"/>
      <c r="AM179" s="2468"/>
      <c r="AN179" s="2468"/>
      <c r="AO179" s="2468"/>
      <c r="AP179" s="2468"/>
      <c r="AQ179" s="2468"/>
      <c r="AR179" s="2468"/>
      <c r="AS179" s="2468"/>
      <c r="AT179" s="2468"/>
      <c r="AU179" s="2468"/>
      <c r="AV179" s="2468"/>
      <c r="AW179" s="2468"/>
      <c r="AX179" s="2468"/>
      <c r="AY179" s="2468"/>
      <c r="AZ179" s="2468"/>
      <c r="BA179" s="1207"/>
      <c r="BB179" s="1207"/>
      <c r="BC179" s="1207"/>
      <c r="BD179" s="1213"/>
      <c r="BE179" s="1213"/>
    </row>
    <row r="180" spans="1:57" ht="15.75" customHeight="1">
      <c r="A180" s="1207"/>
      <c r="B180" s="1206"/>
      <c r="C180" s="1207"/>
      <c r="D180" s="1207"/>
      <c r="E180" s="1207"/>
      <c r="F180" s="1207"/>
      <c r="G180" s="1207"/>
      <c r="H180" s="2468"/>
      <c r="I180" s="2468"/>
      <c r="J180" s="2468"/>
      <c r="K180" s="2468"/>
      <c r="L180" s="2468"/>
      <c r="M180" s="2468"/>
      <c r="N180" s="2468"/>
      <c r="O180" s="2468"/>
      <c r="P180" s="2468"/>
      <c r="Q180" s="2468"/>
      <c r="R180" s="2468"/>
      <c r="S180" s="2468"/>
      <c r="T180" s="2468"/>
      <c r="U180" s="2468"/>
      <c r="V180" s="2468"/>
      <c r="W180" s="2468"/>
      <c r="X180" s="2468"/>
      <c r="Y180" s="2468"/>
      <c r="Z180" s="2468"/>
      <c r="AA180" s="2468"/>
      <c r="AB180" s="2468"/>
      <c r="AC180" s="2468"/>
      <c r="AD180" s="2468"/>
      <c r="AE180" s="2468"/>
      <c r="AF180" s="2468"/>
      <c r="AG180" s="2468"/>
      <c r="AH180" s="2468"/>
      <c r="AI180" s="2468"/>
      <c r="AJ180" s="2468"/>
      <c r="AK180" s="2468"/>
      <c r="AL180" s="2468"/>
      <c r="AM180" s="2468"/>
      <c r="AN180" s="2468"/>
      <c r="AO180" s="2468"/>
      <c r="AP180" s="2468"/>
      <c r="AQ180" s="2468"/>
      <c r="AR180" s="2468"/>
      <c r="AS180" s="2468"/>
      <c r="AT180" s="2468"/>
      <c r="AU180" s="2468"/>
      <c r="AV180" s="2468"/>
      <c r="AW180" s="2468"/>
      <c r="AX180" s="2468"/>
      <c r="AY180" s="2468"/>
      <c r="AZ180" s="2468"/>
      <c r="BA180" s="1207"/>
      <c r="BB180" s="1207"/>
      <c r="BC180" s="1207"/>
      <c r="BD180" s="1213"/>
      <c r="BE180" s="1213"/>
    </row>
    <row r="181" spans="1:57" ht="15.75" customHeight="1">
      <c r="A181" s="1207"/>
      <c r="B181" s="1206"/>
      <c r="C181" s="1207"/>
      <c r="D181" s="1207"/>
      <c r="E181" s="1207"/>
      <c r="F181" s="1207"/>
      <c r="G181" s="1207"/>
      <c r="H181" s="2468"/>
      <c r="I181" s="2468"/>
      <c r="J181" s="2468"/>
      <c r="K181" s="2468"/>
      <c r="L181" s="2468"/>
      <c r="M181" s="2468"/>
      <c r="N181" s="2468"/>
      <c r="O181" s="2468"/>
      <c r="P181" s="2468"/>
      <c r="Q181" s="2468"/>
      <c r="R181" s="2468"/>
      <c r="S181" s="2468"/>
      <c r="T181" s="2468"/>
      <c r="U181" s="2468"/>
      <c r="V181" s="2468"/>
      <c r="W181" s="2468"/>
      <c r="X181" s="2468"/>
      <c r="Y181" s="2468"/>
      <c r="Z181" s="2468"/>
      <c r="AA181" s="2468"/>
      <c r="AB181" s="2468"/>
      <c r="AC181" s="2468"/>
      <c r="AD181" s="2468"/>
      <c r="AE181" s="2468"/>
      <c r="AF181" s="2468"/>
      <c r="AG181" s="2468"/>
      <c r="AH181" s="2468"/>
      <c r="AI181" s="2468"/>
      <c r="AJ181" s="2468"/>
      <c r="AK181" s="2468"/>
      <c r="AL181" s="2468"/>
      <c r="AM181" s="2468"/>
      <c r="AN181" s="2468"/>
      <c r="AO181" s="2468"/>
      <c r="AP181" s="2468"/>
      <c r="AQ181" s="2468"/>
      <c r="AR181" s="2468"/>
      <c r="AS181" s="2468"/>
      <c r="AT181" s="2468"/>
      <c r="AU181" s="2468"/>
      <c r="AV181" s="2468"/>
      <c r="AW181" s="2468"/>
      <c r="AX181" s="2468"/>
      <c r="AY181" s="2468"/>
      <c r="AZ181" s="2468"/>
      <c r="BA181" s="1207"/>
      <c r="BB181" s="1207"/>
      <c r="BC181" s="1207"/>
      <c r="BD181" s="1213"/>
      <c r="BE181" s="1213"/>
    </row>
    <row r="182" spans="1:57" ht="15.75" customHeight="1">
      <c r="A182" s="1207"/>
      <c r="B182" s="1206"/>
      <c r="C182" s="1207"/>
      <c r="D182" s="1207"/>
      <c r="E182" s="1207"/>
      <c r="F182" s="1207"/>
      <c r="G182" s="1207"/>
      <c r="H182" s="2468"/>
      <c r="I182" s="2468"/>
      <c r="J182" s="2468"/>
      <c r="K182" s="2468"/>
      <c r="L182" s="2468"/>
      <c r="M182" s="2468"/>
      <c r="N182" s="2468"/>
      <c r="O182" s="2468"/>
      <c r="P182" s="2468"/>
      <c r="Q182" s="2468"/>
      <c r="R182" s="2468"/>
      <c r="S182" s="2468"/>
      <c r="T182" s="2468"/>
      <c r="U182" s="2468"/>
      <c r="V182" s="2468"/>
      <c r="W182" s="2468"/>
      <c r="X182" s="2468"/>
      <c r="Y182" s="2468"/>
      <c r="Z182" s="2468"/>
      <c r="AA182" s="2468"/>
      <c r="AB182" s="2468"/>
      <c r="AC182" s="2468"/>
      <c r="AD182" s="2468"/>
      <c r="AE182" s="2468"/>
      <c r="AF182" s="2468"/>
      <c r="AG182" s="2468"/>
      <c r="AH182" s="2468"/>
      <c r="AI182" s="2468"/>
      <c r="AJ182" s="2468"/>
      <c r="AK182" s="2468"/>
      <c r="AL182" s="2468"/>
      <c r="AM182" s="2468"/>
      <c r="AN182" s="2468"/>
      <c r="AO182" s="2468"/>
      <c r="AP182" s="2468"/>
      <c r="AQ182" s="2468"/>
      <c r="AR182" s="2468"/>
      <c r="AS182" s="2468"/>
      <c r="AT182" s="2468"/>
      <c r="AU182" s="2468"/>
      <c r="AV182" s="2468"/>
      <c r="AW182" s="2468"/>
      <c r="AX182" s="2468"/>
      <c r="AY182" s="2468"/>
      <c r="AZ182" s="2468"/>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9" t="s">
        <v>1931</v>
      </c>
      <c r="I184" s="2469"/>
      <c r="J184" s="2469"/>
      <c r="K184" s="2469"/>
      <c r="L184" s="2469"/>
      <c r="M184" s="2469"/>
      <c r="N184" s="2469"/>
      <c r="O184" s="2469"/>
      <c r="P184" s="2469"/>
      <c r="Q184" s="2469"/>
      <c r="R184" s="2469"/>
      <c r="S184" s="2469"/>
      <c r="T184" s="2469"/>
      <c r="U184" s="2469"/>
      <c r="V184" s="2469"/>
      <c r="W184" s="2469"/>
      <c r="X184" s="2469"/>
      <c r="Y184" s="2469"/>
      <c r="Z184" s="2469"/>
      <c r="AA184" s="2469"/>
      <c r="AB184" s="2469"/>
      <c r="AC184" s="2469"/>
      <c r="AD184" s="2469"/>
      <c r="AE184" s="2469"/>
      <c r="AF184" s="2469"/>
      <c r="AG184" s="2469"/>
      <c r="AH184" s="2469"/>
      <c r="AI184" s="2469"/>
      <c r="AJ184" s="2469"/>
      <c r="AK184" s="2469"/>
      <c r="AL184" s="2469"/>
      <c r="AM184" s="2469"/>
      <c r="AN184" s="2469"/>
      <c r="AO184" s="2469"/>
      <c r="AP184" s="2469"/>
      <c r="AQ184" s="2469"/>
      <c r="AR184" s="2469"/>
      <c r="AS184" s="2469"/>
      <c r="AT184" s="2469"/>
      <c r="AU184" s="2469"/>
      <c r="AV184" s="2469"/>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9" t="s">
        <v>1932</v>
      </c>
      <c r="I186" s="2459"/>
      <c r="J186" s="2459"/>
      <c r="K186" s="2459"/>
      <c r="L186" s="1222"/>
      <c r="M186" s="1222"/>
      <c r="N186" s="1222"/>
      <c r="O186" s="1222"/>
      <c r="P186" s="1222"/>
      <c r="Q186" s="1222"/>
      <c r="R186" s="1222"/>
      <c r="S186" s="2470"/>
      <c r="T186" s="2466"/>
      <c r="U186" s="2466"/>
      <c r="V186" s="2466"/>
      <c r="W186" s="2466"/>
      <c r="X186" s="2466"/>
      <c r="Y186" s="2466"/>
      <c r="Z186" s="2466"/>
      <c r="AA186" s="2466"/>
      <c r="AB186" s="2466"/>
      <c r="AC186" s="2466"/>
      <c r="AD186" s="2466"/>
      <c r="AE186" s="2466"/>
      <c r="AF186" s="2466"/>
      <c r="AG186" s="2466"/>
      <c r="AH186" s="2466"/>
      <c r="AI186" s="2466"/>
      <c r="AJ186" s="2467"/>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9" t="s">
        <v>1933</v>
      </c>
      <c r="I188" s="2459"/>
      <c r="J188" s="2459"/>
      <c r="K188" s="1255"/>
      <c r="L188" s="1222"/>
      <c r="M188" s="1222"/>
      <c r="N188" s="1222"/>
      <c r="O188" s="1222"/>
      <c r="P188" s="1222"/>
      <c r="Q188" s="1222"/>
      <c r="R188" s="1222"/>
      <c r="S188" s="2460"/>
      <c r="T188" s="2461"/>
      <c r="U188" s="2461"/>
      <c r="V188" s="2461"/>
      <c r="W188" s="2461"/>
      <c r="X188" s="2461"/>
      <c r="Y188" s="2461"/>
      <c r="Z188" s="2461"/>
      <c r="AA188" s="2461"/>
      <c r="AB188" s="2461"/>
      <c r="AC188" s="2461"/>
      <c r="AD188" s="2461"/>
      <c r="AE188" s="2461"/>
      <c r="AF188" s="2461"/>
      <c r="AG188" s="2461"/>
      <c r="AH188" s="2461"/>
      <c r="AI188" s="2461"/>
      <c r="AJ188" s="2462"/>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9" t="s">
        <v>444</v>
      </c>
      <c r="I190" s="2459"/>
      <c r="J190" s="1255"/>
      <c r="K190" s="1255"/>
      <c r="L190" s="1222"/>
      <c r="M190" s="1222"/>
      <c r="N190" s="1222"/>
      <c r="O190" s="1222"/>
      <c r="P190" s="1222"/>
      <c r="Q190" s="1222"/>
      <c r="R190" s="1222"/>
      <c r="S190" s="2460"/>
      <c r="T190" s="2461"/>
      <c r="U190" s="2461"/>
      <c r="V190" s="2461"/>
      <c r="W190" s="2461"/>
      <c r="X190" s="2461"/>
      <c r="Y190" s="2461"/>
      <c r="Z190" s="2461"/>
      <c r="AA190" s="2461"/>
      <c r="AB190" s="2461"/>
      <c r="AC190" s="2461"/>
      <c r="AD190" s="2461"/>
      <c r="AE190" s="2461"/>
      <c r="AF190" s="2461"/>
      <c r="AG190" s="2461"/>
      <c r="AH190" s="2461"/>
      <c r="AI190" s="2461"/>
      <c r="AJ190" s="246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3" t="s">
        <v>1934</v>
      </c>
      <c r="I192" s="2463"/>
      <c r="J192" s="2463"/>
      <c r="K192" s="2463"/>
      <c r="L192" s="2463"/>
      <c r="M192" s="2463"/>
      <c r="N192" s="2463"/>
      <c r="O192" s="2463"/>
      <c r="P192" s="1222"/>
      <c r="Q192" s="1222"/>
      <c r="R192" s="1222"/>
      <c r="S192" s="2460"/>
      <c r="T192" s="2461"/>
      <c r="U192" s="2461"/>
      <c r="V192" s="2461"/>
      <c r="W192" s="2461"/>
      <c r="X192" s="2461"/>
      <c r="Y192" s="2461"/>
      <c r="Z192" s="2461"/>
      <c r="AA192" s="2461"/>
      <c r="AB192" s="2461"/>
      <c r="AC192" s="2461"/>
      <c r="AD192" s="2461"/>
      <c r="AE192" s="2461"/>
      <c r="AF192" s="2461"/>
      <c r="AG192" s="2461"/>
      <c r="AH192" s="2461"/>
      <c r="AI192" s="2461"/>
      <c r="AJ192" s="2462"/>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4" t="s">
        <v>1935</v>
      </c>
      <c r="I194" s="2464"/>
      <c r="J194" s="1222"/>
      <c r="K194" s="1222"/>
      <c r="L194" s="1222"/>
      <c r="M194" s="1222"/>
      <c r="N194" s="1222"/>
      <c r="O194" s="1222"/>
      <c r="P194" s="1222"/>
      <c r="Q194" s="1222"/>
      <c r="R194" s="1222"/>
      <c r="S194" s="2465"/>
      <c r="T194" s="2466"/>
      <c r="U194" s="2466"/>
      <c r="V194" s="2466"/>
      <c r="W194" s="2466"/>
      <c r="X194" s="2466"/>
      <c r="Y194" s="2466"/>
      <c r="Z194" s="2466"/>
      <c r="AA194" s="2466"/>
      <c r="AB194" s="2466"/>
      <c r="AC194" s="2466"/>
      <c r="AD194" s="2466"/>
      <c r="AE194" s="2466"/>
      <c r="AF194" s="2466"/>
      <c r="AG194" s="2466"/>
      <c r="AH194" s="2466"/>
      <c r="AI194" s="2466"/>
      <c r="AJ194" s="2467"/>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0" zoomScaleNormal="100" zoomScaleSheetLayoutView="100" workbookViewId="0">
      <selection activeCell="AB51" sqref="AB51"/>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502" t="s">
        <v>1445</v>
      </c>
      <c r="B1" s="2502"/>
      <c r="C1" s="2502"/>
      <c r="D1" s="2502"/>
      <c r="E1" s="2502"/>
      <c r="F1" s="2502"/>
      <c r="G1" s="2502"/>
      <c r="H1" s="2502"/>
      <c r="I1" s="2502"/>
      <c r="J1" s="2502"/>
      <c r="K1" s="2502"/>
      <c r="L1" s="2502"/>
      <c r="M1" s="2502"/>
      <c r="N1" s="2502"/>
      <c r="O1" s="2502"/>
      <c r="P1" s="2502"/>
      <c r="Q1" s="2502"/>
      <c r="R1" s="2502"/>
      <c r="S1" s="2502"/>
      <c r="T1" s="2502"/>
      <c r="U1" s="2502"/>
      <c r="V1" s="2502"/>
      <c r="W1" s="2502"/>
      <c r="X1" s="2502"/>
      <c r="Y1" s="2502"/>
      <c r="Z1" s="2502"/>
      <c r="AA1" s="2502"/>
      <c r="AB1" s="2502"/>
      <c r="AC1" s="2502"/>
      <c r="AD1" s="2502"/>
      <c r="AE1" s="2502"/>
      <c r="AF1" s="2502"/>
      <c r="AG1" s="2502"/>
      <c r="AH1" s="2502"/>
      <c r="AI1" s="2502"/>
      <c r="AJ1" s="2502"/>
      <c r="AK1" s="2502"/>
      <c r="AL1" s="2502"/>
      <c r="AM1" s="2502"/>
      <c r="AN1" s="2502"/>
    </row>
    <row r="2" spans="1:40" ht="13.05" customHeight="1" thickBot="1">
      <c r="A2" s="2503"/>
      <c r="B2" s="2503"/>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2503"/>
      <c r="AC2" s="2503"/>
      <c r="AD2" s="2503"/>
      <c r="AE2" s="2503"/>
      <c r="AF2" s="2503"/>
      <c r="AG2" s="2503"/>
      <c r="AH2" s="2503"/>
      <c r="AI2" s="2503"/>
      <c r="AJ2" s="2503"/>
      <c r="AK2" s="2503"/>
      <c r="AL2" s="2503"/>
      <c r="AM2" s="2503"/>
      <c r="AN2" s="2503"/>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320</v>
      </c>
      <c r="C5" s="436" t="s">
        <v>123</v>
      </c>
      <c r="F5" s="436"/>
    </row>
    <row r="6" spans="1:40" ht="13.05" customHeight="1">
      <c r="A6" s="436"/>
      <c r="C6" s="434" t="s">
        <v>1385</v>
      </c>
    </row>
    <row r="7" spans="1:40" ht="13.05"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3.05"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3.05"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3.05"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3.05" customHeight="1">
      <c r="B11" s="2483" t="s">
        <v>376</v>
      </c>
      <c r="C11" s="2484"/>
      <c r="D11" s="2484"/>
      <c r="E11" s="2484"/>
      <c r="F11" s="2484"/>
      <c r="G11" s="2484"/>
      <c r="H11" s="2484"/>
      <c r="I11" s="2484"/>
      <c r="J11" s="2484"/>
      <c r="K11" s="2484"/>
      <c r="L11" s="2484"/>
      <c r="M11" s="2484"/>
      <c r="N11" s="2484"/>
      <c r="O11" s="2484"/>
      <c r="P11" s="2484"/>
      <c r="Q11" s="2484"/>
      <c r="R11" s="2484"/>
      <c r="S11" s="2485"/>
      <c r="T11" s="2505">
        <f>IF('Sources and Basis Breakdown'!F107=0,'Sources and Basis Breakdown'!E107,'Sources and Basis Breakdown'!F107)</f>
        <v>25669647</v>
      </c>
      <c r="U11" s="2506"/>
      <c r="V11" s="2506"/>
      <c r="W11" s="2506"/>
      <c r="X11" s="2506"/>
      <c r="Y11" s="2505">
        <f>IF(Y7=" ",0,IF('Sources and Basis Breakdown'!G107+'Sources and Basis Breakdown'!F107='Sources and Basis Breakdown'!E107,'Sources and Basis Breakdown'!G107,0))</f>
        <v>0</v>
      </c>
      <c r="Z11" s="2506"/>
      <c r="AA11" s="2506"/>
      <c r="AB11" s="2506"/>
      <c r="AC11" s="2506"/>
      <c r="AD11" s="2506">
        <f>IF('Sources and Basis Breakdown'!I107=0,'Sources and Basis Breakdown'!H107,'Sources and Basis Breakdown'!I107)</f>
        <v>40930752</v>
      </c>
      <c r="AE11" s="2506"/>
      <c r="AF11" s="2506"/>
      <c r="AG11" s="2506"/>
      <c r="AH11" s="2506"/>
      <c r="AI11" s="2506">
        <f>IF(Y7=" ",0,IF('Sources and Basis Breakdown'!I107+'Sources and Basis Breakdown'!J107='Sources and Basis Breakdown'!H107,'Sources and Basis Breakdown'!J107,0))</f>
        <v>0</v>
      </c>
      <c r="AJ11" s="2506"/>
      <c r="AK11" s="2506"/>
      <c r="AL11" s="2506"/>
      <c r="AM11" s="2506"/>
    </row>
    <row r="12" spans="1:40" ht="13.05" customHeight="1">
      <c r="B12" s="2498" t="s">
        <v>506</v>
      </c>
      <c r="C12" s="1281"/>
      <c r="D12" s="1281"/>
      <c r="E12" s="1281"/>
      <c r="F12" s="1281"/>
      <c r="G12" s="1281"/>
      <c r="H12" s="1281"/>
      <c r="I12" s="1281"/>
      <c r="J12" s="1281"/>
      <c r="K12" s="1281"/>
      <c r="L12" s="1281"/>
      <c r="M12" s="1281"/>
      <c r="N12" s="1281"/>
      <c r="O12" s="1281"/>
      <c r="P12" s="1281"/>
      <c r="Q12" s="1281"/>
      <c r="R12" s="1281"/>
      <c r="S12" s="2499"/>
      <c r="T12" s="2471"/>
      <c r="U12" s="2472"/>
      <c r="V12" s="2472"/>
      <c r="W12" s="2472"/>
      <c r="X12" s="2473"/>
      <c r="Y12" s="2471"/>
      <c r="Z12" s="2472"/>
      <c r="AA12" s="2472"/>
      <c r="AB12" s="2472"/>
      <c r="AC12" s="2473"/>
      <c r="AD12" s="2471"/>
      <c r="AE12" s="2472"/>
      <c r="AF12" s="2472"/>
      <c r="AG12" s="2472"/>
      <c r="AH12" s="2473"/>
      <c r="AI12" s="2471"/>
      <c r="AJ12" s="2472"/>
      <c r="AK12" s="2472"/>
      <c r="AL12" s="2472"/>
      <c r="AM12" s="2473"/>
    </row>
    <row r="13" spans="1:40" ht="13.05" customHeight="1">
      <c r="B13" s="468"/>
      <c r="C13" s="2500" t="s">
        <v>507</v>
      </c>
      <c r="D13" s="2500"/>
      <c r="E13" s="2500"/>
      <c r="F13" s="2500"/>
      <c r="G13" s="2500"/>
      <c r="H13" s="2500"/>
      <c r="I13" s="2500"/>
      <c r="J13" s="2500"/>
      <c r="K13" s="2500"/>
      <c r="L13" s="2500"/>
      <c r="M13" s="2500"/>
      <c r="N13" s="2500"/>
      <c r="O13" s="2500"/>
      <c r="P13" s="2500"/>
      <c r="Q13" s="2500"/>
      <c r="R13" s="2500"/>
      <c r="S13" s="2501"/>
      <c r="T13" s="2507"/>
      <c r="U13" s="2508"/>
      <c r="V13" s="2508"/>
      <c r="W13" s="2508"/>
      <c r="X13" s="2508"/>
      <c r="Y13" s="2507"/>
      <c r="Z13" s="2508"/>
      <c r="AA13" s="2508"/>
      <c r="AB13" s="2508"/>
      <c r="AC13" s="2508"/>
      <c r="AD13" s="2508"/>
      <c r="AE13" s="2508"/>
      <c r="AF13" s="2508"/>
      <c r="AG13" s="2508"/>
      <c r="AH13" s="2508"/>
      <c r="AI13" s="2508"/>
      <c r="AJ13" s="2508"/>
      <c r="AK13" s="2508"/>
      <c r="AL13" s="2508"/>
      <c r="AM13" s="2508"/>
    </row>
    <row r="14" spans="1:40" ht="13.05" customHeight="1">
      <c r="B14" s="468"/>
      <c r="C14" s="2500" t="s">
        <v>508</v>
      </c>
      <c r="D14" s="2500"/>
      <c r="E14" s="2500"/>
      <c r="F14" s="2500"/>
      <c r="G14" s="2500"/>
      <c r="H14" s="2500"/>
      <c r="I14" s="2500"/>
      <c r="J14" s="2500"/>
      <c r="K14" s="2500"/>
      <c r="L14" s="2500"/>
      <c r="M14" s="2500"/>
      <c r="N14" s="2500"/>
      <c r="O14" s="2500"/>
      <c r="P14" s="2500"/>
      <c r="Q14" s="2500"/>
      <c r="R14" s="2500"/>
      <c r="S14" s="2501"/>
      <c r="T14" s="2474"/>
      <c r="U14" s="2475"/>
      <c r="V14" s="2475"/>
      <c r="W14" s="2475"/>
      <c r="X14" s="2475"/>
      <c r="Y14" s="2474"/>
      <c r="Z14" s="2475"/>
      <c r="AA14" s="2475"/>
      <c r="AB14" s="2475"/>
      <c r="AC14" s="2475"/>
      <c r="AD14" s="2475"/>
      <c r="AE14" s="2475"/>
      <c r="AF14" s="2475"/>
      <c r="AG14" s="2475"/>
      <c r="AH14" s="2475"/>
      <c r="AI14" s="2475"/>
      <c r="AJ14" s="2475"/>
      <c r="AK14" s="2475"/>
      <c r="AL14" s="2475"/>
      <c r="AM14" s="2475"/>
    </row>
    <row r="15" spans="1:40" ht="13.05" customHeight="1">
      <c r="B15" s="468"/>
      <c r="C15" s="2500" t="s">
        <v>509</v>
      </c>
      <c r="D15" s="2500"/>
      <c r="E15" s="2500"/>
      <c r="F15" s="2500"/>
      <c r="G15" s="2500"/>
      <c r="H15" s="2500"/>
      <c r="I15" s="2500"/>
      <c r="J15" s="2500"/>
      <c r="K15" s="2500"/>
      <c r="L15" s="2500"/>
      <c r="M15" s="2500"/>
      <c r="N15" s="2500"/>
      <c r="O15" s="2500"/>
      <c r="P15" s="2500"/>
      <c r="Q15" s="2500"/>
      <c r="R15" s="2500"/>
      <c r="S15" s="2501"/>
      <c r="T15" s="2474"/>
      <c r="U15" s="2475"/>
      <c r="V15" s="2475"/>
      <c r="W15" s="2475"/>
      <c r="X15" s="2475"/>
      <c r="Y15" s="2474"/>
      <c r="Z15" s="2475"/>
      <c r="AA15" s="2475"/>
      <c r="AB15" s="2475"/>
      <c r="AC15" s="2475"/>
      <c r="AD15" s="2475"/>
      <c r="AE15" s="2475"/>
      <c r="AF15" s="2475"/>
      <c r="AG15" s="2475"/>
      <c r="AH15" s="2475"/>
      <c r="AI15" s="2475"/>
      <c r="AJ15" s="2475"/>
      <c r="AK15" s="2475"/>
      <c r="AL15" s="2475"/>
      <c r="AM15" s="2475"/>
    </row>
    <row r="16" spans="1:40" ht="13.05" customHeight="1">
      <c r="B16" s="468"/>
      <c r="C16" s="2500" t="s">
        <v>830</v>
      </c>
      <c r="D16" s="2500"/>
      <c r="E16" s="2500"/>
      <c r="F16" s="2500"/>
      <c r="G16" s="2500"/>
      <c r="H16" s="2500"/>
      <c r="I16" s="2500"/>
      <c r="J16" s="2500"/>
      <c r="K16" s="2500"/>
      <c r="L16" s="2500"/>
      <c r="M16" s="2500"/>
      <c r="N16" s="2500"/>
      <c r="O16" s="2500"/>
      <c r="P16" s="2500"/>
      <c r="Q16" s="2500"/>
      <c r="R16" s="2500"/>
      <c r="S16" s="2501"/>
      <c r="T16" s="2474"/>
      <c r="U16" s="2475"/>
      <c r="V16" s="2475"/>
      <c r="W16" s="2475"/>
      <c r="X16" s="2475"/>
      <c r="Y16" s="2474"/>
      <c r="Z16" s="2475"/>
      <c r="AA16" s="2475"/>
      <c r="AB16" s="2475"/>
      <c r="AC16" s="2475"/>
      <c r="AD16" s="2475"/>
      <c r="AE16" s="2475"/>
      <c r="AF16" s="2475"/>
      <c r="AG16" s="2475"/>
      <c r="AH16" s="2475"/>
      <c r="AI16" s="2475"/>
      <c r="AJ16" s="2475"/>
      <c r="AK16" s="2475"/>
      <c r="AL16" s="2475"/>
      <c r="AM16" s="2475"/>
    </row>
    <row r="17" spans="1:40" ht="13.05" customHeight="1">
      <c r="B17" s="468"/>
      <c r="C17" s="2500" t="s">
        <v>510</v>
      </c>
      <c r="D17" s="2500"/>
      <c r="E17" s="2500"/>
      <c r="F17" s="2500"/>
      <c r="G17" s="2500"/>
      <c r="H17" s="2500"/>
      <c r="I17" s="2500"/>
      <c r="J17" s="2500"/>
      <c r="K17" s="2500"/>
      <c r="L17" s="2500"/>
      <c r="M17" s="2500"/>
      <c r="N17" s="2500"/>
      <c r="O17" s="2500"/>
      <c r="P17" s="2500"/>
      <c r="Q17" s="2500"/>
      <c r="R17" s="2500"/>
      <c r="S17" s="2501"/>
      <c r="T17" s="2474"/>
      <c r="U17" s="2475"/>
      <c r="V17" s="2475"/>
      <c r="W17" s="2475"/>
      <c r="X17" s="2475"/>
      <c r="Y17" s="2474"/>
      <c r="Z17" s="2475"/>
      <c r="AA17" s="2475"/>
      <c r="AB17" s="2475"/>
      <c r="AC17" s="2475"/>
      <c r="AD17" s="2475"/>
      <c r="AE17" s="2475"/>
      <c r="AF17" s="2475"/>
      <c r="AG17" s="2475"/>
      <c r="AH17" s="2475"/>
      <c r="AI17" s="2475"/>
      <c r="AJ17" s="2475"/>
      <c r="AK17" s="2475"/>
      <c r="AL17" s="2475"/>
      <c r="AM17" s="2475"/>
    </row>
    <row r="18" spans="1:40" ht="13.05" customHeight="1">
      <c r="A18"/>
      <c r="B18" s="1203"/>
      <c r="C18" s="1643" t="s">
        <v>1000</v>
      </c>
      <c r="D18" s="1643"/>
      <c r="E18" s="1643"/>
      <c r="F18" s="1643"/>
      <c r="G18" s="1643"/>
      <c r="H18" s="1643"/>
      <c r="I18" s="1643"/>
      <c r="J18" s="1643"/>
      <c r="K18" s="1643"/>
      <c r="L18" s="1643"/>
      <c r="M18" s="1643"/>
      <c r="N18" s="1643"/>
      <c r="O18" s="1643"/>
      <c r="P18" s="1643"/>
      <c r="Q18" s="1643"/>
      <c r="R18" s="1643"/>
      <c r="S18" s="1644"/>
      <c r="T18" s="2474"/>
      <c r="U18" s="2475"/>
      <c r="V18" s="2475"/>
      <c r="W18" s="2475"/>
      <c r="X18" s="2475"/>
      <c r="Y18" s="2474"/>
      <c r="Z18" s="2475"/>
      <c r="AA18" s="2475"/>
      <c r="AB18" s="2475"/>
      <c r="AC18" s="2475"/>
      <c r="AD18" s="2475"/>
      <c r="AE18" s="2475"/>
      <c r="AF18" s="2475"/>
      <c r="AG18" s="2475"/>
      <c r="AH18" s="2475"/>
      <c r="AI18" s="2475"/>
      <c r="AJ18" s="2475"/>
      <c r="AK18" s="2475"/>
      <c r="AL18" s="2475"/>
      <c r="AM18" s="2475"/>
    </row>
    <row r="19" spans="1:40" ht="13.05" customHeight="1">
      <c r="B19" s="1203"/>
      <c r="C19" s="1643" t="s">
        <v>1000</v>
      </c>
      <c r="D19" s="1643"/>
      <c r="E19" s="1643"/>
      <c r="F19" s="1643"/>
      <c r="G19" s="1643"/>
      <c r="H19" s="1643"/>
      <c r="I19" s="1643"/>
      <c r="J19" s="1643"/>
      <c r="K19" s="1643"/>
      <c r="L19" s="1643"/>
      <c r="M19" s="1643"/>
      <c r="N19" s="1643"/>
      <c r="O19" s="1643"/>
      <c r="P19" s="1643"/>
      <c r="Q19" s="1643"/>
      <c r="R19" s="1643"/>
      <c r="S19" s="1644"/>
      <c r="T19" s="2474"/>
      <c r="U19" s="2475"/>
      <c r="V19" s="2475"/>
      <c r="W19" s="2475"/>
      <c r="X19" s="2475"/>
      <c r="Y19" s="2474"/>
      <c r="Z19" s="2475"/>
      <c r="AA19" s="2475"/>
      <c r="AB19" s="2475"/>
      <c r="AC19" s="2475"/>
      <c r="AD19" s="2475"/>
      <c r="AE19" s="2475"/>
      <c r="AF19" s="2475"/>
      <c r="AG19" s="2475"/>
      <c r="AH19" s="2475"/>
      <c r="AI19" s="2475"/>
      <c r="AJ19" s="2475"/>
      <c r="AK19" s="2475"/>
      <c r="AL19" s="2475"/>
      <c r="AM19" s="2475"/>
    </row>
    <row r="20" spans="1:40" ht="13.05" customHeight="1">
      <c r="B20" s="2483" t="s">
        <v>511</v>
      </c>
      <c r="C20" s="2484"/>
      <c r="D20" s="2484"/>
      <c r="E20" s="2484"/>
      <c r="F20" s="2484"/>
      <c r="G20" s="2484"/>
      <c r="H20" s="2484"/>
      <c r="I20" s="2484"/>
      <c r="J20" s="2484"/>
      <c r="K20" s="2484"/>
      <c r="L20" s="2484"/>
      <c r="M20" s="2484"/>
      <c r="N20" s="2484"/>
      <c r="O20" s="2484"/>
      <c r="P20" s="2484"/>
      <c r="Q20" s="2484"/>
      <c r="R20" s="2484"/>
      <c r="S20" s="2485"/>
      <c r="T20" s="2476">
        <f>SUM(T13:X19)</f>
        <v>0</v>
      </c>
      <c r="U20" s="2477"/>
      <c r="V20" s="2477"/>
      <c r="W20" s="2477"/>
      <c r="X20" s="2477"/>
      <c r="Y20" s="2476">
        <f>SUM(Y13:AC19)</f>
        <v>0</v>
      </c>
      <c r="Z20" s="2477"/>
      <c r="AA20" s="2477"/>
      <c r="AB20" s="2477"/>
      <c r="AC20" s="2477"/>
      <c r="AD20" s="2478">
        <f>SUM(AD13:AH19)</f>
        <v>0</v>
      </c>
      <c r="AE20" s="2479"/>
      <c r="AF20" s="2479"/>
      <c r="AG20" s="2479"/>
      <c r="AH20" s="2476"/>
      <c r="AI20" s="2478">
        <f>SUM(AI13:AM19)</f>
        <v>0</v>
      </c>
      <c r="AJ20" s="2479"/>
      <c r="AK20" s="2479"/>
      <c r="AL20" s="2479"/>
      <c r="AM20" s="2476"/>
    </row>
    <row r="21" spans="1:40" ht="13.05" customHeight="1">
      <c r="B21" s="2483" t="s">
        <v>1421</v>
      </c>
      <c r="C21" s="2484"/>
      <c r="D21" s="2484"/>
      <c r="E21" s="2484"/>
      <c r="F21" s="2484"/>
      <c r="G21" s="2484"/>
      <c r="H21" s="2484"/>
      <c r="I21" s="2484"/>
      <c r="J21" s="2484"/>
      <c r="K21" s="2484"/>
      <c r="L21" s="2484"/>
      <c r="M21" s="2484"/>
      <c r="N21" s="2484"/>
      <c r="O21" s="2484"/>
      <c r="P21" s="2484"/>
      <c r="Q21" s="2484"/>
      <c r="R21" s="2484"/>
      <c r="S21" s="2485"/>
      <c r="T21" s="2474"/>
      <c r="U21" s="2475"/>
      <c r="V21" s="2475"/>
      <c r="W21" s="2475"/>
      <c r="X21" s="2475"/>
      <c r="Y21" s="2474"/>
      <c r="Z21" s="2475"/>
      <c r="AA21" s="2475"/>
      <c r="AB21" s="2475"/>
      <c r="AC21" s="2475"/>
      <c r="AD21" s="2471"/>
      <c r="AE21" s="2472"/>
      <c r="AF21" s="2472"/>
      <c r="AG21" s="2472"/>
      <c r="AH21" s="2473"/>
      <c r="AI21" s="2471"/>
      <c r="AJ21" s="2472"/>
      <c r="AK21" s="2472"/>
      <c r="AL21" s="2472"/>
      <c r="AM21" s="2473"/>
    </row>
    <row r="22" spans="1:40" ht="13.05" customHeight="1">
      <c r="B22" s="2483" t="s">
        <v>512</v>
      </c>
      <c r="C22" s="2484"/>
      <c r="D22" s="2484"/>
      <c r="E22" s="2484"/>
      <c r="F22" s="2484"/>
      <c r="G22" s="2484"/>
      <c r="H22" s="2484"/>
      <c r="I22" s="2484"/>
      <c r="J22" s="2484"/>
      <c r="K22" s="2484"/>
      <c r="L22" s="2484"/>
      <c r="M22" s="2484"/>
      <c r="N22" s="2484"/>
      <c r="O22" s="2484"/>
      <c r="P22" s="2484"/>
      <c r="Q22" s="2484"/>
      <c r="R22" s="2484"/>
      <c r="S22" s="2485"/>
      <c r="T22" s="2509">
        <f>(ABS(T20)+ABS(T21))*-1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3.05" customHeight="1">
      <c r="B23" s="2483" t="s">
        <v>513</v>
      </c>
      <c r="C23" s="2484"/>
      <c r="D23" s="2484"/>
      <c r="E23" s="2484"/>
      <c r="F23" s="2484"/>
      <c r="G23" s="2484"/>
      <c r="H23" s="2484"/>
      <c r="I23" s="2484"/>
      <c r="J23" s="2484"/>
      <c r="K23" s="2484"/>
      <c r="L23" s="2484"/>
      <c r="M23" s="2484"/>
      <c r="N23" s="2484"/>
      <c r="O23" s="2484"/>
      <c r="P23" s="2484"/>
      <c r="Q23" s="2484"/>
      <c r="R23" s="2484"/>
      <c r="S23" s="2485"/>
      <c r="T23" s="2476">
        <f>T11+T22</f>
        <v>25669647</v>
      </c>
      <c r="U23" s="2477"/>
      <c r="V23" s="2477"/>
      <c r="W23" s="2477"/>
      <c r="X23" s="2477"/>
      <c r="Y23" s="2476">
        <f>Y11+Y22</f>
        <v>0</v>
      </c>
      <c r="Z23" s="2477"/>
      <c r="AA23" s="2477"/>
      <c r="AB23" s="2477"/>
      <c r="AC23" s="2477"/>
      <c r="AD23" s="2476">
        <f>AD11+AD22</f>
        <v>40930752</v>
      </c>
      <c r="AE23" s="2477"/>
      <c r="AF23" s="2477"/>
      <c r="AG23" s="2477"/>
      <c r="AH23" s="2477"/>
      <c r="AI23" s="2476">
        <f>AI11+AI22</f>
        <v>0</v>
      </c>
      <c r="AJ23" s="2477"/>
      <c r="AK23" s="2477"/>
      <c r="AL23" s="2477"/>
      <c r="AM23" s="2477"/>
    </row>
    <row r="24" spans="1:40" ht="13.05" customHeight="1">
      <c r="B24" s="2483" t="s">
        <v>1001</v>
      </c>
      <c r="C24" s="2484"/>
      <c r="D24" s="2484"/>
      <c r="E24" s="2484"/>
      <c r="F24" s="2484"/>
      <c r="G24" s="2484"/>
      <c r="H24" s="2484"/>
      <c r="I24" s="2484"/>
      <c r="J24" s="2484"/>
      <c r="K24" s="2484"/>
      <c r="L24" s="2484"/>
      <c r="M24" s="2484"/>
      <c r="N24" s="2484"/>
      <c r="O24" s="2484"/>
      <c r="P24" s="2484"/>
      <c r="Q24" s="2484"/>
      <c r="R24" s="2484"/>
      <c r="S24" s="2485"/>
      <c r="T24" s="2478">
        <f>Application!AJ1018</f>
        <v>115129132.53999999</v>
      </c>
      <c r="U24" s="2479"/>
      <c r="V24" s="2479"/>
      <c r="W24" s="2479"/>
      <c r="X24" s="2479"/>
      <c r="Y24" s="2479"/>
      <c r="Z24" s="2479"/>
      <c r="AA24" s="2479"/>
      <c r="AB24" s="2479"/>
      <c r="AC24" s="2479"/>
      <c r="AD24" s="2479"/>
      <c r="AE24" s="2479"/>
      <c r="AF24" s="2479"/>
      <c r="AG24" s="2479"/>
      <c r="AH24" s="2479"/>
      <c r="AI24" s="2479"/>
      <c r="AJ24" s="2479"/>
      <c r="AK24" s="2479"/>
      <c r="AL24" s="2479"/>
      <c r="AM24" s="2476"/>
    </row>
    <row r="25" spans="1:40" ht="13.05" customHeight="1">
      <c r="B25" s="2487" t="s">
        <v>1422</v>
      </c>
      <c r="C25" s="2488"/>
      <c r="D25" s="2488"/>
      <c r="E25" s="2488"/>
      <c r="F25" s="2488"/>
      <c r="G25" s="2488"/>
      <c r="H25" s="2488"/>
      <c r="I25" s="2488"/>
      <c r="J25" s="2488"/>
      <c r="K25" s="2488"/>
      <c r="L25" s="2488"/>
      <c r="M25" s="2488"/>
      <c r="N25" s="2488"/>
      <c r="O25" s="2488"/>
      <c r="P25" s="2488"/>
      <c r="Q25" s="2488"/>
      <c r="R25" s="2488"/>
      <c r="S25" s="2489"/>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3.05" customHeight="1">
      <c r="B26" s="2483" t="s">
        <v>514</v>
      </c>
      <c r="C26" s="2484"/>
      <c r="D26" s="2484"/>
      <c r="E26" s="2484"/>
      <c r="F26" s="2484"/>
      <c r="G26" s="2484"/>
      <c r="H26" s="2484"/>
      <c r="I26" s="2484"/>
      <c r="J26" s="2484"/>
      <c r="K26" s="2484"/>
      <c r="L26" s="2484"/>
      <c r="M26" s="2484"/>
      <c r="N26" s="2484"/>
      <c r="O26" s="2484"/>
      <c r="P26" s="2484"/>
      <c r="Q26" s="2484"/>
      <c r="R26" s="2484"/>
      <c r="S26" s="2485"/>
      <c r="T26" s="2476">
        <f>T23*T25</f>
        <v>33370541.100000001</v>
      </c>
      <c r="U26" s="2477"/>
      <c r="V26" s="2477"/>
      <c r="W26" s="2477"/>
      <c r="X26" s="2477"/>
      <c r="Y26" s="2476">
        <f>Y23*Y25</f>
        <v>0</v>
      </c>
      <c r="Z26" s="2477"/>
      <c r="AA26" s="2477"/>
      <c r="AB26" s="2477"/>
      <c r="AC26" s="2477"/>
      <c r="AD26" s="2476">
        <f>AD23*AD25</f>
        <v>40930752</v>
      </c>
      <c r="AE26" s="2477"/>
      <c r="AF26" s="2477"/>
      <c r="AG26" s="2477"/>
      <c r="AH26" s="2477"/>
      <c r="AI26" s="2476">
        <f>AI23*AI25</f>
        <v>0</v>
      </c>
      <c r="AJ26" s="2477"/>
      <c r="AK26" s="2477"/>
      <c r="AL26" s="2477"/>
      <c r="AM26" s="2477"/>
    </row>
    <row r="27" spans="1:40" ht="13.05" customHeight="1">
      <c r="A27" s="442"/>
      <c r="B27" s="2490" t="s">
        <v>427</v>
      </c>
      <c r="C27" s="2491"/>
      <c r="D27" s="2491"/>
      <c r="E27" s="2491"/>
      <c r="F27" s="2491"/>
      <c r="G27" s="2491"/>
      <c r="H27" s="2491"/>
      <c r="I27" s="2491"/>
      <c r="J27" s="2491"/>
      <c r="K27" s="2491"/>
      <c r="L27" s="2491"/>
      <c r="M27" s="2491"/>
      <c r="N27" s="2491"/>
      <c r="O27" s="2491"/>
      <c r="P27" s="2491"/>
      <c r="Q27" s="2491"/>
      <c r="R27" s="2491"/>
      <c r="S27" s="2492"/>
      <c r="T27" s="2496">
        <f>Application!$AG$444</f>
        <v>1</v>
      </c>
      <c r="U27" s="2497"/>
      <c r="V27" s="2497"/>
      <c r="W27" s="2497"/>
      <c r="X27" s="2497"/>
      <c r="Y27" s="2496">
        <f>Application!$AG$444</f>
        <v>1</v>
      </c>
      <c r="Z27" s="2497"/>
      <c r="AA27" s="2497"/>
      <c r="AB27" s="2497"/>
      <c r="AC27" s="2497"/>
      <c r="AD27" s="2496">
        <f>Application!$AG$444</f>
        <v>1</v>
      </c>
      <c r="AE27" s="2497"/>
      <c r="AF27" s="2497"/>
      <c r="AG27" s="2497"/>
      <c r="AH27" s="2497"/>
      <c r="AI27" s="2496">
        <f>Application!$AG$444</f>
        <v>1</v>
      </c>
      <c r="AJ27" s="2497"/>
      <c r="AK27" s="2497"/>
      <c r="AL27" s="2497"/>
      <c r="AM27" s="2497"/>
    </row>
    <row r="28" spans="1:40" ht="13.05" customHeight="1">
      <c r="A28" s="436"/>
      <c r="B28" s="2483" t="s">
        <v>515</v>
      </c>
      <c r="C28" s="2484"/>
      <c r="D28" s="2484"/>
      <c r="E28" s="2484"/>
      <c r="F28" s="2484"/>
      <c r="G28" s="2484"/>
      <c r="H28" s="2484"/>
      <c r="I28" s="2484"/>
      <c r="J28" s="2484"/>
      <c r="K28" s="2484"/>
      <c r="L28" s="2484"/>
      <c r="M28" s="2484"/>
      <c r="N28" s="2484"/>
      <c r="O28" s="2484"/>
      <c r="P28" s="2484"/>
      <c r="Q28" s="2484"/>
      <c r="R28" s="2484"/>
      <c r="S28" s="2485"/>
      <c r="T28" s="2476">
        <f>IF(ISERROR((T26*T27)),0,(T26*T27))</f>
        <v>33370541.100000001</v>
      </c>
      <c r="U28" s="2477"/>
      <c r="V28" s="2477"/>
      <c r="W28" s="2477"/>
      <c r="X28" s="2477"/>
      <c r="Y28" s="2476">
        <f>IF(ISERROR((Y26*Y27)),0,(Y26*Y27))</f>
        <v>0</v>
      </c>
      <c r="Z28" s="2477"/>
      <c r="AA28" s="2477"/>
      <c r="AB28" s="2477"/>
      <c r="AC28" s="2477"/>
      <c r="AD28" s="2476">
        <f>IF(ISERROR((AD26*AD27)),0,(AD26*AD27))</f>
        <v>40930752</v>
      </c>
      <c r="AE28" s="2477"/>
      <c r="AF28" s="2477"/>
      <c r="AG28" s="2477"/>
      <c r="AH28" s="2477"/>
      <c r="AI28" s="2476">
        <f>IF(ISERROR((AI26*AI27)),0,(AI26*AI27))</f>
        <v>0</v>
      </c>
      <c r="AJ28" s="2477"/>
      <c r="AK28" s="2477"/>
      <c r="AL28" s="2477"/>
      <c r="AM28" s="2477"/>
    </row>
    <row r="29" spans="1:40" ht="13.05" customHeight="1">
      <c r="B29" s="2483" t="s">
        <v>532</v>
      </c>
      <c r="C29" s="2484"/>
      <c r="D29" s="2484"/>
      <c r="E29" s="2484"/>
      <c r="F29" s="2484"/>
      <c r="G29" s="2484"/>
      <c r="H29" s="2484"/>
      <c r="I29" s="2484"/>
      <c r="J29" s="2484"/>
      <c r="K29" s="2484"/>
      <c r="L29" s="2484"/>
      <c r="M29" s="2484"/>
      <c r="N29" s="2484"/>
      <c r="O29" s="2484"/>
      <c r="P29" s="2484"/>
      <c r="Q29" s="2484"/>
      <c r="R29" s="2484"/>
      <c r="S29" s="2485"/>
      <c r="T29" s="2478">
        <f>T28+Y28+AD28+AI28</f>
        <v>74301293.099999994</v>
      </c>
      <c r="U29" s="2479"/>
      <c r="V29" s="2479"/>
      <c r="W29" s="2479"/>
      <c r="X29" s="2479"/>
      <c r="Y29" s="2479"/>
      <c r="Z29" s="2479"/>
      <c r="AA29" s="2479"/>
      <c r="AB29" s="2479"/>
      <c r="AC29" s="2479"/>
      <c r="AD29" s="2479"/>
      <c r="AE29" s="2479"/>
      <c r="AF29" s="2479"/>
      <c r="AG29" s="2479"/>
      <c r="AH29" s="2479"/>
      <c r="AI29" s="2479"/>
      <c r="AJ29" s="2479"/>
      <c r="AK29" s="2479"/>
      <c r="AL29" s="2479"/>
      <c r="AM29" s="2476"/>
    </row>
    <row r="30" spans="1:40" ht="13.05" customHeight="1">
      <c r="B30" s="2486" t="s">
        <v>1424</v>
      </c>
      <c r="C30" s="2486"/>
      <c r="D30" s="2486"/>
      <c r="E30" s="2486"/>
      <c r="F30" s="2486"/>
      <c r="G30" s="2486"/>
      <c r="H30" s="2486"/>
      <c r="I30" s="2486"/>
      <c r="J30" s="2486"/>
      <c r="K30" s="2486"/>
      <c r="L30" s="2486"/>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row>
    <row r="31" spans="1:40" ht="13.05" customHeight="1">
      <c r="B31" s="2486" t="s">
        <v>1423</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553"/>
    </row>
    <row r="32" spans="1:40" ht="13.0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585</v>
      </c>
      <c r="C34" s="436" t="s">
        <v>577</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1293</v>
      </c>
      <c r="Z35" s="2504"/>
      <c r="AA35" s="2504"/>
      <c r="AB35" s="2504"/>
      <c r="AC35" s="2504"/>
      <c r="AD35" s="2527" t="s">
        <v>370</v>
      </c>
      <c r="AE35" s="2527"/>
      <c r="AF35" s="2527"/>
      <c r="AG35" s="2527"/>
      <c r="AH35" s="2527"/>
    </row>
    <row r="36" spans="1:76" ht="13.05" customHeight="1">
      <c r="B36" s="439"/>
      <c r="X36" s="444"/>
      <c r="Y36" s="2504"/>
      <c r="Z36" s="2504"/>
      <c r="AA36" s="2504"/>
      <c r="AB36" s="2504"/>
      <c r="AC36" s="2504"/>
      <c r="AD36" s="2527"/>
      <c r="AE36" s="2527"/>
      <c r="AF36" s="2527"/>
      <c r="AG36" s="2527"/>
      <c r="AH36" s="2527"/>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27"/>
      <c r="AE37" s="2527"/>
      <c r="AF37" s="2527"/>
      <c r="AG37" s="2527"/>
      <c r="AH37" s="2527"/>
    </row>
    <row r="38" spans="1:76" ht="13.05" customHeight="1">
      <c r="A38" s="436"/>
      <c r="B38" s="2483" t="s">
        <v>515</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33370541.100000001</v>
      </c>
      <c r="Z38" s="2477"/>
      <c r="AA38" s="2477"/>
      <c r="AB38" s="2477"/>
      <c r="AC38" s="2477"/>
      <c r="AD38" s="2477">
        <f>IF(T24&gt;=(T23+Y23+AD23+AI23),AD28+AI28,0)</f>
        <v>40930752</v>
      </c>
      <c r="AE38" s="2477"/>
      <c r="AF38" s="2477"/>
      <c r="AG38" s="2477"/>
      <c r="AH38" s="2477"/>
    </row>
    <row r="39" spans="1:76" ht="13.05" customHeight="1">
      <c r="B39" s="2483" t="s">
        <v>1952</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28">
        <v>0.04</v>
      </c>
      <c r="Z39" s="2528"/>
      <c r="AA39" s="2528"/>
      <c r="AB39" s="2528"/>
      <c r="AC39" s="2528"/>
      <c r="AD39" s="2528">
        <v>0.04</v>
      </c>
      <c r="AE39" s="2528"/>
      <c r="AF39" s="2528"/>
      <c r="AG39" s="2528"/>
      <c r="AH39" s="2528"/>
    </row>
    <row r="40" spans="1:76" ht="13.05" customHeight="1">
      <c r="A40" s="436"/>
      <c r="B40" s="2483" t="s">
        <v>651</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1334822</v>
      </c>
      <c r="Z40" s="2477"/>
      <c r="AA40" s="2477"/>
      <c r="AB40" s="2477"/>
      <c r="AC40" s="2477"/>
      <c r="AD40" s="2476">
        <f>ROUND(AD38*AD39,0)</f>
        <v>1637230</v>
      </c>
      <c r="AE40" s="2477"/>
      <c r="AF40" s="2477"/>
      <c r="AG40" s="2477"/>
      <c r="AH40" s="2477"/>
    </row>
    <row r="41" spans="1:76" ht="13.05" customHeight="1">
      <c r="B41" s="2483" t="s">
        <v>652</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78">
        <f>Y40+AD40</f>
        <v>2972052</v>
      </c>
      <c r="Z41" s="2479"/>
      <c r="AA41" s="2479"/>
      <c r="AB41" s="2479"/>
      <c r="AC41" s="2479"/>
      <c r="AD41" s="2479"/>
      <c r="AE41" s="2479"/>
      <c r="AF41" s="2479"/>
      <c r="AG41" s="2479"/>
      <c r="AH41" s="2476"/>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81" t="s">
        <v>1435</v>
      </c>
      <c r="B44" s="2481"/>
      <c r="C44" s="2481"/>
      <c r="D44" s="2481"/>
      <c r="E44" s="2481"/>
      <c r="F44" s="2481"/>
      <c r="G44" s="2481"/>
      <c r="H44" s="2481"/>
      <c r="I44" s="2481"/>
      <c r="J44" s="2481"/>
      <c r="K44" s="2481"/>
      <c r="L44" s="2481"/>
      <c r="M44" s="2481"/>
      <c r="N44" s="2481"/>
      <c r="O44" s="2481"/>
      <c r="P44" s="2481"/>
      <c r="Q44" s="2481"/>
      <c r="R44" s="2481"/>
      <c r="S44" s="2481"/>
      <c r="T44" s="2481"/>
      <c r="U44" s="2481"/>
      <c r="V44" s="2481"/>
      <c r="W44" s="2481"/>
      <c r="X44" s="2481"/>
      <c r="Y44" s="2481"/>
      <c r="Z44" s="2481"/>
      <c r="AA44" s="2481"/>
      <c r="AB44" s="2481"/>
      <c r="AC44" s="2481"/>
      <c r="AD44" s="2481"/>
      <c r="AE44" s="2481"/>
      <c r="AF44" s="2481"/>
      <c r="AG44" s="2481"/>
      <c r="AH44" s="2481"/>
      <c r="AI44" s="2481"/>
      <c r="AJ44" s="2481"/>
      <c r="AK44" s="2481"/>
      <c r="AL44" s="2481"/>
      <c r="AM44" s="2481"/>
      <c r="AN44" s="2481"/>
      <c r="AO44" s="2481"/>
      <c r="AP44" s="2481"/>
      <c r="AQ44" s="2481"/>
      <c r="AR44" s="2481"/>
      <c r="AS44" s="2481"/>
      <c r="AT44" s="2481"/>
      <c r="AU44" s="2481"/>
      <c r="AV44" s="2481"/>
      <c r="AW44" s="2481"/>
      <c r="AX44" s="2481"/>
      <c r="AY44" s="2481"/>
      <c r="AZ44" s="2481"/>
      <c r="BA44" s="2481"/>
      <c r="BB44" s="2481"/>
      <c r="BC44" s="2481"/>
      <c r="BD44" s="2481"/>
      <c r="BE44" s="2481"/>
      <c r="BF44" s="2481"/>
      <c r="BG44" s="2481"/>
      <c r="BH44" s="2481"/>
      <c r="BI44" s="2481"/>
      <c r="BJ44" s="2481"/>
      <c r="BK44" s="2481"/>
      <c r="BL44" s="2481"/>
      <c r="BM44" s="2481"/>
      <c r="BN44" s="2481"/>
      <c r="BO44" s="2481"/>
      <c r="BP44" s="2481"/>
      <c r="BQ44" s="2481"/>
      <c r="BR44" s="2481"/>
      <c r="BS44" s="2481"/>
      <c r="BT44" s="2481"/>
      <c r="BU44" s="2481"/>
      <c r="BV44" s="2481"/>
      <c r="BW44" s="2481"/>
      <c r="BX44" s="2481"/>
    </row>
    <row r="45" spans="1:76" s="218" customFormat="1" ht="13.05" customHeight="1" thickTop="1"/>
    <row r="46" spans="1:76" ht="13.05" customHeight="1">
      <c r="A46" s="436" t="s">
        <v>595</v>
      </c>
      <c r="C46" s="436" t="s">
        <v>283</v>
      </c>
    </row>
    <row r="47" spans="1:76" ht="13.05" customHeight="1">
      <c r="D47" s="436" t="s">
        <v>284</v>
      </c>
      <c r="AB47" s="2493">
        <f>'Sources and Uses Budget'!B105-MAX(IF('Sources and Uses Budget'!B15="",0,'Sources and Uses Budget'!B15),IF(Application!AG393="",0,Application!AG393))</f>
        <v>74468171</v>
      </c>
      <c r="AC47" s="2494"/>
      <c r="AD47" s="2494"/>
      <c r="AE47" s="2494"/>
      <c r="AF47" s="2495"/>
    </row>
    <row r="48" spans="1:76" ht="13.05" customHeight="1">
      <c r="D48" s="436" t="s">
        <v>21</v>
      </c>
      <c r="AB48" s="2493">
        <f>Application!AO635-MAX(IF('Sources and Uses Budget'!B15="",0,'Sources and Uses Budget'!B15),IF(Application!AG393="",0,Application!AG393))</f>
        <v>45809300</v>
      </c>
      <c r="AC48" s="2494"/>
      <c r="AD48" s="2494"/>
      <c r="AE48" s="2494"/>
      <c r="AF48" s="2495"/>
    </row>
    <row r="49" spans="1:76" ht="13.05" customHeight="1">
      <c r="D49" s="436" t="s">
        <v>92</v>
      </c>
      <c r="AB49" s="2493">
        <f>AB47-AB48</f>
        <v>28658871</v>
      </c>
      <c r="AC49" s="2494"/>
      <c r="AD49" s="2494"/>
      <c r="AE49" s="2494"/>
      <c r="AF49" s="2495"/>
    </row>
    <row r="50" spans="1:76" ht="13.05" customHeight="1">
      <c r="D50" s="436" t="s">
        <v>690</v>
      </c>
      <c r="AA50" s="447"/>
      <c r="AB50" s="2520">
        <f>AB49/(Y41*10)</f>
        <v>0.96427892244146474</v>
      </c>
      <c r="AC50" s="2521"/>
      <c r="AD50" s="2521"/>
      <c r="AE50" s="2521"/>
      <c r="AF50" s="2522"/>
    </row>
    <row r="51" spans="1:76" s="449" customFormat="1" ht="13.05" customHeight="1">
      <c r="A51" s="434"/>
      <c r="B51" s="434"/>
      <c r="C51" s="434"/>
      <c r="D51" s="434"/>
      <c r="E51" s="2523" t="s">
        <v>2113</v>
      </c>
      <c r="F51" s="2523"/>
      <c r="G51" s="2523"/>
      <c r="H51" s="2523"/>
      <c r="I51" s="2523"/>
      <c r="J51" s="2523"/>
      <c r="K51" s="2523"/>
      <c r="L51" s="2523"/>
      <c r="M51" s="2523"/>
      <c r="N51" s="2523"/>
      <c r="O51" s="2523"/>
      <c r="P51" s="2523"/>
      <c r="Q51" s="2523"/>
      <c r="R51" s="2523"/>
      <c r="S51" s="2523"/>
      <c r="T51" s="2523"/>
      <c r="U51" s="2523"/>
      <c r="V51" s="2523"/>
      <c r="W51" s="2523"/>
      <c r="X51" s="2523"/>
      <c r="Y51" s="2523"/>
      <c r="Z51" s="2523"/>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523"/>
      <c r="F52" s="2523"/>
      <c r="G52" s="2523"/>
      <c r="H52" s="2523"/>
      <c r="I52" s="2523"/>
      <c r="J52" s="2523"/>
      <c r="K52" s="2523"/>
      <c r="L52" s="2523"/>
      <c r="M52" s="2523"/>
      <c r="N52" s="2523"/>
      <c r="O52" s="2523"/>
      <c r="P52" s="2523"/>
      <c r="Q52" s="2523"/>
      <c r="R52" s="2523"/>
      <c r="S52" s="2523"/>
      <c r="T52" s="2523"/>
      <c r="U52" s="2523"/>
      <c r="V52" s="2523"/>
      <c r="W52" s="2523"/>
      <c r="X52" s="2523"/>
      <c r="Y52" s="2523"/>
      <c r="Z52" s="2523"/>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333</v>
      </c>
      <c r="AB54" s="2493">
        <f>ROUND(IF(ISERROR((AB49/AB50)),0,(AB49/AB50)),0)</f>
        <v>29720520</v>
      </c>
      <c r="AC54" s="2494"/>
      <c r="AD54" s="2494"/>
      <c r="AE54" s="2494"/>
      <c r="AF54" s="2495"/>
    </row>
    <row r="55" spans="1:76" ht="13.05" customHeight="1">
      <c r="D55" s="436" t="s">
        <v>334</v>
      </c>
      <c r="AB55" s="2493">
        <f>(AB54/10)</f>
        <v>2972052</v>
      </c>
      <c r="AC55" s="2494"/>
      <c r="AD55" s="2494"/>
      <c r="AE55" s="2494"/>
      <c r="AF55" s="2495"/>
    </row>
    <row r="56" spans="1:76" ht="13.05" customHeight="1">
      <c r="D56" s="436" t="s">
        <v>768</v>
      </c>
      <c r="AB56" s="2524">
        <f>(IF((Y41&lt;AB55),Y41,AB55))</f>
        <v>2972052</v>
      </c>
      <c r="AC56" s="2525"/>
      <c r="AD56" s="2525"/>
      <c r="AE56" s="2525"/>
      <c r="AF56" s="2526"/>
    </row>
    <row r="57" spans="1:76" ht="13.05" customHeight="1">
      <c r="D57" s="436" t="s">
        <v>767</v>
      </c>
      <c r="AB57" s="2493">
        <f>ROUND((10*AB56*AB50),0)</f>
        <v>28658871</v>
      </c>
      <c r="AC57" s="2494"/>
      <c r="AD57" s="2494"/>
      <c r="AE57" s="2494"/>
      <c r="AF57" s="2495"/>
    </row>
    <row r="58" spans="1:76" ht="13.05" customHeight="1">
      <c r="D58" s="436"/>
      <c r="AB58" s="455"/>
      <c r="AC58" s="455"/>
      <c r="AD58" s="455"/>
      <c r="AE58" s="455"/>
      <c r="AF58" s="455"/>
    </row>
    <row r="59" spans="1:76" ht="13.05" customHeight="1">
      <c r="D59" s="436" t="s">
        <v>766</v>
      </c>
      <c r="AB59" s="2516">
        <f>AB49-AB57</f>
        <v>0</v>
      </c>
      <c r="AC59" s="2516"/>
      <c r="AD59" s="2516"/>
      <c r="AE59" s="2516"/>
      <c r="AF59" s="2516"/>
    </row>
    <row r="60" spans="1:76" ht="13.05" customHeight="1">
      <c r="D60" s="436"/>
      <c r="AB60" s="455"/>
      <c r="AC60" s="455"/>
      <c r="AD60" s="455"/>
      <c r="AE60" s="455"/>
      <c r="AF60" s="455"/>
    </row>
    <row r="61" spans="1:76" s="218" customFormat="1" ht="13.05" customHeight="1" thickBot="1">
      <c r="A61" s="2481" t="str">
        <f>IF(Application!AP204="yes","Farmworker State Credit", "State Credit" )</f>
        <v>State Credit</v>
      </c>
      <c r="B61" s="2481"/>
      <c r="C61" s="2481"/>
      <c r="D61" s="2481"/>
      <c r="E61" s="2481"/>
      <c r="F61" s="2481"/>
      <c r="G61" s="2481"/>
      <c r="H61" s="2481"/>
      <c r="I61" s="2481"/>
      <c r="J61" s="2481"/>
      <c r="K61" s="2481"/>
      <c r="L61" s="2481"/>
      <c r="M61" s="2481"/>
      <c r="N61" s="2481"/>
      <c r="O61" s="2481"/>
      <c r="P61" s="2481"/>
      <c r="Q61" s="2481"/>
      <c r="R61" s="2481"/>
      <c r="S61" s="2481"/>
      <c r="T61" s="2481"/>
      <c r="U61" s="2481"/>
      <c r="V61" s="2481"/>
      <c r="W61" s="2481"/>
      <c r="X61" s="2481"/>
      <c r="Y61" s="2481"/>
      <c r="Z61" s="2481"/>
      <c r="AA61" s="2481"/>
      <c r="AB61" s="2481"/>
      <c r="AC61" s="2481"/>
      <c r="AD61" s="2481"/>
      <c r="AE61" s="2481"/>
      <c r="AF61" s="2481"/>
      <c r="AG61" s="2481"/>
      <c r="AH61" s="2481"/>
      <c r="AI61" s="2481"/>
      <c r="AJ61" s="2481"/>
      <c r="AK61" s="2481"/>
      <c r="AL61" s="2481"/>
      <c r="AM61" s="2481"/>
      <c r="AN61" s="2481"/>
      <c r="AO61" s="2481"/>
      <c r="AP61" s="2481"/>
      <c r="AQ61" s="2481"/>
      <c r="AR61" s="2481"/>
      <c r="AS61" s="2481"/>
      <c r="AT61" s="2481"/>
      <c r="AU61" s="2481"/>
      <c r="AV61" s="2481"/>
      <c r="AW61" s="2481"/>
      <c r="AX61" s="2481"/>
      <c r="AY61" s="2481"/>
      <c r="AZ61" s="2481"/>
      <c r="BA61" s="2481"/>
      <c r="BB61" s="2481"/>
      <c r="BC61" s="2481"/>
      <c r="BD61" s="2481"/>
      <c r="BE61" s="2481"/>
      <c r="BF61" s="2481"/>
      <c r="BG61" s="2481"/>
      <c r="BH61" s="2481"/>
      <c r="BI61" s="2481"/>
      <c r="BJ61" s="2481"/>
      <c r="BK61" s="2481"/>
      <c r="BL61" s="2481"/>
      <c r="BM61" s="2481"/>
      <c r="BN61" s="2481"/>
      <c r="BO61" s="2481"/>
      <c r="BP61" s="2481"/>
      <c r="BQ61" s="2481"/>
      <c r="BR61" s="2481"/>
      <c r="BS61" s="2481"/>
      <c r="BT61" s="2481"/>
      <c r="BU61" s="2481"/>
      <c r="BV61" s="2481"/>
      <c r="BW61" s="2481"/>
      <c r="BX61" s="2481"/>
    </row>
    <row r="62" spans="1:76" s="218" customFormat="1" ht="13.05" customHeight="1" thickTop="1"/>
    <row r="63" spans="1:76" ht="13.05" customHeight="1">
      <c r="A63" s="436" t="s">
        <v>598</v>
      </c>
      <c r="C63" s="219" t="s">
        <v>1405</v>
      </c>
      <c r="Y63" s="2517" t="s">
        <v>1024</v>
      </c>
      <c r="Z63" s="2517"/>
      <c r="AA63" s="2517"/>
      <c r="AB63" s="2517"/>
      <c r="AC63" s="2517"/>
      <c r="AD63" s="2517" t="s">
        <v>370</v>
      </c>
      <c r="AE63" s="2517"/>
      <c r="AF63" s="2517"/>
      <c r="AG63" s="2517"/>
      <c r="AH63" s="2517"/>
    </row>
    <row r="64" spans="1:76" ht="13.0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8">
        <f>IF(Application!Z204="(select)",0,((T23*T27)+Y28))</f>
        <v>25669647</v>
      </c>
      <c r="Z64" s="2518"/>
      <c r="AA64" s="2518"/>
      <c r="AB64" s="2518"/>
      <c r="AC64" s="2519"/>
      <c r="AD64" s="2478">
        <f>IF(AND(OR(Application!D210="At-Risk",Application!D210="At-Risk and Special Needs"),Application!M357="yes"),AD28+AI28,0)</f>
        <v>0</v>
      </c>
      <c r="AE64" s="2518"/>
      <c r="AF64" s="2518"/>
      <c r="AG64" s="2518"/>
      <c r="AH64" s="2519"/>
    </row>
    <row r="65" spans="1:36" ht="13.0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4">
        <f>IF(Application!AP204="yes",0.75,IF(Application!Z203="15% set-aside",0.13,IF(Application!Z203="15% set-aside with qualifying low value rehab",0.95,0.3)))</f>
        <v>0.3</v>
      </c>
      <c r="Z67" s="2534"/>
      <c r="AA67" s="2534"/>
      <c r="AB67" s="2534"/>
      <c r="AC67" s="2534"/>
      <c r="AD67" s="2534">
        <f>IF(Application!Z203="15% set-aside with qualifying low value rehab", 0.95,0.13)</f>
        <v>0.13</v>
      </c>
      <c r="AE67" s="2534"/>
      <c r="AF67" s="2534"/>
      <c r="AG67" s="2534"/>
      <c r="AH67" s="2534"/>
    </row>
    <row r="68" spans="1:36" ht="13.05" customHeight="1">
      <c r="C68" s="436"/>
      <c r="D68" s="219" t="s">
        <v>1407</v>
      </c>
      <c r="Y68" s="2477">
        <f>ROUND(Y64*Y67,0)</f>
        <v>7700894</v>
      </c>
      <c r="Z68" s="2535"/>
      <c r="AA68" s="2535"/>
      <c r="AB68" s="2535"/>
      <c r="AC68" s="2535"/>
      <c r="AD68" s="2477">
        <f>ROUND(AD64*AD67,0)</f>
        <v>0</v>
      </c>
      <c r="AE68" s="2535"/>
      <c r="AF68" s="2535"/>
      <c r="AG68" s="2535"/>
      <c r="AH68" s="2535"/>
    </row>
    <row r="69" spans="1:36" ht="13.05" customHeight="1">
      <c r="C69" s="436"/>
      <c r="E69" s="436"/>
      <c r="AB69" s="454"/>
      <c r="AC69" s="454"/>
      <c r="AD69" s="454"/>
      <c r="AE69" s="454"/>
      <c r="AF69" s="454"/>
    </row>
    <row r="70" spans="1:36" ht="13.05" customHeight="1">
      <c r="A70" s="436" t="s">
        <v>599</v>
      </c>
      <c r="C70" s="219" t="s">
        <v>285</v>
      </c>
    </row>
    <row r="71" spans="1:36" ht="13.05" customHeight="1">
      <c r="A71" s="436"/>
      <c r="C71" s="436"/>
      <c r="D71" s="219" t="s">
        <v>1408</v>
      </c>
      <c r="AB71" s="2520"/>
      <c r="AC71" s="2521"/>
      <c r="AD71" s="2521"/>
      <c r="AE71" s="2521"/>
      <c r="AF71" s="2522"/>
    </row>
    <row r="72" spans="1:36" ht="13.05" customHeight="1">
      <c r="A72" s="436"/>
      <c r="C72" s="436"/>
      <c r="D72" s="436"/>
      <c r="E72" s="2536" t="s">
        <v>1409</v>
      </c>
      <c r="F72" s="2536"/>
      <c r="G72" s="2536"/>
      <c r="H72" s="2536"/>
      <c r="I72" s="2536"/>
      <c r="J72" s="2536"/>
      <c r="K72" s="2536"/>
      <c r="L72" s="2536"/>
      <c r="M72" s="2536"/>
      <c r="N72" s="2536"/>
      <c r="O72" s="2536"/>
      <c r="P72" s="2536"/>
      <c r="Q72" s="2536"/>
      <c r="R72" s="2536"/>
      <c r="S72" s="2536"/>
      <c r="T72" s="2536"/>
      <c r="U72" s="2536"/>
      <c r="V72" s="2536"/>
      <c r="W72" s="2536"/>
      <c r="X72" s="2536"/>
      <c r="Y72" s="2536"/>
      <c r="Z72" s="2536"/>
      <c r="AA72" s="2536"/>
      <c r="AB72" s="472"/>
      <c r="AC72" s="472"/>
    </row>
    <row r="73" spans="1:36" ht="13.05" customHeight="1">
      <c r="A73" s="436"/>
      <c r="C73" s="436"/>
      <c r="D73" s="436"/>
      <c r="E73" s="2536"/>
      <c r="F73" s="2536"/>
      <c r="G73" s="2536"/>
      <c r="H73" s="2536"/>
      <c r="I73" s="2536"/>
      <c r="J73" s="2536"/>
      <c r="K73" s="2536"/>
      <c r="L73" s="2536"/>
      <c r="M73" s="2536"/>
      <c r="N73" s="2536"/>
      <c r="O73" s="2536"/>
      <c r="P73" s="2536"/>
      <c r="Q73" s="2536"/>
      <c r="R73" s="2536"/>
      <c r="S73" s="2536"/>
      <c r="T73" s="2536"/>
      <c r="U73" s="2536"/>
      <c r="V73" s="2536"/>
      <c r="W73" s="2536"/>
      <c r="X73" s="2536"/>
      <c r="Y73" s="2536"/>
      <c r="Z73" s="2536"/>
      <c r="AA73" s="2536"/>
      <c r="AB73" s="472"/>
      <c r="AC73" s="472"/>
    </row>
    <row r="74" spans="1:36" ht="13.05" customHeight="1">
      <c r="A74" s="436"/>
      <c r="C74" s="436"/>
      <c r="D74" s="436"/>
      <c r="E74" s="2536"/>
      <c r="F74" s="2536"/>
      <c r="G74" s="2536"/>
      <c r="H74" s="2536"/>
      <c r="I74" s="2536"/>
      <c r="J74" s="2536"/>
      <c r="K74" s="2536"/>
      <c r="L74" s="2536"/>
      <c r="M74" s="2536"/>
      <c r="N74" s="2536"/>
      <c r="O74" s="2536"/>
      <c r="P74" s="2536"/>
      <c r="Q74" s="2536"/>
      <c r="R74" s="2536"/>
      <c r="S74" s="2536"/>
      <c r="T74" s="2536"/>
      <c r="U74" s="2536"/>
      <c r="V74" s="2536"/>
      <c r="W74" s="2536"/>
      <c r="X74" s="2536"/>
      <c r="Y74" s="2536"/>
      <c r="Z74" s="2536"/>
      <c r="AA74" s="2536"/>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1410</v>
      </c>
      <c r="AB76" s="2529">
        <f>ROUND(IF(ISERROR((AB59/AB71)),0,(AB59/AB71)),0)</f>
        <v>0</v>
      </c>
      <c r="AC76" s="2529"/>
      <c r="AD76" s="2529"/>
      <c r="AE76" s="2529"/>
      <c r="AF76" s="2529"/>
    </row>
    <row r="77" spans="1:36" ht="13.05" customHeight="1">
      <c r="C77" s="436"/>
      <c r="D77" s="219" t="s">
        <v>1411</v>
      </c>
      <c r="AB77" s="2530">
        <f>IF((Y68+AD68&lt;AB76),Y68+AD68,AB76)</f>
        <v>0</v>
      </c>
      <c r="AC77" s="2531"/>
      <c r="AD77" s="2531"/>
      <c r="AE77" s="2531"/>
      <c r="AF77" s="2532"/>
    </row>
    <row r="78" spans="1:36" ht="13.05" customHeight="1">
      <c r="C78" s="436"/>
      <c r="D78" s="219" t="s">
        <v>1412</v>
      </c>
      <c r="AB78" s="2533">
        <f>AB77*AB71</f>
        <v>0</v>
      </c>
      <c r="AC78" s="2533"/>
      <c r="AD78" s="2533"/>
      <c r="AE78" s="2533"/>
      <c r="AF78" s="2533"/>
    </row>
    <row r="79" spans="1:36" ht="13.05" customHeight="1">
      <c r="C79" s="436"/>
      <c r="D79" s="436"/>
      <c r="AB79" s="457"/>
      <c r="AC79" s="457"/>
      <c r="AD79" s="457"/>
      <c r="AE79" s="457"/>
      <c r="AF79" s="457"/>
    </row>
    <row r="80" spans="1:36" ht="13.05" customHeight="1">
      <c r="D80" s="436" t="s">
        <v>766</v>
      </c>
      <c r="AB80" s="2516">
        <f>AB49-(AB57+AB78)</f>
        <v>0</v>
      </c>
      <c r="AC80" s="2516"/>
      <c r="AD80" s="2516"/>
      <c r="AE80" s="2516"/>
      <c r="AF80" s="2516"/>
    </row>
    <row r="81" spans="1:78" ht="13.05" customHeight="1">
      <c r="F81" s="557"/>
      <c r="J81" s="557" t="str">
        <f>IF(AB80&gt;0,"FUNDING GAP MUST NOT EXCEED ZERO","")</f>
        <v/>
      </c>
    </row>
    <row r="82" spans="1:78" ht="13.05" customHeight="1">
      <c r="D82" s="558"/>
    </row>
    <row r="83" spans="1:78" ht="13.05" customHeight="1" thickBot="1">
      <c r="A83" s="2481"/>
      <c r="B83" s="2481"/>
      <c r="C83" s="2481"/>
      <c r="D83" s="2481"/>
      <c r="E83" s="2481"/>
      <c r="F83" s="2481"/>
      <c r="G83" s="2481"/>
      <c r="H83" s="2481"/>
      <c r="I83" s="2481"/>
      <c r="J83" s="2481"/>
      <c r="K83" s="2481"/>
      <c r="L83" s="2481"/>
      <c r="M83" s="2481"/>
      <c r="N83" s="2481"/>
      <c r="O83" s="2481"/>
      <c r="P83" s="2481"/>
      <c r="Q83" s="2481"/>
      <c r="R83" s="2481"/>
      <c r="S83" s="2481"/>
      <c r="T83" s="2481"/>
      <c r="U83" s="2481"/>
      <c r="V83" s="2481"/>
      <c r="W83" s="2481"/>
      <c r="X83" s="2481"/>
      <c r="Y83" s="2481"/>
      <c r="Z83" s="2481"/>
      <c r="AA83" s="2481"/>
      <c r="AB83" s="2481"/>
      <c r="AC83" s="2481"/>
      <c r="AD83" s="2481"/>
      <c r="AE83" s="2481"/>
      <c r="AF83" s="2481"/>
      <c r="AG83" s="2481"/>
      <c r="AH83" s="2481"/>
      <c r="AI83" s="2481"/>
      <c r="AJ83" s="2481"/>
      <c r="AK83" s="2481"/>
      <c r="AL83" s="2481"/>
      <c r="AM83" s="2481"/>
      <c r="AN83" s="2481"/>
      <c r="AO83" s="2481"/>
      <c r="AP83" s="2481"/>
      <c r="AQ83" s="2481"/>
      <c r="AR83" s="2481"/>
      <c r="AS83" s="2481"/>
      <c r="AT83" s="2481"/>
      <c r="AU83" s="2481"/>
      <c r="AV83" s="2481"/>
      <c r="AW83" s="2481"/>
      <c r="AX83" s="2481"/>
      <c r="AY83" s="2481"/>
      <c r="AZ83" s="2481"/>
      <c r="BA83" s="2481"/>
      <c r="BB83" s="2481"/>
      <c r="BC83" s="2481"/>
      <c r="BD83" s="2481"/>
      <c r="BE83" s="2481"/>
      <c r="BF83" s="2481"/>
      <c r="BG83" s="2481"/>
      <c r="BH83" s="2481"/>
      <c r="BI83" s="2481"/>
      <c r="BJ83" s="2481"/>
      <c r="BK83" s="2481"/>
      <c r="BL83" s="2481"/>
      <c r="BM83" s="2481"/>
      <c r="BN83" s="2481"/>
      <c r="BO83" s="2481"/>
      <c r="BP83" s="2481"/>
      <c r="BQ83" s="2481"/>
      <c r="BR83" s="2481"/>
      <c r="BS83" s="2481"/>
      <c r="BT83" s="2481"/>
      <c r="BU83" s="2481"/>
      <c r="BV83" s="2481"/>
      <c r="BW83" s="2481"/>
      <c r="BX83" s="2481"/>
    </row>
    <row r="84" spans="1:78" ht="13.05" customHeight="1" thickTop="1"/>
    <row r="85" spans="1:78" ht="13.05" customHeight="1">
      <c r="A85" s="436"/>
      <c r="C85" s="219"/>
    </row>
    <row r="86" spans="1:78" ht="13.05" customHeight="1">
      <c r="D86" s="219"/>
      <c r="AB86" s="2482"/>
      <c r="AC86" s="2482"/>
      <c r="AD86" s="2482"/>
      <c r="AE86" s="2482"/>
      <c r="AF86" s="2482"/>
    </row>
    <row r="87" spans="1:78" ht="13.05" customHeight="1" thickBot="1">
      <c r="D87" s="219"/>
      <c r="AB87" s="2480"/>
      <c r="AC87" s="2480"/>
      <c r="AD87" s="2480"/>
      <c r="AE87" s="2480"/>
      <c r="AF87" s="248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G4" sqref="G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7" t="s">
        <v>942</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82.8">
      <c r="A3" s="458" t="s">
        <v>943</v>
      </c>
      <c r="B3" s="458" t="s">
        <v>944</v>
      </c>
      <c r="C3" s="458" t="s">
        <v>2340</v>
      </c>
      <c r="D3" s="1199" t="s">
        <v>945</v>
      </c>
      <c r="E3" s="218"/>
      <c r="F3" s="1199" t="s">
        <v>946</v>
      </c>
      <c r="G3" s="458" t="s">
        <v>947</v>
      </c>
      <c r="H3" s="459"/>
      <c r="I3" s="458" t="s">
        <v>948</v>
      </c>
      <c r="J3" s="458" t="s">
        <v>949</v>
      </c>
      <c r="K3" s="218"/>
      <c r="L3" s="328"/>
    </row>
    <row r="4" spans="1:12">
      <c r="A4" s="460" t="str">
        <f>Application!B714</f>
        <v>SRO/Studio</v>
      </c>
      <c r="B4" s="1130">
        <f>Application!G714</f>
        <v>12</v>
      </c>
      <c r="C4" s="1131" t="s">
        <v>386</v>
      </c>
      <c r="D4" s="460">
        <f>Application!O714</f>
        <v>453</v>
      </c>
      <c r="E4" s="461"/>
      <c r="F4" s="1132">
        <v>1437</v>
      </c>
      <c r="G4" s="460">
        <f>F4*B4</f>
        <v>17244</v>
      </c>
      <c r="H4" s="461"/>
      <c r="I4" s="460">
        <f>IF(F4=0," ",(F4-D4))</f>
        <v>984</v>
      </c>
      <c r="J4" s="460">
        <f>IF(F4=0," ",(I4*B4))</f>
        <v>11808</v>
      </c>
      <c r="K4" s="218"/>
      <c r="L4" s="328"/>
    </row>
    <row r="5" spans="1:12">
      <c r="A5" s="460" t="str">
        <f>Application!B715</f>
        <v>1 Bedroom</v>
      </c>
      <c r="B5" s="1130">
        <f>Application!G715</f>
        <v>18</v>
      </c>
      <c r="C5" s="1131" t="s">
        <v>386</v>
      </c>
      <c r="D5" s="460">
        <f>Application!O715</f>
        <v>420</v>
      </c>
      <c r="E5" s="461"/>
      <c r="F5" s="1132">
        <v>1643</v>
      </c>
      <c r="G5" s="460">
        <f t="shared" ref="G5:G28" si="0">F5*B5</f>
        <v>29574</v>
      </c>
      <c r="H5" s="461"/>
      <c r="I5" s="460">
        <f t="shared" ref="I5:I28" si="1">IF(F5=0," ",(F5-D5))</f>
        <v>1223</v>
      </c>
      <c r="J5" s="460">
        <f t="shared" ref="J5:J28" si="2">IF(F5=0," ",(I5*B5))</f>
        <v>22014</v>
      </c>
      <c r="K5" s="218"/>
      <c r="L5" s="328"/>
    </row>
    <row r="6" spans="1:12">
      <c r="A6" s="460" t="str">
        <f>Application!B716</f>
        <v>1 Bedroom</v>
      </c>
      <c r="B6" s="1130">
        <f>Application!G716</f>
        <v>8</v>
      </c>
      <c r="C6" s="1131" t="s">
        <v>386</v>
      </c>
      <c r="D6" s="460">
        <f>Application!O716</f>
        <v>560</v>
      </c>
      <c r="E6" s="461"/>
      <c r="F6" s="1132">
        <v>1858</v>
      </c>
      <c r="G6" s="460">
        <f t="shared" si="0"/>
        <v>14864</v>
      </c>
      <c r="H6" s="461"/>
      <c r="I6" s="460">
        <f t="shared" si="1"/>
        <v>1298</v>
      </c>
      <c r="J6" s="460">
        <f t="shared" si="2"/>
        <v>10384</v>
      </c>
      <c r="K6" s="218"/>
      <c r="L6" s="328"/>
    </row>
    <row r="7" spans="1:12">
      <c r="A7" s="460" t="str">
        <f>Application!B717</f>
        <v>SRO/Studio</v>
      </c>
      <c r="B7" s="1130">
        <f>Application!G717</f>
        <v>47</v>
      </c>
      <c r="C7" s="1131"/>
      <c r="D7" s="460">
        <f>Application!O717</f>
        <v>1228</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119</v>
      </c>
      <c r="C8" s="1131"/>
      <c r="D8" s="460">
        <f>Application!O718</f>
        <v>1084</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204188</v>
      </c>
      <c r="E30" s="461"/>
      <c r="F30" s="461"/>
      <c r="G30" s="464">
        <f>SUM(G4:G28)*12</f>
        <v>740184</v>
      </c>
      <c r="H30" s="465"/>
      <c r="I30" s="463"/>
      <c r="J30" s="464">
        <f>SUM(J4:J28)*12</f>
        <v>530472</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6"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C66" sqref="C66"/>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2512</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2450256</v>
      </c>
      <c r="G4" s="235">
        <f>E4*$C$4</f>
        <v>2511512.4</v>
      </c>
      <c r="I4" s="235">
        <f>G4*$C$4</f>
        <v>2574300.2099999995</v>
      </c>
      <c r="K4" s="235">
        <f>I4*$C$4</f>
        <v>2638657.7152499994</v>
      </c>
      <c r="M4" s="235">
        <f>K4*$C$4</f>
        <v>2704624.1581312492</v>
      </c>
      <c r="O4" s="235">
        <f>M4*$C$4</f>
        <v>2772239.7620845302</v>
      </c>
      <c r="Q4" s="235">
        <f>O4*$C$4</f>
        <v>2841545.7561366432</v>
      </c>
      <c r="S4" s="235">
        <f>Q4*$C$4</f>
        <v>2912584.4000400589</v>
      </c>
      <c r="U4" s="235">
        <f>S4*$C$4</f>
        <v>2985399.0100410599</v>
      </c>
      <c r="W4" s="235">
        <f>U4*$C$4</f>
        <v>3060033.9852920864</v>
      </c>
      <c r="Y4" s="235">
        <f>W4*$C$4</f>
        <v>3136534.8349243882</v>
      </c>
      <c r="AA4" s="235">
        <f>Y4*$C$4</f>
        <v>3214948.2057974976</v>
      </c>
      <c r="AC4" s="235">
        <f>AA4*$C$4</f>
        <v>3295321.9109424348</v>
      </c>
      <c r="AE4" s="235">
        <f>AC4*$C$4</f>
        <v>3377704.9587159953</v>
      </c>
      <c r="AG4" s="235">
        <f>AE4*$C$4</f>
        <v>3462147.5826838948</v>
      </c>
    </row>
    <row r="5" spans="1:34" s="225" customFormat="1" ht="13.8">
      <c r="B5" s="225" t="s">
        <v>866</v>
      </c>
      <c r="C5" s="254">
        <f>IF(Application!$D$210="Special Needs",0.1,0.05)</f>
        <v>0.05</v>
      </c>
      <c r="E5" s="237">
        <f>-E4*$C$5</f>
        <v>-122512.8</v>
      </c>
      <c r="F5" s="237"/>
      <c r="G5" s="237">
        <f>-G4*$C$5</f>
        <v>-125575.62</v>
      </c>
      <c r="H5" s="237"/>
      <c r="I5" s="237">
        <f>-I4*$C$5</f>
        <v>-128715.01049999997</v>
      </c>
      <c r="J5" s="237"/>
      <c r="K5" s="237">
        <f>-K4*$C$5</f>
        <v>-131932.88576249997</v>
      </c>
      <c r="L5" s="237"/>
      <c r="M5" s="237">
        <f>-M4*$C$5</f>
        <v>-135231.20790656246</v>
      </c>
      <c r="N5" s="237"/>
      <c r="O5" s="237">
        <f>-O4*$C$5</f>
        <v>-138611.9881042265</v>
      </c>
      <c r="P5" s="237"/>
      <c r="Q5" s="237">
        <f>-Q4*$C$5</f>
        <v>-142077.28780683217</v>
      </c>
      <c r="R5" s="237"/>
      <c r="S5" s="237">
        <f>-S4*$C$5</f>
        <v>-145629.22000200296</v>
      </c>
      <c r="T5" s="237"/>
      <c r="U5" s="237">
        <f>-U4*$C$5</f>
        <v>-149269.95050205299</v>
      </c>
      <c r="V5" s="237"/>
      <c r="W5" s="237">
        <f>-W4*$C$5</f>
        <v>-153001.69926460434</v>
      </c>
      <c r="X5" s="237"/>
      <c r="Y5" s="237">
        <f>-Y4*$C$5</f>
        <v>-156826.74174621943</v>
      </c>
      <c r="Z5" s="237"/>
      <c r="AA5" s="237">
        <f>-AA4*$C$5</f>
        <v>-160747.41028987488</v>
      </c>
      <c r="AB5" s="237"/>
      <c r="AC5" s="237">
        <f>-AC4*$C$5</f>
        <v>-164766.09554712175</v>
      </c>
      <c r="AD5" s="237"/>
      <c r="AE5" s="237">
        <f>-AE4*$C$5</f>
        <v>-168885.24793579977</v>
      </c>
      <c r="AF5" s="237"/>
      <c r="AG5" s="237">
        <f>-AG4*$C$5</f>
        <v>-173107.37913419475</v>
      </c>
    </row>
    <row r="6" spans="1:34" s="225" customFormat="1" ht="13.8">
      <c r="A6" s="225" t="s">
        <v>864</v>
      </c>
      <c r="C6" s="253">
        <v>1.0249999999999999</v>
      </c>
      <c r="E6" s="238">
        <f>Application!Z793</f>
        <v>530472</v>
      </c>
      <c r="F6" s="238"/>
      <c r="G6" s="238">
        <f>E6*$C$6</f>
        <v>543733.79999999993</v>
      </c>
      <c r="H6" s="238"/>
      <c r="I6" s="238">
        <f>G6*$C$6</f>
        <v>557327.1449999999</v>
      </c>
      <c r="J6" s="238"/>
      <c r="K6" s="238">
        <f>I6*$C$6</f>
        <v>571260.32362499984</v>
      </c>
      <c r="L6" s="238"/>
      <c r="M6" s="238">
        <f>K6*$C$6</f>
        <v>585541.83171562478</v>
      </c>
      <c r="N6" s="238"/>
      <c r="O6" s="238">
        <f>M6*$C$6</f>
        <v>600180.37750851538</v>
      </c>
      <c r="P6" s="238"/>
      <c r="Q6" s="238">
        <f>O6*$C$6</f>
        <v>615184.88694622822</v>
      </c>
      <c r="R6" s="238"/>
      <c r="S6" s="238">
        <f>Q6*$C$6</f>
        <v>630564.50911988388</v>
      </c>
      <c r="T6" s="238"/>
      <c r="U6" s="238">
        <f>S6*$C$6</f>
        <v>646328.62184788089</v>
      </c>
      <c r="V6" s="238"/>
      <c r="W6" s="238">
        <f>U6*$C$6</f>
        <v>662486.8373940778</v>
      </c>
      <c r="X6" s="238"/>
      <c r="Y6" s="238">
        <f>W6*$C$6</f>
        <v>679049.00832892966</v>
      </c>
      <c r="Z6" s="238"/>
      <c r="AA6" s="238">
        <f>Y6*$C$6</f>
        <v>696025.23353715288</v>
      </c>
      <c r="AB6" s="238"/>
      <c r="AC6" s="238">
        <f>AA6*$C$6</f>
        <v>713425.86437558162</v>
      </c>
      <c r="AD6" s="238"/>
      <c r="AE6" s="238">
        <f>AC6*$C$6</f>
        <v>731261.51098497107</v>
      </c>
      <c r="AF6" s="238"/>
      <c r="AG6" s="238">
        <f>AE6*$C$6</f>
        <v>749543.04875959526</v>
      </c>
    </row>
    <row r="7" spans="1:34" s="225" customFormat="1" ht="13.8">
      <c r="B7" s="225" t="s">
        <v>866</v>
      </c>
      <c r="C7" s="254">
        <f>IF(Application!$D$210="Special Needs",0.1,0.05)</f>
        <v>0.05</v>
      </c>
      <c r="E7" s="237">
        <f>-E6*$C$7</f>
        <v>-26523.600000000002</v>
      </c>
      <c r="F7" s="237"/>
      <c r="G7" s="237">
        <f>-G6*$C$7</f>
        <v>-27186.69</v>
      </c>
      <c r="H7" s="237"/>
      <c r="I7" s="237">
        <f>-I6*$C$7</f>
        <v>-27866.357249999997</v>
      </c>
      <c r="J7" s="237"/>
      <c r="K7" s="237">
        <f>-K6*$C$7</f>
        <v>-28563.016181249994</v>
      </c>
      <c r="L7" s="237"/>
      <c r="M7" s="237">
        <f>-M6*$C$7</f>
        <v>-29277.09158578124</v>
      </c>
      <c r="N7" s="237"/>
      <c r="O7" s="237">
        <f>-O6*$C$7</f>
        <v>-30009.018875425769</v>
      </c>
      <c r="P7" s="237"/>
      <c r="Q7" s="237">
        <f>-Q6*$C$7</f>
        <v>-30759.244347311411</v>
      </c>
      <c r="R7" s="237"/>
      <c r="S7" s="237">
        <f>-S6*$C$7</f>
        <v>-31528.225455994194</v>
      </c>
      <c r="T7" s="237"/>
      <c r="U7" s="237">
        <f>-U6*$C$7</f>
        <v>-32316.431092394047</v>
      </c>
      <c r="V7" s="237"/>
      <c r="W7" s="237">
        <f>-W6*$C$7</f>
        <v>-33124.341869703894</v>
      </c>
      <c r="X7" s="237"/>
      <c r="Y7" s="237">
        <f>-Y6*$C$7</f>
        <v>-33952.450416446482</v>
      </c>
      <c r="Z7" s="237"/>
      <c r="AA7" s="237">
        <f>-AA6*$C$7</f>
        <v>-34801.261676857648</v>
      </c>
      <c r="AB7" s="237"/>
      <c r="AC7" s="237">
        <f>-AC6*$C$7</f>
        <v>-35671.293218779079</v>
      </c>
      <c r="AD7" s="237"/>
      <c r="AE7" s="237">
        <f>-AE6*$C$7</f>
        <v>-36563.075549248555</v>
      </c>
      <c r="AF7" s="237"/>
      <c r="AG7" s="237">
        <f>-AG6*$C$7</f>
        <v>-37477.152437979763</v>
      </c>
    </row>
    <row r="8" spans="1:34" s="225" customFormat="1" ht="13.8">
      <c r="A8" s="225" t="s">
        <v>289</v>
      </c>
      <c r="C8" s="253">
        <v>1.0249999999999999</v>
      </c>
      <c r="E8" s="238">
        <f>Application!Z801</f>
        <v>12915</v>
      </c>
      <c r="F8" s="238"/>
      <c r="G8" s="238">
        <f>E8*$C$8</f>
        <v>13237.874999999998</v>
      </c>
      <c r="H8" s="238"/>
      <c r="I8" s="238">
        <f>G8*$C$8</f>
        <v>13568.821874999998</v>
      </c>
      <c r="J8" s="238"/>
      <c r="K8" s="238">
        <f>I8*$C$8</f>
        <v>13908.042421874996</v>
      </c>
      <c r="L8" s="238"/>
      <c r="M8" s="238">
        <f>K8*$C$8</f>
        <v>14255.743482421869</v>
      </c>
      <c r="N8" s="238"/>
      <c r="O8" s="238">
        <f>M8*$C$8</f>
        <v>14612.137069482415</v>
      </c>
      <c r="P8" s="238"/>
      <c r="Q8" s="238">
        <f>O8*$C$8</f>
        <v>14977.440496219473</v>
      </c>
      <c r="R8" s="238"/>
      <c r="S8" s="238">
        <f>Q8*$C$8</f>
        <v>15351.876508624959</v>
      </c>
      <c r="T8" s="238"/>
      <c r="U8" s="238">
        <f>S8*$C$8</f>
        <v>15735.673421340582</v>
      </c>
      <c r="V8" s="238"/>
      <c r="W8" s="238">
        <f>U8*$C$8</f>
        <v>16129.065256874095</v>
      </c>
      <c r="X8" s="238"/>
      <c r="Y8" s="238">
        <f>W8*$C$8</f>
        <v>16532.291888295946</v>
      </c>
      <c r="Z8" s="238"/>
      <c r="AA8" s="238">
        <f>Y8*$C$8</f>
        <v>16945.599185503343</v>
      </c>
      <c r="AB8" s="238"/>
      <c r="AC8" s="238">
        <f>AA8*$C$8</f>
        <v>17369.239165140923</v>
      </c>
      <c r="AD8" s="238"/>
      <c r="AE8" s="238">
        <f>AC8*$C$8</f>
        <v>17803.470144269446</v>
      </c>
      <c r="AF8" s="238"/>
      <c r="AG8" s="238">
        <f>AE8*$C$8</f>
        <v>18248.55689787618</v>
      </c>
    </row>
    <row r="9" spans="1:34" s="225" customFormat="1" ht="13.8">
      <c r="B9" s="225" t="s">
        <v>866</v>
      </c>
      <c r="C9" s="254">
        <f>IF(Application!$D$210="Special Needs",0.1,0.05)</f>
        <v>0.05</v>
      </c>
      <c r="E9" s="237">
        <f>-E8*$C$9</f>
        <v>-645.75</v>
      </c>
      <c r="F9" s="237"/>
      <c r="G9" s="237">
        <f>-G8*$C$9</f>
        <v>-661.89374999999995</v>
      </c>
      <c r="H9" s="237"/>
      <c r="I9" s="237">
        <f>-I8*$C$9</f>
        <v>-678.44109374999994</v>
      </c>
      <c r="J9" s="237"/>
      <c r="K9" s="237">
        <f>-K8*$C$9</f>
        <v>-695.40212109374988</v>
      </c>
      <c r="L9" s="237"/>
      <c r="M9" s="237">
        <f>-M8*$C$9</f>
        <v>-712.78717412109347</v>
      </c>
      <c r="N9" s="237"/>
      <c r="O9" s="237">
        <f>-O8*$C$9</f>
        <v>-730.60685347412073</v>
      </c>
      <c r="P9" s="237"/>
      <c r="Q9" s="237">
        <f>-Q8*$C$9</f>
        <v>-748.8720248109737</v>
      </c>
      <c r="R9" s="237"/>
      <c r="S9" s="237">
        <f>-S8*$C$9</f>
        <v>-767.59382543124798</v>
      </c>
      <c r="T9" s="237"/>
      <c r="U9" s="237">
        <f>-U8*$C$9</f>
        <v>-786.7836710670291</v>
      </c>
      <c r="V9" s="237"/>
      <c r="W9" s="237">
        <f>-W8*$C$9</f>
        <v>-806.45326284370481</v>
      </c>
      <c r="X9" s="237"/>
      <c r="Y9" s="237">
        <f>-Y8*$C$9</f>
        <v>-826.61459441479735</v>
      </c>
      <c r="Z9" s="237"/>
      <c r="AA9" s="237">
        <f>-AA8*$C$9</f>
        <v>-847.27995927516713</v>
      </c>
      <c r="AB9" s="237"/>
      <c r="AC9" s="237">
        <f>-AC8*$C$9</f>
        <v>-868.46195825704626</v>
      </c>
      <c r="AD9" s="237"/>
      <c r="AE9" s="237">
        <f>-AE8*$C$9</f>
        <v>-890.17350721347236</v>
      </c>
      <c r="AF9" s="237"/>
      <c r="AG9" s="237">
        <f>-AG8*$C$9</f>
        <v>-912.42784489380904</v>
      </c>
    </row>
    <row r="10" spans="1:34" s="225" customFormat="1" ht="13.8">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2843960.85</v>
      </c>
      <c r="G11" s="239">
        <f>SUM(G4:G10)</f>
        <v>2915059.8712499999</v>
      </c>
      <c r="I11" s="239">
        <f>SUM(I4:I10)</f>
        <v>2987936.3680312498</v>
      </c>
      <c r="K11" s="239">
        <f>SUM(K4:K10)</f>
        <v>3062634.7772320304</v>
      </c>
      <c r="M11" s="239">
        <f>SUM(M4:M10)</f>
        <v>3139200.6466628313</v>
      </c>
      <c r="O11" s="239">
        <f>SUM(O4:O10)</f>
        <v>3217680.6628294019</v>
      </c>
      <c r="Q11" s="239">
        <f>SUM(Q4:Q10)</f>
        <v>3298122.6794001362</v>
      </c>
      <c r="S11" s="239">
        <f>SUM(S4:S10)</f>
        <v>3380575.7463851389</v>
      </c>
      <c r="U11" s="239">
        <f>SUM(U4:U10)</f>
        <v>3465090.1400447674</v>
      </c>
      <c r="W11" s="239">
        <f>SUM(W4:W10)</f>
        <v>3551717.3935458865</v>
      </c>
      <c r="Y11" s="239">
        <f>SUM(Y4:Y10)</f>
        <v>3640510.3283845331</v>
      </c>
      <c r="AA11" s="239">
        <f>SUM(AA4:AA10)</f>
        <v>3731523.0865941462</v>
      </c>
      <c r="AC11" s="239">
        <f>SUM(AC4:AC10)</f>
        <v>3824811.1637589992</v>
      </c>
      <c r="AE11" s="239">
        <f>SUM(AE4:AE10)</f>
        <v>3920431.4428529739</v>
      </c>
      <c r="AG11" s="239">
        <f>SUM(AG4:AG10)</f>
        <v>4018442.2289242982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233075</v>
      </c>
      <c r="G15" s="235">
        <f>E15*$C$14</f>
        <v>241232.62499999997</v>
      </c>
      <c r="I15" s="235">
        <f>G15*$C$14</f>
        <v>249675.76687499994</v>
      </c>
      <c r="K15" s="235">
        <f>I15*$C$14</f>
        <v>258414.41871562492</v>
      </c>
      <c r="M15" s="235">
        <f>K15*$C$14</f>
        <v>267458.92337067175</v>
      </c>
      <c r="O15" s="235">
        <f>M15*$C$14</f>
        <v>276819.98568864522</v>
      </c>
      <c r="Q15" s="235">
        <f>O15*$C$14</f>
        <v>286508.68518774776</v>
      </c>
      <c r="S15" s="235">
        <f>Q15*$C$14</f>
        <v>296536.48916931893</v>
      </c>
      <c r="U15" s="235">
        <f>S15*$C$14</f>
        <v>306915.26629024505</v>
      </c>
      <c r="W15" s="235">
        <f>U15*$C$14</f>
        <v>317657.30061040359</v>
      </c>
      <c r="Y15" s="235">
        <f>W15*$C$14</f>
        <v>328775.30613176769</v>
      </c>
      <c r="AA15" s="235">
        <f>Y15*$C$14</f>
        <v>340282.44184637954</v>
      </c>
      <c r="AC15" s="235">
        <f>AA15*$C$14</f>
        <v>352192.32731100282</v>
      </c>
      <c r="AE15" s="235">
        <f>AC15*$C$14</f>
        <v>364519.05876688787</v>
      </c>
      <c r="AG15" s="235">
        <f>AE15*$C$14</f>
        <v>377277.22582372889</v>
      </c>
    </row>
    <row r="16" spans="1:34" s="225" customFormat="1" ht="13.8">
      <c r="A16" s="225" t="s">
        <v>345</v>
      </c>
      <c r="C16" s="249"/>
      <c r="E16" s="238">
        <f>Application!W833</f>
        <v>183993</v>
      </c>
      <c r="F16" s="238"/>
      <c r="G16" s="238">
        <f t="shared" ref="G16:AG21" si="0">E16*$C$14</f>
        <v>190432.75499999998</v>
      </c>
      <c r="H16" s="238"/>
      <c r="I16" s="238">
        <f t="shared" si="0"/>
        <v>197097.90142499996</v>
      </c>
      <c r="J16" s="238"/>
      <c r="K16" s="238">
        <f t="shared" si="0"/>
        <v>203996.32797487493</v>
      </c>
      <c r="L16" s="238"/>
      <c r="M16" s="238">
        <f t="shared" si="0"/>
        <v>211136.19945399553</v>
      </c>
      <c r="N16" s="238"/>
      <c r="O16" s="238">
        <f t="shared" si="0"/>
        <v>218525.96643488537</v>
      </c>
      <c r="P16" s="238"/>
      <c r="Q16" s="238">
        <f t="shared" si="0"/>
        <v>226174.37526010635</v>
      </c>
      <c r="R16" s="238"/>
      <c r="S16" s="238">
        <f t="shared" si="0"/>
        <v>234090.47839421005</v>
      </c>
      <c r="T16" s="238"/>
      <c r="U16" s="238">
        <f t="shared" si="0"/>
        <v>242283.64513800738</v>
      </c>
      <c r="V16" s="238"/>
      <c r="W16" s="238">
        <f t="shared" si="0"/>
        <v>250763.57271783761</v>
      </c>
      <c r="X16" s="238"/>
      <c r="Y16" s="238">
        <f t="shared" si="0"/>
        <v>259540.29776296191</v>
      </c>
      <c r="Z16" s="238"/>
      <c r="AA16" s="238">
        <f t="shared" si="0"/>
        <v>268624.20818466553</v>
      </c>
      <c r="AB16" s="238"/>
      <c r="AC16" s="238">
        <f t="shared" si="0"/>
        <v>278026.05547112878</v>
      </c>
      <c r="AD16" s="238"/>
      <c r="AE16" s="238">
        <f t="shared" si="0"/>
        <v>287756.96741261828</v>
      </c>
      <c r="AF16" s="238"/>
      <c r="AG16" s="238">
        <f t="shared" si="0"/>
        <v>297828.46127205988</v>
      </c>
    </row>
    <row r="17" spans="1:33" s="225" customFormat="1" ht="13.8">
      <c r="A17" s="225" t="s">
        <v>570</v>
      </c>
      <c r="C17" s="249"/>
      <c r="E17" s="238">
        <f>Application!W839</f>
        <v>274664</v>
      </c>
      <c r="F17" s="238"/>
      <c r="G17" s="238">
        <f t="shared" si="0"/>
        <v>284277.24</v>
      </c>
      <c r="H17" s="238"/>
      <c r="I17" s="238">
        <f t="shared" si="0"/>
        <v>294226.94339999999</v>
      </c>
      <c r="J17" s="238"/>
      <c r="K17" s="238">
        <f t="shared" si="0"/>
        <v>304524.88641899999</v>
      </c>
      <c r="L17" s="238"/>
      <c r="M17" s="238">
        <f t="shared" si="0"/>
        <v>315183.25744366494</v>
      </c>
      <c r="N17" s="238"/>
      <c r="O17" s="238">
        <f t="shared" si="0"/>
        <v>326214.67145419319</v>
      </c>
      <c r="P17" s="238"/>
      <c r="Q17" s="238">
        <f t="shared" si="0"/>
        <v>337632.18495508994</v>
      </c>
      <c r="R17" s="238"/>
      <c r="S17" s="238">
        <f t="shared" si="0"/>
        <v>349449.31142851803</v>
      </c>
      <c r="T17" s="238"/>
      <c r="U17" s="238">
        <f t="shared" si="0"/>
        <v>361680.03732851613</v>
      </c>
      <c r="V17" s="238"/>
      <c r="W17" s="238">
        <f t="shared" si="0"/>
        <v>374338.8386350142</v>
      </c>
      <c r="X17" s="238"/>
      <c r="Y17" s="238">
        <f t="shared" si="0"/>
        <v>387440.69798723969</v>
      </c>
      <c r="Z17" s="238"/>
      <c r="AA17" s="238">
        <f t="shared" si="0"/>
        <v>401001.12241679308</v>
      </c>
      <c r="AB17" s="238"/>
      <c r="AC17" s="238">
        <f t="shared" si="0"/>
        <v>415036.1617013808</v>
      </c>
      <c r="AD17" s="238"/>
      <c r="AE17" s="238">
        <f t="shared" si="0"/>
        <v>429562.42736092908</v>
      </c>
      <c r="AF17" s="238"/>
      <c r="AG17" s="238">
        <f t="shared" si="0"/>
        <v>444597.11231856159</v>
      </c>
    </row>
    <row r="18" spans="1:33" s="225" customFormat="1" ht="13.8">
      <c r="A18" s="225" t="s">
        <v>870</v>
      </c>
      <c r="C18" s="249"/>
      <c r="E18" s="238">
        <f>Application!W846</f>
        <v>495368</v>
      </c>
      <c r="F18" s="238"/>
      <c r="G18" s="238">
        <f t="shared" si="0"/>
        <v>512705.87999999995</v>
      </c>
      <c r="H18" s="238"/>
      <c r="I18" s="238">
        <f t="shared" si="0"/>
        <v>530650.58579999988</v>
      </c>
      <c r="J18" s="238"/>
      <c r="K18" s="238">
        <f t="shared" si="0"/>
        <v>549223.35630299989</v>
      </c>
      <c r="L18" s="238"/>
      <c r="M18" s="238">
        <f t="shared" si="0"/>
        <v>568446.17377360479</v>
      </c>
      <c r="N18" s="238"/>
      <c r="O18" s="238">
        <f t="shared" si="0"/>
        <v>588341.78985568089</v>
      </c>
      <c r="P18" s="238"/>
      <c r="Q18" s="238">
        <f t="shared" si="0"/>
        <v>608933.75250062963</v>
      </c>
      <c r="R18" s="238"/>
      <c r="S18" s="238">
        <f t="shared" si="0"/>
        <v>630246.43383815163</v>
      </c>
      <c r="T18" s="238"/>
      <c r="U18" s="238">
        <f t="shared" si="0"/>
        <v>652305.05902248691</v>
      </c>
      <c r="V18" s="238"/>
      <c r="W18" s="238">
        <f t="shared" si="0"/>
        <v>675135.73608827393</v>
      </c>
      <c r="X18" s="238"/>
      <c r="Y18" s="238">
        <f t="shared" si="0"/>
        <v>698765.48685136344</v>
      </c>
      <c r="Z18" s="238"/>
      <c r="AA18" s="238">
        <f t="shared" si="0"/>
        <v>723222.27889116108</v>
      </c>
      <c r="AB18" s="238"/>
      <c r="AC18" s="238">
        <f t="shared" si="0"/>
        <v>748535.05865235161</v>
      </c>
      <c r="AD18" s="238"/>
      <c r="AE18" s="238">
        <f t="shared" si="0"/>
        <v>774733.78570518387</v>
      </c>
      <c r="AF18" s="238"/>
      <c r="AG18" s="238">
        <f t="shared" si="0"/>
        <v>801849.46820486523</v>
      </c>
    </row>
    <row r="19" spans="1:33" s="225" customFormat="1" ht="13.8">
      <c r="A19" s="225" t="s">
        <v>156</v>
      </c>
      <c r="C19" s="249"/>
      <c r="E19" s="238">
        <f>Application!W847</f>
        <v>98135</v>
      </c>
      <c r="F19" s="238"/>
      <c r="G19" s="238">
        <f t="shared" si="0"/>
        <v>101569.72499999999</v>
      </c>
      <c r="H19" s="238"/>
      <c r="I19" s="238">
        <f t="shared" si="0"/>
        <v>105124.66537499998</v>
      </c>
      <c r="J19" s="238"/>
      <c r="K19" s="238">
        <f t="shared" si="0"/>
        <v>108804.02866312498</v>
      </c>
      <c r="L19" s="238"/>
      <c r="M19" s="238">
        <f t="shared" si="0"/>
        <v>112612.16966633435</v>
      </c>
      <c r="N19" s="238"/>
      <c r="O19" s="238">
        <f t="shared" si="0"/>
        <v>116553.59560465605</v>
      </c>
      <c r="P19" s="238"/>
      <c r="Q19" s="238">
        <f t="shared" si="0"/>
        <v>120632.97145081899</v>
      </c>
      <c r="R19" s="238"/>
      <c r="S19" s="238">
        <f t="shared" si="0"/>
        <v>124855.12545159765</v>
      </c>
      <c r="T19" s="238"/>
      <c r="U19" s="238">
        <f t="shared" si="0"/>
        <v>129225.05484240355</v>
      </c>
      <c r="V19" s="238"/>
      <c r="W19" s="238">
        <f t="shared" si="0"/>
        <v>133747.93176188765</v>
      </c>
      <c r="X19" s="238"/>
      <c r="Y19" s="238">
        <f t="shared" si="0"/>
        <v>138429.10937355371</v>
      </c>
      <c r="Z19" s="238"/>
      <c r="AA19" s="238">
        <f t="shared" si="0"/>
        <v>143274.12820162807</v>
      </c>
      <c r="AB19" s="238"/>
      <c r="AC19" s="238">
        <f t="shared" si="0"/>
        <v>148288.72268868505</v>
      </c>
      <c r="AD19" s="238"/>
      <c r="AE19" s="238">
        <f t="shared" si="0"/>
        <v>153478.82798278902</v>
      </c>
      <c r="AF19" s="238"/>
      <c r="AG19" s="238">
        <f t="shared" si="0"/>
        <v>158850.58696218661</v>
      </c>
    </row>
    <row r="20" spans="1:33" s="225" customFormat="1" ht="13.8">
      <c r="A20" s="225" t="s">
        <v>391</v>
      </c>
      <c r="C20" s="249"/>
      <c r="E20" s="238">
        <f>Application!W856</f>
        <v>397700</v>
      </c>
      <c r="F20" s="238"/>
      <c r="G20" s="238">
        <f t="shared" si="0"/>
        <v>411619.49999999994</v>
      </c>
      <c r="H20" s="238"/>
      <c r="I20" s="238">
        <f t="shared" si="0"/>
        <v>426026.18249999988</v>
      </c>
      <c r="J20" s="238"/>
      <c r="K20" s="238">
        <f t="shared" si="0"/>
        <v>440937.09888749983</v>
      </c>
      <c r="L20" s="238"/>
      <c r="M20" s="238">
        <f t="shared" si="0"/>
        <v>456369.89734856231</v>
      </c>
      <c r="N20" s="238"/>
      <c r="O20" s="238">
        <f t="shared" si="0"/>
        <v>472342.84375576198</v>
      </c>
      <c r="P20" s="238"/>
      <c r="Q20" s="238">
        <f t="shared" si="0"/>
        <v>488874.84328721359</v>
      </c>
      <c r="R20" s="238"/>
      <c r="S20" s="238">
        <f t="shared" si="0"/>
        <v>505985.462802266</v>
      </c>
      <c r="T20" s="238"/>
      <c r="U20" s="238">
        <f t="shared" si="0"/>
        <v>523694.95400034526</v>
      </c>
      <c r="V20" s="238"/>
      <c r="W20" s="238">
        <f t="shared" si="0"/>
        <v>542024.27739035734</v>
      </c>
      <c r="X20" s="238"/>
      <c r="Y20" s="238">
        <f t="shared" si="0"/>
        <v>560995.12709901982</v>
      </c>
      <c r="Z20" s="238"/>
      <c r="AA20" s="238">
        <f t="shared" si="0"/>
        <v>580629.95654748543</v>
      </c>
      <c r="AB20" s="238"/>
      <c r="AC20" s="238">
        <f t="shared" si="0"/>
        <v>600952.00502664736</v>
      </c>
      <c r="AD20" s="238"/>
      <c r="AE20" s="238">
        <f t="shared" si="0"/>
        <v>621985.32520257996</v>
      </c>
      <c r="AF20" s="238"/>
      <c r="AG20" s="238">
        <f t="shared" si="0"/>
        <v>643754.81158467021</v>
      </c>
    </row>
    <row r="21" spans="1:33" s="225" customFormat="1" ht="13.8">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871</v>
      </c>
      <c r="C22" s="249"/>
      <c r="E22" s="239">
        <f>SUM(E15:E21)</f>
        <v>1682935</v>
      </c>
      <c r="G22" s="239">
        <f>SUM(G15:G21)</f>
        <v>1741837.7249999999</v>
      </c>
      <c r="I22" s="239">
        <f>SUM(I15:I21)</f>
        <v>1802802.0453749995</v>
      </c>
      <c r="K22" s="239">
        <f>SUM(K15:K21)</f>
        <v>1865900.1169631244</v>
      </c>
      <c r="M22" s="239">
        <f>SUM(M15:M21)</f>
        <v>1931206.6210568335</v>
      </c>
      <c r="O22" s="239">
        <f>SUM(O15:O21)</f>
        <v>1998798.8527938225</v>
      </c>
      <c r="Q22" s="239">
        <f>SUM(Q15:Q21)</f>
        <v>2068756.8126416062</v>
      </c>
      <c r="S22" s="239">
        <f>SUM(S15:S21)</f>
        <v>2141163.3010840621</v>
      </c>
      <c r="U22" s="239">
        <f>SUM(U15:U21)</f>
        <v>2216104.0166220046</v>
      </c>
      <c r="W22" s="239">
        <f>SUM(W15:W21)</f>
        <v>2293667.6572037744</v>
      </c>
      <c r="Y22" s="239">
        <f>SUM(Y15:Y21)</f>
        <v>2373946.0252059065</v>
      </c>
      <c r="AA22" s="239">
        <f>SUM(AA15:AA21)</f>
        <v>2457034.1360881128</v>
      </c>
      <c r="AC22" s="239">
        <f>SUM(AC15:AC21)</f>
        <v>2543030.3308511963</v>
      </c>
      <c r="AE22" s="239">
        <f>SUM(AE15:AE21)</f>
        <v>2632036.3924309881</v>
      </c>
      <c r="AG22" s="239">
        <f>SUM(AG15:AG21)</f>
        <v>2724157.6661660722</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137390</v>
      </c>
      <c r="F27" s="238"/>
      <c r="G27" s="238">
        <f>E27*$C$27</f>
        <v>142198.65</v>
      </c>
      <c r="H27" s="238"/>
      <c r="I27" s="238">
        <f>G27*$C$27</f>
        <v>147175.60274999999</v>
      </c>
      <c r="J27" s="238"/>
      <c r="K27" s="238">
        <f>I27*$C$27</f>
        <v>152326.74884624998</v>
      </c>
      <c r="L27" s="238"/>
      <c r="M27" s="238">
        <f>K27*$C$27</f>
        <v>157658.1850558687</v>
      </c>
      <c r="N27" s="238"/>
      <c r="O27" s="238">
        <f>M27*$C$27</f>
        <v>163176.2215328241</v>
      </c>
      <c r="P27" s="238"/>
      <c r="Q27" s="238">
        <f>O27*$C$27</f>
        <v>168887.38928647293</v>
      </c>
      <c r="R27" s="238"/>
      <c r="S27" s="238">
        <f>Q27*$C$27</f>
        <v>174798.44791149948</v>
      </c>
      <c r="T27" s="238"/>
      <c r="U27" s="238">
        <f>S27*$C$27</f>
        <v>180916.39358840193</v>
      </c>
      <c r="V27" s="238"/>
      <c r="W27" s="238">
        <f>U27*$C$27</f>
        <v>187248.46736399599</v>
      </c>
      <c r="X27" s="238"/>
      <c r="Y27" s="238">
        <f>W27*$C$27</f>
        <v>193802.16372173585</v>
      </c>
      <c r="Z27" s="238"/>
      <c r="AA27" s="238">
        <f>Y27*$C$27</f>
        <v>200585.2394519966</v>
      </c>
      <c r="AB27" s="238"/>
      <c r="AC27" s="238">
        <f>AA27*$C$27</f>
        <v>207605.72283281648</v>
      </c>
      <c r="AD27" s="238"/>
      <c r="AE27" s="238">
        <f>AC27*$C$27</f>
        <v>214871.92313196504</v>
      </c>
      <c r="AF27" s="238"/>
      <c r="AG27" s="238">
        <f>AE27*$C$27</f>
        <v>222392.44044158381</v>
      </c>
    </row>
    <row r="28" spans="1:33" s="225" customFormat="1" ht="13.8">
      <c r="A28" s="225" t="s">
        <v>874</v>
      </c>
      <c r="C28" s="253"/>
      <c r="E28" s="238">
        <f>Application!AC873</f>
        <v>61800</v>
      </c>
      <c r="F28" s="238"/>
      <c r="G28" s="238">
        <f>$E$28</f>
        <v>61800</v>
      </c>
      <c r="H28" s="238"/>
      <c r="I28" s="238">
        <f>$E$28</f>
        <v>61800</v>
      </c>
      <c r="J28" s="238"/>
      <c r="K28" s="238">
        <f>$E$28</f>
        <v>61800</v>
      </c>
      <c r="L28" s="238"/>
      <c r="M28" s="238">
        <f>$E$28</f>
        <v>61800</v>
      </c>
      <c r="N28" s="238"/>
      <c r="O28" s="238">
        <f>$E$28</f>
        <v>61800</v>
      </c>
      <c r="P28" s="238"/>
      <c r="Q28" s="238">
        <f>$E$28</f>
        <v>61800</v>
      </c>
      <c r="R28" s="238"/>
      <c r="S28" s="238">
        <f>$E$28</f>
        <v>61800</v>
      </c>
      <c r="T28" s="238"/>
      <c r="U28" s="238">
        <f>$E$28</f>
        <v>61800</v>
      </c>
      <c r="V28" s="238"/>
      <c r="W28" s="238">
        <f>$E$28</f>
        <v>61800</v>
      </c>
      <c r="X28" s="238"/>
      <c r="Y28" s="238">
        <f>$E$28</f>
        <v>61800</v>
      </c>
      <c r="Z28" s="238"/>
      <c r="AA28" s="238">
        <f>$E$28</f>
        <v>61800</v>
      </c>
      <c r="AB28" s="238"/>
      <c r="AC28" s="238">
        <f>$E$28</f>
        <v>61800</v>
      </c>
      <c r="AD28" s="238"/>
      <c r="AE28" s="238">
        <f>$E$28</f>
        <v>61800</v>
      </c>
      <c r="AF28" s="238"/>
      <c r="AG28" s="238">
        <f>$E$28</f>
        <v>61800</v>
      </c>
    </row>
    <row r="29" spans="1:33" s="225" customFormat="1" ht="13.8">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872</v>
      </c>
      <c r="C30" s="253">
        <v>1.02</v>
      </c>
      <c r="E30" s="238">
        <f>Application!AC875</f>
        <v>5787</v>
      </c>
      <c r="F30" s="238"/>
      <c r="G30" s="238">
        <f>E30*$C$30</f>
        <v>5902.74</v>
      </c>
      <c r="H30" s="238"/>
      <c r="I30" s="238">
        <f>G30*$C$30</f>
        <v>6020.7947999999997</v>
      </c>
      <c r="J30" s="238"/>
      <c r="K30" s="238">
        <f>I30*$C$30</f>
        <v>6141.2106960000001</v>
      </c>
      <c r="L30" s="238"/>
      <c r="M30" s="238">
        <f>K30*$C$30</f>
        <v>6264.0349099200002</v>
      </c>
      <c r="N30" s="238"/>
      <c r="O30" s="238">
        <f>M30*$C$30</f>
        <v>6389.3156081184006</v>
      </c>
      <c r="P30" s="238"/>
      <c r="Q30" s="238">
        <f>O30*$C$30</f>
        <v>6517.1019202807684</v>
      </c>
      <c r="R30" s="238"/>
      <c r="S30" s="238">
        <f>Q30*$C$30</f>
        <v>6647.4439586863837</v>
      </c>
      <c r="T30" s="238"/>
      <c r="U30" s="238">
        <f>S30*$C$30</f>
        <v>6780.3928378601113</v>
      </c>
      <c r="V30" s="238"/>
      <c r="W30" s="238">
        <f>U30*$C$30</f>
        <v>6916.0006946173135</v>
      </c>
      <c r="X30" s="238"/>
      <c r="Y30" s="238">
        <f>W30*$C$30</f>
        <v>7054.3207085096601</v>
      </c>
      <c r="Z30" s="238"/>
      <c r="AA30" s="238">
        <f>Y30*$C$30</f>
        <v>7195.4071226798533</v>
      </c>
      <c r="AB30" s="238"/>
      <c r="AC30" s="238">
        <f>AA30*$C$30</f>
        <v>7339.3152651334503</v>
      </c>
      <c r="AD30" s="238"/>
      <c r="AE30" s="238">
        <f>AC30*$C$30</f>
        <v>7486.1015704361198</v>
      </c>
      <c r="AF30" s="238"/>
      <c r="AG30" s="238">
        <f>AE30*$C$30</f>
        <v>7635.8236018448424</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Bond Issuer and Trustee Fee:</v>
      </c>
      <c r="C32" s="340">
        <v>1</v>
      </c>
      <c r="E32" s="238">
        <f>Application!AC877</f>
        <v>7787</v>
      </c>
      <c r="F32" s="238"/>
      <c r="G32" s="238">
        <f>E32*$C$32</f>
        <v>7787</v>
      </c>
      <c r="H32" s="238"/>
      <c r="I32" s="238">
        <f>G32*$C$32</f>
        <v>7787</v>
      </c>
      <c r="J32" s="238"/>
      <c r="K32" s="238">
        <f>I32*$C$32</f>
        <v>7787</v>
      </c>
      <c r="L32" s="238"/>
      <c r="M32" s="238">
        <f>K32*$C$32</f>
        <v>7787</v>
      </c>
      <c r="N32" s="238"/>
      <c r="O32" s="238">
        <f>M32*$C$32</f>
        <v>7787</v>
      </c>
      <c r="P32" s="238"/>
      <c r="Q32" s="238">
        <f>O32*$C$32</f>
        <v>7787</v>
      </c>
      <c r="R32" s="238"/>
      <c r="S32" s="238">
        <f>Q32*$C$32</f>
        <v>7787</v>
      </c>
      <c r="T32" s="238"/>
      <c r="U32" s="238">
        <f>S32*$C$32</f>
        <v>7787</v>
      </c>
      <c r="V32" s="238"/>
      <c r="W32" s="238">
        <f>U32*$C$32</f>
        <v>7787</v>
      </c>
      <c r="X32" s="238"/>
      <c r="Y32" s="238">
        <f>W32*$C$32</f>
        <v>7787</v>
      </c>
      <c r="Z32" s="238"/>
      <c r="AA32" s="238">
        <f>Y32*$C$32</f>
        <v>7787</v>
      </c>
      <c r="AB32" s="238"/>
      <c r="AC32" s="238">
        <f>AA32*$C$32</f>
        <v>7787</v>
      </c>
      <c r="AD32" s="238"/>
      <c r="AE32" s="238">
        <f>AC32*$C$32</f>
        <v>7787</v>
      </c>
      <c r="AF32" s="238"/>
      <c r="AG32" s="238">
        <f>AE32*$C$32</f>
        <v>7787</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1895699</v>
      </c>
      <c r="G35" s="239">
        <f>SUM(G22:G33)</f>
        <v>1959526.1149999998</v>
      </c>
      <c r="I35" s="239">
        <f>SUM(I22:I33)</f>
        <v>2025585.4429249996</v>
      </c>
      <c r="K35" s="239">
        <f>SUM(K22:K33)</f>
        <v>2093955.0765053742</v>
      </c>
      <c r="M35" s="239">
        <f>SUM(M22:M33)</f>
        <v>2164715.8410226218</v>
      </c>
      <c r="O35" s="239">
        <f>SUM(O22:O33)</f>
        <v>2237951.3899347647</v>
      </c>
      <c r="Q35" s="239">
        <f>SUM(Q22:Q33)</f>
        <v>2313748.3038483597</v>
      </c>
      <c r="S35" s="239">
        <f>SUM(S22:S33)</f>
        <v>2392196.1929542478</v>
      </c>
      <c r="U35" s="239">
        <f>SUM(U22:U33)</f>
        <v>2473387.8030482666</v>
      </c>
      <c r="W35" s="239">
        <f>SUM(W22:W33)</f>
        <v>2557419.1252623876</v>
      </c>
      <c r="Y35" s="239">
        <f>SUM(Y22:Y33)</f>
        <v>2644389.5096361521</v>
      </c>
      <c r="AA35" s="239">
        <f>SUM(AA22:AA33)</f>
        <v>2734401.7826627893</v>
      </c>
      <c r="AC35" s="239">
        <f>SUM(AC22:AC33)</f>
        <v>2827562.3689491465</v>
      </c>
      <c r="AE35" s="239">
        <f>SUM(AE22:AE33)</f>
        <v>2923981.4171333895</v>
      </c>
      <c r="AG35" s="239">
        <f>SUM(AG22:AG33)</f>
        <v>3023772.9302095007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948261.85000000009</v>
      </c>
      <c r="G37" s="239">
        <f>G11-G35</f>
        <v>955533.75625000009</v>
      </c>
      <c r="I37" s="239">
        <f>I11-I35</f>
        <v>962350.92510625022</v>
      </c>
      <c r="K37" s="239">
        <f>K11-K35</f>
        <v>968679.70072665624</v>
      </c>
      <c r="M37" s="239">
        <f>M11-M35</f>
        <v>974484.80564020947</v>
      </c>
      <c r="O37" s="239">
        <f>O11-O35</f>
        <v>979729.27289463719</v>
      </c>
      <c r="Q37" s="239">
        <f>Q11-Q35</f>
        <v>984374.37555177649</v>
      </c>
      <c r="S37" s="239">
        <f>S11-S35</f>
        <v>988379.55343089113</v>
      </c>
      <c r="U37" s="239">
        <f>U11-U35</f>
        <v>991702.33699650085</v>
      </c>
      <c r="W37" s="239">
        <f>W11-W35</f>
        <v>994298.26828349894</v>
      </c>
      <c r="Y37" s="239">
        <f>Y11-Y35</f>
        <v>996120.81874838099</v>
      </c>
      <c r="AA37" s="239">
        <f>AA11-AA35</f>
        <v>997121.30393135687</v>
      </c>
      <c r="AC37" s="239">
        <f>AC11-AC35</f>
        <v>997248.79480985273</v>
      </c>
      <c r="AE37" s="239">
        <f>AE11-AE35</f>
        <v>996450.02571958443</v>
      </c>
      <c r="AG37" s="239">
        <f>AG11-AG35</f>
        <v>994669.29871479748</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U.S Bank Tax Exempt Perm Loan</v>
      </c>
      <c r="B40" s="242"/>
      <c r="C40" s="236"/>
      <c r="E40" s="238">
        <f>Application!AF623</f>
        <v>823509</v>
      </c>
      <c r="F40" s="238"/>
      <c r="G40" s="238">
        <f>$E$40</f>
        <v>823509</v>
      </c>
      <c r="H40" s="238"/>
      <c r="I40" s="238">
        <f>$E$40</f>
        <v>823509</v>
      </c>
      <c r="J40" s="238"/>
      <c r="K40" s="238">
        <f>$E$40</f>
        <v>823509</v>
      </c>
      <c r="L40" s="238"/>
      <c r="M40" s="238">
        <f>$E$40</f>
        <v>823509</v>
      </c>
      <c r="N40" s="238"/>
      <c r="O40" s="238">
        <f>$E$40</f>
        <v>823509</v>
      </c>
      <c r="P40" s="238"/>
      <c r="Q40" s="238">
        <f>$E$40</f>
        <v>823509</v>
      </c>
      <c r="R40" s="238"/>
      <c r="S40" s="238">
        <f>$E$40</f>
        <v>823509</v>
      </c>
      <c r="T40" s="238"/>
      <c r="U40" s="238">
        <f>$E$40</f>
        <v>823509</v>
      </c>
      <c r="V40" s="238"/>
      <c r="W40" s="238">
        <f>$E$40</f>
        <v>823509</v>
      </c>
      <c r="X40" s="238"/>
      <c r="Y40" s="238">
        <f>$E$40</f>
        <v>823509</v>
      </c>
      <c r="Z40" s="238"/>
      <c r="AA40" s="238">
        <f>$E$40</f>
        <v>823509</v>
      </c>
      <c r="AB40" s="238"/>
      <c r="AC40" s="238">
        <f>$E$40</f>
        <v>823509</v>
      </c>
      <c r="AD40" s="238"/>
      <c r="AE40" s="238">
        <f>$E$40</f>
        <v>823509</v>
      </c>
      <c r="AF40" s="238"/>
      <c r="AG40" s="238">
        <f>$E$40</f>
        <v>823509</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876</v>
      </c>
      <c r="C43" s="240"/>
      <c r="E43" s="239">
        <f>SUM(E40:E42)</f>
        <v>823509</v>
      </c>
      <c r="G43" s="239">
        <f>SUM(G40:G42)</f>
        <v>823509</v>
      </c>
      <c r="I43" s="239">
        <f>SUM(I40:I42)</f>
        <v>823509</v>
      </c>
      <c r="K43" s="239">
        <f>SUM(K40:K42)</f>
        <v>823509</v>
      </c>
      <c r="M43" s="239">
        <f>SUM(M40:M42)</f>
        <v>823509</v>
      </c>
      <c r="O43" s="239">
        <f>SUM(O40:O42)</f>
        <v>823509</v>
      </c>
      <c r="Q43" s="239">
        <f>SUM(Q40:Q42)</f>
        <v>823509</v>
      </c>
      <c r="S43" s="239">
        <f>SUM(S40:S42)</f>
        <v>823509</v>
      </c>
      <c r="U43" s="239">
        <f>SUM(U40:U42)</f>
        <v>823509</v>
      </c>
      <c r="W43" s="239">
        <f>SUM(W40:W42)</f>
        <v>823509</v>
      </c>
      <c r="Y43" s="239">
        <f>SUM(Y40:Y42)</f>
        <v>823509</v>
      </c>
      <c r="AA43" s="239">
        <f>SUM(AA40:AA42)</f>
        <v>823509</v>
      </c>
      <c r="AC43" s="239">
        <f>SUM(AC40:AC42)</f>
        <v>823509</v>
      </c>
      <c r="AE43" s="239">
        <f>SUM(AE40:AE42)</f>
        <v>823509</v>
      </c>
      <c r="AG43" s="239">
        <f>SUM(AG40:AG42)</f>
        <v>823509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124752.85000000009</v>
      </c>
      <c r="G45" s="239">
        <f>G37-G43</f>
        <v>132024.75625000009</v>
      </c>
      <c r="I45" s="239">
        <f>I37-I43</f>
        <v>138841.92510625022</v>
      </c>
      <c r="K45" s="239">
        <f>K37-K43</f>
        <v>145170.70072665624</v>
      </c>
      <c r="M45" s="239">
        <f>M37-M43</f>
        <v>150975.80564020947</v>
      </c>
      <c r="O45" s="239">
        <f>O37-O43</f>
        <v>156220.27289463719</v>
      </c>
      <c r="Q45" s="239">
        <f>Q37-Q43</f>
        <v>160865.37555177649</v>
      </c>
      <c r="S45" s="239">
        <f>S37-S43</f>
        <v>164870.55343089113</v>
      </c>
      <c r="U45" s="239">
        <f>U37-U43</f>
        <v>168193.33699650085</v>
      </c>
      <c r="W45" s="239">
        <f>W37-W43</f>
        <v>170789.26828349894</v>
      </c>
      <c r="Y45" s="239">
        <f>Y37-Y43</f>
        <v>172611.81874838099</v>
      </c>
      <c r="AA45" s="239">
        <f>AA37-AA43</f>
        <v>173612.30393135687</v>
      </c>
      <c r="AC45" s="239">
        <f>AC37-AC43</f>
        <v>173739.79480985273</v>
      </c>
      <c r="AE45" s="239">
        <f>AE37-AE43</f>
        <v>172941.02571958443</v>
      </c>
      <c r="AG45" s="239">
        <f>AG37-AG43</f>
        <v>171160.29871479748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4.1672587546344064E-2</v>
      </c>
      <c r="G47" s="243">
        <f>G45/(G4+G6+G8)</f>
        <v>4.302605228609508E-2</v>
      </c>
      <c r="I47" s="243">
        <f>I45/(I4+I6+I8)</f>
        <v>4.4144122432515677E-2</v>
      </c>
      <c r="K47" s="243">
        <f>K45/(K4+K6+K8)</f>
        <v>4.5030562153730476E-2</v>
      </c>
      <c r="M47" s="243">
        <f>M45/(M4+M6+M8)</f>
        <v>4.5689024532621379E-2</v>
      </c>
      <c r="O47" s="243">
        <f>O45/(O4+O6+O8)</f>
        <v>4.6123054088097325E-2</v>
      </c>
      <c r="Q47" s="243">
        <f>Q45/(Q4+Q6+Q8)</f>
        <v>4.6336089233036962E-2</v>
      </c>
      <c r="S47" s="243">
        <f>S45/(S4+S6+S8)</f>
        <v>4.6331464670427334E-2</v>
      </c>
      <c r="U47" s="243">
        <f>U45/(U4+U6+U8)</f>
        <v>4.6112413729188437E-2</v>
      </c>
      <c r="W47" s="243">
        <f>W45/(W4+W6+W8)</f>
        <v>4.568207064113864E-2</v>
      </c>
      <c r="Y47" s="243">
        <f>Y45/(Y4+Y6+Y8)</f>
        <v>4.5043472760514916E-2</v>
      </c>
      <c r="AA47" s="243">
        <f>AA45/(AA4+AA6+AA8)</f>
        <v>4.4199562727434784E-2</v>
      </c>
      <c r="AC47" s="243">
        <f>AC45/(AC4+AC6+AC8)</f>
        <v>4.3153190576642034E-2</v>
      </c>
      <c r="AE47" s="243">
        <f>AE45/(AE4+AE6+AE8)</f>
        <v>4.1907115792859086E-2</v>
      </c>
      <c r="AG47" s="243">
        <f>AG45/(AG4+AG6+AG8)</f>
        <v>4.0464009314023365E-2</v>
      </c>
    </row>
    <row r="48" spans="1:33" s="243" customFormat="1" ht="13.8">
      <c r="A48" s="243" t="s">
        <v>880</v>
      </c>
      <c r="C48" s="236"/>
      <c r="E48" s="243">
        <f>E45/E43</f>
        <v>0.1514893583433819</v>
      </c>
      <c r="G48" s="243">
        <f>G45/G43</f>
        <v>0.16031974908592389</v>
      </c>
      <c r="I48" s="243">
        <f>I45/I43</f>
        <v>0.16859794502094114</v>
      </c>
      <c r="K48" s="243">
        <f>K45/K43</f>
        <v>0.17628307732721349</v>
      </c>
      <c r="M48" s="243">
        <f>M45/M43</f>
        <v>0.1833323080138887</v>
      </c>
      <c r="O48" s="243">
        <f>O45/O43</f>
        <v>0.1897007475263017</v>
      </c>
      <c r="Q48" s="243">
        <f>Q45/Q43</f>
        <v>0.19534136913109207</v>
      </c>
      <c r="S48" s="243">
        <f>S45/S43</f>
        <v>0.20020491995945536</v>
      </c>
      <c r="U48" s="243">
        <f>U45/U43</f>
        <v>0.20423982858293091</v>
      </c>
      <c r="W48" s="243">
        <f>W45/W43</f>
        <v>0.20739210899152158</v>
      </c>
      <c r="Y48" s="243">
        <f>Y45/Y43</f>
        <v>0.20960526083914199</v>
      </c>
      <c r="AA48" s="243">
        <f>AA45/AA43</f>
        <v>0.21082016581647181</v>
      </c>
      <c r="AC48" s="243">
        <f>AC45/AC43</f>
        <v>0.21097498000611131</v>
      </c>
      <c r="AE48" s="243">
        <f>AE45/AE43</f>
        <v>0.21000502206968524</v>
      </c>
      <c r="AG48" s="243">
        <f>AG45/AG43</f>
        <v>0.20784265711096961</v>
      </c>
    </row>
    <row r="49" spans="1:35" s="244" customFormat="1" ht="13.8">
      <c r="A49" s="244" t="s">
        <v>878</v>
      </c>
      <c r="C49" s="245"/>
      <c r="E49" s="244">
        <f>E37/E43</f>
        <v>1.1514893583433818</v>
      </c>
      <c r="G49" s="244">
        <f>G37/G43</f>
        <v>1.1603197490859238</v>
      </c>
      <c r="I49" s="244">
        <f>I37/I43</f>
        <v>1.1685979450209412</v>
      </c>
      <c r="K49" s="244">
        <f>K37/K43</f>
        <v>1.1762830773272135</v>
      </c>
      <c r="M49" s="244">
        <f>M37/M43</f>
        <v>1.1833323080138887</v>
      </c>
      <c r="O49" s="244">
        <f>O37/O43</f>
        <v>1.1897007475263017</v>
      </c>
      <c r="Q49" s="244">
        <f>Q37/Q43</f>
        <v>1.1953413691310921</v>
      </c>
      <c r="S49" s="244">
        <f>S37/S43</f>
        <v>1.2002049199594553</v>
      </c>
      <c r="U49" s="244">
        <f>U37/U43</f>
        <v>1.204239828582931</v>
      </c>
      <c r="W49" s="244">
        <f>W37/W43</f>
        <v>1.2073921089915216</v>
      </c>
      <c r="Y49" s="244">
        <f>Y37/Y43</f>
        <v>1.2096052608391421</v>
      </c>
      <c r="AA49" s="244">
        <f>AA37/AA43</f>
        <v>1.2108201658164719</v>
      </c>
      <c r="AC49" s="244">
        <f>AC37/AC43</f>
        <v>1.2109749800061114</v>
      </c>
      <c r="AE49" s="244">
        <f>AE37/AE43</f>
        <v>1.2100050220696852</v>
      </c>
      <c r="AG49" s="244">
        <f>AG37/AG43</f>
        <v>1.2078426571109697</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1327</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124752.85000000009</v>
      </c>
      <c r="G60" s="999">
        <f>G45-G58</f>
        <v>132024.75625000009</v>
      </c>
      <c r="I60" s="999">
        <f>I45-I58</f>
        <v>138841.92510625022</v>
      </c>
      <c r="K60" s="999">
        <f>K45-K58</f>
        <v>145170.70072665624</v>
      </c>
      <c r="M60" s="999">
        <f>M45-M58</f>
        <v>150975.80564020947</v>
      </c>
      <c r="O60" s="999">
        <f>O45-O58</f>
        <v>156220.27289463719</v>
      </c>
      <c r="Q60" s="999">
        <f>Q45-Q58</f>
        <v>160865.37555177649</v>
      </c>
      <c r="S60" s="999">
        <f>S45-S58</f>
        <v>164870.55343089113</v>
      </c>
      <c r="U60" s="999">
        <f>U45-U58</f>
        <v>168193.33699650085</v>
      </c>
      <c r="W60" s="999">
        <f>W45-W58</f>
        <v>170789.26828349894</v>
      </c>
      <c r="Y60" s="999">
        <f>Y45-Y58</f>
        <v>172611.81874838099</v>
      </c>
      <c r="AA60" s="999">
        <f>AA45-AA58</f>
        <v>173612.30393135687</v>
      </c>
      <c r="AC60" s="999">
        <f>AC45-AC58</f>
        <v>173739.79480985273</v>
      </c>
      <c r="AE60" s="999">
        <f>AE45-AE58</f>
        <v>172941.02571958443</v>
      </c>
      <c r="AG60" s="999">
        <f>AG45-AG58</f>
        <v>171160.29871479748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124752.85000000009</v>
      </c>
      <c r="G62" s="999">
        <f>G60*$C$62</f>
        <v>132024.75625000009</v>
      </c>
      <c r="I62" s="999">
        <f>I60*$C$62</f>
        <v>138841.92510625022</v>
      </c>
      <c r="K62" s="999">
        <f>K60*$C$62</f>
        <v>145170.70072665624</v>
      </c>
      <c r="M62" s="999">
        <f>M60*$C$62</f>
        <v>150975.80564020947</v>
      </c>
      <c r="O62" s="999">
        <f>O60*$C$62</f>
        <v>156220.27289463719</v>
      </c>
      <c r="Q62" s="999">
        <f>Q60*$C$62</f>
        <v>160865.37555177649</v>
      </c>
      <c r="S62" s="999">
        <f>S60*$C$62</f>
        <v>164870.55343089113</v>
      </c>
      <c r="U62" s="999">
        <f>U60*$C$62</f>
        <v>168193.33699650085</v>
      </c>
      <c r="W62" s="999">
        <f>W60*$C$62</f>
        <v>170789.26828349894</v>
      </c>
      <c r="Y62" s="999">
        <f>Y60*$C$62</f>
        <v>172611.81874838099</v>
      </c>
      <c r="AA62" s="999">
        <f>AA60*$C$62</f>
        <v>173612.30393135687</v>
      </c>
      <c r="AC62" s="999">
        <f>AC60*$C$62</f>
        <v>173739.79480985273</v>
      </c>
      <c r="AE62" s="999">
        <f>AE60*$C$62</f>
        <v>172941.02571958443</v>
      </c>
      <c r="AG62" s="999">
        <f>AG60*$C$62</f>
        <v>171160.29871479748</v>
      </c>
    </row>
    <row r="63" spans="1:35" s="999" customFormat="1">
      <c r="A63" s="2540" t="s">
        <v>1327</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8" t="s">
        <v>1982</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1011</v>
      </c>
    </row>
    <row r="2" spans="1:1" ht="15.6">
      <c r="A2" s="338"/>
    </row>
    <row r="3" spans="1:1" ht="15.6">
      <c r="A3" s="339" t="s">
        <v>1006</v>
      </c>
    </row>
    <row r="4" spans="1:1" ht="15.6">
      <c r="A4" s="339" t="s">
        <v>1007</v>
      </c>
    </row>
    <row r="5" spans="1:1" ht="15.6">
      <c r="A5" s="339" t="s">
        <v>1008</v>
      </c>
    </row>
    <row r="6" spans="1:1" ht="15.6">
      <c r="A6" s="339" t="s">
        <v>1010</v>
      </c>
    </row>
    <row r="7" spans="1:1" ht="15.6">
      <c r="A7" s="339" t="s">
        <v>1009</v>
      </c>
    </row>
    <row r="8" spans="1:1" ht="15.6">
      <c r="A8" s="375" t="s">
        <v>1085</v>
      </c>
    </row>
    <row r="9" spans="1:1" ht="15.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1163000</v>
      </c>
      <c r="C5" s="286">
        <f>'Sources and Uses Budget'!$C4</f>
        <v>1163000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1163000</v>
      </c>
      <c r="C9" s="290">
        <f>SUM(C5:C8)</f>
        <v>1163000</v>
      </c>
      <c r="D9" s="290">
        <f t="shared" si="0"/>
        <v>0</v>
      </c>
      <c r="E9" s="288"/>
      <c r="F9" s="287"/>
      <c r="G9" s="384"/>
    </row>
    <row r="10" spans="1:7" s="381" customFormat="1">
      <c r="A10" s="396" t="s">
        <v>603</v>
      </c>
      <c r="B10" s="286">
        <f>'Sources and Uses Budget'!$C9</f>
        <v>38837000</v>
      </c>
      <c r="C10" s="286">
        <f>'Sources and Uses Budget'!$C9</f>
        <v>38837000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38837000</v>
      </c>
      <c r="C12" s="290">
        <f>SUM(C10:C11)</f>
        <v>38837000</v>
      </c>
      <c r="D12" s="290">
        <f t="shared" si="0"/>
        <v>0</v>
      </c>
      <c r="E12" s="288"/>
      <c r="F12" s="287"/>
      <c r="G12" s="384"/>
    </row>
    <row r="13" spans="1:7" s="381" customFormat="1">
      <c r="A13" s="397" t="s">
        <v>85</v>
      </c>
      <c r="B13" s="290">
        <f>SUM(B9+B12)</f>
        <v>40000000</v>
      </c>
      <c r="C13" s="290">
        <f>SUM(C9+C12)</f>
        <v>40000000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238744</v>
      </c>
      <c r="C15" s="286">
        <f>'Sources and Uses Budget'!$C14</f>
        <v>238744</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1173800</v>
      </c>
      <c r="C18" s="286">
        <f>'Sources and Uses Budget'!$C17</f>
        <v>1173800</v>
      </c>
      <c r="D18" s="290">
        <f t="shared" si="0"/>
        <v>0</v>
      </c>
      <c r="E18" s="288"/>
      <c r="F18" s="287"/>
      <c r="G18" s="384"/>
    </row>
    <row r="19" spans="1:7" s="381" customFormat="1">
      <c r="A19" s="145" t="s">
        <v>608</v>
      </c>
      <c r="B19" s="286">
        <f>'Sources and Uses Budget'!$C18</f>
        <v>12020197</v>
      </c>
      <c r="C19" s="286">
        <f>'Sources and Uses Budget'!$C18</f>
        <v>12020197</v>
      </c>
      <c r="D19" s="290">
        <f t="shared" si="0"/>
        <v>0</v>
      </c>
      <c r="E19" s="288"/>
      <c r="F19" s="287"/>
      <c r="G19" s="384"/>
    </row>
    <row r="20" spans="1:7" s="381" customFormat="1">
      <c r="A20" s="145" t="s">
        <v>609</v>
      </c>
      <c r="B20" s="286">
        <f>'Sources and Uses Budget'!$C19</f>
        <v>1089176</v>
      </c>
      <c r="C20" s="286">
        <f>'Sources and Uses Budget'!$C19</f>
        <v>1089176</v>
      </c>
      <c r="D20" s="290">
        <f t="shared" si="0"/>
        <v>0</v>
      </c>
      <c r="E20" s="288"/>
      <c r="F20" s="287"/>
      <c r="G20" s="384"/>
    </row>
    <row r="21" spans="1:7" s="381" customFormat="1">
      <c r="A21" s="145" t="s">
        <v>138</v>
      </c>
      <c r="B21" s="286">
        <f>'Sources and Uses Budget'!$C20</f>
        <v>374933.5</v>
      </c>
      <c r="C21" s="286">
        <f>'Sources and Uses Budget'!$C20</f>
        <v>374933.5</v>
      </c>
      <c r="D21" s="290">
        <f t="shared" si="0"/>
        <v>0</v>
      </c>
      <c r="E21" s="288"/>
      <c r="F21" s="287"/>
      <c r="G21" s="384"/>
    </row>
    <row r="22" spans="1:7" s="381" customFormat="1">
      <c r="A22" s="145" t="s">
        <v>139</v>
      </c>
      <c r="B22" s="286">
        <f>'Sources and Uses Budget'!$C21</f>
        <v>374933.5</v>
      </c>
      <c r="C22" s="286">
        <f>'Sources and Uses Budget'!$C21</f>
        <v>374933.5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300661</v>
      </c>
      <c r="C24" s="286">
        <f>'Sources and Uses Budget'!$C23</f>
        <v>300661</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Bond Premium</v>
      </c>
      <c r="B26" s="286">
        <f>'Sources and Uses Budget'!$C25</f>
        <v>153337</v>
      </c>
      <c r="C26" s="286">
        <f>'Sources and Uses Budget'!$C25</f>
        <v>153337</v>
      </c>
      <c r="D26" s="290">
        <f t="shared" si="0"/>
        <v>0</v>
      </c>
      <c r="E26" s="288"/>
      <c r="F26" s="287"/>
      <c r="G26" s="384"/>
    </row>
    <row r="27" spans="1:7" s="381" customFormat="1">
      <c r="A27" s="1055" t="s">
        <v>134</v>
      </c>
      <c r="B27" s="290">
        <f>SUM(B18:B26)</f>
        <v>15487038</v>
      </c>
      <c r="C27" s="290">
        <f>SUM(C18:C26)</f>
        <v>15487038</v>
      </c>
      <c r="D27" s="290">
        <f>SUM(D18:D26)</f>
        <v>0</v>
      </c>
      <c r="E27" s="288"/>
      <c r="F27" s="287"/>
      <c r="G27" s="384"/>
    </row>
    <row r="28" spans="1:7" s="381" customFormat="1">
      <c r="A28" s="291" t="s">
        <v>142</v>
      </c>
      <c r="B28" s="286">
        <f>'Sources and Uses Budget'!$C$27</f>
        <v>625000</v>
      </c>
      <c r="C28" s="286">
        <f>'Sources and Uses Budget'!$C$27</f>
        <v>625000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842400</v>
      </c>
      <c r="C41" s="286">
        <f>'Sources and Uses Budget'!$C40</f>
        <v>842400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842400</v>
      </c>
      <c r="C43" s="290">
        <f>SUM(C41:C42)</f>
        <v>842400</v>
      </c>
      <c r="D43" s="290">
        <f t="shared" si="0"/>
        <v>0</v>
      </c>
      <c r="E43" s="288"/>
      <c r="F43" s="287"/>
      <c r="G43" s="384"/>
    </row>
    <row r="44" spans="1:7" s="381" customFormat="1">
      <c r="A44" s="291" t="s">
        <v>149</v>
      </c>
      <c r="B44" s="286">
        <f>'Sources and Uses Budget'!$C43</f>
        <v>280800</v>
      </c>
      <c r="C44" s="286">
        <f>'Sources and Uses Budget'!$C43</f>
        <v>280800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5839306</v>
      </c>
      <c r="C46" s="286">
        <f>'Sources and Uses Budget'!$C45</f>
        <v>5839306</v>
      </c>
      <c r="D46" s="290">
        <f t="shared" si="0"/>
        <v>0</v>
      </c>
      <c r="E46" s="288"/>
      <c r="F46" s="287"/>
      <c r="G46" s="384"/>
    </row>
    <row r="47" spans="1:7" s="381" customFormat="1">
      <c r="A47" s="145" t="s">
        <v>152</v>
      </c>
      <c r="B47" s="286">
        <f>'Sources and Uses Budget'!$C46</f>
        <v>301788</v>
      </c>
      <c r="C47" s="286">
        <f>'Sources and Uses Budget'!$C46</f>
        <v>301788</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204591</v>
      </c>
      <c r="C50" s="286">
        <f>'Sources and Uses Budget'!$C49</f>
        <v>204591</v>
      </c>
      <c r="D50" s="290">
        <f t="shared" si="0"/>
        <v>0</v>
      </c>
      <c r="E50" s="288"/>
      <c r="F50" s="287"/>
      <c r="G50" s="384"/>
    </row>
    <row r="51" spans="1:7" s="381" customFormat="1">
      <c r="A51" s="145" t="s">
        <v>157</v>
      </c>
      <c r="B51" s="286">
        <f>'Sources and Uses Budget'!$C50</f>
        <v>30000</v>
      </c>
      <c r="C51" s="286">
        <f>'Sources and Uses Budget'!$C50</f>
        <v>30000</v>
      </c>
      <c r="D51" s="290">
        <f t="shared" si="0"/>
        <v>0</v>
      </c>
      <c r="E51" s="288"/>
      <c r="F51" s="287"/>
      <c r="G51" s="384"/>
    </row>
    <row r="52" spans="1:7" s="381" customFormat="1">
      <c r="A52" s="304" t="s">
        <v>155</v>
      </c>
      <c r="B52" s="286">
        <f>'Sources and Uses Budget'!$C51</f>
        <v>100000</v>
      </c>
      <c r="C52" s="286">
        <f>'Sources and Uses Budget'!$C51</f>
        <v>100000</v>
      </c>
      <c r="D52" s="290">
        <f t="shared" si="0"/>
        <v>0</v>
      </c>
      <c r="E52" s="288"/>
      <c r="F52" s="287"/>
      <c r="G52" s="384"/>
    </row>
    <row r="53" spans="1:7" s="381" customFormat="1">
      <c r="A53" s="145" t="s">
        <v>156</v>
      </c>
      <c r="B53" s="286">
        <f>'Sources and Uses Budget'!$C52</f>
        <v>60000</v>
      </c>
      <c r="C53" s="286">
        <f>'Sources and Uses Budget'!$C52</f>
        <v>60000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6535685</v>
      </c>
      <c r="C55" s="293">
        <f>SUM(C46:C54)</f>
        <v>6535685</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115740</v>
      </c>
      <c r="C57" s="286">
        <f>'Sources and Uses Budget'!$C56</f>
        <v>115740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15000</v>
      </c>
      <c r="C59" s="286">
        <f>'Sources and Uses Budget'!$C58</f>
        <v>15000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Conversion Fee</v>
      </c>
      <c r="B62" s="286">
        <f>'Sources and Uses Budget'!$C61</f>
        <v>57870</v>
      </c>
      <c r="C62" s="286">
        <f>'Sources and Uses Budget'!$C61</f>
        <v>57870</v>
      </c>
      <c r="D62" s="290">
        <f t="shared" si="0"/>
        <v>0</v>
      </c>
      <c r="E62" s="288"/>
      <c r="F62" s="287"/>
      <c r="G62" s="384"/>
    </row>
    <row r="63" spans="1:7" s="381" customFormat="1" ht="13.8" customHeight="1">
      <c r="A63" s="291" t="s">
        <v>302</v>
      </c>
      <c r="B63" s="290">
        <f>SUM(B57:B62)</f>
        <v>188610</v>
      </c>
      <c r="C63" s="290">
        <f>SUM(C57:C62)</f>
        <v>188610</v>
      </c>
      <c r="D63" s="290">
        <f t="shared" si="0"/>
        <v>0</v>
      </c>
      <c r="E63" s="288"/>
      <c r="F63" s="287"/>
      <c r="G63" s="384"/>
    </row>
    <row r="64" spans="1:7" s="381" customFormat="1">
      <c r="A64" s="294" t="s">
        <v>303</v>
      </c>
      <c r="B64" s="290">
        <f>SUM(B9+B12+B14+B15+B17+B26+B28+B39+B43+B44+B55+B63)</f>
        <v>48864576</v>
      </c>
      <c r="C64" s="290">
        <f>SUM(C9+C12+C14+C15+C17+C26+C28+C39+C43+C44+C55+C63)</f>
        <v>48864576</v>
      </c>
      <c r="D64" s="290">
        <f t="shared" si="0"/>
        <v>0</v>
      </c>
      <c r="E64" s="288"/>
      <c r="F64" s="287"/>
      <c r="G64" s="384"/>
    </row>
    <row r="65" spans="1:7" s="381" customFormat="1" ht="22.8">
      <c r="A65" s="141" t="s">
        <v>1825</v>
      </c>
      <c r="B65" s="284"/>
      <c r="C65" s="284"/>
      <c r="D65" s="284"/>
      <c r="E65" s="303"/>
      <c r="F65" s="284"/>
      <c r="G65" s="384"/>
    </row>
    <row r="66" spans="1:7" s="381" customFormat="1">
      <c r="A66" s="145" t="s">
        <v>171</v>
      </c>
      <c r="B66" s="286">
        <f>'Sources and Uses Budget'!$C65</f>
        <v>135000</v>
      </c>
      <c r="C66" s="286">
        <f>'Sources and Uses Budget'!$C65</f>
        <v>135000</v>
      </c>
      <c r="D66" s="290">
        <f t="shared" si="0"/>
        <v>0</v>
      </c>
      <c r="E66" s="288"/>
      <c r="F66" s="287"/>
      <c r="G66" s="384"/>
    </row>
    <row r="67" spans="1:7" s="381" customFormat="1" ht="22.8">
      <c r="A67" s="304" t="s">
        <v>1822</v>
      </c>
      <c r="B67" s="286">
        <f>'Sources and Uses Budget'!$C66</f>
        <v>0</v>
      </c>
      <c r="C67" s="286">
        <f>'Sources and Uses Budget'!$C66</f>
        <v>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51900</v>
      </c>
      <c r="C70" s="286">
        <f>'Sources and Uses Budget'!$C69</f>
        <v>51900</v>
      </c>
      <c r="D70" s="290">
        <f t="shared" si="0"/>
        <v>0</v>
      </c>
      <c r="E70" s="288"/>
      <c r="F70" s="287"/>
      <c r="G70" s="384"/>
    </row>
    <row r="71" spans="1:7" s="381" customFormat="1">
      <c r="A71" s="149" t="s">
        <v>1826</v>
      </c>
      <c r="B71" s="290">
        <f>SUM(B66:B70)</f>
        <v>186900</v>
      </c>
      <c r="C71" s="290">
        <f>SUM(C66:C70)</f>
        <v>186900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679802</v>
      </c>
      <c r="C76" s="286">
        <f>'Sources and Uses Budget'!$C75</f>
        <v>679802</v>
      </c>
      <c r="D76" s="290">
        <f t="shared" si="0"/>
        <v>0</v>
      </c>
      <c r="E76" s="288"/>
      <c r="F76" s="287"/>
      <c r="G76" s="384"/>
    </row>
    <row r="77" spans="1:7" s="381" customFormat="1">
      <c r="A77" s="292" t="s">
        <v>34</v>
      </c>
      <c r="B77" s="286">
        <f>'Sources and Uses Budget'!$C76</f>
        <v>206000</v>
      </c>
      <c r="C77" s="286">
        <f>'Sources and Uses Budget'!$C76</f>
        <v>206000</v>
      </c>
      <c r="D77" s="290">
        <f t="shared" si="0"/>
        <v>0</v>
      </c>
      <c r="E77" s="288"/>
      <c r="F77" s="287"/>
      <c r="G77" s="384"/>
    </row>
    <row r="78" spans="1:7" s="381" customFormat="1">
      <c r="A78" s="291" t="s">
        <v>615</v>
      </c>
      <c r="B78" s="290">
        <f>SUM(B73:B77)</f>
        <v>885802</v>
      </c>
      <c r="C78" s="290">
        <f>SUM(C73:C77)</f>
        <v>885802</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2654487</v>
      </c>
      <c r="C80" s="286">
        <f>'Sources and Uses Budget'!$C79</f>
        <v>2654487</v>
      </c>
      <c r="D80" s="290">
        <f t="shared" si="1"/>
        <v>0</v>
      </c>
      <c r="E80" s="288"/>
      <c r="F80" s="287"/>
      <c r="G80" s="384"/>
    </row>
    <row r="81" spans="1:7" s="381" customFormat="1">
      <c r="A81" s="545" t="s">
        <v>58</v>
      </c>
      <c r="B81" s="286">
        <f>'Sources and Uses Budget'!$C80</f>
        <v>286893</v>
      </c>
      <c r="C81" s="286">
        <f>'Sources and Uses Budget'!$C80</f>
        <v>286893</v>
      </c>
      <c r="D81" s="290">
        <f>C81-B81</f>
        <v>0</v>
      </c>
      <c r="E81" s="288"/>
      <c r="F81" s="287"/>
      <c r="G81" s="384"/>
    </row>
    <row r="82" spans="1:7" s="381" customFormat="1">
      <c r="A82" s="291" t="s">
        <v>1352</v>
      </c>
      <c r="B82" s="290">
        <f>SUM(B80:B81)</f>
        <v>2941380</v>
      </c>
      <c r="C82" s="290">
        <f>SUM(C80:C81)</f>
        <v>2941380</v>
      </c>
      <c r="D82" s="290">
        <f t="shared" si="1"/>
        <v>0</v>
      </c>
      <c r="E82" s="288"/>
      <c r="F82" s="287"/>
      <c r="G82" s="384"/>
    </row>
    <row r="83" spans="1:7" s="381" customFormat="1">
      <c r="A83" s="284" t="s">
        <v>789</v>
      </c>
      <c r="B83" s="284"/>
      <c r="C83" s="284"/>
      <c r="D83" s="284"/>
      <c r="E83" s="303"/>
      <c r="F83" s="284"/>
      <c r="G83" s="384"/>
    </row>
    <row r="84" spans="1:7" s="381" customFormat="1" ht="13.8" customHeight="1">
      <c r="A84" s="289" t="s">
        <v>790</v>
      </c>
      <c r="B84" s="286">
        <f>'Sources and Uses Budget'!$C83</f>
        <v>115681</v>
      </c>
      <c r="C84" s="286">
        <f>'Sources and Uses Budget'!$C83</f>
        <v>115681</v>
      </c>
      <c r="D84" s="290">
        <f t="shared" si="1"/>
        <v>0</v>
      </c>
      <c r="E84" s="288"/>
      <c r="F84" s="287"/>
      <c r="G84" s="384"/>
    </row>
    <row r="85" spans="1:7" s="381" customFormat="1">
      <c r="A85" s="289" t="s">
        <v>791</v>
      </c>
      <c r="B85" s="286">
        <f>'Sources and Uses Budget'!$C84</f>
        <v>103000</v>
      </c>
      <c r="C85" s="286">
        <f>'Sources and Uses Budget'!$C84</f>
        <v>103000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360000</v>
      </c>
      <c r="C87" s="286">
        <f>'Sources and Uses Budget'!$C86</f>
        <v>360000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9833</v>
      </c>
      <c r="C89" s="286">
        <f>'Sources and Uses Budget'!$C88</f>
        <v>9833</v>
      </c>
      <c r="D89" s="290">
        <f t="shared" si="1"/>
        <v>0</v>
      </c>
      <c r="E89" s="288"/>
      <c r="F89" s="287"/>
      <c r="G89" s="384"/>
    </row>
    <row r="90" spans="1:7" s="381" customFormat="1">
      <c r="A90" s="289" t="s">
        <v>796</v>
      </c>
      <c r="B90" s="286">
        <f>'Sources and Uses Budget'!$C89</f>
        <v>26000</v>
      </c>
      <c r="C90" s="286">
        <f>'Sources and Uses Budget'!$C89</f>
        <v>26000</v>
      </c>
      <c r="D90" s="290">
        <f t="shared" si="1"/>
        <v>0</v>
      </c>
      <c r="E90" s="288"/>
      <c r="F90" s="287"/>
      <c r="G90" s="384"/>
    </row>
    <row r="91" spans="1:7" s="381" customFormat="1">
      <c r="A91" s="289" t="s">
        <v>797</v>
      </c>
      <c r="B91" s="286">
        <f>'Sources and Uses Budget'!$C90</f>
        <v>7500</v>
      </c>
      <c r="C91" s="286">
        <f>'Sources and Uses Budget'!$C90</f>
        <v>7500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7500</v>
      </c>
      <c r="C93" s="286">
        <f>'Sources and Uses Budget'!$C92</f>
        <v>7500</v>
      </c>
      <c r="D93" s="290">
        <f t="shared" si="1"/>
        <v>0</v>
      </c>
      <c r="E93" s="288"/>
      <c r="F93" s="287"/>
      <c r="G93" s="384"/>
    </row>
    <row r="94" spans="1:7" s="381" customFormat="1">
      <c r="A94" s="292" t="s">
        <v>34</v>
      </c>
      <c r="B94" s="286">
        <f>'Sources and Uses Budget'!$C93</f>
        <v>149000</v>
      </c>
      <c r="C94" s="286">
        <f>'Sources and Uses Budget'!$C93</f>
        <v>149000</v>
      </c>
      <c r="D94" s="290">
        <f t="shared" si="1"/>
        <v>0</v>
      </c>
      <c r="E94" s="288"/>
      <c r="F94" s="287"/>
      <c r="G94" s="384"/>
    </row>
    <row r="95" spans="1:7" s="381" customFormat="1">
      <c r="A95" s="292" t="s">
        <v>34</v>
      </c>
      <c r="B95" s="286">
        <f>'Sources and Uses Budget'!$C94</f>
        <v>150000</v>
      </c>
      <c r="C95" s="286">
        <f>'Sources and Uses Budget'!$C94</f>
        <v>150000</v>
      </c>
      <c r="D95" s="290">
        <f t="shared" si="1"/>
        <v>0</v>
      </c>
      <c r="E95" s="288"/>
      <c r="F95" s="287"/>
      <c r="G95" s="384"/>
    </row>
    <row r="96" spans="1:7" s="381" customFormat="1">
      <c r="A96" s="292" t="s">
        <v>34</v>
      </c>
      <c r="B96" s="286">
        <f>'Sources and Uses Budget'!$C95</f>
        <v>30000</v>
      </c>
      <c r="C96" s="286">
        <f>'Sources and Uses Budget'!$C95</f>
        <v>30000</v>
      </c>
      <c r="D96" s="290">
        <f t="shared" si="1"/>
        <v>0</v>
      </c>
      <c r="E96" s="288"/>
      <c r="F96" s="287"/>
      <c r="G96" s="384"/>
    </row>
    <row r="97" spans="1:7" s="381" customFormat="1">
      <c r="A97" s="291" t="s">
        <v>798</v>
      </c>
      <c r="B97" s="290">
        <f>SUM(B84:B96)</f>
        <v>958514</v>
      </c>
      <c r="C97" s="290">
        <f>SUM(C84:C96)</f>
        <v>958514</v>
      </c>
      <c r="D97" s="290">
        <f t="shared" si="1"/>
        <v>0</v>
      </c>
      <c r="E97" s="288"/>
      <c r="F97" s="287"/>
      <c r="G97" s="384"/>
    </row>
    <row r="98" spans="1:7" s="381" customFormat="1">
      <c r="A98" s="291" t="s">
        <v>799</v>
      </c>
      <c r="B98" s="290">
        <f>SUM(B64+B71+B78+B82+B97)</f>
        <v>53837172</v>
      </c>
      <c r="C98" s="290">
        <f>SUM(C64+C71+C78+C82+C97)</f>
        <v>53837172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5297298</v>
      </c>
      <c r="C100" s="286">
        <f>'Sources and Uses Budget'!$C99</f>
        <v>5297298</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5297298</v>
      </c>
      <c r="C105" s="290">
        <f>SUM(C100:C104)</f>
        <v>5297298</v>
      </c>
      <c r="D105" s="290">
        <f t="shared" si="1"/>
        <v>0</v>
      </c>
      <c r="E105" s="288"/>
      <c r="F105" s="287"/>
      <c r="G105" s="384"/>
    </row>
    <row r="106" spans="1:7" s="381" customFormat="1">
      <c r="A106" s="291" t="s">
        <v>804</v>
      </c>
      <c r="B106" s="293">
        <f>SUM(B98+B105)</f>
        <v>59134470</v>
      </c>
      <c r="C106" s="293">
        <f>SUM(C98+C105)</f>
        <v>59134470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47FC-537E-9C45-96E7-E33E30BF1B78}">
  <dimension ref="A1"/>
  <sheetViews>
    <sheetView workbookViewId="0"/>
  </sheetViews>
  <sheetFormatPr defaultColWidth="11.5546875"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7"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2"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4">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308</v>
      </c>
      <c r="D21" s="1284" t="s">
        <v>1189</v>
      </c>
      <c r="E21" s="1284"/>
      <c r="F21" s="1284"/>
    </row>
    <row r="22" spans="1:6" ht="14.4">
      <c r="A22" s="176"/>
      <c r="B22" s="176"/>
      <c r="D22" s="35"/>
    </row>
    <row r="23" spans="1:6" ht="14.4">
      <c r="A23" s="176"/>
      <c r="B23" s="469" t="s">
        <v>308</v>
      </c>
      <c r="D23" s="1260" t="s">
        <v>1190</v>
      </c>
      <c r="E23" s="1260"/>
      <c r="F23" s="1260"/>
    </row>
    <row r="24" spans="1:6" ht="14.4">
      <c r="A24" s="176"/>
      <c r="B24" s="176"/>
      <c r="D24" s="1260"/>
      <c r="E24" s="1260"/>
      <c r="F24" s="1260"/>
    </row>
    <row r="25" spans="1:6"/>
    <row r="26" spans="1:6" ht="14.4">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ht="14.4">
      <c r="A34" s="176"/>
      <c r="B34" s="176"/>
      <c r="D34" s="220"/>
    </row>
    <row r="35" spans="1:6" ht="14.55" customHeight="1">
      <c r="A35" s="176"/>
      <c r="B35" s="469" t="s">
        <v>308</v>
      </c>
      <c r="D35" s="1260" t="s">
        <v>1193</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308</v>
      </c>
      <c r="D39" s="1260" t="s">
        <v>1194</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308</v>
      </c>
      <c r="D45" s="1260" t="s">
        <v>1195</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55" customHeight="1">
      <c r="A50" s="176"/>
      <c r="B50" s="469" t="s">
        <v>308</v>
      </c>
      <c r="D50" s="1260" t="s">
        <v>1196</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308</v>
      </c>
      <c r="C54" s="386"/>
      <c r="D54" s="1260" t="s">
        <v>1197</v>
      </c>
      <c r="E54" s="1260"/>
      <c r="F54" s="1260"/>
      <c r="G54" s="3"/>
    </row>
    <row r="55" spans="1:7" ht="14.4">
      <c r="A55" s="176"/>
      <c r="B55" s="176"/>
      <c r="C55" s="386"/>
      <c r="D55" s="1260"/>
      <c r="E55" s="1260"/>
      <c r="F55" s="1260"/>
      <c r="G55" s="3"/>
    </row>
    <row r="56" spans="1:7">
      <c r="D56" s="220"/>
    </row>
    <row r="57" spans="1:7" ht="14.4">
      <c r="A57" s="176"/>
      <c r="B57" s="469" t="s">
        <v>308</v>
      </c>
      <c r="D57" s="1260" t="s">
        <v>1198</v>
      </c>
      <c r="E57" s="1260"/>
      <c r="F57" s="1260"/>
    </row>
    <row r="58" spans="1:7">
      <c r="D58" s="1260"/>
      <c r="E58" s="1260"/>
      <c r="F58" s="1260"/>
    </row>
    <row r="59" spans="1:7">
      <c r="D59" s="1260"/>
      <c r="E59" s="1260"/>
      <c r="F59" s="1260"/>
    </row>
    <row r="60" spans="1:7">
      <c r="D60" s="3"/>
    </row>
    <row r="61" spans="1:7" ht="14.4">
      <c r="A61" s="176"/>
      <c r="B61" s="469" t="s">
        <v>308</v>
      </c>
      <c r="D61" s="1260" t="s">
        <v>1199</v>
      </c>
      <c r="E61" s="1260"/>
      <c r="F61" s="1260"/>
    </row>
    <row r="62" spans="1:7">
      <c r="D62" s="1260"/>
      <c r="E62" s="1260"/>
      <c r="F62" s="1260"/>
    </row>
    <row r="63" spans="1:7"/>
    <row r="64" spans="1:7" ht="14.4">
      <c r="A64" s="176"/>
      <c r="B64" s="469" t="s">
        <v>308</v>
      </c>
      <c r="D64" s="1260" t="s">
        <v>1200</v>
      </c>
      <c r="E64" s="1260"/>
      <c r="F64" s="1260"/>
    </row>
    <row r="65" spans="1:7">
      <c r="D65" s="1260"/>
      <c r="E65" s="1260"/>
      <c r="F65" s="1260"/>
    </row>
    <row r="66" spans="1:7">
      <c r="D66" s="1260"/>
      <c r="E66" s="1260"/>
      <c r="F66" s="1260"/>
    </row>
    <row r="67" spans="1:7">
      <c r="D67"/>
    </row>
    <row r="68" spans="1:7" ht="14.4">
      <c r="A68" s="176"/>
      <c r="B68" s="469" t="s">
        <v>308</v>
      </c>
      <c r="D68" s="1260" t="s">
        <v>1201</v>
      </c>
      <c r="E68" s="1260"/>
      <c r="F68" s="1260"/>
    </row>
    <row r="69" spans="1:7">
      <c r="D69" s="1260"/>
      <c r="E69" s="1260"/>
      <c r="F69" s="1260"/>
    </row>
    <row r="70" spans="1:7" ht="14.4">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4">
      <c r="A76" s="176"/>
      <c r="B76" s="469" t="s">
        <v>308</v>
      </c>
      <c r="D76" s="1260" t="s">
        <v>1207</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55" customHeight="1">
      <c r="A83" s="176"/>
      <c r="B83" s="469" t="s">
        <v>308</v>
      </c>
      <c r="D83" s="1263" t="s">
        <v>1306</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308</v>
      </c>
      <c r="D97" s="1260" t="s">
        <v>1208</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308</v>
      </c>
      <c r="C106" s="179"/>
      <c r="D106" s="1301" t="s">
        <v>1209</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308</v>
      </c>
      <c r="C114"/>
      <c r="D114" s="1302" t="s">
        <v>1210</v>
      </c>
      <c r="E114" s="1302"/>
      <c r="F114" s="1302"/>
      <c r="G114"/>
    </row>
    <row r="115" spans="1:7" ht="14.4">
      <c r="A115" s="176"/>
      <c r="B115" s="176"/>
      <c r="C115"/>
      <c r="D115" s="1302"/>
      <c r="E115" s="1302"/>
      <c r="F115" s="1302"/>
      <c r="G115"/>
    </row>
    <row r="116" spans="1:7"/>
    <row r="117" spans="1:7" ht="14.4">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308</v>
      </c>
      <c r="D123" s="1260" t="s">
        <v>1212</v>
      </c>
      <c r="E123" s="1260"/>
      <c r="F123" s="1260"/>
    </row>
    <row r="124" spans="1:7" s="197" customFormat="1" ht="13.8" customHeight="1">
      <c r="A124" s="195"/>
      <c r="B124" s="195"/>
      <c r="C124" s="195"/>
      <c r="D124" s="1260"/>
      <c r="E124" s="1260"/>
      <c r="F124" s="1260"/>
      <c r="G124" s="196"/>
    </row>
    <row r="125" spans="1:7" ht="13.8" customHeight="1">
      <c r="D125" s="1260"/>
      <c r="E125" s="1260"/>
      <c r="F125" s="1260"/>
    </row>
    <row r="126" spans="1:7" ht="13.8" customHeight="1">
      <c r="D126" s="1260"/>
      <c r="E126" s="1260"/>
      <c r="F126" s="1260"/>
    </row>
    <row r="127" spans="1:7" ht="13.8" customHeight="1">
      <c r="D127" s="1260"/>
      <c r="E127" s="1260"/>
      <c r="F127" s="1260"/>
    </row>
    <row r="128" spans="1:7" ht="13.8" customHeight="1">
      <c r="A128" s="256"/>
      <c r="B128" s="256"/>
      <c r="D128" s="1260"/>
      <c r="E128" s="1260"/>
      <c r="F128" s="1260"/>
    </row>
    <row r="129" spans="2:6" ht="13.8" customHeight="1">
      <c r="D129" s="1260"/>
      <c r="E129" s="1260"/>
      <c r="F129" s="1260"/>
    </row>
    <row r="130" spans="2:6" ht="13.8" customHeight="1">
      <c r="D130" s="1260"/>
      <c r="E130" s="1260"/>
      <c r="F130" s="1260"/>
    </row>
    <row r="131" spans="2:6" ht="13.8" customHeight="1">
      <c r="D131" s="1260"/>
      <c r="E131" s="1260"/>
      <c r="F131" s="1260"/>
    </row>
    <row r="132" spans="2:6" ht="13.8" customHeight="1">
      <c r="D132" s="1260"/>
      <c r="E132" s="1260"/>
      <c r="F132" s="1260"/>
    </row>
    <row r="133" spans="2:6" ht="13.8" customHeight="1">
      <c r="D133" s="1260"/>
      <c r="E133" s="1260"/>
      <c r="F133" s="1260"/>
    </row>
    <row r="134" spans="2:6" ht="13.8" customHeight="1">
      <c r="D134" s="1260"/>
      <c r="E134" s="1260"/>
      <c r="F134" s="1260"/>
    </row>
    <row r="135" spans="2:6" ht="13.8" customHeight="1">
      <c r="D135" s="218"/>
      <c r="E135" s="35"/>
      <c r="F135" s="35"/>
    </row>
    <row r="136" spans="2:6" ht="13.8" customHeight="1">
      <c r="B136" s="469" t="s">
        <v>308</v>
      </c>
      <c r="D136" s="1260" t="s">
        <v>1320</v>
      </c>
      <c r="E136" s="1260"/>
      <c r="F136" s="1260"/>
    </row>
    <row r="137" spans="2:6" ht="13.8" customHeight="1">
      <c r="D137" s="1260"/>
      <c r="E137" s="1260"/>
      <c r="F137" s="1260"/>
    </row>
    <row r="138" spans="2:6" ht="13.8" customHeight="1">
      <c r="D138" s="1260"/>
      <c r="E138" s="1260"/>
      <c r="F138" s="1260"/>
    </row>
    <row r="139" spans="2:6" ht="13.8" customHeight="1">
      <c r="D139" s="1260"/>
      <c r="E139" s="1260"/>
      <c r="F139" s="1260"/>
    </row>
    <row r="140" spans="2:6" ht="13.8" customHeight="1">
      <c r="D140" s="1260"/>
      <c r="E140" s="1260"/>
      <c r="F140" s="1260"/>
    </row>
    <row r="141" spans="2:6" ht="13.8" customHeight="1">
      <c r="D141" s="1260"/>
      <c r="E141" s="1260"/>
      <c r="F141" s="1260"/>
    </row>
    <row r="142" spans="2:6" ht="13.8" customHeight="1">
      <c r="D142" s="1260"/>
      <c r="E142" s="1260"/>
      <c r="F142" s="1260"/>
    </row>
    <row r="143" spans="2:6" ht="13.8" customHeight="1">
      <c r="D143" s="1260"/>
      <c r="E143" s="1260"/>
      <c r="F143" s="1260"/>
    </row>
    <row r="144" spans="2:6" ht="13.8" customHeight="1">
      <c r="D144" s="1260"/>
      <c r="E144" s="1260"/>
      <c r="F144" s="1260"/>
    </row>
    <row r="145" spans="1:7" ht="13.8" customHeight="1">
      <c r="D145" s="1260"/>
      <c r="E145" s="1260"/>
      <c r="F145" s="1260"/>
    </row>
    <row r="146" spans="1:7" ht="13.8" customHeight="1">
      <c r="D146" s="1260"/>
      <c r="E146" s="1260"/>
      <c r="F146" s="1260"/>
    </row>
    <row r="147" spans="1:7" ht="13.8" customHeight="1">
      <c r="D147" s="1260"/>
      <c r="E147" s="1260"/>
      <c r="F147" s="1260"/>
    </row>
    <row r="148" spans="1:7" ht="13.8" customHeight="1">
      <c r="D148" s="1260"/>
      <c r="E148" s="1260"/>
      <c r="F148" s="1260"/>
    </row>
    <row r="149" spans="1:7" ht="13.8" customHeight="1">
      <c r="D149" s="1260"/>
      <c r="E149" s="1260"/>
      <c r="F149" s="1260"/>
    </row>
    <row r="150" spans="1:7" ht="13.8" customHeight="1">
      <c r="D150" s="1260"/>
      <c r="E150" s="1260"/>
      <c r="F150" s="1260"/>
    </row>
    <row r="151" spans="1:7" ht="13.8" customHeight="1">
      <c r="D151" s="1260"/>
      <c r="E151" s="1260"/>
      <c r="F151" s="1260"/>
    </row>
    <row r="152" spans="1:7" ht="13.8" customHeight="1">
      <c r="D152" s="1260"/>
      <c r="E152" s="1260"/>
      <c r="F152" s="1260"/>
    </row>
    <row r="153" spans="1:7" ht="13.8" customHeight="1">
      <c r="D153" s="1260"/>
      <c r="E153" s="1260"/>
      <c r="F153" s="1260"/>
    </row>
    <row r="154" spans="1:7" ht="13.8" customHeight="1">
      <c r="D154" s="1260"/>
      <c r="E154" s="1260"/>
      <c r="F154" s="1260"/>
    </row>
    <row r="155" spans="1:7" ht="13.8" customHeight="1">
      <c r="D155" s="218"/>
      <c r="E155" s="35"/>
      <c r="F155" s="35"/>
    </row>
    <row r="156" spans="1:7" ht="13.8" customHeight="1">
      <c r="A156" s="256"/>
      <c r="B156" s="469" t="s">
        <v>308</v>
      </c>
      <c r="C156" s="218"/>
      <c r="D156" s="1263" t="s">
        <v>1213</v>
      </c>
      <c r="E156" s="1263"/>
      <c r="F156" s="1263"/>
      <c r="G156" s="218"/>
    </row>
    <row r="157" spans="1:7" ht="13.8" customHeight="1">
      <c r="A157" s="256"/>
      <c r="B157" s="256"/>
      <c r="C157" s="218"/>
      <c r="D157" s="1263"/>
      <c r="E157" s="1263"/>
      <c r="F157" s="1263"/>
      <c r="G157" s="218"/>
    </row>
    <row r="158" spans="1:7" ht="13.8" customHeight="1">
      <c r="A158" s="256"/>
      <c r="B158" s="256"/>
      <c r="C158" s="218"/>
      <c r="D158" s="218"/>
      <c r="E158" s="218"/>
      <c r="F158" s="218"/>
      <c r="G158" s="218"/>
    </row>
    <row r="159" spans="1:7" ht="13.8" customHeight="1">
      <c r="A159" s="256"/>
      <c r="B159" s="469" t="s">
        <v>308</v>
      </c>
      <c r="C159" s="218"/>
      <c r="D159" s="1263" t="s">
        <v>1214</v>
      </c>
      <c r="E159" s="1263"/>
      <c r="F159" s="1263"/>
      <c r="G159" s="218"/>
    </row>
    <row r="160" spans="1:7" ht="13.8" customHeight="1">
      <c r="A160" s="256"/>
      <c r="B160" s="256"/>
      <c r="C160" s="218"/>
      <c r="D160" s="1263"/>
      <c r="E160" s="1263"/>
      <c r="F160" s="1263"/>
      <c r="G160" s="218"/>
    </row>
    <row r="161" spans="1:7" ht="13.8" customHeight="1">
      <c r="A161" s="256"/>
      <c r="B161" s="256"/>
      <c r="C161" s="218"/>
      <c r="D161" s="1263"/>
      <c r="E161" s="1263"/>
      <c r="F161" s="1263"/>
      <c r="G161" s="218"/>
    </row>
    <row r="162" spans="1:7" ht="13.8" customHeight="1">
      <c r="A162" s="256"/>
      <c r="B162" s="256"/>
      <c r="C162" s="218"/>
      <c r="D162" s="1263"/>
      <c r="E162" s="1263"/>
      <c r="F162" s="1263"/>
      <c r="G162" s="218"/>
    </row>
    <row r="163" spans="1:7" ht="13.8" customHeight="1">
      <c r="D163" s="35"/>
      <c r="E163" s="35"/>
      <c r="F163" s="35"/>
    </row>
    <row r="164" spans="1:7" ht="13.8" customHeight="1">
      <c r="B164" s="469" t="s">
        <v>308</v>
      </c>
      <c r="D164" s="1297" t="s">
        <v>1215</v>
      </c>
      <c r="E164" s="1297"/>
      <c r="F164" s="1297"/>
    </row>
    <row r="165" spans="1:7" ht="13.8" customHeight="1">
      <c r="D165" s="1297"/>
      <c r="E165" s="1297"/>
      <c r="F165" s="1297"/>
    </row>
    <row r="166" spans="1:7" ht="13.8" customHeight="1">
      <c r="D166" s="1297"/>
      <c r="E166" s="1297"/>
      <c r="F166" s="1297"/>
    </row>
    <row r="167" spans="1:7" ht="13.8"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2"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4">
      <c r="A178" s="176"/>
      <c r="B178" s="469" t="s">
        <v>308</v>
      </c>
      <c r="D178" s="1275" t="s">
        <v>1217</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4">
      <c r="A186" s="176"/>
      <c r="B186" s="469" t="s">
        <v>308</v>
      </c>
      <c r="C186" s="386"/>
      <c r="D186" s="1260" t="s">
        <v>1216</v>
      </c>
      <c r="E186" s="1260"/>
      <c r="F186" s="1260"/>
      <c r="G186" s="3"/>
    </row>
    <row r="187" spans="1:7" ht="14.55"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2" customHeight="1">
      <c r="A196" s="13"/>
      <c r="C196" s="13"/>
      <c r="D196" s="1279" t="s">
        <v>555</v>
      </c>
      <c r="E196" s="1279"/>
      <c r="F196" s="1279"/>
    </row>
    <row r="197" spans="1:6" ht="14.4">
      <c r="A197" s="176"/>
      <c r="B197" s="469" t="s">
        <v>308</v>
      </c>
      <c r="D197" s="1260" t="s">
        <v>1234</v>
      </c>
      <c r="E197" s="1260"/>
      <c r="F197" s="1260"/>
    </row>
    <row r="198" spans="1:6" ht="14.4">
      <c r="A198" s="176"/>
      <c r="B198" s="176"/>
      <c r="D198" s="1260"/>
      <c r="E198" s="1260"/>
      <c r="F198" s="1260"/>
    </row>
    <row r="199" spans="1:6"/>
    <row r="200" spans="1:6" ht="14.4">
      <c r="A200" s="176"/>
      <c r="B200" s="469" t="s">
        <v>308</v>
      </c>
      <c r="D200" s="1260" t="s">
        <v>1235</v>
      </c>
      <c r="E200" s="1260"/>
      <c r="F200" s="1260"/>
    </row>
    <row r="201" spans="1:6" ht="14.4">
      <c r="A201" s="176"/>
      <c r="B201" s="176"/>
      <c r="D201" s="1260"/>
      <c r="E201" s="1260"/>
      <c r="F201" s="1260"/>
    </row>
    <row r="202" spans="1:6" ht="14.4">
      <c r="A202" s="176"/>
      <c r="B202" s="176"/>
      <c r="D202" s="1260"/>
      <c r="E202" s="1260"/>
      <c r="F202" s="1260"/>
    </row>
    <row r="203" spans="1:6" ht="4.95" customHeight="1">
      <c r="A203" s="176"/>
      <c r="B203" s="176"/>
      <c r="D203" s="35"/>
      <c r="E203" s="35"/>
      <c r="F203" s="35"/>
    </row>
    <row r="204" spans="1:6" ht="14.4">
      <c r="A204" s="176"/>
      <c r="B204" s="176"/>
      <c r="D204" s="1260" t="s">
        <v>1236</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308</v>
      </c>
      <c r="D210" s="1260" t="s">
        <v>1237</v>
      </c>
      <c r="E210" s="1260"/>
      <c r="F210" s="1260"/>
    </row>
    <row r="211" spans="1:7" ht="14.4">
      <c r="A211" s="176"/>
      <c r="B211" s="176"/>
      <c r="D211" s="1260"/>
      <c r="E211" s="1260"/>
      <c r="F211" s="1260"/>
    </row>
    <row r="212" spans="1:7" ht="14.4">
      <c r="A212" s="176"/>
      <c r="B212" s="176"/>
      <c r="D212" s="1278" t="s">
        <v>927</v>
      </c>
      <c r="E212" s="1278"/>
      <c r="F212" s="1278"/>
    </row>
    <row r="213" spans="1:7" ht="14.4">
      <c r="A213" s="176"/>
      <c r="B213" s="176"/>
      <c r="D213" s="35"/>
      <c r="E213" s="35"/>
      <c r="F213" s="35"/>
    </row>
    <row r="214" spans="1:7" ht="14.55" customHeight="1">
      <c r="A214" s="176"/>
      <c r="B214" s="469" t="s">
        <v>308</v>
      </c>
      <c r="D214" s="1260" t="s">
        <v>1239</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308</v>
      </c>
      <c r="D220" s="1260" t="s">
        <v>1238</v>
      </c>
      <c r="E220" s="1260"/>
      <c r="F220" s="1260"/>
    </row>
    <row r="221" spans="1:7" ht="14.4">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ht="14.4">
      <c r="A228" s="176"/>
      <c r="B228" s="469" t="s">
        <v>308</v>
      </c>
      <c r="D228" s="1309" t="s">
        <v>1242</v>
      </c>
      <c r="E228" s="1309"/>
      <c r="F228" s="1309"/>
    </row>
    <row r="229" spans="1:6" ht="14.4">
      <c r="A229" s="176"/>
      <c r="B229" s="176"/>
      <c r="D229" s="1309"/>
      <c r="E229" s="1309"/>
      <c r="F229" s="1309"/>
    </row>
    <row r="230" spans="1:6">
      <c r="D230" s="35"/>
      <c r="E230" s="35"/>
      <c r="F230" s="35"/>
    </row>
    <row r="231" spans="1:6" ht="14.55"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55"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ht="14.4">
      <c r="A253" s="176"/>
      <c r="B253" s="469" t="s">
        <v>308</v>
      </c>
      <c r="D253" s="1260" t="s">
        <v>1248</v>
      </c>
      <c r="E253" s="1260"/>
      <c r="F253" s="1260"/>
    </row>
    <row r="254" spans="1:7" ht="14.4">
      <c r="A254" s="176"/>
      <c r="B254" s="176"/>
      <c r="D254" s="1260"/>
      <c r="E254" s="1260"/>
      <c r="F254" s="1260"/>
    </row>
    <row r="255" spans="1:7">
      <c r="D255" s="35"/>
      <c r="E255" s="35"/>
      <c r="F255" s="35"/>
    </row>
    <row r="256" spans="1:7" ht="14.4">
      <c r="A256" s="176"/>
      <c r="B256" s="469" t="s">
        <v>308</v>
      </c>
      <c r="D256" s="1260" t="s">
        <v>1249</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308</v>
      </c>
      <c r="D260" s="1260" t="s">
        <v>1250</v>
      </c>
      <c r="E260" s="1260"/>
      <c r="F260" s="1260"/>
    </row>
    <row r="261" spans="1:7" ht="14.4">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ht="14.4">
      <c r="A269" s="176"/>
      <c r="B269" s="176"/>
      <c r="D269" s="342"/>
      <c r="E269" s="343"/>
      <c r="F269" s="343"/>
    </row>
    <row r="270" spans="1:7" ht="13.2" customHeight="1">
      <c r="B270" s="469" t="s">
        <v>308</v>
      </c>
      <c r="D270" s="1310" t="s">
        <v>1253</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308</v>
      </c>
      <c r="D276" s="1310" t="s">
        <v>1254</v>
      </c>
      <c r="E276" s="1310"/>
      <c r="F276" s="1310"/>
    </row>
    <row r="277" spans="1:6">
      <c r="D277" s="1310"/>
      <c r="E277" s="1310"/>
      <c r="F277" s="1310"/>
    </row>
    <row r="278" spans="1:6" ht="14.4">
      <c r="A278" s="176"/>
      <c r="B278" s="176"/>
      <c r="D278" s="342"/>
      <c r="E278" s="343"/>
      <c r="F278" s="343"/>
    </row>
    <row r="279" spans="1:6">
      <c r="B279" s="469" t="s">
        <v>308</v>
      </c>
      <c r="D279" s="1280" t="s">
        <v>1255</v>
      </c>
      <c r="E279" s="1280"/>
      <c r="F279" s="1280"/>
    </row>
    <row r="280" spans="1:6">
      <c r="E280" s="35"/>
      <c r="F280" s="35"/>
    </row>
    <row r="281" spans="1:6" ht="14.4">
      <c r="A281" s="176"/>
      <c r="B281" s="469" t="s">
        <v>308</v>
      </c>
      <c r="D281" s="1260" t="s">
        <v>1256</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1019</v>
      </c>
      <c r="E314" s="1306"/>
      <c r="F314" s="1306"/>
      <c r="G314"/>
    </row>
    <row r="315" spans="1:7" ht="13.8" thickTop="1">
      <c r="D315" s="1307" t="s">
        <v>1259</v>
      </c>
      <c r="E315" s="1307"/>
      <c r="F315" s="1307"/>
      <c r="G315"/>
    </row>
    <row r="316" spans="1:7">
      <c r="A316" s="218"/>
      <c r="B316" s="218"/>
      <c r="C316" s="218"/>
      <c r="D316" s="220"/>
      <c r="E316" s="220"/>
      <c r="F316" s="35"/>
      <c r="G316"/>
    </row>
    <row r="317" spans="1:7" ht="14.4">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308</v>
      </c>
      <c r="C367" s="218"/>
      <c r="D367" s="1263" t="s">
        <v>1266</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308</v>
      </c>
      <c r="C373" s="179"/>
      <c r="D373" s="1260" t="s">
        <v>1267</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99999999999997" customHeight="1">
      <c r="D403" s="1260"/>
      <c r="E403" s="1260"/>
      <c r="F403" s="1260"/>
    </row>
    <row r="404" spans="1:7">
      <c r="D404" s="35"/>
      <c r="E404" s="35"/>
      <c r="F404" s="35"/>
    </row>
    <row r="405" spans="1:7" ht="14.4">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308</v>
      </c>
      <c r="C416" s="176"/>
      <c r="D416" s="1260" t="s">
        <v>1271</v>
      </c>
      <c r="E416" s="1260"/>
      <c r="F416" s="1260"/>
      <c r="G416"/>
    </row>
    <row r="417" spans="1:7">
      <c r="D417" s="1260"/>
      <c r="E417" s="1260"/>
      <c r="F417" s="1260"/>
      <c r="G417"/>
    </row>
    <row r="418" spans="1:7">
      <c r="D418" s="35"/>
      <c r="E418" s="35"/>
      <c r="F418" s="35"/>
      <c r="G418"/>
    </row>
    <row r="419" spans="1:7" ht="14.4">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4">
      <c r="A445" s="176"/>
      <c r="B445" s="176"/>
      <c r="D445" s="1308" t="s">
        <v>1275</v>
      </c>
      <c r="E445" s="1308"/>
      <c r="F445" s="1308"/>
    </row>
    <row r="446" spans="1:7" ht="14.4">
      <c r="A446" s="176"/>
      <c r="B446" s="176"/>
      <c r="D446" s="482"/>
      <c r="E446" s="3"/>
      <c r="F446" s="3"/>
    </row>
    <row r="447" spans="1:7" ht="14.4">
      <c r="A447" s="176"/>
      <c r="B447" s="469" t="s">
        <v>308</v>
      </c>
      <c r="D447" s="1263" t="s">
        <v>1276</v>
      </c>
      <c r="E447" s="1263"/>
      <c r="F447" s="1263"/>
    </row>
    <row r="448" spans="1:7" ht="14.4">
      <c r="A448" s="176"/>
      <c r="B448" s="176"/>
      <c r="D448" s="1263"/>
      <c r="E448" s="1263"/>
      <c r="F448" s="1263"/>
    </row>
    <row r="449" spans="1:7" ht="14.4">
      <c r="A449" s="176"/>
      <c r="B449" s="176"/>
      <c r="D449" s="118"/>
      <c r="E449" s="3"/>
      <c r="F449" s="3"/>
    </row>
    <row r="450" spans="1:7">
      <c r="B450" s="469" t="s">
        <v>308</v>
      </c>
      <c r="D450" s="1297" t="s">
        <v>1277</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308</v>
      </c>
      <c r="D455" s="1260" t="s">
        <v>1278</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308</v>
      </c>
      <c r="D459" s="1280" t="s">
        <v>1279</v>
      </c>
      <c r="E459" s="1280"/>
      <c r="F459" s="1280"/>
      <c r="G459"/>
    </row>
    <row r="460" spans="1:7" ht="14.4">
      <c r="A460" s="176"/>
      <c r="B460" s="176"/>
      <c r="D460" s="118"/>
      <c r="E460" s="3"/>
      <c r="F460" s="3"/>
      <c r="G460"/>
    </row>
    <row r="461" spans="1:7" ht="14.4">
      <c r="A461" s="176"/>
      <c r="B461" s="469" t="s">
        <v>308</v>
      </c>
      <c r="D461" s="1260" t="s">
        <v>1280</v>
      </c>
      <c r="E461" s="1260"/>
      <c r="F461" s="1260"/>
      <c r="G461"/>
    </row>
    <row r="462" spans="1:7" ht="14.4">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ht="14.4">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2"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050000000000001" customHeight="1">
      <c r="A485" s="175"/>
      <c r="B485" s="175"/>
      <c r="C485" s="175"/>
      <c r="D485" s="220"/>
      <c r="F485" s="35"/>
    </row>
    <row r="486" spans="1:6" ht="14.5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2" customHeight="1">
      <c r="A519" s="176"/>
      <c r="B519" s="469" t="s">
        <v>308</v>
      </c>
      <c r="C519" s="179"/>
      <c r="D519" s="1280" t="s">
        <v>913</v>
      </c>
      <c r="E519" s="1280"/>
      <c r="F519" s="1280"/>
      <c r="G519"/>
    </row>
    <row r="520" spans="1:7" ht="13.2" customHeight="1">
      <c r="A520" s="179"/>
      <c r="B520" s="179"/>
      <c r="C520" s="179"/>
      <c r="D520" s="118"/>
      <c r="E520"/>
      <c r="F520"/>
      <c r="G520"/>
    </row>
    <row r="521" spans="1:7" ht="14.4">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4">
      <c r="A546" s="176"/>
      <c r="B546" s="176"/>
      <c r="C546" s="179"/>
      <c r="E546" s="35"/>
      <c r="F546" s="35"/>
    </row>
    <row r="547" spans="1:7" ht="14.4">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308</v>
      </c>
      <c r="C552" s="179"/>
      <c r="D552" s="1260" t="s">
        <v>1186</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ht="14.4">
      <c r="A579" s="176"/>
      <c r="B579" s="469" t="s">
        <v>308</v>
      </c>
      <c r="D579" s="1297" t="s">
        <v>914</v>
      </c>
      <c r="E579" s="1297"/>
      <c r="F579" s="1297"/>
    </row>
    <row r="580" spans="1:7" ht="14.4">
      <c r="A580" s="176"/>
      <c r="B580" s="176"/>
      <c r="D580" s="255"/>
    </row>
    <row r="581" spans="1:7" ht="14.4">
      <c r="A581" s="176"/>
      <c r="B581" s="469" t="s">
        <v>308</v>
      </c>
      <c r="D581" s="1297" t="s">
        <v>1140</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4">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4">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308</v>
      </c>
      <c r="C628" s="179"/>
      <c r="D628" s="1275" t="s">
        <v>1231</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55" customHeight="1">
      <c r="A640" s="176"/>
      <c r="B640" s="469" t="s">
        <v>308</v>
      </c>
      <c r="C640" s="179"/>
      <c r="D640" s="1260" t="s">
        <v>1284</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308</v>
      </c>
      <c r="C646" s="179"/>
      <c r="D646" s="1294" t="s">
        <v>1134</v>
      </c>
      <c r="E646" s="1294"/>
      <c r="F646" s="1294"/>
    </row>
    <row r="647" spans="1:11" ht="14.4">
      <c r="A647" s="176"/>
      <c r="B647" s="176"/>
      <c r="C647" s="179"/>
      <c r="D647" s="1293" t="s">
        <v>1285</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4">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308</v>
      </c>
      <c r="C669" s="175"/>
      <c r="D669" s="1280" t="s">
        <v>954</v>
      </c>
      <c r="E669" s="1280"/>
      <c r="F669" s="1280"/>
      <c r="H669" s="181"/>
      <c r="I669" s="181"/>
      <c r="J669" s="181"/>
      <c r="K669" s="181"/>
    </row>
    <row r="670" spans="1:11" ht="14.4">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4">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4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4">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4">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3.2"/>
    <row r="5" spans="1:10" ht="12.75" customHeight="1">
      <c r="A5" s="1315" t="s">
        <v>2443</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19" t="s">
        <v>2140</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251</v>
      </c>
      <c r="B19" s="448"/>
      <c r="C19" s="448"/>
      <c r="D19" s="448"/>
      <c r="E19" s="448"/>
      <c r="F19" s="448"/>
      <c r="G19" s="448"/>
      <c r="H19" s="448"/>
      <c r="I19" s="448"/>
      <c r="J19" s="448"/>
    </row>
    <row r="20" spans="1:10" ht="13.2">
      <c r="A20" s="1318" t="s">
        <v>1332</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1333</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1332</v>
      </c>
    </row>
    <row r="62" spans="1:10" ht="13.2"/>
    <row r="63" spans="1:10" ht="13.2"/>
    <row r="64" spans="1:10" ht="13.2"/>
    <row r="65" spans="1:9" ht="13.2"/>
    <row r="66" spans="1:9" ht="13.2"/>
    <row r="67" spans="1:9" ht="13.2"/>
    <row r="68" spans="1:9" ht="13.2"/>
    <row r="69" spans="1:9" ht="13.2"/>
    <row r="70" spans="1:9" ht="13.2"/>
    <row r="71" spans="1:9" ht="13.2"/>
    <row r="72" spans="1:9" ht="13.2">
      <c r="A72" s="1316" t="s">
        <v>2136</v>
      </c>
      <c r="B72" s="1316"/>
      <c r="C72" s="1316"/>
      <c r="D72" s="1316"/>
      <c r="E72" s="1316"/>
      <c r="F72" s="1316"/>
      <c r="G72" s="1316"/>
      <c r="H72" s="1316"/>
      <c r="I72" s="1316"/>
    </row>
    <row r="73" spans="1:9" ht="13.2">
      <c r="A73" s="1267" t="s">
        <v>2441</v>
      </c>
      <c r="B73" s="1267"/>
      <c r="C73" s="1267"/>
      <c r="D73" s="1267"/>
      <c r="E73" s="1267"/>
    </row>
    <row r="74" spans="1:9" ht="13.2">
      <c r="A74" s="1267" t="s">
        <v>2442</v>
      </c>
      <c r="B74" s="1267"/>
      <c r="C74" s="1267"/>
      <c r="D74" s="1267"/>
      <c r="E74" s="1267"/>
    </row>
    <row r="75" spans="1:9" ht="13.2">
      <c r="A75" s="1267" t="s">
        <v>2137</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20" zoomScaleNormal="120" zoomScaleSheetLayoutView="80" workbookViewId="0">
      <selection activeCell="AE3" sqref="AE3"/>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697" t="s">
        <v>101</v>
      </c>
      <c r="B8" s="1697"/>
      <c r="C8" s="1697"/>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7"/>
      <c r="AF8" s="1697"/>
      <c r="AG8" s="1697"/>
      <c r="AH8" s="1697"/>
      <c r="AI8" s="1697"/>
      <c r="AJ8" s="1697"/>
      <c r="AK8" s="1697"/>
      <c r="AL8" s="1697"/>
      <c r="AM8" s="935"/>
      <c r="AN8" s="935"/>
      <c r="AO8" s="935"/>
      <c r="AP8" s="935"/>
      <c r="AQ8" s="935"/>
      <c r="AR8" s="935"/>
      <c r="AS8" s="935"/>
      <c r="AT8" s="935"/>
      <c r="AU8" s="935"/>
      <c r="AV8" s="935"/>
      <c r="AW8" s="935"/>
      <c r="AX8" s="935"/>
      <c r="AY8" s="935"/>
    </row>
    <row r="9" spans="1:51" ht="13.0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0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0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05" customHeight="1">
      <c r="A12" s="1527" t="s">
        <v>2624</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c r="AM12" s="6"/>
      <c r="AN12" s="6"/>
      <c r="AO12" s="6"/>
      <c r="AP12" s="6"/>
      <c r="AQ12" s="6"/>
      <c r="AR12" s="6"/>
      <c r="AS12" s="6"/>
      <c r="AT12" s="6"/>
      <c r="AU12" s="6"/>
      <c r="AV12" s="6"/>
      <c r="AW12" s="6"/>
      <c r="AX12" s="6"/>
      <c r="AY12" s="6"/>
    </row>
    <row r="13" spans="1:51" ht="13.05"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0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2477</v>
      </c>
      <c r="C16" s="4"/>
      <c r="D16" s="4"/>
      <c r="E16" s="4"/>
      <c r="F16" s="4"/>
      <c r="G16" s="4"/>
      <c r="H16" s="1513" t="s">
        <v>2724</v>
      </c>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row>
    <row r="17" spans="1:52" ht="13.05" customHeight="1"/>
    <row r="18" spans="1:52" ht="13.05" customHeight="1">
      <c r="A18" s="57" t="s">
        <v>102</v>
      </c>
      <c r="C18" s="4"/>
      <c r="D18" s="4"/>
      <c r="E18" s="4"/>
      <c r="F18" s="4"/>
      <c r="G18" s="4"/>
      <c r="H18" s="1508" t="s">
        <v>2625</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row>
    <row r="19" spans="1:52" ht="13.05" customHeight="1"/>
    <row r="20" spans="1:52" ht="13.05" customHeight="1">
      <c r="A20" s="1523" t="s">
        <v>901</v>
      </c>
      <c r="B20" s="1523"/>
      <c r="C20" s="1523"/>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523"/>
      <c r="AM20" s="937"/>
      <c r="AN20" s="937"/>
      <c r="AO20" s="937"/>
      <c r="AP20" s="937"/>
      <c r="AQ20" s="937"/>
      <c r="AR20" s="937"/>
      <c r="AS20" s="937"/>
      <c r="AT20" s="937"/>
      <c r="AU20" s="937"/>
      <c r="AV20" s="937"/>
      <c r="AW20" s="937"/>
      <c r="AX20" s="937"/>
      <c r="AY20" s="937"/>
    </row>
    <row r="21" spans="1:52" ht="13.05" customHeight="1">
      <c r="A21" s="1530" t="s">
        <v>1066</v>
      </c>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29">
        <f>'Basis &amp; Credits'!AB56</f>
        <v>2972052</v>
      </c>
      <c r="N26" s="1529"/>
      <c r="O26" s="1529"/>
      <c r="P26" s="1529"/>
      <c r="Q26" s="1529"/>
      <c r="R26" s="4" t="s">
        <v>783</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466">
        <f>'Basis &amp; Credits'!AB77</f>
        <v>0</v>
      </c>
      <c r="N27" s="1466"/>
      <c r="O27" s="1466"/>
      <c r="P27" s="1466"/>
      <c r="Q27" s="1466"/>
      <c r="R27" s="3" t="s">
        <v>1425</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1437</v>
      </c>
      <c r="C33" s="554"/>
      <c r="D33" s="554"/>
      <c r="E33" s="554"/>
      <c r="F33" s="554"/>
      <c r="G33" s="554"/>
      <c r="H33" s="554"/>
      <c r="I33" s="554"/>
      <c r="J33" s="554"/>
      <c r="K33" s="554"/>
      <c r="L33" s="554"/>
      <c r="M33" s="554"/>
      <c r="N33" s="554"/>
      <c r="O33" s="1344" t="s">
        <v>678</v>
      </c>
      <c r="P33" s="134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1442</v>
      </c>
      <c r="AZ37" s="20"/>
    </row>
    <row r="38" spans="1:52" ht="13.05" customHeight="1">
      <c r="A38" s="3" t="s">
        <v>1443</v>
      </c>
      <c r="AZ38" s="20"/>
    </row>
    <row r="39" spans="1:52" ht="13.05" customHeight="1">
      <c r="AZ39" s="20"/>
    </row>
    <row r="40" spans="1:52" ht="13.0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780</v>
      </c>
      <c r="B117" s="22"/>
      <c r="C117" s="22"/>
    </row>
    <row r="118" spans="1:51" ht="13.05" customHeight="1"/>
    <row r="119" spans="1:51" ht="13.0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181</v>
      </c>
      <c r="G122" s="1520"/>
      <c r="H122" s="1520"/>
      <c r="I122" s="3" t="s">
        <v>182</v>
      </c>
      <c r="L122" s="1520"/>
      <c r="M122" s="1520"/>
      <c r="N122" s="1520"/>
      <c r="O122" s="1535" t="s">
        <v>1426</v>
      </c>
      <c r="P122" s="1535"/>
      <c r="Q122" s="1535"/>
      <c r="R122" s="1535"/>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37"/>
      <c r="D124" s="1437"/>
      <c r="E124" s="1437"/>
      <c r="F124" s="1437"/>
      <c r="G124" s="1437"/>
      <c r="H124" s="1437"/>
      <c r="I124" s="1437"/>
      <c r="J124" s="1437"/>
      <c r="K124" s="143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637</v>
      </c>
      <c r="Y126" s="1520"/>
      <c r="Z126" s="1520"/>
      <c r="AA126" s="1520"/>
      <c r="AB126" s="1520"/>
      <c r="AC126" s="1520"/>
      <c r="AD126" s="1520"/>
      <c r="AE126" s="1520"/>
      <c r="AF126" s="1520"/>
      <c r="AG126" s="1520"/>
      <c r="AH126" s="1520"/>
      <c r="AI126" s="1520"/>
      <c r="AJ126" s="1520"/>
      <c r="AK126" s="1520"/>
    </row>
    <row r="127" spans="1:51" ht="13.0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20"/>
      <c r="Z129" s="1520"/>
      <c r="AA129" s="1520"/>
      <c r="AB129" s="1520"/>
      <c r="AC129" s="1520"/>
      <c r="AD129" s="1520"/>
      <c r="AE129" s="1520"/>
      <c r="AF129" s="1520"/>
      <c r="AG129" s="1520"/>
      <c r="AH129" s="1520"/>
      <c r="AI129" s="1520"/>
      <c r="AJ129" s="1520"/>
      <c r="AK129" s="1520"/>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20"/>
      <c r="Z132" s="1520"/>
      <c r="AA132" s="1520"/>
      <c r="AB132" s="1520"/>
      <c r="AC132" s="1520"/>
      <c r="AD132" s="1520"/>
      <c r="AE132" s="1520"/>
      <c r="AF132" s="1520"/>
      <c r="AG132" s="1520"/>
      <c r="AH132" s="1520"/>
      <c r="AI132" s="1520"/>
      <c r="AJ132" s="1520"/>
      <c r="AK132" s="1520"/>
      <c r="AL132" s="3"/>
      <c r="AM132" s="3"/>
      <c r="AN132" s="3"/>
      <c r="AO132" s="3"/>
      <c r="AP132" s="3"/>
      <c r="AQ132" s="3"/>
      <c r="AR132" s="3"/>
      <c r="AS132" s="3"/>
      <c r="AT132" s="3"/>
      <c r="AU132" s="3"/>
      <c r="AV132" s="3"/>
      <c r="AW132" s="3"/>
      <c r="AX132" s="3"/>
      <c r="AY132" s="3"/>
    </row>
    <row r="133" spans="1:51" ht="13.0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508" t="s">
        <v>2626</v>
      </c>
      <c r="P153" s="1510"/>
      <c r="Q153" s="1510"/>
      <c r="R153" s="1510"/>
      <c r="S153" s="1510"/>
      <c r="T153" s="1510"/>
      <c r="U153" s="1510"/>
      <c r="V153" s="1510"/>
      <c r="W153" s="1510"/>
      <c r="X153" s="1510"/>
      <c r="Y153" s="1510"/>
      <c r="Z153" s="1510"/>
      <c r="AA153" s="1510"/>
      <c r="AB153" s="1510"/>
      <c r="AC153" s="1510"/>
      <c r="AD153" s="1510"/>
      <c r="AE153" s="1510"/>
      <c r="AF153" s="1510"/>
      <c r="AG153" s="1510"/>
      <c r="AH153" s="1510"/>
    </row>
    <row r="154" spans="1:72" ht="13.05" customHeight="1">
      <c r="D154" s="325" t="s">
        <v>442</v>
      </c>
      <c r="O154" s="1435" t="s">
        <v>2627</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3.05" customHeight="1">
      <c r="D155" s="8" t="s">
        <v>444</v>
      </c>
      <c r="F155" s="8"/>
      <c r="G155" s="8"/>
      <c r="H155" s="8"/>
      <c r="I155" s="8"/>
      <c r="J155" s="8"/>
      <c r="K155" s="8"/>
      <c r="L155" s="8"/>
      <c r="M155" s="8"/>
      <c r="N155" s="8"/>
      <c r="O155" s="1532" t="s">
        <v>443</v>
      </c>
      <c r="P155" s="1532"/>
      <c r="Q155" s="1532"/>
      <c r="R155" s="1532"/>
      <c r="S155" s="1532"/>
      <c r="T155" s="1532"/>
      <c r="U155" s="1532"/>
      <c r="V155" s="1532"/>
      <c r="W155" s="1532"/>
      <c r="X155" s="1532"/>
      <c r="Y155" s="1532"/>
      <c r="Z155" s="1532"/>
      <c r="AA155" s="1532"/>
      <c r="AB155" s="1532"/>
      <c r="AC155" s="1532"/>
      <c r="AD155" s="1532"/>
      <c r="AE155" s="1532"/>
      <c r="AF155" s="1532"/>
      <c r="AG155" s="1532"/>
      <c r="AH155" s="1532"/>
    </row>
    <row r="156" spans="1:72" ht="13.05" customHeight="1">
      <c r="D156" t="s">
        <v>314</v>
      </c>
      <c r="O156" s="1508" t="s">
        <v>2628</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308</v>
      </c>
    </row>
    <row r="157" spans="1:72" ht="13.05" customHeight="1">
      <c r="D157" t="s">
        <v>315</v>
      </c>
      <c r="O157" s="1508" t="s">
        <v>2629</v>
      </c>
      <c r="P157" s="1510"/>
      <c r="Q157" s="1510"/>
      <c r="R157" s="1510"/>
      <c r="S157" s="1510"/>
      <c r="T157" s="1510"/>
      <c r="U157" s="1510"/>
      <c r="V157" s="1510"/>
      <c r="W157" s="1510"/>
      <c r="X157" s="1510"/>
      <c r="Y157" s="8"/>
      <c r="Z157" s="8"/>
      <c r="AA157" s="8"/>
      <c r="AB157" s="8"/>
      <c r="AC157" s="8"/>
      <c r="AD157" s="8"/>
      <c r="AE157" s="8"/>
      <c r="AF157" s="8"/>
      <c r="BN157" s="23" t="s">
        <v>645</v>
      </c>
      <c r="BT157" t="s">
        <v>485</v>
      </c>
    </row>
    <row r="158" spans="1:72" ht="13.05" customHeight="1">
      <c r="D158" t="s">
        <v>316</v>
      </c>
      <c r="O158" s="1533">
        <v>95404</v>
      </c>
      <c r="P158" s="1533"/>
      <c r="Q158" s="1533"/>
      <c r="R158" s="1533"/>
      <c r="S158" s="9"/>
      <c r="T158" s="9"/>
      <c r="U158" s="9"/>
      <c r="V158" s="9"/>
      <c r="W158" s="9"/>
      <c r="X158" s="9"/>
      <c r="Y158" s="9"/>
      <c r="Z158" s="9"/>
      <c r="AA158" s="9"/>
      <c r="AB158" s="9"/>
      <c r="AC158" s="9"/>
      <c r="AD158" s="9"/>
      <c r="AE158" s="9"/>
      <c r="AF158" s="9"/>
      <c r="BN158" s="23" t="s">
        <v>646</v>
      </c>
      <c r="BT158" t="s">
        <v>486</v>
      </c>
    </row>
    <row r="159" spans="1:72" ht="13.05" customHeight="1">
      <c r="D159" t="s">
        <v>317</v>
      </c>
      <c r="O159" s="1438" t="s">
        <v>2630</v>
      </c>
      <c r="P159" s="1439"/>
      <c r="Q159" s="1439"/>
      <c r="R159" s="1439"/>
      <c r="S159" s="1439"/>
      <c r="T159" s="1439"/>
      <c r="V159" s="97" t="s">
        <v>272</v>
      </c>
      <c r="W159" s="1534"/>
      <c r="X159" s="1534"/>
      <c r="Y159" s="10"/>
      <c r="Z159" s="10"/>
      <c r="AA159" s="10"/>
      <c r="AB159" s="10"/>
      <c r="AC159" s="10"/>
      <c r="AD159" s="10"/>
      <c r="AE159" s="10"/>
      <c r="AF159" s="10"/>
      <c r="BN159" s="23" t="s">
        <v>340</v>
      </c>
      <c r="BT159" t="s">
        <v>487</v>
      </c>
    </row>
    <row r="160" spans="1:72" ht="13.05" customHeight="1">
      <c r="D160" t="s">
        <v>318</v>
      </c>
      <c r="O160" s="1438" t="s">
        <v>2631</v>
      </c>
      <c r="P160" s="1439"/>
      <c r="Q160" s="1439"/>
      <c r="R160" s="1439"/>
      <c r="S160" s="1439"/>
      <c r="T160" s="1439"/>
      <c r="U160" s="10"/>
      <c r="V160" s="10"/>
      <c r="W160" s="10"/>
      <c r="X160" s="10"/>
      <c r="Y160" s="10"/>
      <c r="Z160" s="10"/>
      <c r="AA160" s="10"/>
      <c r="AB160" s="10"/>
      <c r="AC160" s="10"/>
      <c r="AD160" s="10"/>
      <c r="AE160" s="10"/>
      <c r="AF160" s="10"/>
      <c r="BN160" s="23" t="s">
        <v>669</v>
      </c>
      <c r="BT160" t="s">
        <v>488</v>
      </c>
    </row>
    <row r="161" spans="1:72" ht="13.05" customHeight="1">
      <c r="D161" t="s">
        <v>319</v>
      </c>
      <c r="O161" s="1440" t="s">
        <v>2632</v>
      </c>
      <c r="P161" s="1440"/>
      <c r="Q161" s="1440"/>
      <c r="R161" s="1440"/>
      <c r="S161" s="1440"/>
      <c r="T161" s="1440"/>
      <c r="U161" s="1440"/>
      <c r="V161" s="1440"/>
      <c r="W161" s="1440"/>
      <c r="X161" s="1440"/>
      <c r="Y161" s="1440"/>
      <c r="Z161" s="1440"/>
      <c r="AA161" s="1440"/>
      <c r="AB161" s="1440"/>
      <c r="AC161" s="1440"/>
      <c r="AD161" s="1440"/>
      <c r="AE161" s="1440"/>
      <c r="AF161" s="1440"/>
      <c r="AG161" s="1440"/>
      <c r="AH161" s="1440"/>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441" t="s">
        <v>1387</v>
      </c>
      <c r="E164" s="1441"/>
      <c r="F164" s="1441"/>
      <c r="G164" s="1441"/>
      <c r="H164" s="1441"/>
      <c r="I164" s="1441"/>
      <c r="J164" s="1441"/>
      <c r="K164" s="1441"/>
      <c r="L164" s="1441"/>
      <c r="M164" s="1441"/>
      <c r="N164" s="1441"/>
      <c r="O164" s="1441"/>
      <c r="P164" s="1441"/>
      <c r="Q164" s="1441"/>
      <c r="R164" s="1441"/>
      <c r="S164" s="1441"/>
      <c r="T164" s="1441"/>
      <c r="U164" s="1441"/>
      <c r="V164" s="1441"/>
      <c r="W164" s="1441"/>
      <c r="X164" s="1441"/>
      <c r="Y164" s="1441"/>
      <c r="Z164" s="1441"/>
      <c r="AA164" s="1441"/>
      <c r="AB164" s="1441"/>
      <c r="AC164" s="1441"/>
      <c r="AD164" s="1441"/>
      <c r="AE164" s="1441"/>
      <c r="AF164" s="1441"/>
      <c r="AG164" s="1441"/>
      <c r="AH164" s="1441"/>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413" t="s">
        <v>548</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AM169" s="95"/>
      <c r="AN169" s="95"/>
      <c r="AO169" s="95"/>
      <c r="AP169" s="95"/>
      <c r="AQ169" s="95"/>
      <c r="AR169" s="95"/>
      <c r="AS169" s="95"/>
      <c r="AT169" s="95"/>
      <c r="AU169" s="95"/>
      <c r="AV169" s="95"/>
      <c r="AW169" s="95"/>
      <c r="AX169" s="95"/>
      <c r="AY169" s="95"/>
      <c r="BN169" s="23" t="s">
        <v>682</v>
      </c>
      <c r="BT169" t="s">
        <v>497</v>
      </c>
    </row>
    <row r="170" spans="1:72" ht="13.05" customHeight="1" thickBo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95"/>
      <c r="AN170" s="95"/>
      <c r="AO170" s="95"/>
      <c r="AP170" s="95"/>
      <c r="AQ170" s="95"/>
      <c r="AR170" s="95"/>
      <c r="AS170" s="95"/>
      <c r="AT170" s="95"/>
      <c r="AU170" s="95"/>
      <c r="AV170" s="95"/>
      <c r="AW170" s="95"/>
      <c r="AX170" s="95"/>
      <c r="AY170" s="95"/>
      <c r="BN170" s="23" t="s">
        <v>683</v>
      </c>
      <c r="BT170" t="s">
        <v>498</v>
      </c>
    </row>
    <row r="171" spans="1:72" ht="13.05" customHeight="1" thickTop="1">
      <c r="BN171" s="23" t="s">
        <v>212</v>
      </c>
      <c r="BT171" t="s">
        <v>499</v>
      </c>
    </row>
    <row r="172" spans="1:72" ht="13.05" customHeight="1">
      <c r="A172" s="2" t="s">
        <v>320</v>
      </c>
      <c r="C172" s="2" t="s">
        <v>321</v>
      </c>
      <c r="BN172" s="23" t="s">
        <v>214</v>
      </c>
      <c r="BT172" t="s">
        <v>500</v>
      </c>
    </row>
    <row r="173" spans="1:72" ht="13.05" customHeight="1">
      <c r="C173" s="24"/>
      <c r="D173" t="s">
        <v>322</v>
      </c>
      <c r="J173" s="1531" t="s">
        <v>372</v>
      </c>
      <c r="K173" s="1531"/>
      <c r="L173" s="1531"/>
      <c r="M173" s="1531"/>
      <c r="N173" s="1531"/>
      <c r="O173" s="1531"/>
      <c r="P173" s="1531"/>
      <c r="Q173" s="1531"/>
      <c r="R173" s="1531"/>
      <c r="S173" s="1531"/>
      <c r="U173" s="25"/>
      <c r="X173" s="25"/>
      <c r="BN173" s="23" t="s">
        <v>215</v>
      </c>
      <c r="BT173" t="s">
        <v>501</v>
      </c>
    </row>
    <row r="174" spans="1:72" ht="13.05" customHeight="1">
      <c r="C174" s="24"/>
      <c r="D174" s="3" t="s">
        <v>1345</v>
      </c>
      <c r="J174" s="1365" t="s">
        <v>2524</v>
      </c>
      <c r="K174" s="1365"/>
      <c r="L174" s="1365"/>
      <c r="M174" s="1365"/>
      <c r="N174" s="1365"/>
      <c r="O174" s="1365"/>
      <c r="P174" s="1365"/>
      <c r="Q174" s="1365"/>
      <c r="R174" s="1365"/>
      <c r="S174" s="1365"/>
      <c r="T174" s="1365"/>
      <c r="U174" s="1365"/>
      <c r="V174" s="1365"/>
      <c r="W174" s="1365"/>
      <c r="X174" s="1365"/>
      <c r="Y174" s="1365"/>
      <c r="Z174" s="1365"/>
      <c r="AA174" s="1365"/>
      <c r="AB174" s="1365"/>
      <c r="BN174" s="23" t="s">
        <v>217</v>
      </c>
      <c r="BT174" t="s">
        <v>502</v>
      </c>
    </row>
    <row r="175" spans="1:72" ht="13.05" customHeight="1">
      <c r="C175" s="8"/>
      <c r="D175" s="3" t="s">
        <v>323</v>
      </c>
      <c r="O175" s="27"/>
      <c r="U175" s="1344" t="s">
        <v>678</v>
      </c>
      <c r="V175" s="1344"/>
      <c r="BN175" s="23" t="s">
        <v>218</v>
      </c>
      <c r="BT175" t="s">
        <v>503</v>
      </c>
    </row>
    <row r="176" spans="1:72" ht="13.05" customHeight="1">
      <c r="C176" s="8"/>
      <c r="D176" s="26"/>
      <c r="E176" t="s">
        <v>305</v>
      </c>
      <c r="O176" s="27"/>
      <c r="P176" t="s">
        <v>2497</v>
      </c>
      <c r="T176" s="27" t="s">
        <v>306</v>
      </c>
      <c r="U176" s="1524"/>
      <c r="V176" s="1524"/>
      <c r="W176" s="1" t="s">
        <v>307</v>
      </c>
      <c r="X176" s="1536"/>
      <c r="Y176" s="1536"/>
      <c r="BN176" s="23" t="s">
        <v>220</v>
      </c>
      <c r="BT176" t="s">
        <v>504</v>
      </c>
    </row>
    <row r="177" spans="1:72" ht="13.05" customHeight="1">
      <c r="C177" s="24"/>
      <c r="D177" t="s">
        <v>250</v>
      </c>
      <c r="R177" s="1344" t="s">
        <v>678</v>
      </c>
      <c r="S177" s="1344"/>
      <c r="BN177" s="23" t="s">
        <v>221</v>
      </c>
      <c r="BT177" t="s">
        <v>505</v>
      </c>
    </row>
    <row r="178" spans="1:72" ht="13.05" customHeight="1">
      <c r="C178" s="24"/>
      <c r="D178" s="3" t="s">
        <v>1346</v>
      </c>
      <c r="AA178" t="s">
        <v>2497</v>
      </c>
      <c r="AE178" s="27" t="s">
        <v>306</v>
      </c>
      <c r="AF178" s="1703"/>
      <c r="AG178" s="1703"/>
      <c r="AH178" s="1" t="s">
        <v>307</v>
      </c>
      <c r="AI178" s="1442"/>
      <c r="AJ178" s="1442"/>
      <c r="AK178" s="1442"/>
      <c r="BN178" s="23" t="s">
        <v>222</v>
      </c>
      <c r="BT178" t="s">
        <v>53</v>
      </c>
    </row>
    <row r="179" spans="1:72" ht="13.05" customHeight="1">
      <c r="C179" s="24"/>
      <c r="BN179" s="23" t="s">
        <v>223</v>
      </c>
      <c r="BT179" t="s">
        <v>54</v>
      </c>
    </row>
    <row r="180" spans="1:72" ht="13.05" customHeight="1">
      <c r="C180" s="24"/>
      <c r="D180" t="s">
        <v>2498</v>
      </c>
      <c r="X180" s="1344" t="s">
        <v>554</v>
      </c>
      <c r="Y180" s="1344"/>
      <c r="BN180" s="23" t="s">
        <v>225</v>
      </c>
      <c r="BT180" t="s">
        <v>55</v>
      </c>
    </row>
    <row r="181" spans="1:72" ht="13.05" customHeight="1">
      <c r="C181" s="8"/>
      <c r="E181" s="4" t="s">
        <v>1016</v>
      </c>
      <c r="BN181" s="23" t="s">
        <v>226</v>
      </c>
      <c r="BT181" t="s">
        <v>56</v>
      </c>
    </row>
    <row r="182" spans="1:72" ht="13.05" customHeight="1">
      <c r="C182" s="565"/>
      <c r="BN182" s="23" t="s">
        <v>227</v>
      </c>
      <c r="BT182" t="s">
        <v>60</v>
      </c>
    </row>
    <row r="183" spans="1:72" ht="13.05" customHeight="1">
      <c r="A183" s="2" t="s">
        <v>585</v>
      </c>
      <c r="C183" s="2" t="s">
        <v>586</v>
      </c>
      <c r="BN183" s="23" t="s">
        <v>229</v>
      </c>
      <c r="BT183" t="s">
        <v>61</v>
      </c>
    </row>
    <row r="184" spans="1:72" ht="13.05" customHeight="1">
      <c r="C184" s="21"/>
      <c r="D184" t="s">
        <v>587</v>
      </c>
      <c r="I184" s="1485" t="str">
        <f>H18</f>
        <v>Del Nido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596</v>
      </c>
      <c r="BN184" s="23" t="s">
        <v>231</v>
      </c>
      <c r="BT184" t="s">
        <v>62</v>
      </c>
    </row>
    <row r="185" spans="1:72" ht="13.05" customHeight="1">
      <c r="C185" s="21"/>
      <c r="D185" t="s">
        <v>588</v>
      </c>
      <c r="I185" s="1435" t="s">
        <v>2633</v>
      </c>
      <c r="J185" s="1337"/>
      <c r="K185" s="1337"/>
      <c r="L185" s="1337"/>
      <c r="M185" s="1337"/>
      <c r="N185" s="1337"/>
      <c r="O185" s="1337"/>
      <c r="P185" s="1337"/>
      <c r="Q185" s="1337"/>
      <c r="R185" s="1337"/>
      <c r="S185" s="1337"/>
      <c r="T185" s="1337"/>
      <c r="U185" s="1337"/>
      <c r="V185" s="1337"/>
      <c r="W185" s="1337"/>
      <c r="X185" s="1337"/>
      <c r="Y185" s="1337"/>
      <c r="Z185" s="1337"/>
      <c r="AA185" s="1337"/>
      <c r="AB185" s="1337"/>
      <c r="AC185" s="1337"/>
      <c r="AD185" s="1337"/>
      <c r="AE185" s="1337"/>
      <c r="BC185" t="s">
        <v>597</v>
      </c>
      <c r="BN185" s="23" t="s">
        <v>232</v>
      </c>
      <c r="BT185" t="s">
        <v>63</v>
      </c>
    </row>
    <row r="186" spans="1:72" ht="13.05" customHeight="1">
      <c r="C186" s="21"/>
      <c r="E186" t="s">
        <v>168</v>
      </c>
      <c r="BN186" s="23" t="s">
        <v>233</v>
      </c>
      <c r="BT186" t="s">
        <v>64</v>
      </c>
    </row>
    <row r="187" spans="1:72" ht="13.05" customHeight="1">
      <c r="C187" s="21"/>
      <c r="E187" s="1416"/>
      <c r="F187" s="1416"/>
      <c r="G187" s="1416"/>
      <c r="H187" s="1416"/>
      <c r="I187" s="1416"/>
      <c r="J187" s="1416"/>
      <c r="K187" s="1416"/>
      <c r="L187" s="1416"/>
      <c r="M187" s="1416"/>
      <c r="N187" s="1416"/>
      <c r="O187" s="1416"/>
      <c r="P187" s="1416"/>
      <c r="Q187" s="1416"/>
      <c r="R187" s="1416"/>
      <c r="S187" s="1416"/>
      <c r="T187" s="1416"/>
      <c r="U187" s="1416"/>
      <c r="V187" s="1416"/>
      <c r="W187" s="1416"/>
      <c r="X187" s="1416"/>
      <c r="Y187" s="1416"/>
      <c r="Z187" s="1416"/>
      <c r="AA187" s="1416"/>
      <c r="AB187" s="1416"/>
      <c r="AC187" s="1416"/>
      <c r="AD187" s="1416"/>
      <c r="AE187" s="1416"/>
      <c r="BN187" s="23" t="s">
        <v>234</v>
      </c>
      <c r="BT187" t="s">
        <v>65</v>
      </c>
    </row>
    <row r="188" spans="1:72" ht="13.05" customHeight="1">
      <c r="C188" s="21"/>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BN188" s="23" t="s">
        <v>236</v>
      </c>
      <c r="BT188" t="s">
        <v>66</v>
      </c>
    </row>
    <row r="189" spans="1:72" ht="13.05" customHeight="1">
      <c r="C189" s="21"/>
      <c r="D189" t="s">
        <v>589</v>
      </c>
      <c r="I189" s="1508" t="s">
        <v>2629</v>
      </c>
      <c r="J189" s="1365"/>
      <c r="K189" s="1365"/>
      <c r="L189" s="1365"/>
      <c r="M189" s="1365"/>
      <c r="N189" s="1365"/>
      <c r="O189" s="1365"/>
      <c r="P189" s="1365"/>
      <c r="Q189" t="s">
        <v>591</v>
      </c>
      <c r="T189" s="1365" t="s">
        <v>174</v>
      </c>
      <c r="U189" s="1365"/>
      <c r="V189" s="1365"/>
      <c r="W189" s="1365"/>
      <c r="X189" s="1365"/>
      <c r="Y189" s="1365"/>
      <c r="Z189" s="1365"/>
      <c r="AA189" s="1365"/>
      <c r="AB189" s="1365"/>
      <c r="AC189" s="1365"/>
      <c r="AD189" s="1365"/>
      <c r="AE189" s="1365"/>
      <c r="BC189" t="s">
        <v>308</v>
      </c>
      <c r="BH189" s="3" t="s">
        <v>600</v>
      </c>
      <c r="BN189" s="23" t="s">
        <v>237</v>
      </c>
      <c r="BT189" t="s">
        <v>67</v>
      </c>
    </row>
    <row r="190" spans="1:72" ht="13.05" customHeight="1">
      <c r="C190" s="21"/>
      <c r="D190" t="s">
        <v>592</v>
      </c>
      <c r="I190" s="1337">
        <v>95403</v>
      </c>
      <c r="J190" s="1337"/>
      <c r="K190" s="1337"/>
      <c r="L190" s="1337"/>
      <c r="M190" s="1337"/>
      <c r="N190" s="1337"/>
      <c r="O190" t="s">
        <v>594</v>
      </c>
      <c r="T190" s="1525">
        <v>1528.04</v>
      </c>
      <c r="U190" s="1525"/>
      <c r="V190" s="1525"/>
      <c r="W190" s="1525"/>
      <c r="X190" s="1525"/>
      <c r="Y190" s="1525"/>
      <c r="Z190" s="1525"/>
      <c r="AA190" s="1525"/>
      <c r="AB190" s="1525"/>
      <c r="AC190" s="1525"/>
      <c r="AD190" s="1525"/>
      <c r="AE190" s="1525"/>
      <c r="BC190" t="s">
        <v>1102</v>
      </c>
      <c r="BH190" t="s">
        <v>1102</v>
      </c>
      <c r="BN190" s="23" t="s">
        <v>644</v>
      </c>
      <c r="BT190" t="s">
        <v>68</v>
      </c>
    </row>
    <row r="191" spans="1:72" ht="13.05" customHeight="1">
      <c r="C191" s="21"/>
      <c r="D191" t="s">
        <v>471</v>
      </c>
      <c r="N191" s="1409" t="s">
        <v>2634</v>
      </c>
      <c r="O191" s="1416"/>
      <c r="P191" s="1416"/>
      <c r="Q191" s="1416"/>
      <c r="R191" s="1416"/>
      <c r="S191" s="1416"/>
      <c r="T191" s="1416"/>
      <c r="U191" s="1416"/>
      <c r="V191" s="1416"/>
      <c r="W191" s="1416"/>
      <c r="X191" s="1416"/>
      <c r="Y191" s="1416"/>
      <c r="Z191" s="1416"/>
      <c r="AA191" s="1416"/>
      <c r="AB191" s="1416"/>
      <c r="AC191" s="1416"/>
      <c r="AD191" s="1416"/>
      <c r="AE191" s="1416"/>
      <c r="BC191" t="s">
        <v>1101</v>
      </c>
      <c r="BH191" t="s">
        <v>1101</v>
      </c>
      <c r="BN191" s="23" t="s">
        <v>698</v>
      </c>
      <c r="BT191" t="s">
        <v>739</v>
      </c>
    </row>
    <row r="192" spans="1:72" ht="13.05" customHeight="1">
      <c r="C192" s="21"/>
      <c r="M192" s="40"/>
      <c r="N192" s="1417"/>
      <c r="O192" s="1417"/>
      <c r="P192" s="1417"/>
      <c r="Q192" s="1417"/>
      <c r="R192" s="1417"/>
      <c r="S192" s="1417"/>
      <c r="T192" s="1417"/>
      <c r="U192" s="1417"/>
      <c r="V192" s="1417"/>
      <c r="W192" s="1417"/>
      <c r="X192" s="1417"/>
      <c r="Y192" s="1417"/>
      <c r="Z192" s="1417"/>
      <c r="AA192" s="1417"/>
      <c r="AB192" s="1417"/>
      <c r="AC192" s="1417"/>
      <c r="AD192" s="1417"/>
      <c r="AE192" s="1417"/>
      <c r="BC192" t="s">
        <v>1104</v>
      </c>
      <c r="BH192" s="3" t="s">
        <v>1808</v>
      </c>
      <c r="BN192" s="23" t="s">
        <v>699</v>
      </c>
      <c r="BT192" t="s">
        <v>740</v>
      </c>
    </row>
    <row r="193" spans="1:74" ht="13.05" customHeight="1">
      <c r="C193" s="21"/>
      <c r="D193" t="s">
        <v>2499</v>
      </c>
      <c r="M193" s="40"/>
      <c r="N193" s="930"/>
      <c r="O193" s="930"/>
      <c r="P193" s="930"/>
      <c r="Q193" s="930"/>
      <c r="R193" s="930"/>
      <c r="S193" s="930"/>
      <c r="T193" s="1539" t="s">
        <v>2703</v>
      </c>
      <c r="U193" s="1539"/>
      <c r="V193" s="1539"/>
      <c r="W193" s="1539"/>
      <c r="X193" s="1539"/>
      <c r="Y193" s="1539"/>
      <c r="Z193" s="1539"/>
      <c r="AA193" s="1539"/>
      <c r="AB193" s="1539"/>
      <c r="AC193" s="1539"/>
      <c r="AD193" s="1539"/>
      <c r="AE193" s="1539"/>
      <c r="AF193" s="1539"/>
      <c r="AG193" s="1539"/>
      <c r="AH193" s="1539"/>
      <c r="AI193" s="1539"/>
      <c r="BC193" t="s">
        <v>1103</v>
      </c>
      <c r="BH193" s="3" t="s">
        <v>1809</v>
      </c>
      <c r="BN193" s="23" t="s">
        <v>700</v>
      </c>
      <c r="BT193" t="s">
        <v>741</v>
      </c>
    </row>
    <row r="194" spans="1:74" ht="13.05" customHeight="1">
      <c r="C194" s="21"/>
      <c r="D194" t="s">
        <v>332</v>
      </c>
      <c r="T194" s="1344" t="s">
        <v>678</v>
      </c>
      <c r="U194" s="1344"/>
      <c r="W194" t="s">
        <v>694</v>
      </c>
      <c r="AH194" s="1344">
        <v>4</v>
      </c>
      <c r="AI194" s="1344"/>
      <c r="BC194" t="s">
        <v>1537</v>
      </c>
      <c r="BN194" s="23" t="s">
        <v>701</v>
      </c>
      <c r="BT194" t="s">
        <v>742</v>
      </c>
    </row>
    <row r="195" spans="1:74" ht="13.05" customHeight="1">
      <c r="C195" s="21"/>
      <c r="D195" t="s">
        <v>387</v>
      </c>
      <c r="T195" s="1326" t="s">
        <v>554</v>
      </c>
      <c r="U195" s="1326"/>
      <c r="W195" t="s">
        <v>695</v>
      </c>
      <c r="AH195" s="1344">
        <v>2</v>
      </c>
      <c r="AI195" s="1344"/>
      <c r="BC195" t="s">
        <v>2120</v>
      </c>
      <c r="BN195" s="23" t="s">
        <v>243</v>
      </c>
      <c r="BT195" t="s">
        <v>743</v>
      </c>
    </row>
    <row r="196" spans="1:74" ht="13.05" customHeight="1">
      <c r="C196" s="21"/>
      <c r="D196" s="3" t="s">
        <v>169</v>
      </c>
      <c r="T196" s="1326" t="s">
        <v>678</v>
      </c>
      <c r="U196" s="1326"/>
      <c r="W196" t="s">
        <v>696</v>
      </c>
      <c r="AH196" s="1344">
        <v>2</v>
      </c>
      <c r="AI196" s="1344"/>
      <c r="BN196" s="23" t="s">
        <v>244</v>
      </c>
      <c r="BT196" t="s">
        <v>69</v>
      </c>
    </row>
    <row r="197" spans="1:74" ht="13.05" customHeight="1">
      <c r="C197" s="21"/>
      <c r="D197" s="3" t="s">
        <v>1833</v>
      </c>
      <c r="T197" s="1326"/>
      <c r="U197" s="1326"/>
      <c r="AH197" s="14"/>
      <c r="AI197" s="14"/>
      <c r="BC197" t="s">
        <v>308</v>
      </c>
      <c r="BN197" s="23" t="s">
        <v>245</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2500</v>
      </c>
      <c r="Y198" s="1344"/>
      <c r="Z198" s="134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0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0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05" customHeight="1">
      <c r="A202" s="2" t="s">
        <v>595</v>
      </c>
      <c r="C202" s="2" t="s">
        <v>137</v>
      </c>
      <c r="BC202" t="s">
        <v>1128</v>
      </c>
      <c r="BD202" s="470"/>
      <c r="BN202" s="23" t="s">
        <v>711</v>
      </c>
      <c r="BO202" s="14"/>
      <c r="BP202" s="32"/>
      <c r="BQ202" s="32"/>
      <c r="BR202" s="32"/>
      <c r="BS202" s="32"/>
      <c r="BT202" s="32" t="s">
        <v>196</v>
      </c>
    </row>
    <row r="203" spans="1:74" ht="13.05" customHeight="1">
      <c r="D203" s="1485" t="s">
        <v>386</v>
      </c>
      <c r="E203" s="1485"/>
      <c r="F203" s="1485"/>
      <c r="G203" s="1485"/>
      <c r="H203" s="1485"/>
      <c r="I203" s="1485"/>
      <c r="J203" s="1485"/>
      <c r="K203" s="1485"/>
      <c r="L203" s="1485"/>
      <c r="M203" s="1485"/>
      <c r="P203" s="1521">
        <f>M26</f>
        <v>2972052</v>
      </c>
      <c r="Q203" s="1522"/>
      <c r="R203" s="1522"/>
      <c r="S203" s="1522"/>
      <c r="T203" s="1522"/>
      <c r="U203" s="1522"/>
      <c r="Z203" s="1541" t="s">
        <v>1327</v>
      </c>
      <c r="AA203" s="1541"/>
      <c r="AB203" s="1541"/>
      <c r="AC203" s="1541"/>
      <c r="AD203" s="1541"/>
      <c r="AE203" s="1541"/>
      <c r="AF203" s="1541"/>
      <c r="BC203" t="s">
        <v>1129</v>
      </c>
      <c r="BN203" s="23" t="s">
        <v>712</v>
      </c>
      <c r="BO203" s="14"/>
      <c r="BP203" s="32"/>
      <c r="BQ203" s="32"/>
      <c r="BR203" s="32"/>
      <c r="BS203" s="32"/>
      <c r="BT203" s="32" t="s">
        <v>197</v>
      </c>
    </row>
    <row r="204" spans="1:74" ht="13.05" customHeight="1">
      <c r="C204" s="21"/>
      <c r="D204" s="1540" t="s">
        <v>1403</v>
      </c>
      <c r="E204" s="1485"/>
      <c r="F204" s="1485"/>
      <c r="G204" s="1485"/>
      <c r="H204" s="1485"/>
      <c r="I204" s="1485"/>
      <c r="J204" s="1485"/>
      <c r="K204" s="1485"/>
      <c r="L204" s="1485"/>
      <c r="M204" s="1485"/>
      <c r="P204" s="1522">
        <f>M27</f>
        <v>0</v>
      </c>
      <c r="Q204" s="1522"/>
      <c r="R204" s="1522"/>
      <c r="S204" s="1522"/>
      <c r="T204" s="1522"/>
      <c r="U204" s="1522"/>
      <c r="V204" s="28"/>
      <c r="W204" s="3" t="s">
        <v>1981</v>
      </c>
      <c r="Z204" s="1541"/>
      <c r="AA204" s="1541"/>
      <c r="AB204" s="1541"/>
      <c r="AC204" s="1541"/>
      <c r="AD204" s="1541"/>
      <c r="AE204" s="1541"/>
      <c r="AF204" s="1541"/>
      <c r="AG204" t="s">
        <v>1404</v>
      </c>
      <c r="AP204" s="1344" t="s">
        <v>678</v>
      </c>
      <c r="AQ204" s="1344"/>
      <c r="BC204" t="s">
        <v>619</v>
      </c>
      <c r="BN204" s="23" t="s">
        <v>713</v>
      </c>
      <c r="BT204" s="32" t="s">
        <v>198</v>
      </c>
      <c r="BU204" s="14"/>
    </row>
    <row r="205" spans="1:74" ht="13.05" customHeight="1">
      <c r="D205" s="29"/>
      <c r="E205" s="29"/>
      <c r="F205" s="29"/>
      <c r="G205" s="29"/>
      <c r="H205" s="29"/>
      <c r="I205" s="29"/>
      <c r="J205" s="29"/>
      <c r="K205" s="29"/>
      <c r="L205" s="29"/>
      <c r="M205" s="29"/>
      <c r="N205" s="29"/>
      <c r="O205" s="29"/>
      <c r="P205" s="29"/>
      <c r="Z205" s="1542"/>
      <c r="AA205" s="1542"/>
      <c r="AB205" s="1542"/>
      <c r="AC205" s="1542"/>
      <c r="AD205" s="1542"/>
      <c r="AE205" s="1542"/>
      <c r="AF205" s="1542"/>
      <c r="BC205" t="s">
        <v>1087</v>
      </c>
      <c r="BN205" s="23" t="s">
        <v>110</v>
      </c>
      <c r="BT205" s="32" t="s">
        <v>174</v>
      </c>
      <c r="BU205" s="14"/>
    </row>
    <row r="206" spans="1:74" ht="13.05" customHeight="1">
      <c r="A206" s="2" t="s">
        <v>598</v>
      </c>
      <c r="C206" s="2" t="s">
        <v>560</v>
      </c>
      <c r="BC206" s="471" t="s">
        <v>1130</v>
      </c>
      <c r="BN206" s="23" t="s">
        <v>111</v>
      </c>
      <c r="BT206" s="32" t="s">
        <v>199</v>
      </c>
      <c r="BU206" s="14"/>
    </row>
    <row r="207" spans="1:74" ht="13.05" customHeight="1">
      <c r="C207" s="21"/>
      <c r="D207" s="1510" t="s">
        <v>2704</v>
      </c>
      <c r="E207" s="1510"/>
      <c r="F207" s="1510"/>
      <c r="G207" s="1510"/>
      <c r="H207" s="1510"/>
      <c r="I207" s="1510"/>
      <c r="J207" s="1510"/>
      <c r="K207" s="1510"/>
      <c r="L207" s="1510"/>
      <c r="M207" s="1510"/>
      <c r="BC207" s="3" t="s">
        <v>1360</v>
      </c>
      <c r="BN207" s="23" t="s">
        <v>45</v>
      </c>
      <c r="BT207" s="32" t="s">
        <v>200</v>
      </c>
    </row>
    <row r="208" spans="1:74" ht="13.05" customHeight="1">
      <c r="BC208" t="s">
        <v>1131</v>
      </c>
      <c r="BN208" s="23" t="s">
        <v>46</v>
      </c>
      <c r="BT208" s="32" t="s">
        <v>201</v>
      </c>
    </row>
    <row r="209" spans="1:72" ht="13.05" customHeight="1">
      <c r="A209" s="2" t="s">
        <v>599</v>
      </c>
      <c r="C209" s="2" t="s">
        <v>389</v>
      </c>
      <c r="BC209" t="s">
        <v>668</v>
      </c>
      <c r="BN209" s="23" t="s">
        <v>47</v>
      </c>
      <c r="BT209" s="32" t="s">
        <v>202</v>
      </c>
    </row>
    <row r="210" spans="1:72" ht="13.05" customHeight="1">
      <c r="C210" s="21"/>
      <c r="D210" s="1510" t="s">
        <v>2120</v>
      </c>
      <c r="E210" s="1510"/>
      <c r="F210" s="1510"/>
      <c r="G210" s="1510"/>
      <c r="H210" s="1510"/>
      <c r="I210" s="1510"/>
      <c r="J210" s="1510"/>
      <c r="K210" s="1510"/>
      <c r="L210" s="1510"/>
      <c r="M210" s="1510"/>
      <c r="BN210" s="23" t="s">
        <v>48</v>
      </c>
      <c r="BT210" s="32" t="s">
        <v>203</v>
      </c>
    </row>
    <row r="211" spans="1:72" ht="13.05" customHeight="1">
      <c r="C211" s="21"/>
      <c r="D211" t="s">
        <v>1393</v>
      </c>
      <c r="Y211" s="1344"/>
      <c r="Z211" s="1344"/>
      <c r="AB211" s="1537">
        <f>IFERROR(Y211/AG439,"")</f>
        <v>0</v>
      </c>
      <c r="AC211" s="1538"/>
      <c r="BN211" s="23" t="s">
        <v>130</v>
      </c>
      <c r="BT211" s="32" t="s">
        <v>131</v>
      </c>
    </row>
    <row r="212" spans="1:72" ht="13.05" customHeight="1">
      <c r="D212" s="1198" t="s">
        <v>1807</v>
      </c>
      <c r="BC212" t="s">
        <v>308</v>
      </c>
      <c r="BN212" s="23" t="s">
        <v>49</v>
      </c>
      <c r="BT212" s="32" t="s">
        <v>204</v>
      </c>
    </row>
    <row r="213" spans="1:72" ht="13.05" customHeight="1">
      <c r="D213" s="1430" t="s">
        <v>600</v>
      </c>
      <c r="E213" s="1430"/>
      <c r="F213" s="1430"/>
      <c r="G213" s="1430"/>
      <c r="H213" s="1430"/>
      <c r="I213" s="1430"/>
      <c r="J213" s="1430"/>
      <c r="K213" s="1430"/>
      <c r="L213" s="1430"/>
      <c r="M213" s="1430"/>
      <c r="N213" s="1430"/>
      <c r="O213" s="1430"/>
      <c r="P213" s="1430"/>
      <c r="Q213" s="1430"/>
      <c r="R213" s="1430"/>
      <c r="S213" s="1430"/>
      <c r="T213" s="1430"/>
      <c r="U213" s="1430"/>
      <c r="V213" s="1430"/>
      <c r="W213" s="1430"/>
      <c r="X213" s="1430"/>
      <c r="Y213" s="1430"/>
      <c r="Z213" s="1430"/>
      <c r="BC213" t="s">
        <v>535</v>
      </c>
      <c r="BN213" s="23" t="s">
        <v>50</v>
      </c>
      <c r="BT213" s="32" t="s">
        <v>205</v>
      </c>
    </row>
    <row r="214" spans="1:72" ht="13.05" customHeight="1">
      <c r="D214" s="3" t="s">
        <v>1834</v>
      </c>
      <c r="Z214" s="40"/>
      <c r="AB214" s="1428"/>
      <c r="AC214" s="1428"/>
      <c r="AD214" s="1428"/>
      <c r="AE214" s="1428"/>
      <c r="AF214" s="1428"/>
      <c r="AG214" s="1428"/>
      <c r="AH214" s="1428"/>
      <c r="AI214" s="1428"/>
      <c r="AJ214" s="1428"/>
      <c r="AK214" s="1428"/>
      <c r="AL214" s="1428"/>
      <c r="AM214" s="21"/>
      <c r="AN214" s="21"/>
      <c r="AO214" s="21"/>
      <c r="AP214" s="21"/>
      <c r="AQ214" s="21"/>
      <c r="AR214" s="21"/>
      <c r="AS214" s="21"/>
      <c r="AT214" s="21"/>
      <c r="AU214" s="21"/>
      <c r="AV214" s="21"/>
      <c r="AW214" s="21"/>
      <c r="AX214" s="21"/>
      <c r="AY214" s="21"/>
      <c r="BC214" t="s">
        <v>539</v>
      </c>
      <c r="BN214" s="23" t="s">
        <v>327</v>
      </c>
      <c r="BT214" s="32" t="s">
        <v>206</v>
      </c>
    </row>
    <row r="215" spans="1:72" ht="13.05" customHeight="1">
      <c r="D215" s="3" t="s">
        <v>1832</v>
      </c>
      <c r="Z215" s="40"/>
      <c r="AB215" s="1428"/>
      <c r="AC215" s="1428"/>
      <c r="AD215" s="1428"/>
      <c r="AE215" s="1428"/>
      <c r="AF215" s="1428"/>
      <c r="AG215" s="1428"/>
      <c r="AH215" s="1428"/>
      <c r="AI215" s="1428"/>
      <c r="AJ215" s="1428"/>
      <c r="AK215" s="1428"/>
      <c r="AL215" s="1428"/>
      <c r="AM215" s="21"/>
      <c r="AN215" s="21"/>
      <c r="AO215" s="21"/>
      <c r="AP215" s="21"/>
      <c r="AQ215" s="21"/>
      <c r="AR215" s="21"/>
      <c r="AS215" s="21"/>
      <c r="AT215" s="21"/>
      <c r="AU215" s="21"/>
      <c r="AV215" s="21"/>
      <c r="AW215" s="21"/>
      <c r="AX215" s="21"/>
      <c r="AY215" s="21"/>
      <c r="BC215" t="s">
        <v>536</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05" customHeight="1">
      <c r="A217" s="2" t="s">
        <v>601</v>
      </c>
      <c r="C217" s="2" t="s">
        <v>1368</v>
      </c>
      <c r="D217" s="28"/>
      <c r="BC217" t="s">
        <v>537</v>
      </c>
    </row>
    <row r="218" spans="1:72" ht="13.05" customHeight="1">
      <c r="A218" s="2"/>
      <c r="C218" s="2"/>
      <c r="D218" s="4" t="s">
        <v>1041</v>
      </c>
      <c r="BC218" t="s">
        <v>538</v>
      </c>
    </row>
    <row r="219" spans="1:72" ht="13.05" customHeight="1">
      <c r="A219" s="2"/>
      <c r="C219" s="2"/>
      <c r="D219" s="1510" t="s">
        <v>1131</v>
      </c>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c r="Y219" s="1510"/>
      <c r="Z219" s="1510"/>
      <c r="AZ219" s="3"/>
      <c r="BA219" s="3"/>
      <c r="BC219" t="s">
        <v>378</v>
      </c>
    </row>
    <row r="220" spans="1:72" ht="13.05" customHeight="1">
      <c r="A220" s="2"/>
      <c r="B220" s="14"/>
      <c r="C220" s="2"/>
      <c r="BA220" s="3"/>
      <c r="BC220" t="s">
        <v>301</v>
      </c>
    </row>
    <row r="221" spans="1:72" ht="13.05" customHeight="1">
      <c r="A221" s="1413" t="s">
        <v>549</v>
      </c>
      <c r="B221" s="1413"/>
      <c r="C221" s="1413"/>
      <c r="D221" s="1413"/>
      <c r="E221" s="1413"/>
      <c r="F221" s="1413"/>
      <c r="G221" s="1413"/>
      <c r="H221" s="1413"/>
      <c r="I221" s="1413"/>
      <c r="J221" s="1413"/>
      <c r="K221" s="1413"/>
      <c r="L221" s="1413"/>
      <c r="M221" s="1413"/>
      <c r="N221" s="1413"/>
      <c r="O221" s="1413"/>
      <c r="P221" s="1413"/>
      <c r="Q221" s="1413"/>
      <c r="R221" s="1413"/>
      <c r="S221" s="1413"/>
      <c r="T221" s="1413"/>
      <c r="U221" s="1413"/>
      <c r="V221" s="1413"/>
      <c r="W221" s="1413"/>
      <c r="X221" s="1413"/>
      <c r="Y221" s="1413"/>
      <c r="Z221" s="1413"/>
      <c r="AA221" s="1413"/>
      <c r="AB221" s="1413"/>
      <c r="AC221" s="1413"/>
      <c r="AD221" s="1413"/>
      <c r="AE221" s="1413"/>
      <c r="AF221" s="1413"/>
      <c r="AG221" s="1413"/>
      <c r="AH221" s="1413"/>
      <c r="AI221" s="1413"/>
      <c r="AJ221" s="1413"/>
      <c r="AK221" s="1413"/>
      <c r="AL221" s="1413"/>
      <c r="AM221" s="95"/>
      <c r="AN221" s="95"/>
      <c r="AO221" s="95"/>
      <c r="AP221" s="95"/>
      <c r="AQ221" s="95"/>
      <c r="AR221" s="95"/>
      <c r="AS221" s="95"/>
      <c r="AT221" s="95"/>
      <c r="AU221" s="95"/>
      <c r="AV221" s="95"/>
      <c r="AW221" s="95"/>
      <c r="AX221" s="95"/>
      <c r="AY221" s="95"/>
      <c r="BA221" s="3"/>
    </row>
    <row r="222" spans="1:72" ht="13.05" customHeight="1" thickBot="1">
      <c r="A222" s="1414"/>
      <c r="B222" s="1414"/>
      <c r="C222" s="1414"/>
      <c r="D222" s="1414"/>
      <c r="E222" s="1414"/>
      <c r="F222" s="1414"/>
      <c r="G222" s="1414"/>
      <c r="H222" s="1414"/>
      <c r="I222" s="1414"/>
      <c r="J222" s="1414"/>
      <c r="K222" s="1414"/>
      <c r="L222" s="1414"/>
      <c r="M222" s="1414"/>
      <c r="N222" s="1414"/>
      <c r="O222" s="1414"/>
      <c r="P222" s="1414"/>
      <c r="Q222" s="1414"/>
      <c r="R222" s="1414"/>
      <c r="S222" s="1414"/>
      <c r="T222" s="1414"/>
      <c r="U222" s="1414"/>
      <c r="V222" s="1414"/>
      <c r="W222" s="1414"/>
      <c r="X222" s="1414"/>
      <c r="Y222" s="1414"/>
      <c r="Z222" s="1414"/>
      <c r="AA222" s="1414"/>
      <c r="AB222" s="1414"/>
      <c r="AC222" s="1414"/>
      <c r="AD222" s="1414"/>
      <c r="AE222" s="1414"/>
      <c r="AF222" s="1414"/>
      <c r="AG222" s="1414"/>
      <c r="AH222" s="1414"/>
      <c r="AI222" s="1414"/>
      <c r="AJ222" s="1414"/>
      <c r="AK222" s="1414"/>
      <c r="AL222" s="1414"/>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320</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44" t="s">
        <v>600</v>
      </c>
      <c r="AJ225" s="1344"/>
      <c r="AL225" s="3"/>
      <c r="AM225" s="3"/>
      <c r="AN225" s="3"/>
      <c r="AO225" s="3"/>
      <c r="AP225" s="3"/>
      <c r="AQ225" s="3"/>
      <c r="AR225" s="3"/>
      <c r="AS225" s="3"/>
      <c r="AT225" s="3"/>
      <c r="AU225" s="3"/>
      <c r="AV225" s="3"/>
      <c r="AW225" s="3"/>
      <c r="AX225" s="3"/>
      <c r="AY225" s="3"/>
      <c r="BO225" s="34"/>
    </row>
    <row r="226" spans="1:69" ht="13.0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44" t="s">
        <v>600</v>
      </c>
      <c r="AJ226" s="134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0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44" t="s">
        <v>600</v>
      </c>
      <c r="AJ227" s="134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0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44" t="s">
        <v>554</v>
      </c>
      <c r="AJ228" s="134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05"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05" customHeight="1">
      <c r="D231" s="4" t="s">
        <v>479</v>
      </c>
      <c r="E231" s="4"/>
      <c r="F231" s="4"/>
      <c r="G231" s="4"/>
      <c r="H231" s="4"/>
      <c r="I231" s="4"/>
      <c r="J231" s="4"/>
      <c r="K231" s="4"/>
      <c r="M231" s="1526" t="str">
        <f>H16</f>
        <v xml:space="preserve"> Eden Housing, Inc.</v>
      </c>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BA231" s="3"/>
      <c r="BB231" s="218"/>
      <c r="BG231" s="218"/>
      <c r="BQ231" s="34"/>
    </row>
    <row r="232" spans="1:69" ht="13.05" customHeight="1">
      <c r="D232" s="4" t="s">
        <v>86</v>
      </c>
      <c r="E232" s="4"/>
      <c r="F232" s="4"/>
      <c r="G232" s="4"/>
      <c r="H232" s="4"/>
      <c r="I232" s="4"/>
      <c r="J232" s="4"/>
      <c r="K232" s="4"/>
      <c r="M232" s="1508" t="s">
        <v>2635</v>
      </c>
      <c r="N232" s="1510"/>
      <c r="O232" s="1510"/>
      <c r="P232" s="1510"/>
      <c r="Q232" s="1510"/>
      <c r="R232" s="1510"/>
      <c r="S232" s="1510"/>
      <c r="T232" s="1510"/>
      <c r="U232" s="1510"/>
      <c r="V232" s="1510"/>
      <c r="W232" s="1510"/>
      <c r="X232" s="1510"/>
      <c r="Y232" s="1510"/>
      <c r="Z232" s="1510"/>
      <c r="AA232" s="1510"/>
      <c r="AB232" s="1510"/>
      <c r="AC232" s="1510"/>
      <c r="AD232" s="1510"/>
      <c r="AE232" s="1510"/>
      <c r="AZ232" s="4"/>
      <c r="BA232" s="3"/>
      <c r="BB232" s="219" t="s">
        <v>547</v>
      </c>
      <c r="BG232" s="259">
        <f>IF(AND(AND($M$248="nonprofit",$M$256="nonprofit",$M$264="for profit")),2,0)</f>
        <v>0</v>
      </c>
      <c r="BQ232" s="34"/>
    </row>
    <row r="233" spans="1:69" ht="13.05" customHeight="1">
      <c r="D233" s="4" t="s">
        <v>589</v>
      </c>
      <c r="E233" s="4"/>
      <c r="M233" s="1508" t="s">
        <v>2636</v>
      </c>
      <c r="N233" s="1510"/>
      <c r="O233" s="1510"/>
      <c r="P233" s="1510"/>
      <c r="Q233" s="1510"/>
      <c r="R233" s="1510"/>
      <c r="S233" s="1510"/>
      <c r="T233" s="1510"/>
      <c r="V233" s="33" t="s">
        <v>87</v>
      </c>
      <c r="W233" s="1435" t="s">
        <v>2637</v>
      </c>
      <c r="X233" s="1436"/>
      <c r="Y233" s="4" t="s">
        <v>592</v>
      </c>
      <c r="AC233" s="1510">
        <v>94541</v>
      </c>
      <c r="AD233" s="1510"/>
      <c r="AE233" s="1510"/>
      <c r="BB233" s="219" t="s">
        <v>547</v>
      </c>
      <c r="BG233" s="259">
        <f>IF(AND(AND($M$248="nonprofit",$M$256="for profit",$M$264="nonprofit")),2,0)</f>
        <v>0</v>
      </c>
    </row>
    <row r="234" spans="1:69" ht="13.05" customHeight="1">
      <c r="D234" s="4" t="s">
        <v>88</v>
      </c>
      <c r="E234" s="4"/>
      <c r="F234" s="4"/>
      <c r="G234" s="4"/>
      <c r="H234" s="4"/>
      <c r="I234" s="4"/>
      <c r="J234" s="4"/>
      <c r="K234" s="19"/>
      <c r="M234" s="1508" t="s">
        <v>2701</v>
      </c>
      <c r="N234" s="1510"/>
      <c r="O234" s="1510"/>
      <c r="P234" s="1510"/>
      <c r="Q234" s="1510"/>
      <c r="R234" s="1510"/>
      <c r="S234" s="1510"/>
      <c r="T234" s="1510"/>
      <c r="U234" s="1510"/>
      <c r="V234" s="1510"/>
      <c r="W234" s="1510"/>
      <c r="X234" s="1510"/>
      <c r="Y234" s="1510"/>
      <c r="Z234" s="1510"/>
      <c r="AA234" s="1510"/>
      <c r="AB234" s="1510"/>
      <c r="AC234" s="1510"/>
      <c r="AD234" s="1510"/>
      <c r="AE234" s="1510"/>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05" customHeight="1">
      <c r="D235" s="4" t="s">
        <v>89</v>
      </c>
      <c r="E235" s="4"/>
      <c r="F235" s="4"/>
      <c r="M235" s="1486" t="s">
        <v>2638</v>
      </c>
      <c r="N235" s="1408"/>
      <c r="O235" s="1408"/>
      <c r="P235" s="1408"/>
      <c r="Q235" s="1408"/>
      <c r="R235" s="1408"/>
      <c r="S235" s="4" t="s">
        <v>207</v>
      </c>
      <c r="T235" s="4"/>
      <c r="U235" s="1436"/>
      <c r="V235" s="1436"/>
      <c r="W235" s="1436"/>
      <c r="X235" s="4" t="s">
        <v>90</v>
      </c>
      <c r="Z235" s="1408"/>
      <c r="AA235" s="1408"/>
      <c r="AB235" s="1408"/>
      <c r="AC235" s="1408"/>
      <c r="AD235" s="1408"/>
      <c r="AE235" s="1408"/>
      <c r="BB235" s="219"/>
      <c r="BG235" s="218"/>
    </row>
    <row r="236" spans="1:69" ht="13.05" customHeight="1">
      <c r="D236" s="4" t="s">
        <v>91</v>
      </c>
      <c r="E236" s="4"/>
      <c r="F236" s="4"/>
      <c r="M236" s="1440" t="s">
        <v>2700</v>
      </c>
      <c r="N236" s="1440"/>
      <c r="O236" s="1440"/>
      <c r="P236" s="1440"/>
      <c r="Q236" s="1440"/>
      <c r="R236" s="1440"/>
      <c r="S236" s="1440"/>
      <c r="T236" s="1440"/>
      <c r="U236" s="1440"/>
      <c r="V236" s="1440"/>
      <c r="W236" s="1440"/>
      <c r="X236" s="1440"/>
      <c r="Y236" s="1440"/>
      <c r="Z236" s="1440"/>
      <c r="AA236" s="1440"/>
      <c r="AB236" s="1440"/>
      <c r="AC236" s="1440"/>
      <c r="AD236" s="1440"/>
      <c r="AE236" s="144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05" customHeight="1">
      <c r="A237" s="2" t="s">
        <v>595</v>
      </c>
      <c r="C237" s="2" t="s">
        <v>534</v>
      </c>
      <c r="M237" s="1337" t="s">
        <v>378</v>
      </c>
      <c r="N237" s="1337"/>
      <c r="O237" s="1337"/>
      <c r="P237" s="1337"/>
      <c r="Q237" s="1337"/>
      <c r="R237" s="1337"/>
      <c r="S237" s="1337"/>
      <c r="T237" s="1337"/>
      <c r="U237" s="218" t="s">
        <v>939</v>
      </c>
      <c r="V237" s="218"/>
      <c r="W237" s="218"/>
      <c r="X237" s="218"/>
      <c r="Y237" s="218"/>
      <c r="Z237" s="218"/>
      <c r="AA237" s="1517" t="s">
        <v>2639</v>
      </c>
      <c r="AB237" s="1509"/>
      <c r="AC237" s="1509"/>
      <c r="AD237" s="1509"/>
      <c r="AE237" s="1509"/>
      <c r="AF237" s="1509"/>
      <c r="AG237" s="1509"/>
      <c r="AH237" s="1509"/>
      <c r="AI237" s="1509"/>
      <c r="AJ237" s="1509"/>
      <c r="AK237" s="1509"/>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05" customHeight="1">
      <c r="D238" t="s">
        <v>540</v>
      </c>
      <c r="M238" s="1365"/>
      <c r="N238" s="1365"/>
      <c r="O238" s="1365"/>
      <c r="P238" s="1365"/>
      <c r="Q238" s="1365"/>
      <c r="R238" s="1365"/>
      <c r="S238" s="1365"/>
      <c r="T238" s="1365"/>
      <c r="U238" s="1365"/>
      <c r="V238" s="1365"/>
      <c r="W238" s="1365"/>
      <c r="X238" s="1365"/>
      <c r="Y238" s="1365"/>
      <c r="Z238" s="1365"/>
      <c r="AA238" s="1365"/>
      <c r="AB238" s="1365"/>
      <c r="AC238" s="1365"/>
      <c r="AD238" s="1365"/>
      <c r="AE238" s="136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3.05" customHeight="1">
      <c r="D239" s="4"/>
      <c r="BB239" s="218" t="s">
        <v>906</v>
      </c>
      <c r="BG239" s="259">
        <f>IF(AND(AND($M$248="for profit",$M$256="for profit",$M$264="(select one)")),3,0)</f>
        <v>0</v>
      </c>
    </row>
    <row r="240" spans="1:69" ht="13.05" customHeight="1">
      <c r="A240" s="2" t="s">
        <v>598</v>
      </c>
      <c r="C240" s="2" t="s">
        <v>1326</v>
      </c>
      <c r="D240" s="4"/>
      <c r="L240" s="8"/>
      <c r="M240" s="8"/>
      <c r="N240" s="8"/>
      <c r="BB240" s="218" t="s">
        <v>906</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05" customHeight="1">
      <c r="A242" s="19"/>
      <c r="B242" s="4"/>
      <c r="C242" s="56" t="s">
        <v>482</v>
      </c>
      <c r="D242" s="4" t="s">
        <v>541</v>
      </c>
      <c r="E242" s="4"/>
      <c r="F242" s="4"/>
      <c r="G242" s="4"/>
      <c r="H242" s="4"/>
      <c r="I242" s="4"/>
      <c r="J242" s="4"/>
      <c r="K242" s="4"/>
      <c r="L242" s="4"/>
      <c r="M242" s="1513" t="s">
        <v>2640</v>
      </c>
      <c r="N242" s="1514"/>
      <c r="O242" s="1514"/>
      <c r="P242" s="1514"/>
      <c r="Q242" s="1514"/>
      <c r="R242" s="1514"/>
      <c r="S242" s="1514"/>
      <c r="T242" s="1514"/>
      <c r="U242" s="1514"/>
      <c r="V242" s="1514"/>
      <c r="W242" s="1514"/>
      <c r="X242" s="1514"/>
      <c r="Y242" s="1514"/>
      <c r="Z242" s="1514"/>
      <c r="AA242" s="1514"/>
      <c r="AB242" s="1514"/>
      <c r="AC242" s="1514"/>
      <c r="AD242" s="1514"/>
      <c r="AE242" s="1514"/>
      <c r="AF242" s="1514" t="s">
        <v>2641</v>
      </c>
      <c r="AG242" s="1514"/>
      <c r="AH242" s="1514"/>
      <c r="AI242" s="1514"/>
      <c r="AJ242" s="1514"/>
      <c r="AK242" s="1514"/>
      <c r="BO242" s="34"/>
      <c r="BP242" s="4"/>
      <c r="BQ242" s="4"/>
      <c r="BR242" s="4"/>
      <c r="BS242" s="4"/>
    </row>
    <row r="243" spans="1:71" ht="13.05" customHeight="1">
      <c r="A243" s="19"/>
      <c r="B243" s="4"/>
      <c r="C243" s="4"/>
      <c r="D243" s="4" t="s">
        <v>86</v>
      </c>
      <c r="E243" s="4"/>
      <c r="F243" s="4"/>
      <c r="G243" s="4"/>
      <c r="H243" s="4"/>
      <c r="I243" s="4"/>
      <c r="J243" s="4"/>
      <c r="K243" s="4"/>
      <c r="L243" s="4"/>
      <c r="M243" s="1508" t="s">
        <v>2635</v>
      </c>
      <c r="N243" s="1510"/>
      <c r="O243" s="1510"/>
      <c r="P243" s="1510"/>
      <c r="Q243" s="1510"/>
      <c r="R243" s="1510"/>
      <c r="S243" s="1510"/>
      <c r="T243" s="1510"/>
      <c r="U243" s="1510"/>
      <c r="V243" s="1510"/>
      <c r="W243" s="1510"/>
      <c r="X243" s="1510"/>
      <c r="Y243" s="1510"/>
      <c r="Z243" s="1510"/>
      <c r="AA243" s="1510"/>
      <c r="AB243" s="1510"/>
      <c r="AC243" s="1510"/>
      <c r="AD243" s="1510"/>
      <c r="AE243" s="1510"/>
      <c r="AF243" s="3" t="s">
        <v>1322</v>
      </c>
      <c r="AL243" s="4"/>
      <c r="AM243" s="4"/>
      <c r="AN243" s="4"/>
      <c r="AO243" s="4"/>
      <c r="AP243" s="4"/>
      <c r="AQ243" s="4"/>
      <c r="AR243" s="4"/>
      <c r="AS243" s="4"/>
      <c r="AT243" s="4"/>
      <c r="AU243" s="4"/>
      <c r="AV243" s="4"/>
      <c r="AW243" s="4"/>
      <c r="AX243" s="4"/>
      <c r="AY243" s="4"/>
      <c r="BG243">
        <f>SUM(BG226:BG241)</f>
        <v>1</v>
      </c>
    </row>
    <row r="244" spans="1:71" ht="13.05" customHeight="1">
      <c r="A244" s="19"/>
      <c r="B244" s="4"/>
      <c r="C244" s="4"/>
      <c r="D244" s="4" t="s">
        <v>589</v>
      </c>
      <c r="E244" s="4"/>
      <c r="M244" s="1508" t="s">
        <v>2636</v>
      </c>
      <c r="N244" s="1510"/>
      <c r="O244" s="1510"/>
      <c r="P244" s="1510"/>
      <c r="Q244" s="1510"/>
      <c r="R244" s="1510"/>
      <c r="S244" s="1510"/>
      <c r="T244" s="1510"/>
      <c r="V244" s="33" t="s">
        <v>87</v>
      </c>
      <c r="W244" s="1435" t="s">
        <v>2637</v>
      </c>
      <c r="X244" s="1436"/>
      <c r="Y244" s="4" t="s">
        <v>592</v>
      </c>
      <c r="AC244" s="1510">
        <v>94541</v>
      </c>
      <c r="AD244" s="1510"/>
      <c r="AE244" s="1510"/>
      <c r="AF244" s="3" t="s">
        <v>1323</v>
      </c>
      <c r="BB244" t="s">
        <v>308</v>
      </c>
      <c r="BG244">
        <v>1</v>
      </c>
      <c r="BH244" t="s">
        <v>543</v>
      </c>
    </row>
    <row r="245" spans="1:71" ht="13.05" customHeight="1">
      <c r="A245" s="19"/>
      <c r="B245" s="4"/>
      <c r="C245" s="4"/>
      <c r="D245" s="4" t="s">
        <v>88</v>
      </c>
      <c r="E245" s="4"/>
      <c r="F245" s="4"/>
      <c r="G245" s="4"/>
      <c r="H245" s="4"/>
      <c r="I245" s="4"/>
      <c r="J245" s="4"/>
      <c r="K245" s="4"/>
      <c r="L245" s="19"/>
      <c r="M245" s="1508" t="s">
        <v>2701</v>
      </c>
      <c r="N245" s="1510"/>
      <c r="O245" s="1510"/>
      <c r="P245" s="1510"/>
      <c r="Q245" s="1510"/>
      <c r="R245" s="1510"/>
      <c r="S245" s="1510"/>
      <c r="T245" s="1510"/>
      <c r="U245" s="1510"/>
      <c r="V245" s="1510"/>
      <c r="W245" s="1510"/>
      <c r="X245" s="1510"/>
      <c r="Y245" s="1510"/>
      <c r="Z245" s="1510"/>
      <c r="AA245" s="1510"/>
      <c r="AB245" s="1510"/>
      <c r="AC245" s="1510"/>
      <c r="AD245" s="1510"/>
      <c r="AE245" s="1510"/>
      <c r="AH245" s="1406">
        <v>0.01</v>
      </c>
      <c r="AI245" s="1406"/>
      <c r="AJ245" s="1406"/>
      <c r="AK245" s="1406"/>
      <c r="AL245" s="4"/>
      <c r="AM245" s="4"/>
      <c r="AN245" s="4"/>
      <c r="AO245" s="4"/>
      <c r="AP245" s="4"/>
      <c r="AQ245" s="4"/>
      <c r="AR245" s="4"/>
      <c r="AS245" s="4"/>
      <c r="AT245" s="4"/>
      <c r="AU245" s="4"/>
      <c r="AV245" s="4"/>
      <c r="AW245" s="4"/>
      <c r="AX245" s="4"/>
      <c r="AY245" s="4"/>
      <c r="BB245" s="4" t="s">
        <v>281</v>
      </c>
      <c r="BG245">
        <v>2</v>
      </c>
      <c r="BH245" t="s">
        <v>575</v>
      </c>
      <c r="BO245" s="257" t="str">
        <f>VLOOKUP(BG243,BG244:BH246,2,FALSE)</f>
        <v>Nonprofit</v>
      </c>
    </row>
    <row r="246" spans="1:71" ht="13.05" customHeight="1">
      <c r="A246" s="19"/>
      <c r="B246" s="4"/>
      <c r="C246" s="4"/>
      <c r="D246" s="4" t="s">
        <v>89</v>
      </c>
      <c r="E246" s="4"/>
      <c r="F246" s="4"/>
      <c r="M246" s="1486" t="s">
        <v>2638</v>
      </c>
      <c r="N246" s="1408"/>
      <c r="O246" s="1408"/>
      <c r="P246" s="1408"/>
      <c r="Q246" s="1408"/>
      <c r="R246" s="1408"/>
      <c r="S246" s="4" t="s">
        <v>207</v>
      </c>
      <c r="T246" s="4"/>
      <c r="U246" s="1436"/>
      <c r="V246" s="1436"/>
      <c r="W246" s="1436"/>
      <c r="X246" s="4" t="s">
        <v>90</v>
      </c>
      <c r="Z246" s="1408"/>
      <c r="AA246" s="1408"/>
      <c r="AB246" s="1408"/>
      <c r="AC246" s="1408"/>
      <c r="AD246" s="1408"/>
      <c r="AE246" s="1408"/>
      <c r="BB246" s="4" t="s">
        <v>173</v>
      </c>
      <c r="BG246">
        <v>3</v>
      </c>
      <c r="BH246" t="s">
        <v>545</v>
      </c>
      <c r="BN246" s="34"/>
    </row>
    <row r="247" spans="1:71" ht="13.05" customHeight="1">
      <c r="A247" s="19"/>
      <c r="B247" s="4"/>
      <c r="C247" s="4"/>
      <c r="D247" s="4" t="s">
        <v>91</v>
      </c>
      <c r="E247" s="4"/>
      <c r="F247" s="4"/>
      <c r="M247" s="1440" t="s">
        <v>2700</v>
      </c>
      <c r="N247" s="1440"/>
      <c r="O247" s="1440"/>
      <c r="P247" s="1440"/>
      <c r="Q247" s="1440"/>
      <c r="R247" s="1440"/>
      <c r="S247" s="1440"/>
      <c r="T247" s="1440"/>
      <c r="U247" s="1440"/>
      <c r="V247" s="1440"/>
      <c r="W247" s="1440"/>
      <c r="X247" s="1440"/>
      <c r="Y247" s="1440"/>
      <c r="Z247" s="1440"/>
      <c r="AA247" s="1440"/>
      <c r="AB247" s="1440"/>
      <c r="AC247" s="1440"/>
      <c r="AD247" s="1440"/>
      <c r="AE247" s="1440"/>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544</v>
      </c>
      <c r="E248" s="4"/>
      <c r="F248" s="4"/>
      <c r="G248" s="4"/>
      <c r="H248" s="4"/>
      <c r="I248" s="4"/>
      <c r="J248" s="4"/>
      <c r="K248" s="4"/>
      <c r="L248" s="4"/>
      <c r="M248" s="1337" t="s">
        <v>543</v>
      </c>
      <c r="N248" s="1337"/>
      <c r="O248" s="1337"/>
      <c r="P248" s="1337"/>
      <c r="Q248" s="1337"/>
      <c r="R248" s="1337"/>
      <c r="S248" s="1337"/>
      <c r="T248" s="1337"/>
      <c r="U248" s="218" t="s">
        <v>939</v>
      </c>
      <c r="V248" s="218"/>
      <c r="W248" s="218"/>
      <c r="X248" s="218"/>
      <c r="Y248" s="218"/>
      <c r="Z248" s="218"/>
      <c r="AA248" s="1517" t="s">
        <v>2639</v>
      </c>
      <c r="AB248" s="1509"/>
      <c r="AC248" s="1509"/>
      <c r="AD248" s="1509"/>
      <c r="AE248" s="1509"/>
      <c r="AF248" s="1509"/>
      <c r="AG248" s="1509"/>
      <c r="AH248" s="1509"/>
      <c r="AI248" s="1509"/>
      <c r="AJ248" s="1509"/>
      <c r="AK248" s="1509"/>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995</v>
      </c>
      <c r="E250" s="4"/>
      <c r="F250" s="4"/>
      <c r="G250" s="4"/>
      <c r="H250" s="4"/>
      <c r="I250" s="4"/>
      <c r="J250" s="4"/>
      <c r="K250" s="4"/>
      <c r="L250" s="4"/>
      <c r="M250" s="1513" t="s">
        <v>600</v>
      </c>
      <c r="N250" s="1514"/>
      <c r="O250" s="1514"/>
      <c r="P250" s="1514"/>
      <c r="Q250" s="1514"/>
      <c r="R250" s="1514"/>
      <c r="S250" s="1514"/>
      <c r="T250" s="1514"/>
      <c r="U250" s="1514"/>
      <c r="V250" s="1514"/>
      <c r="W250" s="1514"/>
      <c r="X250" s="1514"/>
      <c r="Y250" s="1514"/>
      <c r="Z250" s="1514"/>
      <c r="AA250" s="1514"/>
      <c r="AB250" s="1514"/>
      <c r="AC250" s="1514"/>
      <c r="AD250" s="1514"/>
      <c r="AE250" s="1514"/>
      <c r="AF250" s="1513" t="s">
        <v>308</v>
      </c>
      <c r="AG250" s="1514"/>
      <c r="AH250" s="1514"/>
      <c r="AI250" s="1514"/>
      <c r="AJ250" s="1514"/>
      <c r="AK250" s="1514"/>
      <c r="BN250" s="34"/>
    </row>
    <row r="251" spans="1:71" ht="13.05" customHeight="1">
      <c r="A251" s="19"/>
      <c r="B251" s="4"/>
      <c r="C251" s="4"/>
      <c r="D251" s="4" t="s">
        <v>86</v>
      </c>
      <c r="E251" s="4"/>
      <c r="F251" s="4"/>
      <c r="G251" s="4"/>
      <c r="H251" s="4"/>
      <c r="I251" s="4"/>
      <c r="J251" s="4"/>
      <c r="K251" s="4"/>
      <c r="L251" s="4"/>
      <c r="M251" s="1508"/>
      <c r="N251" s="1510"/>
      <c r="O251" s="1510"/>
      <c r="P251" s="1510"/>
      <c r="Q251" s="1510"/>
      <c r="R251" s="1510"/>
      <c r="S251" s="1510"/>
      <c r="T251" s="1510"/>
      <c r="U251" s="1510"/>
      <c r="V251" s="1510"/>
      <c r="W251" s="1510"/>
      <c r="X251" s="1510"/>
      <c r="Y251" s="1510"/>
      <c r="Z251" s="1510"/>
      <c r="AA251" s="1510"/>
      <c r="AB251" s="1510"/>
      <c r="AC251" s="1510"/>
      <c r="AD251" s="1510"/>
      <c r="AE251" s="1510"/>
      <c r="AF251" s="3" t="s">
        <v>1322</v>
      </c>
      <c r="AL251" s="4"/>
      <c r="AM251" s="4"/>
      <c r="AN251" s="4"/>
      <c r="AO251" s="4"/>
      <c r="AP251" s="4"/>
      <c r="AQ251" s="4"/>
      <c r="AR251" s="4"/>
      <c r="AS251" s="4"/>
      <c r="AT251" s="4"/>
      <c r="AU251" s="4"/>
      <c r="AV251" s="4"/>
      <c r="AW251" s="4"/>
      <c r="AX251" s="4"/>
      <c r="AY251" s="4"/>
      <c r="BN251" s="34"/>
    </row>
    <row r="252" spans="1:71" ht="13.05" customHeight="1">
      <c r="A252" s="19"/>
      <c r="B252" s="4"/>
      <c r="C252" s="4"/>
      <c r="D252" s="4" t="s">
        <v>589</v>
      </c>
      <c r="E252" s="4"/>
      <c r="M252" s="1510"/>
      <c r="N252" s="1510"/>
      <c r="O252" s="1510"/>
      <c r="P252" s="1510"/>
      <c r="Q252" s="1510"/>
      <c r="R252" s="1510"/>
      <c r="S252" s="1510"/>
      <c r="T252" s="1510"/>
      <c r="V252" s="33" t="s">
        <v>87</v>
      </c>
      <c r="W252" s="1436"/>
      <c r="X252" s="1436"/>
      <c r="Y252" s="4" t="s">
        <v>592</v>
      </c>
      <c r="AC252" s="1510"/>
      <c r="AD252" s="1510"/>
      <c r="AE252" s="1510"/>
      <c r="AF252" s="3" t="s">
        <v>1323</v>
      </c>
      <c r="BN252" s="34"/>
    </row>
    <row r="253" spans="1:71" ht="13.05" customHeight="1">
      <c r="A253" s="19"/>
      <c r="B253" s="4"/>
      <c r="C253" s="4"/>
      <c r="D253" s="4" t="s">
        <v>88</v>
      </c>
      <c r="E253" s="4"/>
      <c r="F253" s="4"/>
      <c r="G253" s="4"/>
      <c r="H253" s="4"/>
      <c r="I253" s="4"/>
      <c r="J253" s="4"/>
      <c r="K253" s="4"/>
      <c r="L253" s="19"/>
      <c r="M253" s="1510"/>
      <c r="N253" s="1510"/>
      <c r="O253" s="1510"/>
      <c r="P253" s="1510"/>
      <c r="Q253" s="1510"/>
      <c r="R253" s="1510"/>
      <c r="S253" s="1510"/>
      <c r="T253" s="1510"/>
      <c r="U253" s="1510"/>
      <c r="V253" s="1510"/>
      <c r="W253" s="1510"/>
      <c r="X253" s="1510"/>
      <c r="Y253" s="1510"/>
      <c r="Z253" s="1510"/>
      <c r="AA253" s="1510"/>
      <c r="AB253" s="1510"/>
      <c r="AC253" s="1510"/>
      <c r="AD253" s="1510"/>
      <c r="AE253" s="1510"/>
      <c r="AH253" s="1406"/>
      <c r="AI253" s="1406"/>
      <c r="AJ253" s="1406"/>
      <c r="AK253" s="1406"/>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408"/>
      <c r="N254" s="1408"/>
      <c r="O254" s="1408"/>
      <c r="P254" s="1408"/>
      <c r="Q254" s="1408"/>
      <c r="R254" s="1408"/>
      <c r="S254" s="4" t="s">
        <v>207</v>
      </c>
      <c r="T254" s="4"/>
      <c r="U254" s="1436"/>
      <c r="V254" s="1436"/>
      <c r="W254" s="1436"/>
      <c r="X254" s="4" t="s">
        <v>90</v>
      </c>
      <c r="Z254" s="1408"/>
      <c r="AA254" s="1408"/>
      <c r="AB254" s="1408"/>
      <c r="AC254" s="1408"/>
      <c r="AD254" s="1408"/>
      <c r="AE254" s="1408"/>
    </row>
    <row r="255" spans="1:71" ht="13.05" customHeight="1">
      <c r="A255" s="19"/>
      <c r="B255" s="4"/>
      <c r="C255" s="4"/>
      <c r="D255" s="4" t="s">
        <v>91</v>
      </c>
      <c r="E255" s="4"/>
      <c r="F255" s="4"/>
      <c r="M255" s="1440"/>
      <c r="N255" s="1440"/>
      <c r="O255" s="1440"/>
      <c r="P255" s="1440"/>
      <c r="Q255" s="1440"/>
      <c r="R255" s="1440"/>
      <c r="S255" s="1440"/>
      <c r="T255" s="1440"/>
      <c r="U255" s="1440"/>
      <c r="V255" s="1440"/>
      <c r="W255" s="1440"/>
      <c r="X255" s="1440"/>
      <c r="Y255" s="1440"/>
      <c r="Z255" s="1440"/>
      <c r="AA255" s="1440"/>
      <c r="AB255" s="1440"/>
      <c r="AC255" s="1440"/>
      <c r="AD255" s="1440"/>
      <c r="AE255" s="1440"/>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544</v>
      </c>
      <c r="E256" s="4"/>
      <c r="F256" s="4"/>
      <c r="G256" s="4"/>
      <c r="H256" s="4"/>
      <c r="I256" s="4"/>
      <c r="J256" s="4"/>
      <c r="K256" s="4"/>
      <c r="L256" s="4"/>
      <c r="M256" s="1337" t="s">
        <v>308</v>
      </c>
      <c r="N256" s="1337"/>
      <c r="O256" s="1337"/>
      <c r="P256" s="1337"/>
      <c r="Q256" s="1337"/>
      <c r="R256" s="1337"/>
      <c r="S256" s="1337"/>
      <c r="T256" s="1337"/>
      <c r="U256" s="218" t="s">
        <v>939</v>
      </c>
      <c r="V256" s="218"/>
      <c r="W256" s="218"/>
      <c r="X256" s="218"/>
      <c r="Y256" s="218"/>
      <c r="Z256" s="218"/>
      <c r="AA256" s="1509"/>
      <c r="AB256" s="1509"/>
      <c r="AC256" s="1509"/>
      <c r="AD256" s="1509"/>
      <c r="AE256" s="1509"/>
      <c r="AF256" s="1509"/>
      <c r="AG256" s="1509"/>
      <c r="AH256" s="1509"/>
      <c r="AI256" s="1509"/>
      <c r="AJ256" s="1509"/>
      <c r="AK256" s="1509"/>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905</v>
      </c>
      <c r="D258" s="4" t="s">
        <v>541</v>
      </c>
      <c r="E258" s="4"/>
      <c r="F258" s="4"/>
      <c r="G258" s="4"/>
      <c r="H258" s="4"/>
      <c r="I258" s="4"/>
      <c r="J258" s="4"/>
      <c r="K258" s="4"/>
      <c r="L258" s="4"/>
      <c r="M258" s="1513" t="s">
        <v>600</v>
      </c>
      <c r="N258" s="1514"/>
      <c r="O258" s="1514"/>
      <c r="P258" s="1514"/>
      <c r="Q258" s="1514"/>
      <c r="R258" s="1514"/>
      <c r="S258" s="1514"/>
      <c r="T258" s="1514"/>
      <c r="U258" s="1514"/>
      <c r="V258" s="1514"/>
      <c r="W258" s="1514"/>
      <c r="X258" s="1514"/>
      <c r="Y258" s="1514"/>
      <c r="Z258" s="1514"/>
      <c r="AA258" s="1514"/>
      <c r="AB258" s="1514"/>
      <c r="AC258" s="1514"/>
      <c r="AD258" s="1514"/>
      <c r="AE258" s="1514"/>
      <c r="AF258" s="1514" t="s">
        <v>308</v>
      </c>
      <c r="AG258" s="1514"/>
      <c r="AH258" s="1514"/>
      <c r="AI258" s="1514"/>
      <c r="AJ258" s="1514"/>
      <c r="AK258" s="1514"/>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510"/>
      <c r="N259" s="1510"/>
      <c r="O259" s="1510"/>
      <c r="P259" s="1510"/>
      <c r="Q259" s="1510"/>
      <c r="R259" s="1510"/>
      <c r="S259" s="1510"/>
      <c r="T259" s="1510"/>
      <c r="U259" s="1510"/>
      <c r="V259" s="1510"/>
      <c r="W259" s="1510"/>
      <c r="X259" s="1510"/>
      <c r="Y259" s="1510"/>
      <c r="Z259" s="1510"/>
      <c r="AA259" s="1510"/>
      <c r="AB259" s="1510"/>
      <c r="AC259" s="1510"/>
      <c r="AD259" s="1510"/>
      <c r="AE259" s="1510"/>
      <c r="AF259" s="3" t="s">
        <v>1322</v>
      </c>
      <c r="AL259" s="3"/>
      <c r="AM259" s="3"/>
      <c r="AN259" s="3"/>
      <c r="AO259" s="3"/>
      <c r="AP259" s="3"/>
      <c r="AQ259" s="3"/>
      <c r="AR259" s="3"/>
      <c r="AS259" s="3"/>
      <c r="AT259" s="3"/>
      <c r="AU259" s="3"/>
      <c r="AV259" s="3"/>
      <c r="AW259" s="3"/>
      <c r="AX259" s="3"/>
      <c r="AY259" s="3"/>
      <c r="BN259" s="34"/>
    </row>
    <row r="260" spans="1:66" ht="13.05" customHeight="1">
      <c r="A260" s="13"/>
      <c r="B260" s="4"/>
      <c r="C260" s="4"/>
      <c r="D260" s="4" t="s">
        <v>589</v>
      </c>
      <c r="E260" s="4"/>
      <c r="M260" s="1510"/>
      <c r="N260" s="1510"/>
      <c r="O260" s="1510"/>
      <c r="P260" s="1510"/>
      <c r="Q260" s="1510"/>
      <c r="R260" s="1510"/>
      <c r="S260" s="1510"/>
      <c r="T260" s="1510"/>
      <c r="V260" s="33" t="s">
        <v>87</v>
      </c>
      <c r="W260" s="1436"/>
      <c r="X260" s="1436"/>
      <c r="Y260" s="4" t="s">
        <v>592</v>
      </c>
      <c r="AC260" s="1510"/>
      <c r="AD260" s="1510"/>
      <c r="AE260" s="1510"/>
      <c r="AF260" s="3" t="s">
        <v>1323</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510"/>
      <c r="N261" s="1510"/>
      <c r="O261" s="1510"/>
      <c r="P261" s="1510"/>
      <c r="Q261" s="1510"/>
      <c r="R261" s="1510"/>
      <c r="S261" s="1510"/>
      <c r="T261" s="1510"/>
      <c r="U261" s="1510"/>
      <c r="V261" s="1510"/>
      <c r="W261" s="1510"/>
      <c r="X261" s="1510"/>
      <c r="Y261" s="1510"/>
      <c r="Z261" s="1510"/>
      <c r="AA261" s="1510"/>
      <c r="AB261" s="1510"/>
      <c r="AC261" s="1510"/>
      <c r="AD261" s="1510"/>
      <c r="AE261" s="1510"/>
      <c r="AH261" s="1406"/>
      <c r="AI261" s="1406"/>
      <c r="AJ261" s="1406"/>
      <c r="AK261" s="1406"/>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08"/>
      <c r="N262" s="1408"/>
      <c r="O262" s="1408"/>
      <c r="P262" s="1408"/>
      <c r="Q262" s="1408"/>
      <c r="R262" s="1408"/>
      <c r="S262" s="4" t="s">
        <v>207</v>
      </c>
      <c r="T262" s="4"/>
      <c r="U262" s="1436"/>
      <c r="V262" s="1436"/>
      <c r="W262" s="1436"/>
      <c r="X262" s="4" t="s">
        <v>90</v>
      </c>
      <c r="Z262" s="1408"/>
      <c r="AA262" s="1408"/>
      <c r="AB262" s="1408"/>
      <c r="AC262" s="1408"/>
      <c r="AD262" s="1408"/>
      <c r="AE262" s="1408"/>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40"/>
      <c r="N263" s="1440"/>
      <c r="O263" s="1440"/>
      <c r="P263" s="1440"/>
      <c r="Q263" s="1440"/>
      <c r="R263" s="1440"/>
      <c r="S263" s="1440"/>
      <c r="T263" s="1440"/>
      <c r="U263" s="1440"/>
      <c r="V263" s="1440"/>
      <c r="W263" s="1440"/>
      <c r="X263" s="1440"/>
      <c r="Y263" s="1440"/>
      <c r="Z263" s="1440"/>
      <c r="AA263" s="1519"/>
      <c r="AB263" s="1519"/>
      <c r="AC263" s="1519"/>
      <c r="AD263" s="1519"/>
      <c r="AE263" s="1519"/>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544</v>
      </c>
      <c r="E264" s="4"/>
      <c r="F264" s="4"/>
      <c r="G264" s="4"/>
      <c r="H264" s="4"/>
      <c r="I264" s="4"/>
      <c r="J264" s="4"/>
      <c r="K264" s="4"/>
      <c r="L264" s="4"/>
      <c r="M264" s="1337" t="s">
        <v>308</v>
      </c>
      <c r="N264" s="1337"/>
      <c r="O264" s="1337"/>
      <c r="P264" s="1337"/>
      <c r="Q264" s="1337"/>
      <c r="R264" s="1337"/>
      <c r="S264" s="1337"/>
      <c r="T264" s="1337"/>
      <c r="U264" s="218" t="s">
        <v>939</v>
      </c>
      <c r="V264" s="218"/>
      <c r="W264" s="218"/>
      <c r="X264" s="218"/>
      <c r="Y264" s="218"/>
      <c r="Z264" s="218"/>
      <c r="AA264" s="1516"/>
      <c r="AB264" s="1516"/>
      <c r="AC264" s="1516"/>
      <c r="AD264" s="1516"/>
      <c r="AE264" s="1516"/>
      <c r="AF264" s="1516"/>
      <c r="AG264" s="1516"/>
      <c r="AH264" s="1516"/>
      <c r="AI264" s="1516"/>
      <c r="AJ264" s="1516"/>
      <c r="AK264" s="1516"/>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599</v>
      </c>
      <c r="B266" s="4"/>
      <c r="C266" s="2" t="s">
        <v>296</v>
      </c>
      <c r="D266" s="4"/>
      <c r="E266" s="4"/>
      <c r="F266" s="4"/>
      <c r="G266" s="4"/>
      <c r="H266" s="4"/>
      <c r="I266" s="4"/>
      <c r="J266" s="4"/>
      <c r="K266" s="4"/>
      <c r="L266" s="4"/>
      <c r="M266" s="35"/>
      <c r="N266" s="35"/>
      <c r="O266" s="35"/>
      <c r="P266" s="35"/>
      <c r="Q266" s="35"/>
      <c r="T266" s="1518" t="str">
        <f>BO245</f>
        <v>Nonprofit</v>
      </c>
      <c r="U266" s="1518"/>
      <c r="V266" s="1518"/>
      <c r="W266" s="1518"/>
      <c r="X266" s="1518"/>
      <c r="Z266" s="331" t="s">
        <v>994</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0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05" customHeight="1">
      <c r="A269" s="4"/>
      <c r="B269" s="36">
        <v>0</v>
      </c>
      <c r="D269" s="1510" t="s">
        <v>281</v>
      </c>
      <c r="E269" s="1510"/>
      <c r="F269" s="1510"/>
      <c r="G269" s="1510"/>
      <c r="H269" s="1510"/>
      <c r="J269" t="s">
        <v>280</v>
      </c>
      <c r="X269" s="1515"/>
      <c r="Y269" s="1515"/>
      <c r="Z269" s="1515"/>
      <c r="AA269" s="1515"/>
      <c r="AB269" s="1515"/>
      <c r="AC269" s="1515"/>
      <c r="BN269" s="34"/>
    </row>
    <row r="270" spans="1:66" ht="13.0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05" customHeight="1">
      <c r="D273" s="4" t="s">
        <v>297</v>
      </c>
      <c r="E273" s="4"/>
      <c r="F273" s="4"/>
      <c r="G273" s="4"/>
      <c r="H273" s="4"/>
      <c r="I273" s="4"/>
      <c r="J273" s="4"/>
      <c r="K273" s="4"/>
      <c r="L273" s="1513" t="s">
        <v>2639</v>
      </c>
      <c r="M273" s="1514"/>
      <c r="N273" s="1514"/>
      <c r="O273" s="1514"/>
      <c r="P273" s="1514"/>
      <c r="Q273" s="1514"/>
      <c r="R273" s="1514"/>
      <c r="S273" s="1514"/>
      <c r="T273" s="1514"/>
      <c r="U273" s="1514"/>
      <c r="V273" s="1514"/>
      <c r="W273" s="1514"/>
      <c r="X273" s="1514"/>
      <c r="Y273" s="1514"/>
      <c r="Z273" s="1514"/>
      <c r="AA273" s="1514"/>
      <c r="AB273" s="1514"/>
      <c r="AC273" s="1514"/>
      <c r="AD273" s="1514"/>
      <c r="AE273" s="1514"/>
      <c r="AF273" s="1514"/>
      <c r="AG273" s="1514"/>
      <c r="AH273" s="1514"/>
      <c r="AI273" s="1514"/>
      <c r="AJ273" s="1514"/>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508" t="s">
        <v>2635</v>
      </c>
      <c r="M274" s="1510"/>
      <c r="N274" s="1510"/>
      <c r="O274" s="1510"/>
      <c r="P274" s="1510"/>
      <c r="Q274" s="1510"/>
      <c r="R274" s="1510"/>
      <c r="S274" s="1510"/>
      <c r="T274" s="1510"/>
      <c r="U274" s="1510"/>
      <c r="V274" s="1510"/>
      <c r="W274" s="1510"/>
      <c r="X274" s="1510"/>
      <c r="Y274" s="1510"/>
      <c r="Z274" s="1510"/>
      <c r="AA274" s="1510"/>
      <c r="AB274" s="1510"/>
      <c r="AC274" s="1510"/>
      <c r="AD274" s="1510"/>
      <c r="AK274" s="3"/>
      <c r="AL274" s="3"/>
      <c r="AM274" s="3"/>
      <c r="AN274" s="3"/>
      <c r="AO274" s="3"/>
      <c r="AP274" s="3"/>
      <c r="AQ274" s="3"/>
      <c r="AR274" s="3"/>
      <c r="AS274" s="3"/>
      <c r="AT274" s="3"/>
      <c r="AU274" s="3"/>
      <c r="AV274" s="3"/>
      <c r="AW274" s="3"/>
      <c r="AX274" s="3"/>
      <c r="AY274" s="3"/>
      <c r="BN274" s="34"/>
    </row>
    <row r="275" spans="1:66" ht="13.05" customHeight="1">
      <c r="D275" s="4" t="s">
        <v>589</v>
      </c>
      <c r="E275" s="4"/>
      <c r="L275" s="1508" t="s">
        <v>2636</v>
      </c>
      <c r="M275" s="1510"/>
      <c r="N275" s="1510"/>
      <c r="O275" s="1510"/>
      <c r="P275" s="1510"/>
      <c r="Q275" s="1510"/>
      <c r="R275" s="1510"/>
      <c r="S275" s="1510"/>
      <c r="U275" s="33" t="s">
        <v>87</v>
      </c>
      <c r="V275" s="1435" t="s">
        <v>2637</v>
      </c>
      <c r="W275" s="1436"/>
      <c r="X275" s="4" t="s">
        <v>592</v>
      </c>
      <c r="AB275" s="1510">
        <v>94541</v>
      </c>
      <c r="AC275" s="1510"/>
      <c r="AD275" s="1510"/>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508" t="s">
        <v>2701</v>
      </c>
      <c r="M276" s="1510"/>
      <c r="N276" s="1510"/>
      <c r="O276" s="1510"/>
      <c r="P276" s="1510"/>
      <c r="Q276" s="1510"/>
      <c r="R276" s="1510"/>
      <c r="S276" s="1510"/>
      <c r="T276" s="1510"/>
      <c r="U276" s="1510"/>
      <c r="V276" s="1510"/>
      <c r="W276" s="1510"/>
      <c r="X276" s="1510"/>
      <c r="Y276" s="1510"/>
      <c r="Z276" s="1510"/>
      <c r="AA276" s="1510"/>
      <c r="AB276" s="1510"/>
      <c r="AC276" s="1510"/>
      <c r="AD276" s="1510"/>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486" t="s">
        <v>2725</v>
      </c>
      <c r="M277" s="1408"/>
      <c r="N277" s="1408"/>
      <c r="O277" s="1408"/>
      <c r="P277" s="1408"/>
      <c r="Q277" s="1408"/>
      <c r="R277" s="4" t="s">
        <v>207</v>
      </c>
      <c r="S277" s="4"/>
      <c r="T277" s="1436"/>
      <c r="U277" s="1436"/>
      <c r="V277" s="1436"/>
      <c r="W277" s="4" t="s">
        <v>90</v>
      </c>
      <c r="Y277" s="1408"/>
      <c r="Z277" s="1408"/>
      <c r="AA277" s="1408"/>
      <c r="AB277" s="1408"/>
      <c r="AC277" s="1408"/>
      <c r="AD277" s="1408"/>
      <c r="BN277" s="34"/>
    </row>
    <row r="278" spans="1:66" ht="13.05" customHeight="1">
      <c r="D278" s="4" t="s">
        <v>91</v>
      </c>
      <c r="E278" s="4"/>
      <c r="F278" s="4"/>
      <c r="L278" s="1440" t="s">
        <v>2700</v>
      </c>
      <c r="M278" s="1440"/>
      <c r="N278" s="1440"/>
      <c r="O278" s="1440"/>
      <c r="P278" s="1440"/>
      <c r="Q278" s="1440"/>
      <c r="R278" s="1440"/>
      <c r="S278" s="1440"/>
      <c r="T278" s="1440"/>
      <c r="U278" s="1440"/>
      <c r="V278" s="1440"/>
      <c r="W278" s="1440"/>
      <c r="X278" s="1440"/>
      <c r="Y278" s="1440"/>
      <c r="Z278" s="1440"/>
      <c r="AA278" s="1440"/>
      <c r="AB278" s="1440"/>
      <c r="AC278" s="1440"/>
      <c r="AD278" s="1440"/>
      <c r="AF278" s="4"/>
      <c r="AG278" s="4"/>
      <c r="AH278" s="4"/>
      <c r="AI278" s="4"/>
      <c r="AJ278" s="4"/>
      <c r="BN278" s="34"/>
    </row>
    <row r="279" spans="1:66" ht="13.05" customHeight="1">
      <c r="D279" s="3" t="s">
        <v>632</v>
      </c>
      <c r="E279" s="3"/>
      <c r="F279" s="3"/>
      <c r="G279" s="3"/>
      <c r="H279" s="3"/>
      <c r="I279" s="3"/>
      <c r="L279" s="1435" t="s">
        <v>2702</v>
      </c>
      <c r="M279" s="1435"/>
      <c r="N279" s="1435"/>
      <c r="O279" s="1435"/>
      <c r="P279" s="1435"/>
      <c r="Q279" s="1435"/>
      <c r="R279" s="1435"/>
      <c r="S279" s="1435"/>
      <c r="T279" s="1435"/>
      <c r="U279" s="1435"/>
      <c r="V279" s="1435"/>
      <c r="W279" s="1435"/>
      <c r="X279" s="1435"/>
      <c r="Y279" s="1435"/>
      <c r="Z279" s="1435"/>
      <c r="AA279" s="1435"/>
      <c r="AB279" s="1435"/>
      <c r="AC279" s="1435"/>
      <c r="AD279" s="1435"/>
      <c r="AK279" s="3"/>
      <c r="AL279" s="3"/>
      <c r="AM279" s="3"/>
      <c r="AN279" s="3"/>
      <c r="AO279" s="3"/>
      <c r="AP279" s="3"/>
      <c r="AQ279" s="3"/>
      <c r="AR279" s="3"/>
      <c r="AS279" s="3"/>
      <c r="AT279" s="3"/>
      <c r="AU279" s="3"/>
      <c r="AV279" s="3"/>
      <c r="AW279" s="3"/>
      <c r="AX279" s="3"/>
      <c r="AY279" s="3"/>
      <c r="BN279" s="34"/>
    </row>
    <row r="280" spans="1:66" ht="13.05" customHeight="1">
      <c r="L280" s="22" t="s">
        <v>633</v>
      </c>
      <c r="BN280" s="34"/>
    </row>
    <row r="281" spans="1:66" ht="13.05" customHeight="1">
      <c r="A281" s="1413" t="s">
        <v>550</v>
      </c>
      <c r="B281" s="1413"/>
      <c r="C281" s="1413"/>
      <c r="D281" s="1413"/>
      <c r="E281" s="1413"/>
      <c r="F281" s="1413"/>
      <c r="G281" s="1413"/>
      <c r="H281" s="1413"/>
      <c r="I281" s="1413"/>
      <c r="J281" s="1413"/>
      <c r="K281" s="1413"/>
      <c r="L281" s="1413"/>
      <c r="M281" s="1413"/>
      <c r="N281" s="1413"/>
      <c r="O281" s="1413"/>
      <c r="P281" s="1413"/>
      <c r="Q281" s="1413"/>
      <c r="R281" s="1413"/>
      <c r="S281" s="1413"/>
      <c r="T281" s="1413"/>
      <c r="U281" s="1413"/>
      <c r="V281" s="1413"/>
      <c r="W281" s="1413"/>
      <c r="X281" s="1413"/>
      <c r="Y281" s="1413"/>
      <c r="Z281" s="1413"/>
      <c r="AA281" s="1413"/>
      <c r="AB281" s="1413"/>
      <c r="AC281" s="1413"/>
      <c r="AD281" s="1413"/>
      <c r="AE281" s="1413"/>
      <c r="AF281" s="1413"/>
      <c r="AG281" s="1413"/>
      <c r="AH281" s="1413"/>
      <c r="AI281" s="1413"/>
      <c r="AJ281" s="1413"/>
      <c r="AK281" s="1413"/>
      <c r="AL281" s="1413"/>
      <c r="AM281" s="95"/>
      <c r="AN281" s="95"/>
      <c r="AO281" s="95"/>
      <c r="AP281" s="95"/>
      <c r="AQ281" s="95"/>
      <c r="AR281" s="95"/>
      <c r="AS281" s="95"/>
      <c r="AT281" s="95"/>
      <c r="AU281" s="95"/>
      <c r="AV281" s="95"/>
      <c r="AW281" s="95"/>
      <c r="AX281" s="95"/>
      <c r="AY281" s="95"/>
      <c r="BN281" s="34"/>
    </row>
    <row r="282" spans="1:66" ht="13.05" customHeight="1" thickBot="1">
      <c r="A282" s="1414"/>
      <c r="B282" s="1414"/>
      <c r="C282" s="1414"/>
      <c r="D282" s="1414"/>
      <c r="E282" s="1414"/>
      <c r="F282" s="1414"/>
      <c r="G282" s="1414"/>
      <c r="H282" s="1414"/>
      <c r="I282" s="1414"/>
      <c r="J282" s="1414"/>
      <c r="K282" s="1414"/>
      <c r="L282" s="1414"/>
      <c r="M282" s="1414"/>
      <c r="N282" s="1414"/>
      <c r="O282" s="1414"/>
      <c r="P282" s="1414"/>
      <c r="Q282" s="1414"/>
      <c r="R282" s="1414"/>
      <c r="S282" s="1414"/>
      <c r="T282" s="1414"/>
      <c r="U282" s="1414"/>
      <c r="V282" s="1414"/>
      <c r="W282" s="1414"/>
      <c r="X282" s="1414"/>
      <c r="Y282" s="1414"/>
      <c r="Z282" s="1414"/>
      <c r="AA282" s="1414"/>
      <c r="AB282" s="1414"/>
      <c r="AC282" s="1414"/>
      <c r="AD282" s="1414"/>
      <c r="AE282" s="1414"/>
      <c r="AF282" s="1414"/>
      <c r="AG282" s="1414"/>
      <c r="AH282" s="1414"/>
      <c r="AI282" s="1414"/>
      <c r="AJ282" s="1414"/>
      <c r="AK282" s="1414"/>
      <c r="AL282" s="1414"/>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635</v>
      </c>
      <c r="C286" s="3"/>
      <c r="D286" s="3"/>
      <c r="E286" s="3"/>
      <c r="F286" s="3"/>
      <c r="H286" s="1508" t="s">
        <v>2639</v>
      </c>
      <c r="I286" s="1365"/>
      <c r="J286" s="1365"/>
      <c r="K286" s="1365"/>
      <c r="L286" s="1365"/>
      <c r="M286" s="1365"/>
      <c r="N286" s="1365"/>
      <c r="O286" s="1365"/>
      <c r="P286" s="1365"/>
      <c r="Q286" s="1365"/>
      <c r="R286" s="1365"/>
      <c r="T286" s="3" t="s">
        <v>576</v>
      </c>
      <c r="V286" s="3"/>
      <c r="W286" s="3"/>
      <c r="X286" s="3"/>
      <c r="Y286" s="3"/>
      <c r="AA286" s="1508" t="s">
        <v>2705</v>
      </c>
      <c r="AB286" s="1365"/>
      <c r="AC286" s="1365"/>
      <c r="AD286" s="1365"/>
      <c r="AE286" s="1365"/>
      <c r="AF286" s="1365"/>
      <c r="AG286" s="1365"/>
      <c r="AH286" s="1365"/>
      <c r="AI286" s="1365"/>
      <c r="AJ286" s="1365"/>
      <c r="AK286" s="1365"/>
      <c r="BN286" s="34"/>
    </row>
    <row r="287" spans="1:66" ht="13.05" customHeight="1">
      <c r="B287" s="3" t="s">
        <v>480</v>
      </c>
      <c r="C287" s="3"/>
      <c r="D287" s="3"/>
      <c r="E287" s="3"/>
      <c r="F287" s="3"/>
      <c r="H287" s="1435" t="s">
        <v>2635</v>
      </c>
      <c r="I287" s="1337"/>
      <c r="J287" s="1337"/>
      <c r="K287" s="1337"/>
      <c r="L287" s="1337"/>
      <c r="M287" s="1337"/>
      <c r="N287" s="1337"/>
      <c r="O287" s="1337"/>
      <c r="P287" s="1337"/>
      <c r="Q287" s="1337"/>
      <c r="R287" s="1337"/>
      <c r="T287" s="3" t="s">
        <v>480</v>
      </c>
      <c r="V287" s="3"/>
      <c r="W287" s="3"/>
      <c r="X287" s="3"/>
      <c r="Y287" s="3"/>
      <c r="AA287" s="1435" t="s">
        <v>2643</v>
      </c>
      <c r="AB287" s="1337"/>
      <c r="AC287" s="1337"/>
      <c r="AD287" s="1337"/>
      <c r="AE287" s="1337"/>
      <c r="AF287" s="1337"/>
      <c r="AG287" s="1337"/>
      <c r="AH287" s="1337"/>
      <c r="AI287" s="1337"/>
      <c r="AJ287" s="1337"/>
      <c r="AK287" s="1337"/>
      <c r="BN287" s="34"/>
    </row>
    <row r="288" spans="1:66" ht="13.05" customHeight="1">
      <c r="B288" s="3" t="s">
        <v>481</v>
      </c>
      <c r="C288" s="3"/>
      <c r="D288" s="3"/>
      <c r="E288" s="3"/>
      <c r="F288" s="3"/>
      <c r="H288" s="1435" t="s">
        <v>2642</v>
      </c>
      <c r="I288" s="1337"/>
      <c r="J288" s="1337"/>
      <c r="K288" s="1337"/>
      <c r="L288" s="1337"/>
      <c r="M288" s="1337"/>
      <c r="N288" s="1337"/>
      <c r="O288" s="1337"/>
      <c r="P288" s="1337"/>
      <c r="Q288" s="1337"/>
      <c r="R288" s="1337"/>
      <c r="T288" s="3" t="s">
        <v>76</v>
      </c>
      <c r="V288" s="3"/>
      <c r="W288" s="3"/>
      <c r="X288" s="3"/>
      <c r="Y288" s="3"/>
      <c r="AA288" s="1435" t="s">
        <v>2644</v>
      </c>
      <c r="AB288" s="1337"/>
      <c r="AC288" s="1337"/>
      <c r="AD288" s="1337"/>
      <c r="AE288" s="1337"/>
      <c r="AF288" s="1337"/>
      <c r="AG288" s="1337"/>
      <c r="AH288" s="1337"/>
      <c r="AI288" s="1337"/>
      <c r="AJ288" s="1337"/>
      <c r="AK288" s="1337"/>
      <c r="BN288" s="34"/>
    </row>
    <row r="289" spans="2:66" ht="13.05" customHeight="1">
      <c r="B289" s="3" t="s">
        <v>88</v>
      </c>
      <c r="C289" s="3"/>
      <c r="D289" s="3"/>
      <c r="E289" s="3"/>
      <c r="F289" s="3"/>
      <c r="H289" s="1435" t="s">
        <v>2701</v>
      </c>
      <c r="I289" s="1337"/>
      <c r="J289" s="1337"/>
      <c r="K289" s="1337"/>
      <c r="L289" s="1337"/>
      <c r="M289" s="1337"/>
      <c r="N289" s="1337"/>
      <c r="O289" s="1337"/>
      <c r="P289" s="1337"/>
      <c r="Q289" s="1337"/>
      <c r="R289" s="1337"/>
      <c r="T289" s="3" t="s">
        <v>88</v>
      </c>
      <c r="V289" s="3"/>
      <c r="W289" s="3"/>
      <c r="X289" s="3"/>
      <c r="Y289" s="3"/>
      <c r="AA289" s="1435" t="s">
        <v>2645</v>
      </c>
      <c r="AB289" s="1337"/>
      <c r="AC289" s="1337"/>
      <c r="AD289" s="1337"/>
      <c r="AE289" s="1337"/>
      <c r="AF289" s="1337"/>
      <c r="AG289" s="1337"/>
      <c r="AH289" s="1337"/>
      <c r="AI289" s="1337"/>
      <c r="AJ289" s="1337"/>
      <c r="AK289" s="1337"/>
      <c r="BN289" s="34"/>
    </row>
    <row r="290" spans="2:66" ht="13.05" customHeight="1">
      <c r="B290" s="3" t="s">
        <v>89</v>
      </c>
      <c r="C290" s="3"/>
      <c r="D290" s="3"/>
      <c r="E290" s="3"/>
      <c r="F290" s="3"/>
      <c r="G290" s="3"/>
      <c r="H290" s="1438" t="s">
        <v>2725</v>
      </c>
      <c r="I290" s="1511"/>
      <c r="J290" s="1511"/>
      <c r="K290" s="1511"/>
      <c r="L290" s="1511"/>
      <c r="M290" s="1511"/>
      <c r="N290" s="4" t="s">
        <v>207</v>
      </c>
      <c r="O290" s="4"/>
      <c r="P290" s="1510"/>
      <c r="Q290" s="1510"/>
      <c r="R290" s="1510"/>
      <c r="S290" s="3"/>
      <c r="T290" s="3" t="s">
        <v>89</v>
      </c>
      <c r="V290" s="3"/>
      <c r="W290" s="3"/>
      <c r="X290" s="3"/>
      <c r="Y290" s="3"/>
      <c r="AA290" s="1438" t="s">
        <v>2646</v>
      </c>
      <c r="AB290" s="1511"/>
      <c r="AC290" s="1511"/>
      <c r="AD290" s="1511"/>
      <c r="AE290" s="1511"/>
      <c r="AF290" s="1511"/>
      <c r="AG290" s="4" t="s">
        <v>207</v>
      </c>
      <c r="AH290" s="4"/>
      <c r="AI290" s="1510"/>
      <c r="AJ290" s="1510"/>
      <c r="AK290" s="1510"/>
      <c r="BN290" s="34"/>
    </row>
    <row r="291" spans="2:66" ht="13.05" customHeight="1">
      <c r="B291" s="3" t="s">
        <v>90</v>
      </c>
      <c r="C291" s="3"/>
      <c r="D291" s="3"/>
      <c r="E291" s="3"/>
      <c r="F291" s="3"/>
      <c r="G291" s="3"/>
      <c r="H291" s="1408"/>
      <c r="I291" s="1408"/>
      <c r="J291" s="1408"/>
      <c r="K291" s="1408"/>
      <c r="L291" s="1408"/>
      <c r="M291" s="1408"/>
      <c r="N291" s="4"/>
      <c r="O291" s="4"/>
      <c r="P291" s="35"/>
      <c r="Q291" s="35"/>
      <c r="R291" s="35"/>
      <c r="S291" s="3"/>
      <c r="T291" s="3" t="s">
        <v>90</v>
      </c>
      <c r="V291" s="3"/>
      <c r="W291" s="3"/>
      <c r="X291" s="3"/>
      <c r="Y291" s="3"/>
      <c r="AA291" s="1408"/>
      <c r="AB291" s="1408"/>
      <c r="AC291" s="1408"/>
      <c r="AD291" s="1408"/>
      <c r="AE291" s="1408"/>
      <c r="AF291" s="1408"/>
      <c r="AG291" s="4"/>
      <c r="AH291" s="4"/>
      <c r="AI291" s="35"/>
      <c r="AJ291" s="35"/>
      <c r="AK291" s="35"/>
      <c r="BN291" s="34"/>
    </row>
    <row r="292" spans="2:66" ht="13.05" customHeight="1">
      <c r="B292" s="3" t="s">
        <v>77</v>
      </c>
      <c r="C292" s="3"/>
      <c r="D292" s="3"/>
      <c r="E292" s="3"/>
      <c r="F292" s="3"/>
      <c r="G292" s="3"/>
      <c r="H292" s="1337" t="s">
        <v>2700</v>
      </c>
      <c r="I292" s="1337"/>
      <c r="J292" s="1337"/>
      <c r="K292" s="1337"/>
      <c r="L292" s="1337"/>
      <c r="M292" s="1337"/>
      <c r="N292" s="1365"/>
      <c r="O292" s="1365"/>
      <c r="P292" s="1365"/>
      <c r="Q292" s="1365"/>
      <c r="R292" s="1365"/>
      <c r="S292" s="3"/>
      <c r="T292" s="3" t="s">
        <v>77</v>
      </c>
      <c r="V292" s="3"/>
      <c r="W292" s="3"/>
      <c r="X292" s="3"/>
      <c r="Y292" s="3"/>
      <c r="AA292" s="1435" t="s">
        <v>2647</v>
      </c>
      <c r="AB292" s="1337"/>
      <c r="AC292" s="1337"/>
      <c r="AD292" s="1337"/>
      <c r="AE292" s="1337"/>
      <c r="AF292" s="1337"/>
      <c r="AG292" s="1365"/>
      <c r="AH292" s="1365"/>
      <c r="AI292" s="1365"/>
      <c r="AJ292" s="1365"/>
      <c r="AK292" s="1365"/>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324</v>
      </c>
      <c r="C294" s="3"/>
      <c r="D294" s="3"/>
      <c r="E294" s="3"/>
      <c r="F294" s="3"/>
      <c r="H294" s="1508" t="s">
        <v>2648</v>
      </c>
      <c r="I294" s="1365"/>
      <c r="J294" s="1365"/>
      <c r="K294" s="1365"/>
      <c r="L294" s="1365"/>
      <c r="M294" s="1365"/>
      <c r="N294" s="1365"/>
      <c r="O294" s="1365"/>
      <c r="P294" s="1365"/>
      <c r="Q294" s="1365"/>
      <c r="R294" s="1365"/>
      <c r="T294" s="3" t="s">
        <v>365</v>
      </c>
      <c r="V294" s="3"/>
      <c r="W294" s="3"/>
      <c r="X294" s="3"/>
      <c r="Y294" s="3"/>
      <c r="AA294" s="1508" t="s">
        <v>2652</v>
      </c>
      <c r="AB294" s="1365"/>
      <c r="AC294" s="1365"/>
      <c r="AD294" s="1365"/>
      <c r="AE294" s="1365"/>
      <c r="AF294" s="1365"/>
      <c r="AG294" s="1365"/>
      <c r="AH294" s="1365"/>
      <c r="AI294" s="1365"/>
      <c r="AJ294" s="1365"/>
      <c r="AK294" s="1365"/>
      <c r="BN294" s="34"/>
    </row>
    <row r="295" spans="2:66" ht="13.05" customHeight="1">
      <c r="B295" s="3" t="s">
        <v>480</v>
      </c>
      <c r="C295" s="3"/>
      <c r="D295" s="3"/>
      <c r="E295" s="3"/>
      <c r="F295" s="3"/>
      <c r="H295" s="1435" t="s">
        <v>2685</v>
      </c>
      <c r="I295" s="1337"/>
      <c r="J295" s="1337"/>
      <c r="K295" s="1337"/>
      <c r="L295" s="1337"/>
      <c r="M295" s="1337"/>
      <c r="N295" s="1337"/>
      <c r="O295" s="1337"/>
      <c r="P295" s="1337"/>
      <c r="Q295" s="1337"/>
      <c r="R295" s="1337"/>
      <c r="T295" s="3" t="s">
        <v>480</v>
      </c>
      <c r="V295" s="3"/>
      <c r="W295" s="3"/>
      <c r="X295" s="3"/>
      <c r="Y295" s="3"/>
      <c r="AA295" s="1337"/>
      <c r="AB295" s="1337"/>
      <c r="AC295" s="1337"/>
      <c r="AD295" s="1337"/>
      <c r="AE295" s="1337"/>
      <c r="AF295" s="1337"/>
      <c r="AG295" s="1337"/>
      <c r="AH295" s="1337"/>
      <c r="AI295" s="1337"/>
      <c r="AJ295" s="1337"/>
      <c r="AK295" s="1337"/>
      <c r="BN295" s="34"/>
    </row>
    <row r="296" spans="2:66" ht="13.05" customHeight="1">
      <c r="B296" s="3" t="s">
        <v>481</v>
      </c>
      <c r="C296" s="3"/>
      <c r="D296" s="3"/>
      <c r="E296" s="3"/>
      <c r="F296" s="3"/>
      <c r="H296" s="1435" t="s">
        <v>2686</v>
      </c>
      <c r="I296" s="1337"/>
      <c r="J296" s="1337"/>
      <c r="K296" s="1337"/>
      <c r="L296" s="1337"/>
      <c r="M296" s="1337"/>
      <c r="N296" s="1337"/>
      <c r="O296" s="1337"/>
      <c r="P296" s="1337"/>
      <c r="Q296" s="1337"/>
      <c r="R296" s="1337"/>
      <c r="T296" s="3" t="s">
        <v>76</v>
      </c>
      <c r="V296" s="3"/>
      <c r="W296" s="3"/>
      <c r="X296" s="3"/>
      <c r="Y296" s="3"/>
      <c r="AA296" s="1337"/>
      <c r="AB296" s="1337"/>
      <c r="AC296" s="1337"/>
      <c r="AD296" s="1337"/>
      <c r="AE296" s="1337"/>
      <c r="AF296" s="1337"/>
      <c r="AG296" s="1337"/>
      <c r="AH296" s="1337"/>
      <c r="AI296" s="1337"/>
      <c r="AJ296" s="1337"/>
      <c r="AK296" s="1337"/>
      <c r="BN296" s="34"/>
    </row>
    <row r="297" spans="2:66" ht="13.05" customHeight="1">
      <c r="B297" s="3" t="s">
        <v>88</v>
      </c>
      <c r="C297" s="3"/>
      <c r="D297" s="3"/>
      <c r="E297" s="3"/>
      <c r="F297" s="3"/>
      <c r="H297" s="1435" t="s">
        <v>2649</v>
      </c>
      <c r="I297" s="1337"/>
      <c r="J297" s="1337"/>
      <c r="K297" s="1337"/>
      <c r="L297" s="1337"/>
      <c r="M297" s="1337"/>
      <c r="N297" s="1337"/>
      <c r="O297" s="1337"/>
      <c r="P297" s="1337"/>
      <c r="Q297" s="1337"/>
      <c r="R297" s="1337"/>
      <c r="T297" s="3" t="s">
        <v>88</v>
      </c>
      <c r="V297" s="3"/>
      <c r="W297" s="3"/>
      <c r="X297" s="3"/>
      <c r="Y297" s="3"/>
      <c r="AA297" s="1337"/>
      <c r="AB297" s="1337"/>
      <c r="AC297" s="1337"/>
      <c r="AD297" s="1337"/>
      <c r="AE297" s="1337"/>
      <c r="AF297" s="1337"/>
      <c r="AG297" s="1337"/>
      <c r="AH297" s="1337"/>
      <c r="AI297" s="1337"/>
      <c r="AJ297" s="1337"/>
      <c r="AK297" s="1337"/>
      <c r="BN297" s="34"/>
    </row>
    <row r="298" spans="2:66" ht="13.05" customHeight="1">
      <c r="B298" s="3" t="s">
        <v>89</v>
      </c>
      <c r="C298" s="3"/>
      <c r="D298" s="3"/>
      <c r="E298" s="3"/>
      <c r="F298" s="3"/>
      <c r="G298" s="3"/>
      <c r="H298" s="1438" t="s">
        <v>2650</v>
      </c>
      <c r="I298" s="1511"/>
      <c r="J298" s="1511"/>
      <c r="K298" s="1511"/>
      <c r="L298" s="1511"/>
      <c r="M298" s="1511"/>
      <c r="N298" s="4" t="s">
        <v>207</v>
      </c>
      <c r="O298" s="4"/>
      <c r="P298" s="1510">
        <v>6</v>
      </c>
      <c r="Q298" s="1510"/>
      <c r="R298" s="1510"/>
      <c r="S298" s="3"/>
      <c r="T298" s="3" t="s">
        <v>89</v>
      </c>
      <c r="V298" s="3"/>
      <c r="W298" s="3"/>
      <c r="X298" s="3"/>
      <c r="Y298" s="3"/>
      <c r="AA298" s="1511"/>
      <c r="AB298" s="1511"/>
      <c r="AC298" s="1511"/>
      <c r="AD298" s="1511"/>
      <c r="AE298" s="1511"/>
      <c r="AF298" s="1511"/>
      <c r="AG298" s="4" t="s">
        <v>207</v>
      </c>
      <c r="AH298" s="4"/>
      <c r="AI298" s="1510"/>
      <c r="AJ298" s="1510"/>
      <c r="AK298" s="1510"/>
      <c r="BN298" s="34"/>
    </row>
    <row r="299" spans="2:66" ht="13.05" customHeight="1">
      <c r="B299" s="3" t="s">
        <v>90</v>
      </c>
      <c r="C299" s="3"/>
      <c r="D299" s="3"/>
      <c r="E299" s="3"/>
      <c r="F299" s="3"/>
      <c r="G299" s="3"/>
      <c r="H299" s="1408"/>
      <c r="I299" s="1408"/>
      <c r="J299" s="1408"/>
      <c r="K299" s="1408"/>
      <c r="L299" s="1408"/>
      <c r="M299" s="1408"/>
      <c r="N299" s="4"/>
      <c r="O299" s="4"/>
      <c r="P299" s="35"/>
      <c r="Q299" s="35"/>
      <c r="R299" s="35"/>
      <c r="S299" s="3"/>
      <c r="T299" s="3" t="s">
        <v>90</v>
      </c>
      <c r="V299" s="3"/>
      <c r="W299" s="3"/>
      <c r="X299" s="3"/>
      <c r="Y299" s="3"/>
      <c r="AA299" s="1408"/>
      <c r="AB299" s="1408"/>
      <c r="AC299" s="1408"/>
      <c r="AD299" s="1408"/>
      <c r="AE299" s="1408"/>
      <c r="AF299" s="1408"/>
      <c r="AG299" s="4"/>
      <c r="AH299" s="4"/>
      <c r="AI299" s="35"/>
      <c r="AJ299" s="35"/>
      <c r="AK299" s="35"/>
      <c r="BN299" s="34"/>
    </row>
    <row r="300" spans="2:66" ht="13.05" customHeight="1">
      <c r="B300" s="3" t="s">
        <v>77</v>
      </c>
      <c r="C300" s="3"/>
      <c r="D300" s="3"/>
      <c r="E300" s="3"/>
      <c r="F300" s="3"/>
      <c r="G300" s="3"/>
      <c r="H300" s="1435" t="s">
        <v>2651</v>
      </c>
      <c r="I300" s="1337"/>
      <c r="J300" s="1337"/>
      <c r="K300" s="1337"/>
      <c r="L300" s="1337"/>
      <c r="M300" s="1337"/>
      <c r="N300" s="1365"/>
      <c r="O300" s="1365"/>
      <c r="P300" s="1365"/>
      <c r="Q300" s="1365"/>
      <c r="R300" s="1365"/>
      <c r="S300" s="3"/>
      <c r="T300" s="3" t="s">
        <v>77</v>
      </c>
      <c r="V300" s="3"/>
      <c r="W300" s="3"/>
      <c r="X300" s="3"/>
      <c r="Y300" s="3"/>
      <c r="AA300" s="1337"/>
      <c r="AB300" s="1337"/>
      <c r="AC300" s="1337"/>
      <c r="AD300" s="1337"/>
      <c r="AE300" s="1337"/>
      <c r="AF300" s="1337"/>
      <c r="AG300" s="1365"/>
      <c r="AH300" s="1365"/>
      <c r="AI300" s="1365"/>
      <c r="AJ300" s="1365"/>
      <c r="AK300" s="1365"/>
      <c r="BN300" s="34"/>
    </row>
    <row r="301" spans="2:66" ht="13.05" customHeight="1">
      <c r="BN301" s="34"/>
    </row>
    <row r="302" spans="2:66" ht="13.05" customHeight="1">
      <c r="B302" s="3" t="s">
        <v>78</v>
      </c>
      <c r="C302" s="3"/>
      <c r="D302" s="3"/>
      <c r="E302" s="3"/>
      <c r="F302" s="3"/>
      <c r="H302" s="1508" t="s">
        <v>2648</v>
      </c>
      <c r="I302" s="1365"/>
      <c r="J302" s="1365"/>
      <c r="K302" s="1365"/>
      <c r="L302" s="1365"/>
      <c r="M302" s="1365"/>
      <c r="N302" s="1365"/>
      <c r="O302" s="1365"/>
      <c r="P302" s="1365"/>
      <c r="Q302" s="1365"/>
      <c r="R302" s="1365"/>
      <c r="T302" s="4" t="s">
        <v>907</v>
      </c>
      <c r="V302" s="3"/>
      <c r="W302" s="3"/>
      <c r="X302" s="3"/>
      <c r="Y302" s="3"/>
      <c r="AA302" s="1508" t="s">
        <v>2652</v>
      </c>
      <c r="AB302" s="1365"/>
      <c r="AC302" s="1365"/>
      <c r="AD302" s="1365"/>
      <c r="AE302" s="1365"/>
      <c r="AF302" s="1365"/>
      <c r="AG302" s="1365"/>
      <c r="AH302" s="1365"/>
      <c r="AI302" s="1365"/>
      <c r="AJ302" s="1365"/>
      <c r="AK302" s="1365"/>
      <c r="BN302" s="34"/>
    </row>
    <row r="303" spans="2:66" ht="13.05" customHeight="1">
      <c r="B303" s="3" t="s">
        <v>480</v>
      </c>
      <c r="C303" s="3"/>
      <c r="D303" s="3"/>
      <c r="E303" s="3"/>
      <c r="F303" s="3"/>
      <c r="H303" s="1435" t="s">
        <v>2685</v>
      </c>
      <c r="I303" s="1337"/>
      <c r="J303" s="1337"/>
      <c r="K303" s="1337"/>
      <c r="L303" s="1337"/>
      <c r="M303" s="1337"/>
      <c r="N303" s="1337"/>
      <c r="O303" s="1337"/>
      <c r="P303" s="1337"/>
      <c r="Q303" s="1337"/>
      <c r="R303" s="1337"/>
      <c r="T303" s="3" t="s">
        <v>480</v>
      </c>
      <c r="V303" s="3"/>
      <c r="W303" s="3"/>
      <c r="X303" s="3"/>
      <c r="Y303" s="3"/>
      <c r="AA303" s="1435"/>
      <c r="AB303" s="1337"/>
      <c r="AC303" s="1337"/>
      <c r="AD303" s="1337"/>
      <c r="AE303" s="1337"/>
      <c r="AF303" s="1337"/>
      <c r="AG303" s="1337"/>
      <c r="AH303" s="1337"/>
      <c r="AI303" s="1337"/>
      <c r="AJ303" s="1337"/>
      <c r="AK303" s="1337"/>
      <c r="BN303" s="34"/>
    </row>
    <row r="304" spans="2:66" ht="13.05" customHeight="1">
      <c r="B304" s="3" t="s">
        <v>481</v>
      </c>
      <c r="C304" s="3"/>
      <c r="D304" s="3"/>
      <c r="E304" s="3"/>
      <c r="F304" s="3"/>
      <c r="H304" s="1435" t="s">
        <v>2686</v>
      </c>
      <c r="I304" s="1337"/>
      <c r="J304" s="1337"/>
      <c r="K304" s="1337"/>
      <c r="L304" s="1337"/>
      <c r="M304" s="1337"/>
      <c r="N304" s="1337"/>
      <c r="O304" s="1337"/>
      <c r="P304" s="1337"/>
      <c r="Q304" s="1337"/>
      <c r="R304" s="1337"/>
      <c r="T304" s="3" t="s">
        <v>76</v>
      </c>
      <c r="V304" s="3"/>
      <c r="W304" s="3"/>
      <c r="X304" s="3"/>
      <c r="Y304" s="3"/>
      <c r="AA304" s="1435"/>
      <c r="AB304" s="1337"/>
      <c r="AC304" s="1337"/>
      <c r="AD304" s="1337"/>
      <c r="AE304" s="1337"/>
      <c r="AF304" s="1337"/>
      <c r="AG304" s="1337"/>
      <c r="AH304" s="1337"/>
      <c r="AI304" s="1337"/>
      <c r="AJ304" s="1337"/>
      <c r="AK304" s="1337"/>
      <c r="BN304" s="34"/>
    </row>
    <row r="305" spans="2:66" ht="13.05" customHeight="1">
      <c r="B305" s="3" t="s">
        <v>88</v>
      </c>
      <c r="C305" s="3"/>
      <c r="D305" s="3"/>
      <c r="E305" s="3"/>
      <c r="F305" s="3"/>
      <c r="H305" s="1435" t="s">
        <v>2649</v>
      </c>
      <c r="I305" s="1337"/>
      <c r="J305" s="1337"/>
      <c r="K305" s="1337"/>
      <c r="L305" s="1337"/>
      <c r="M305" s="1337"/>
      <c r="N305" s="1337"/>
      <c r="O305" s="1337"/>
      <c r="P305" s="1337"/>
      <c r="Q305" s="1337"/>
      <c r="R305" s="1337"/>
      <c r="T305" s="3" t="s">
        <v>88</v>
      </c>
      <c r="V305" s="3"/>
      <c r="W305" s="3"/>
      <c r="X305" s="3"/>
      <c r="Y305" s="3"/>
      <c r="AA305" s="1435"/>
      <c r="AB305" s="1337"/>
      <c r="AC305" s="1337"/>
      <c r="AD305" s="1337"/>
      <c r="AE305" s="1337"/>
      <c r="AF305" s="1337"/>
      <c r="AG305" s="1337"/>
      <c r="AH305" s="1337"/>
      <c r="AI305" s="1337"/>
      <c r="AJ305" s="1337"/>
      <c r="AK305" s="1337"/>
      <c r="BN305" s="34"/>
    </row>
    <row r="306" spans="2:66" ht="13.05" customHeight="1">
      <c r="B306" s="3" t="s">
        <v>89</v>
      </c>
      <c r="C306" s="3"/>
      <c r="D306" s="3"/>
      <c r="E306" s="3"/>
      <c r="F306" s="3"/>
      <c r="G306" s="3"/>
      <c r="H306" s="1438" t="s">
        <v>2650</v>
      </c>
      <c r="I306" s="1511"/>
      <c r="J306" s="1511"/>
      <c r="K306" s="1511"/>
      <c r="L306" s="1511"/>
      <c r="M306" s="1511"/>
      <c r="N306" s="4" t="s">
        <v>207</v>
      </c>
      <c r="O306" s="4"/>
      <c r="P306" s="1510">
        <v>6</v>
      </c>
      <c r="Q306" s="1510"/>
      <c r="R306" s="1510"/>
      <c r="S306" s="3"/>
      <c r="T306" s="3" t="s">
        <v>89</v>
      </c>
      <c r="V306" s="3"/>
      <c r="W306" s="3"/>
      <c r="X306" s="3"/>
      <c r="Y306" s="3"/>
      <c r="AA306" s="1438"/>
      <c r="AB306" s="1511"/>
      <c r="AC306" s="1511"/>
      <c r="AD306" s="1511"/>
      <c r="AE306" s="1511"/>
      <c r="AF306" s="1511"/>
      <c r="AG306" s="4" t="s">
        <v>207</v>
      </c>
      <c r="AH306" s="4"/>
      <c r="AI306" s="1510"/>
      <c r="AJ306" s="1510"/>
      <c r="AK306" s="1510"/>
      <c r="BN306" s="34"/>
    </row>
    <row r="307" spans="2:66" ht="13.05" customHeight="1">
      <c r="B307" s="3" t="s">
        <v>90</v>
      </c>
      <c r="C307" s="3"/>
      <c r="D307" s="3"/>
      <c r="E307" s="3"/>
      <c r="F307" s="3"/>
      <c r="G307" s="3"/>
      <c r="H307" s="1408"/>
      <c r="I307" s="1408"/>
      <c r="J307" s="1408"/>
      <c r="K307" s="1408"/>
      <c r="L307" s="1408"/>
      <c r="M307" s="1408"/>
      <c r="N307" s="4"/>
      <c r="O307" s="4"/>
      <c r="P307" s="35"/>
      <c r="Q307" s="35"/>
      <c r="R307" s="35"/>
      <c r="S307" s="3"/>
      <c r="T307" s="3" t="s">
        <v>90</v>
      </c>
      <c r="V307" s="3"/>
      <c r="W307" s="3"/>
      <c r="X307" s="3"/>
      <c r="Y307" s="3"/>
      <c r="AA307" s="1408"/>
      <c r="AB307" s="1408"/>
      <c r="AC307" s="1408"/>
      <c r="AD307" s="1408"/>
      <c r="AE307" s="1408"/>
      <c r="AF307" s="1408"/>
      <c r="AG307" s="4"/>
      <c r="AH307" s="4"/>
      <c r="AI307" s="35"/>
      <c r="AJ307" s="35"/>
      <c r="AK307" s="35"/>
      <c r="BN307" s="34"/>
    </row>
    <row r="308" spans="2:66" ht="13.05" customHeight="1">
      <c r="B308" s="3" t="s">
        <v>77</v>
      </c>
      <c r="C308" s="3"/>
      <c r="D308" s="3"/>
      <c r="E308" s="3"/>
      <c r="F308" s="3"/>
      <c r="G308" s="3"/>
      <c r="H308" s="1435" t="s">
        <v>2651</v>
      </c>
      <c r="I308" s="1337"/>
      <c r="J308" s="1337"/>
      <c r="K308" s="1337"/>
      <c r="L308" s="1337"/>
      <c r="M308" s="1337"/>
      <c r="N308" s="1365"/>
      <c r="O308" s="1365"/>
      <c r="P308" s="1365"/>
      <c r="Q308" s="1365"/>
      <c r="R308" s="1365"/>
      <c r="S308" s="3"/>
      <c r="T308" s="3" t="s">
        <v>77</v>
      </c>
      <c r="V308" s="3"/>
      <c r="W308" s="3"/>
      <c r="X308" s="3"/>
      <c r="Y308" s="3"/>
      <c r="AA308" s="1435"/>
      <c r="AB308" s="1337"/>
      <c r="AC308" s="1337"/>
      <c r="AD308" s="1337"/>
      <c r="AE308" s="1337"/>
      <c r="AF308" s="1337"/>
      <c r="AG308" s="1365"/>
      <c r="AH308" s="1365"/>
      <c r="AI308" s="1365"/>
      <c r="AJ308" s="1365"/>
      <c r="AK308" s="1365"/>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940</v>
      </c>
      <c r="C310" s="3"/>
      <c r="D310" s="3"/>
      <c r="E310" s="3"/>
      <c r="F310" s="3"/>
      <c r="H310" s="1365" t="s">
        <v>2706</v>
      </c>
      <c r="I310" s="1365"/>
      <c r="J310" s="1365"/>
      <c r="K310" s="1365"/>
      <c r="L310" s="1365"/>
      <c r="M310" s="1365"/>
      <c r="N310" s="1365"/>
      <c r="O310" s="1365"/>
      <c r="P310" s="1365"/>
      <c r="Q310" s="1365"/>
      <c r="R310" s="1365"/>
      <c r="S310" s="3"/>
      <c r="T310" s="3" t="s">
        <v>366</v>
      </c>
      <c r="V310" s="3"/>
      <c r="W310" s="3"/>
      <c r="X310" s="3"/>
      <c r="Y310" s="3"/>
      <c r="AA310" s="1508" t="s">
        <v>2652</v>
      </c>
      <c r="AB310" s="1365"/>
      <c r="AC310" s="1365"/>
      <c r="AD310" s="1365"/>
      <c r="AE310" s="1365"/>
      <c r="AF310" s="1365"/>
      <c r="AG310" s="1365"/>
      <c r="AH310" s="1365"/>
      <c r="AI310" s="1365"/>
      <c r="AJ310" s="1365"/>
      <c r="AK310" s="1365"/>
      <c r="BN310" s="34"/>
    </row>
    <row r="311" spans="2:66" ht="13.05" customHeight="1">
      <c r="B311" s="3" t="s">
        <v>480</v>
      </c>
      <c r="C311" s="3"/>
      <c r="D311" s="3"/>
      <c r="E311" s="3"/>
      <c r="F311" s="3"/>
      <c r="H311" s="1337" t="s">
        <v>2707</v>
      </c>
      <c r="I311" s="1337"/>
      <c r="J311" s="1337"/>
      <c r="K311" s="1337"/>
      <c r="L311" s="1337"/>
      <c r="M311" s="1337"/>
      <c r="N311" s="1337"/>
      <c r="O311" s="1337"/>
      <c r="P311" s="1337"/>
      <c r="Q311" s="1337"/>
      <c r="R311" s="1337"/>
      <c r="S311" s="3"/>
      <c r="T311" s="3" t="s">
        <v>480</v>
      </c>
      <c r="V311" s="3"/>
      <c r="W311" s="3"/>
      <c r="X311" s="3"/>
      <c r="Y311" s="3"/>
      <c r="AA311" s="1337"/>
      <c r="AB311" s="1337"/>
      <c r="AC311" s="1337"/>
      <c r="AD311" s="1337"/>
      <c r="AE311" s="1337"/>
      <c r="AF311" s="1337"/>
      <c r="AG311" s="1337"/>
      <c r="AH311" s="1337"/>
      <c r="AI311" s="1337"/>
      <c r="AJ311" s="1337"/>
      <c r="AK311" s="1337"/>
      <c r="BN311" s="34"/>
    </row>
    <row r="312" spans="2:66" ht="13.05" customHeight="1">
      <c r="B312" s="3" t="s">
        <v>481</v>
      </c>
      <c r="C312" s="3"/>
      <c r="D312" s="3"/>
      <c r="E312" s="3"/>
      <c r="F312" s="3"/>
      <c r="H312" s="1337" t="s">
        <v>2708</v>
      </c>
      <c r="I312" s="1337"/>
      <c r="J312" s="1337"/>
      <c r="K312" s="1337"/>
      <c r="L312" s="1337"/>
      <c r="M312" s="1337"/>
      <c r="N312" s="1337"/>
      <c r="O312" s="1337"/>
      <c r="P312" s="1337"/>
      <c r="Q312" s="1337"/>
      <c r="R312" s="1337"/>
      <c r="S312" s="3"/>
      <c r="T312" s="3" t="s">
        <v>76</v>
      </c>
      <c r="V312" s="3"/>
      <c r="W312" s="3"/>
      <c r="X312" s="3"/>
      <c r="Y312" s="3"/>
      <c r="AA312" s="1337"/>
      <c r="AB312" s="1337"/>
      <c r="AC312" s="1337"/>
      <c r="AD312" s="1337"/>
      <c r="AE312" s="1337"/>
      <c r="AF312" s="1337"/>
      <c r="AG312" s="1337"/>
      <c r="AH312" s="1337"/>
      <c r="AI312" s="1337"/>
      <c r="AJ312" s="1337"/>
      <c r="AK312" s="1337"/>
      <c r="BN312" s="34"/>
    </row>
    <row r="313" spans="2:66" ht="13.05" customHeight="1">
      <c r="B313" s="3" t="s">
        <v>88</v>
      </c>
      <c r="C313" s="3"/>
      <c r="D313" s="3"/>
      <c r="E313" s="3"/>
      <c r="F313" s="3"/>
      <c r="H313" s="1337" t="s">
        <v>2709</v>
      </c>
      <c r="I313" s="1337"/>
      <c r="J313" s="1337"/>
      <c r="K313" s="1337"/>
      <c r="L313" s="1337"/>
      <c r="M313" s="1337"/>
      <c r="N313" s="1337"/>
      <c r="O313" s="1337"/>
      <c r="P313" s="1337"/>
      <c r="Q313" s="1337"/>
      <c r="R313" s="1337"/>
      <c r="S313" s="3"/>
      <c r="T313" s="3" t="s">
        <v>88</v>
      </c>
      <c r="V313" s="3"/>
      <c r="W313" s="3"/>
      <c r="X313" s="3"/>
      <c r="Y313" s="3"/>
      <c r="AA313" s="1337"/>
      <c r="AB313" s="1337"/>
      <c r="AC313" s="1337"/>
      <c r="AD313" s="1337"/>
      <c r="AE313" s="1337"/>
      <c r="AF313" s="1337"/>
      <c r="AG313" s="1337"/>
      <c r="AH313" s="1337"/>
      <c r="AI313" s="1337"/>
      <c r="AJ313" s="1337"/>
      <c r="AK313" s="1337"/>
      <c r="BN313" s="34"/>
    </row>
    <row r="314" spans="2:66" ht="13.05" customHeight="1">
      <c r="B314" s="3" t="s">
        <v>89</v>
      </c>
      <c r="C314" s="3"/>
      <c r="D314" s="3"/>
      <c r="E314" s="3"/>
      <c r="F314" s="3"/>
      <c r="G314" s="3"/>
      <c r="H314" s="1438" t="s">
        <v>2710</v>
      </c>
      <c r="I314" s="1438"/>
      <c r="J314" s="1438"/>
      <c r="K314" s="1438"/>
      <c r="L314" s="1438"/>
      <c r="M314" s="1438"/>
      <c r="N314" s="4" t="s">
        <v>207</v>
      </c>
      <c r="O314" s="4"/>
      <c r="P314" s="1510"/>
      <c r="Q314" s="1510"/>
      <c r="R314" s="1510"/>
      <c r="S314" s="3"/>
      <c r="T314" s="3" t="s">
        <v>89</v>
      </c>
      <c r="V314" s="3"/>
      <c r="W314" s="3"/>
      <c r="X314" s="3"/>
      <c r="Y314" s="3"/>
      <c r="AA314" s="1511"/>
      <c r="AB314" s="1511"/>
      <c r="AC314" s="1511"/>
      <c r="AD314" s="1511"/>
      <c r="AE314" s="1511"/>
      <c r="AF314" s="1511"/>
      <c r="AG314" s="4" t="s">
        <v>207</v>
      </c>
      <c r="AH314" s="4"/>
      <c r="AI314" s="1510"/>
      <c r="AJ314" s="1510"/>
      <c r="AK314" s="1510"/>
      <c r="BN314" s="34"/>
    </row>
    <row r="315" spans="2:66" ht="13.05" customHeight="1">
      <c r="B315" s="3" t="s">
        <v>90</v>
      </c>
      <c r="C315" s="3"/>
      <c r="D315" s="3"/>
      <c r="E315" s="3"/>
      <c r="F315" s="3"/>
      <c r="G315" s="3"/>
      <c r="H315" s="1486" t="s">
        <v>2711</v>
      </c>
      <c r="I315" s="1486"/>
      <c r="J315" s="1486"/>
      <c r="K315" s="1486"/>
      <c r="L315" s="1486"/>
      <c r="M315" s="1486"/>
      <c r="N315" s="4"/>
      <c r="O315" s="4"/>
      <c r="P315" s="35"/>
      <c r="Q315" s="35"/>
      <c r="R315" s="35"/>
      <c r="S315" s="3"/>
      <c r="T315" s="3" t="s">
        <v>90</v>
      </c>
      <c r="V315" s="3"/>
      <c r="W315" s="3"/>
      <c r="X315" s="3"/>
      <c r="Y315" s="3"/>
      <c r="AA315" s="1408"/>
      <c r="AB315" s="1408"/>
      <c r="AC315" s="1408"/>
      <c r="AD315" s="1408"/>
      <c r="AE315" s="1408"/>
      <c r="AF315" s="1408"/>
      <c r="AG315" s="4"/>
      <c r="AH315" s="4"/>
      <c r="AI315" s="35"/>
      <c r="AJ315" s="35"/>
      <c r="AK315" s="35"/>
      <c r="BN315" s="34"/>
    </row>
    <row r="316" spans="2:66" ht="13.05" customHeight="1">
      <c r="B316" s="3" t="s">
        <v>77</v>
      </c>
      <c r="C316" s="3"/>
      <c r="D316" s="3"/>
      <c r="E316" s="3"/>
      <c r="F316" s="3"/>
      <c r="G316" s="3"/>
      <c r="H316" s="1337" t="s">
        <v>2712</v>
      </c>
      <c r="I316" s="1337"/>
      <c r="J316" s="1337"/>
      <c r="K316" s="1337"/>
      <c r="L316" s="1337"/>
      <c r="M316" s="1337"/>
      <c r="N316" s="1365"/>
      <c r="O316" s="1365"/>
      <c r="P316" s="1365"/>
      <c r="Q316" s="1365"/>
      <c r="R316" s="1365"/>
      <c r="S316" s="3"/>
      <c r="T316" s="3" t="s">
        <v>77</v>
      </c>
      <c r="V316" s="3"/>
      <c r="W316" s="3"/>
      <c r="X316" s="3"/>
      <c r="Y316" s="3"/>
      <c r="AA316" s="1337"/>
      <c r="AB316" s="1337"/>
      <c r="AC316" s="1337"/>
      <c r="AD316" s="1337"/>
      <c r="AE316" s="1337"/>
      <c r="AF316" s="1337"/>
      <c r="AG316" s="1365"/>
      <c r="AH316" s="1365"/>
      <c r="AI316" s="1365"/>
      <c r="AJ316" s="1365"/>
      <c r="AK316" s="1365"/>
      <c r="BN316" s="34"/>
    </row>
    <row r="317" spans="2:66" ht="13.05" customHeight="1">
      <c r="BN317" s="34"/>
    </row>
    <row r="318" spans="2:66" ht="13.05" customHeight="1">
      <c r="B318" s="4" t="s">
        <v>941</v>
      </c>
      <c r="C318" s="3"/>
      <c r="D318" s="3"/>
      <c r="E318" s="3"/>
      <c r="F318" s="3"/>
      <c r="H318" s="1508" t="s">
        <v>2654</v>
      </c>
      <c r="I318" s="1365"/>
      <c r="J318" s="1365"/>
      <c r="K318" s="1365"/>
      <c r="L318" s="1365"/>
      <c r="M318" s="1365"/>
      <c r="N318" s="1365"/>
      <c r="O318" s="1365"/>
      <c r="P318" s="1365"/>
      <c r="Q318" s="1365"/>
      <c r="R318" s="1365"/>
      <c r="T318" s="3" t="s">
        <v>367</v>
      </c>
      <c r="V318" s="3"/>
      <c r="W318" s="3"/>
      <c r="X318" s="3"/>
      <c r="Y318" s="3"/>
      <c r="AA318" s="1365" t="s">
        <v>2667</v>
      </c>
      <c r="AB318" s="1365"/>
      <c r="AC318" s="1365"/>
      <c r="AD318" s="1365"/>
      <c r="AE318" s="1365"/>
      <c r="AF318" s="1365"/>
      <c r="AG318" s="1365"/>
      <c r="AH318" s="1365"/>
      <c r="AI318" s="1365"/>
      <c r="AJ318" s="1365"/>
      <c r="AK318" s="1365"/>
      <c r="BN318" s="34"/>
    </row>
    <row r="319" spans="2:66" ht="13.05" customHeight="1">
      <c r="B319" s="3" t="s">
        <v>480</v>
      </c>
      <c r="C319" s="3"/>
      <c r="D319" s="3"/>
      <c r="E319" s="3"/>
      <c r="F319" s="3"/>
      <c r="H319" s="1435" t="s">
        <v>2681</v>
      </c>
      <c r="I319" s="1337"/>
      <c r="J319" s="1337"/>
      <c r="K319" s="1337"/>
      <c r="L319" s="1337"/>
      <c r="M319" s="1337"/>
      <c r="N319" s="1337"/>
      <c r="O319" s="1337"/>
      <c r="P319" s="1337"/>
      <c r="Q319" s="1337"/>
      <c r="R319" s="1337"/>
      <c r="T319" s="3" t="s">
        <v>480</v>
      </c>
      <c r="V319" s="3"/>
      <c r="W319" s="3"/>
      <c r="X319" s="3"/>
      <c r="Y319" s="3"/>
      <c r="AA319" s="1337" t="s">
        <v>2668</v>
      </c>
      <c r="AB319" s="1337"/>
      <c r="AC319" s="1337"/>
      <c r="AD319" s="1337"/>
      <c r="AE319" s="1337"/>
      <c r="AF319" s="1337"/>
      <c r="AG319" s="1337"/>
      <c r="AH319" s="1337"/>
      <c r="AI319" s="1337"/>
      <c r="AJ319" s="1337"/>
      <c r="AK319" s="1337"/>
      <c r="BN319" s="34"/>
    </row>
    <row r="320" spans="2:66" ht="13.05" customHeight="1">
      <c r="B320" s="3" t="s">
        <v>481</v>
      </c>
      <c r="C320" s="3"/>
      <c r="D320" s="3"/>
      <c r="E320" s="3"/>
      <c r="F320" s="3"/>
      <c r="H320" s="1435" t="s">
        <v>2653</v>
      </c>
      <c r="I320" s="1337"/>
      <c r="J320" s="1337"/>
      <c r="K320" s="1337"/>
      <c r="L320" s="1337"/>
      <c r="M320" s="1337"/>
      <c r="N320" s="1337"/>
      <c r="O320" s="1337"/>
      <c r="P320" s="1337"/>
      <c r="Q320" s="1337"/>
      <c r="R320" s="1337"/>
      <c r="T320" s="3" t="s">
        <v>76</v>
      </c>
      <c r="V320" s="3"/>
      <c r="W320" s="3"/>
      <c r="X320" s="3"/>
      <c r="Y320" s="3"/>
      <c r="AA320" s="1337" t="s">
        <v>2669</v>
      </c>
      <c r="AB320" s="1337"/>
      <c r="AC320" s="1337"/>
      <c r="AD320" s="1337"/>
      <c r="AE320" s="1337"/>
      <c r="AF320" s="1337"/>
      <c r="AG320" s="1337"/>
      <c r="AH320" s="1337"/>
      <c r="AI320" s="1337"/>
      <c r="AJ320" s="1337"/>
      <c r="AK320" s="1337"/>
      <c r="BN320" s="34"/>
    </row>
    <row r="321" spans="2:66" ht="13.05" customHeight="1">
      <c r="B321" s="3" t="s">
        <v>88</v>
      </c>
      <c r="C321" s="3"/>
      <c r="D321" s="3"/>
      <c r="E321" s="3"/>
      <c r="F321" s="3"/>
      <c r="H321" s="1435" t="s">
        <v>2682</v>
      </c>
      <c r="I321" s="1337"/>
      <c r="J321" s="1337"/>
      <c r="K321" s="1337"/>
      <c r="L321" s="1337"/>
      <c r="M321" s="1337"/>
      <c r="N321" s="1337"/>
      <c r="O321" s="1337"/>
      <c r="P321" s="1337"/>
      <c r="Q321" s="1337"/>
      <c r="R321" s="1337"/>
      <c r="T321" s="3" t="s">
        <v>88</v>
      </c>
      <c r="V321" s="3"/>
      <c r="W321" s="3"/>
      <c r="X321" s="3"/>
      <c r="Y321" s="3"/>
      <c r="AA321" s="1337" t="s">
        <v>2670</v>
      </c>
      <c r="AB321" s="1337"/>
      <c r="AC321" s="1337"/>
      <c r="AD321" s="1337"/>
      <c r="AE321" s="1337"/>
      <c r="AF321" s="1337"/>
      <c r="AG321" s="1337"/>
      <c r="AH321" s="1337"/>
      <c r="AI321" s="1337"/>
      <c r="AJ321" s="1337"/>
      <c r="AK321" s="1337"/>
      <c r="BN321" s="34"/>
    </row>
    <row r="322" spans="2:66" ht="13.05" customHeight="1">
      <c r="B322" s="3" t="s">
        <v>89</v>
      </c>
      <c r="C322" s="3"/>
      <c r="D322" s="3"/>
      <c r="E322" s="3"/>
      <c r="F322" s="3"/>
      <c r="G322" s="3"/>
      <c r="H322" s="1438" t="s">
        <v>2683</v>
      </c>
      <c r="I322" s="1511"/>
      <c r="J322" s="1511"/>
      <c r="K322" s="1511"/>
      <c r="L322" s="1511"/>
      <c r="M322" s="1511"/>
      <c r="N322" s="4" t="s">
        <v>207</v>
      </c>
      <c r="O322" s="4"/>
      <c r="P322" s="1510"/>
      <c r="Q322" s="1510"/>
      <c r="R322" s="1510"/>
      <c r="S322" s="3"/>
      <c r="T322" s="3" t="s">
        <v>89</v>
      </c>
      <c r="V322" s="3"/>
      <c r="W322" s="3"/>
      <c r="X322" s="3"/>
      <c r="Y322" s="3"/>
      <c r="AA322" s="1511" t="s">
        <v>2671</v>
      </c>
      <c r="AB322" s="1511"/>
      <c r="AC322" s="1511"/>
      <c r="AD322" s="1511"/>
      <c r="AE322" s="1511"/>
      <c r="AF322" s="1511"/>
      <c r="AG322" s="4" t="s">
        <v>207</v>
      </c>
      <c r="AH322" s="4"/>
      <c r="AI322" s="1510"/>
      <c r="AJ322" s="1510"/>
      <c r="AK322" s="1510"/>
      <c r="BN322" s="34"/>
    </row>
    <row r="323" spans="2:66" ht="13.05" customHeight="1">
      <c r="B323" s="3" t="s">
        <v>90</v>
      </c>
      <c r="C323" s="3"/>
      <c r="D323" s="3"/>
      <c r="E323" s="3"/>
      <c r="F323" s="3"/>
      <c r="G323" s="3"/>
      <c r="H323" s="1408"/>
      <c r="I323" s="1408"/>
      <c r="J323" s="1408"/>
      <c r="K323" s="1408"/>
      <c r="L323" s="1408"/>
      <c r="M323" s="1408"/>
      <c r="N323" s="4"/>
      <c r="O323" s="4"/>
      <c r="P323" s="35"/>
      <c r="Q323" s="35"/>
      <c r="R323" s="35"/>
      <c r="S323" s="3"/>
      <c r="T323" s="3" t="s">
        <v>90</v>
      </c>
      <c r="V323" s="3"/>
      <c r="W323" s="3"/>
      <c r="X323" s="3"/>
      <c r="Y323" s="3"/>
      <c r="AA323" s="1408"/>
      <c r="AB323" s="1408"/>
      <c r="AC323" s="1408"/>
      <c r="AD323" s="1408"/>
      <c r="AE323" s="1408"/>
      <c r="AF323" s="1408"/>
      <c r="AG323" s="4"/>
      <c r="AH323" s="4"/>
      <c r="AI323" s="35"/>
      <c r="AJ323" s="35"/>
      <c r="AK323" s="35"/>
    </row>
    <row r="324" spans="2:66" ht="13.05" customHeight="1">
      <c r="B324" s="3" t="s">
        <v>77</v>
      </c>
      <c r="C324" s="3"/>
      <c r="D324" s="3"/>
      <c r="E324" s="3"/>
      <c r="F324" s="3"/>
      <c r="G324" s="3"/>
      <c r="H324" s="1435" t="s">
        <v>2684</v>
      </c>
      <c r="I324" s="1337"/>
      <c r="J324" s="1337"/>
      <c r="K324" s="1337"/>
      <c r="L324" s="1337"/>
      <c r="M324" s="1337"/>
      <c r="N324" s="1365"/>
      <c r="O324" s="1365"/>
      <c r="P324" s="1365"/>
      <c r="Q324" s="1365"/>
      <c r="R324" s="1365"/>
      <c r="S324" s="3"/>
      <c r="T324" s="3" t="s">
        <v>77</v>
      </c>
      <c r="V324" s="3"/>
      <c r="W324" s="3"/>
      <c r="X324" s="3"/>
      <c r="Y324" s="3"/>
      <c r="AA324" s="1337" t="s">
        <v>2672</v>
      </c>
      <c r="AB324" s="1337"/>
      <c r="AC324" s="1337"/>
      <c r="AD324" s="1337"/>
      <c r="AE324" s="1337"/>
      <c r="AF324" s="1337"/>
      <c r="AG324" s="1365"/>
      <c r="AH324" s="1365"/>
      <c r="AI324" s="1365"/>
      <c r="AJ324" s="1365"/>
      <c r="AK324" s="1365"/>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368</v>
      </c>
      <c r="C326" s="3"/>
      <c r="D326" s="3"/>
      <c r="E326" s="3"/>
      <c r="F326" s="3"/>
      <c r="H326" s="1508" t="s">
        <v>2655</v>
      </c>
      <c r="I326" s="1365"/>
      <c r="J326" s="1365"/>
      <c r="K326" s="1365"/>
      <c r="L326" s="1365"/>
      <c r="M326" s="1365"/>
      <c r="N326" s="1365"/>
      <c r="O326" s="1365"/>
      <c r="P326" s="1365"/>
      <c r="Q326" s="1365"/>
      <c r="R326" s="1365"/>
      <c r="T326" s="3" t="s">
        <v>369</v>
      </c>
      <c r="V326" s="3"/>
      <c r="W326" s="3"/>
      <c r="X326" s="3"/>
      <c r="Y326" s="3"/>
      <c r="AA326" s="1508" t="s">
        <v>2720</v>
      </c>
      <c r="AB326" s="1365"/>
      <c r="AC326" s="1365"/>
      <c r="AD326" s="1365"/>
      <c r="AE326" s="1365"/>
      <c r="AF326" s="1365"/>
      <c r="AG326" s="1365"/>
      <c r="AH326" s="1365"/>
      <c r="AI326" s="1365"/>
      <c r="AJ326" s="1365"/>
      <c r="AK326" s="1365"/>
    </row>
    <row r="327" spans="2:66" ht="13.05" customHeight="1">
      <c r="B327" s="3" t="s">
        <v>480</v>
      </c>
      <c r="C327" s="3"/>
      <c r="D327" s="3"/>
      <c r="E327" s="3"/>
      <c r="F327" s="3"/>
      <c r="H327" s="1435" t="s">
        <v>2656</v>
      </c>
      <c r="I327" s="1337"/>
      <c r="J327" s="1337"/>
      <c r="K327" s="1337"/>
      <c r="L327" s="1337"/>
      <c r="M327" s="1337"/>
      <c r="N327" s="1337"/>
      <c r="O327" s="1337"/>
      <c r="P327" s="1337"/>
      <c r="Q327" s="1337"/>
      <c r="R327" s="1337"/>
      <c r="T327" s="3" t="s">
        <v>480</v>
      </c>
      <c r="V327" s="3"/>
      <c r="W327" s="3"/>
      <c r="X327" s="3"/>
      <c r="Y327" s="3"/>
      <c r="AA327" s="1435" t="s">
        <v>2733</v>
      </c>
      <c r="AB327" s="1337"/>
      <c r="AC327" s="1337"/>
      <c r="AD327" s="1337"/>
      <c r="AE327" s="1337"/>
      <c r="AF327" s="1337"/>
      <c r="AG327" s="1337"/>
      <c r="AH327" s="1337"/>
      <c r="AI327" s="1337"/>
      <c r="AJ327" s="1337"/>
      <c r="AK327" s="1337"/>
    </row>
    <row r="328" spans="2:66" ht="13.05" customHeight="1">
      <c r="B328" s="3" t="s">
        <v>481</v>
      </c>
      <c r="C328" s="3"/>
      <c r="D328" s="3"/>
      <c r="E328" s="3"/>
      <c r="F328" s="3"/>
      <c r="H328" s="1337" t="s">
        <v>2657</v>
      </c>
      <c r="I328" s="1337"/>
      <c r="J328" s="1337"/>
      <c r="K328" s="1337"/>
      <c r="L328" s="1337"/>
      <c r="M328" s="1337"/>
      <c r="N328" s="1337"/>
      <c r="O328" s="1337"/>
      <c r="P328" s="1337"/>
      <c r="Q328" s="1337"/>
      <c r="R328" s="1337"/>
      <c r="T328" s="3" t="s">
        <v>76</v>
      </c>
      <c r="V328" s="3"/>
      <c r="W328" s="3"/>
      <c r="X328" s="3"/>
      <c r="Y328" s="3"/>
      <c r="AA328" s="1435" t="s">
        <v>2734</v>
      </c>
      <c r="AB328" s="1337"/>
      <c r="AC328" s="1337"/>
      <c r="AD328" s="1337"/>
      <c r="AE328" s="1337"/>
      <c r="AF328" s="1337"/>
      <c r="AG328" s="1337"/>
      <c r="AH328" s="1337"/>
      <c r="AI328" s="1337"/>
      <c r="AJ328" s="1337"/>
      <c r="AK328" s="1337"/>
    </row>
    <row r="329" spans="2:66" ht="13.05" customHeight="1">
      <c r="B329" s="3" t="s">
        <v>88</v>
      </c>
      <c r="C329" s="3"/>
      <c r="D329" s="3"/>
      <c r="E329" s="3"/>
      <c r="F329" s="3"/>
      <c r="H329" s="1337" t="s">
        <v>2658</v>
      </c>
      <c r="I329" s="1337"/>
      <c r="J329" s="1337"/>
      <c r="K329" s="1337"/>
      <c r="L329" s="1337"/>
      <c r="M329" s="1337"/>
      <c r="N329" s="1337"/>
      <c r="O329" s="1337"/>
      <c r="P329" s="1337"/>
      <c r="Q329" s="1337"/>
      <c r="R329" s="1337"/>
      <c r="T329" s="3" t="s">
        <v>88</v>
      </c>
      <c r="V329" s="3"/>
      <c r="W329" s="3"/>
      <c r="X329" s="3"/>
      <c r="Y329" s="3"/>
      <c r="AA329" s="1435" t="s">
        <v>2721</v>
      </c>
      <c r="AB329" s="1337"/>
      <c r="AC329" s="1337"/>
      <c r="AD329" s="1337"/>
      <c r="AE329" s="1337"/>
      <c r="AF329" s="1337"/>
      <c r="AG329" s="1337"/>
      <c r="AH329" s="1337"/>
      <c r="AI329" s="1337"/>
      <c r="AJ329" s="1337"/>
      <c r="AK329" s="1337"/>
    </row>
    <row r="330" spans="2:66" ht="13.05" customHeight="1">
      <c r="B330" s="3" t="s">
        <v>89</v>
      </c>
      <c r="C330" s="3"/>
      <c r="D330" s="3"/>
      <c r="E330" s="3"/>
      <c r="F330" s="3"/>
      <c r="G330" s="3"/>
      <c r="H330" s="1438" t="s">
        <v>2659</v>
      </c>
      <c r="I330" s="1511"/>
      <c r="J330" s="1511"/>
      <c r="K330" s="1511"/>
      <c r="L330" s="1511"/>
      <c r="M330" s="1511"/>
      <c r="N330" s="4" t="s">
        <v>207</v>
      </c>
      <c r="O330" s="4"/>
      <c r="P330" s="1510"/>
      <c r="Q330" s="1510"/>
      <c r="R330" s="1510"/>
      <c r="S330" s="3"/>
      <c r="T330" s="3" t="s">
        <v>89</v>
      </c>
      <c r="V330" s="3"/>
      <c r="W330" s="3"/>
      <c r="X330" s="3"/>
      <c r="Y330" s="3"/>
      <c r="AA330" s="1438" t="s">
        <v>2722</v>
      </c>
      <c r="AB330" s="1511"/>
      <c r="AC330" s="1511"/>
      <c r="AD330" s="1511"/>
      <c r="AE330" s="1511"/>
      <c r="AF330" s="1511"/>
      <c r="AG330" s="4" t="s">
        <v>207</v>
      </c>
      <c r="AH330" s="4"/>
      <c r="AI330" s="1510"/>
      <c r="AJ330" s="1510"/>
      <c r="AK330" s="1510"/>
    </row>
    <row r="331" spans="2:66" ht="13.05" customHeight="1">
      <c r="B331" s="3" t="s">
        <v>90</v>
      </c>
      <c r="C331" s="3"/>
      <c r="D331" s="3"/>
      <c r="E331" s="3"/>
      <c r="F331" s="3"/>
      <c r="G331" s="3"/>
      <c r="H331" s="1408" t="s">
        <v>2660</v>
      </c>
      <c r="I331" s="1408"/>
      <c r="J331" s="1408"/>
      <c r="K331" s="1408"/>
      <c r="L331" s="1408"/>
      <c r="M331" s="1408"/>
      <c r="N331" s="4"/>
      <c r="O331" s="4"/>
      <c r="P331" s="35"/>
      <c r="Q331" s="35"/>
      <c r="R331" s="35"/>
      <c r="S331" s="3"/>
      <c r="T331" s="3" t="s">
        <v>90</v>
      </c>
      <c r="V331" s="3"/>
      <c r="W331" s="3"/>
      <c r="X331" s="3"/>
      <c r="Y331" s="3"/>
      <c r="AA331" s="1408"/>
      <c r="AB331" s="1408"/>
      <c r="AC331" s="1408"/>
      <c r="AD331" s="1408"/>
      <c r="AE331" s="1408"/>
      <c r="AF331" s="1408"/>
      <c r="AG331" s="4"/>
      <c r="AH331" s="4"/>
      <c r="AI331" s="35"/>
      <c r="AJ331" s="35"/>
      <c r="AK331" s="35"/>
    </row>
    <row r="332" spans="2:66" ht="13.05" customHeight="1">
      <c r="B332" s="3" t="s">
        <v>77</v>
      </c>
      <c r="C332" s="3"/>
      <c r="D332" s="3"/>
      <c r="E332" s="3"/>
      <c r="F332" s="3"/>
      <c r="G332" s="3"/>
      <c r="H332" s="1337" t="s">
        <v>2661</v>
      </c>
      <c r="I332" s="1337"/>
      <c r="J332" s="1337"/>
      <c r="K332" s="1337"/>
      <c r="L332" s="1337"/>
      <c r="M332" s="1337"/>
      <c r="N332" s="1365"/>
      <c r="O332" s="1365"/>
      <c r="P332" s="1365"/>
      <c r="Q332" s="1365"/>
      <c r="R332" s="1365"/>
      <c r="S332" s="3"/>
      <c r="T332" s="3" t="s">
        <v>77</v>
      </c>
      <c r="V332" s="3"/>
      <c r="W332" s="3"/>
      <c r="X332" s="3"/>
      <c r="Y332" s="3"/>
      <c r="AA332" s="1435" t="s">
        <v>2723</v>
      </c>
      <c r="AB332" s="1337"/>
      <c r="AC332" s="1337"/>
      <c r="AD332" s="1337"/>
      <c r="AE332" s="1337"/>
      <c r="AF332" s="1337"/>
      <c r="AG332" s="1365"/>
      <c r="AH332" s="1365"/>
      <c r="AI332" s="1365"/>
      <c r="AJ332" s="1365"/>
      <c r="AK332" s="1365"/>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330</v>
      </c>
      <c r="C334" s="3"/>
      <c r="D334" s="3"/>
      <c r="E334" s="3"/>
      <c r="F334" s="3"/>
      <c r="H334" s="1508" t="s">
        <v>2713</v>
      </c>
      <c r="I334" s="1365"/>
      <c r="J334" s="1365"/>
      <c r="K334" s="1365"/>
      <c r="L334" s="1365"/>
      <c r="M334" s="1365"/>
      <c r="N334" s="1365"/>
      <c r="O334" s="1365"/>
      <c r="P334" s="1365"/>
      <c r="Q334" s="1365"/>
      <c r="R334" s="1365"/>
      <c r="T334" s="218" t="s">
        <v>916</v>
      </c>
      <c r="V334" s="3"/>
      <c r="W334" s="3"/>
      <c r="X334" s="3"/>
      <c r="Y334" s="3"/>
      <c r="AA334" s="1365" t="s">
        <v>2662</v>
      </c>
      <c r="AB334" s="1365"/>
      <c r="AC334" s="1365"/>
      <c r="AD334" s="1365"/>
      <c r="AE334" s="1365"/>
      <c r="AF334" s="1365"/>
      <c r="AG334" s="1365"/>
      <c r="AH334" s="1365"/>
      <c r="AI334" s="1365"/>
      <c r="AJ334" s="1365"/>
      <c r="AK334" s="1365"/>
    </row>
    <row r="335" spans="2:66" ht="13.05" customHeight="1">
      <c r="B335" s="3" t="s">
        <v>480</v>
      </c>
      <c r="C335" s="3"/>
      <c r="D335" s="3"/>
      <c r="E335" s="3"/>
      <c r="F335" s="3"/>
      <c r="H335" s="1337" t="s">
        <v>2718</v>
      </c>
      <c r="I335" s="1337"/>
      <c r="J335" s="1337"/>
      <c r="K335" s="1337"/>
      <c r="L335" s="1337"/>
      <c r="M335" s="1337"/>
      <c r="N335" s="1337"/>
      <c r="O335" s="1337"/>
      <c r="P335" s="1337"/>
      <c r="Q335" s="1337"/>
      <c r="R335" s="1337"/>
      <c r="T335" s="3" t="s">
        <v>480</v>
      </c>
      <c r="V335" s="3"/>
      <c r="W335" s="3"/>
      <c r="X335" s="3"/>
      <c r="Y335" s="3"/>
      <c r="AA335" s="1337" t="s">
        <v>2635</v>
      </c>
      <c r="AB335" s="1337"/>
      <c r="AC335" s="1337"/>
      <c r="AD335" s="1337"/>
      <c r="AE335" s="1337"/>
      <c r="AF335" s="1337"/>
      <c r="AG335" s="1337"/>
      <c r="AH335" s="1337"/>
      <c r="AI335" s="1337"/>
      <c r="AJ335" s="1337"/>
      <c r="AK335" s="1337"/>
    </row>
    <row r="336" spans="2:66" ht="13.05" customHeight="1">
      <c r="B336" s="3" t="s">
        <v>76</v>
      </c>
      <c r="C336" s="3"/>
      <c r="D336" s="3"/>
      <c r="E336" s="3"/>
      <c r="F336" s="3"/>
      <c r="H336" s="1337" t="s">
        <v>2719</v>
      </c>
      <c r="I336" s="1337"/>
      <c r="J336" s="1337"/>
      <c r="K336" s="1337"/>
      <c r="L336" s="1337"/>
      <c r="M336" s="1337"/>
      <c r="N336" s="1337"/>
      <c r="O336" s="1337"/>
      <c r="P336" s="1337"/>
      <c r="Q336" s="1337"/>
      <c r="R336" s="1337"/>
      <c r="T336" s="3" t="s">
        <v>76</v>
      </c>
      <c r="V336" s="3"/>
      <c r="W336" s="3"/>
      <c r="X336" s="3"/>
      <c r="Y336" s="3"/>
      <c r="AA336" s="1337" t="s">
        <v>2663</v>
      </c>
      <c r="AB336" s="1337"/>
      <c r="AC336" s="1337"/>
      <c r="AD336" s="1337"/>
      <c r="AE336" s="1337"/>
      <c r="AF336" s="1337"/>
      <c r="AG336" s="1337"/>
      <c r="AH336" s="1337"/>
      <c r="AI336" s="1337"/>
      <c r="AJ336" s="1337"/>
      <c r="AK336" s="1337"/>
    </row>
    <row r="337" spans="1:66" ht="13.05" customHeight="1">
      <c r="B337" s="3" t="s">
        <v>88</v>
      </c>
      <c r="C337" s="3"/>
      <c r="D337" s="3"/>
      <c r="E337" s="3"/>
      <c r="F337" s="3"/>
      <c r="G337" s="3"/>
      <c r="H337" s="1337" t="s">
        <v>2714</v>
      </c>
      <c r="I337" s="1337"/>
      <c r="J337" s="1337"/>
      <c r="K337" s="1337"/>
      <c r="L337" s="1337"/>
      <c r="M337" s="1337"/>
      <c r="N337" s="1337"/>
      <c r="O337" s="1337"/>
      <c r="P337" s="1337"/>
      <c r="Q337" s="1337"/>
      <c r="R337" s="1337"/>
      <c r="T337" s="3" t="s">
        <v>88</v>
      </c>
      <c r="V337" s="3"/>
      <c r="W337" s="3"/>
      <c r="X337" s="3"/>
      <c r="Y337" s="3"/>
      <c r="AA337" s="1337" t="s">
        <v>2664</v>
      </c>
      <c r="AB337" s="1337"/>
      <c r="AC337" s="1337"/>
      <c r="AD337" s="1337"/>
      <c r="AE337" s="1337"/>
      <c r="AF337" s="1337"/>
      <c r="AG337" s="1337"/>
      <c r="AH337" s="1337"/>
      <c r="AI337" s="1337"/>
      <c r="AJ337" s="1337"/>
      <c r="AK337" s="1337"/>
    </row>
    <row r="338" spans="1:66" ht="13.05" customHeight="1">
      <c r="B338" s="3" t="s">
        <v>89</v>
      </c>
      <c r="C338" s="3"/>
      <c r="D338" s="3"/>
      <c r="E338" s="3"/>
      <c r="F338" s="3"/>
      <c r="G338" s="3"/>
      <c r="H338" s="1438" t="s">
        <v>2715</v>
      </c>
      <c r="I338" s="1511"/>
      <c r="J338" s="1511"/>
      <c r="K338" s="1511"/>
      <c r="L338" s="1511"/>
      <c r="M338" s="1511"/>
      <c r="N338" s="4" t="s">
        <v>207</v>
      </c>
      <c r="O338" s="4"/>
      <c r="P338" s="1510"/>
      <c r="Q338" s="1510"/>
      <c r="R338" s="1510"/>
      <c r="S338" s="3"/>
      <c r="T338" s="3" t="s">
        <v>89</v>
      </c>
      <c r="V338" s="3"/>
      <c r="W338" s="3"/>
      <c r="X338" s="3"/>
      <c r="Y338" s="3"/>
      <c r="AA338" s="1511" t="s">
        <v>2665</v>
      </c>
      <c r="AB338" s="1511"/>
      <c r="AC338" s="1511"/>
      <c r="AD338" s="1511"/>
      <c r="AE338" s="1511"/>
      <c r="AF338" s="1511"/>
      <c r="AG338" s="4" t="s">
        <v>207</v>
      </c>
      <c r="AH338" s="4"/>
      <c r="AI338" s="1510"/>
      <c r="AJ338" s="1510"/>
      <c r="AK338" s="1510"/>
    </row>
    <row r="339" spans="1:66" ht="13.05" customHeight="1">
      <c r="B339" s="3" t="s">
        <v>90</v>
      </c>
      <c r="C339" s="3"/>
      <c r="D339" s="3"/>
      <c r="E339" s="3"/>
      <c r="F339" s="3"/>
      <c r="G339" s="3"/>
      <c r="H339" s="1486" t="s">
        <v>2716</v>
      </c>
      <c r="I339" s="1408"/>
      <c r="J339" s="1408"/>
      <c r="K339" s="1408"/>
      <c r="L339" s="1408"/>
      <c r="M339" s="1408"/>
      <c r="N339" s="4"/>
      <c r="O339" s="4"/>
      <c r="P339" s="35"/>
      <c r="Q339" s="35"/>
      <c r="R339" s="35"/>
      <c r="S339" s="3"/>
      <c r="T339" s="3" t="s">
        <v>90</v>
      </c>
      <c r="V339" s="3"/>
      <c r="W339" s="3"/>
      <c r="X339" s="3"/>
      <c r="Y339" s="3"/>
      <c r="AA339" s="1408"/>
      <c r="AB339" s="1408"/>
      <c r="AC339" s="1408"/>
      <c r="AD339" s="1408"/>
      <c r="AE339" s="1408"/>
      <c r="AF339" s="1408"/>
      <c r="AG339" s="4"/>
      <c r="AH339" s="4"/>
      <c r="AI339" s="35"/>
      <c r="AJ339" s="35"/>
      <c r="AK339" s="35"/>
    </row>
    <row r="340" spans="1:66" ht="13.05" customHeight="1">
      <c r="B340" s="3" t="s">
        <v>77</v>
      </c>
      <c r="C340" s="3"/>
      <c r="D340" s="3"/>
      <c r="E340" s="3"/>
      <c r="F340" s="3"/>
      <c r="G340" s="3"/>
      <c r="H340" s="1337" t="s">
        <v>2717</v>
      </c>
      <c r="I340" s="1337"/>
      <c r="J340" s="1337"/>
      <c r="K340" s="1337"/>
      <c r="L340" s="1337"/>
      <c r="M340" s="1337"/>
      <c r="N340" s="1365"/>
      <c r="O340" s="1365"/>
      <c r="P340" s="1365"/>
      <c r="Q340" s="1365"/>
      <c r="R340" s="1365"/>
      <c r="S340" s="3"/>
      <c r="T340" s="3" t="s">
        <v>77</v>
      </c>
      <c r="V340" s="3"/>
      <c r="W340" s="3"/>
      <c r="X340" s="3"/>
      <c r="Y340" s="3"/>
      <c r="AA340" s="1337" t="s">
        <v>2666</v>
      </c>
      <c r="AB340" s="1337"/>
      <c r="AC340" s="1337"/>
      <c r="AD340" s="1337"/>
      <c r="AE340" s="1337"/>
      <c r="AF340" s="1337"/>
      <c r="AG340" s="1365"/>
      <c r="AH340" s="1365"/>
      <c r="AI340" s="1365"/>
      <c r="AJ340" s="1365"/>
      <c r="AK340" s="1365"/>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917</v>
      </c>
      <c r="P342" s="1365"/>
      <c r="Q342" s="1365"/>
      <c r="R342" s="1365"/>
      <c r="S342" s="1365"/>
      <c r="T342" s="1365"/>
      <c r="U342" s="1365"/>
      <c r="V342" s="1365"/>
      <c r="W342" s="1365"/>
      <c r="X342" s="1365"/>
      <c r="Y342" s="1365"/>
      <c r="Z342" s="1365"/>
      <c r="AA342" s="1365"/>
      <c r="AB342" s="1365"/>
      <c r="AC342" s="1365"/>
      <c r="AD342" s="1365"/>
      <c r="AE342" s="1365"/>
      <c r="BN342" t="s">
        <v>600</v>
      </c>
    </row>
    <row r="343" spans="1:66" ht="13.05" customHeight="1">
      <c r="B343" s="4"/>
      <c r="C343" s="4"/>
      <c r="D343" s="4"/>
      <c r="E343" s="4"/>
      <c r="F343" s="4"/>
      <c r="I343" s="4" t="s">
        <v>480</v>
      </c>
      <c r="P343" s="1337"/>
      <c r="Q343" s="1337"/>
      <c r="R343" s="1337"/>
      <c r="S343" s="1337"/>
      <c r="T343" s="1337"/>
      <c r="U343" s="1337"/>
      <c r="V343" s="1337"/>
      <c r="W343" s="1337"/>
      <c r="X343" s="1337"/>
      <c r="Y343" s="1337"/>
      <c r="Z343" s="1337"/>
      <c r="AA343" s="1337"/>
      <c r="AB343" s="1337"/>
      <c r="AC343" s="1337"/>
      <c r="AD343" s="1337"/>
      <c r="AE343" s="1337"/>
      <c r="BN343" t="s">
        <v>678</v>
      </c>
    </row>
    <row r="344" spans="1:66" ht="13.05" customHeight="1">
      <c r="B344" s="4"/>
      <c r="C344" s="4"/>
      <c r="D344" s="4"/>
      <c r="E344" s="4"/>
      <c r="F344" s="4"/>
      <c r="I344" s="4" t="s">
        <v>76</v>
      </c>
      <c r="P344" s="1337"/>
      <c r="Q344" s="1337"/>
      <c r="R344" s="1337"/>
      <c r="S344" s="1337"/>
      <c r="T344" s="1337"/>
      <c r="U344" s="1337"/>
      <c r="V344" s="1337"/>
      <c r="W344" s="1337"/>
      <c r="X344" s="1337"/>
      <c r="Y344" s="1337"/>
      <c r="Z344" s="1337"/>
      <c r="AA344" s="1337"/>
      <c r="AB344" s="1337"/>
      <c r="AC344" s="1337"/>
      <c r="AD344" s="1337"/>
      <c r="AE344" s="1337"/>
      <c r="BN344" t="s">
        <v>554</v>
      </c>
    </row>
    <row r="345" spans="1:66" ht="13.05" customHeight="1">
      <c r="B345" s="4"/>
      <c r="C345" s="4"/>
      <c r="D345" s="4"/>
      <c r="E345" s="4"/>
      <c r="F345" s="4"/>
      <c r="G345" s="4"/>
      <c r="I345" s="4" t="s">
        <v>88</v>
      </c>
      <c r="P345" s="1337"/>
      <c r="Q345" s="1337"/>
      <c r="R345" s="1337"/>
      <c r="S345" s="1337"/>
      <c r="T345" s="1337"/>
      <c r="U345" s="1337"/>
      <c r="V345" s="1337"/>
      <c r="W345" s="1337"/>
      <c r="X345" s="1337"/>
      <c r="Y345" s="1337"/>
      <c r="Z345" s="1337"/>
      <c r="AA345" s="1337"/>
      <c r="AB345" s="1337"/>
      <c r="AC345" s="1337"/>
      <c r="AD345" s="1337"/>
      <c r="AE345" s="1337"/>
    </row>
    <row r="346" spans="1:66" ht="13.05" customHeight="1">
      <c r="B346" s="4"/>
      <c r="C346" s="4"/>
      <c r="D346" s="4"/>
      <c r="E346" s="4"/>
      <c r="F346" s="4"/>
      <c r="G346" s="4"/>
      <c r="H346" s="324"/>
      <c r="I346" s="4" t="s">
        <v>89</v>
      </c>
      <c r="P346" s="1408"/>
      <c r="Q346" s="1408"/>
      <c r="R346" s="1408"/>
      <c r="S346" s="1408"/>
      <c r="T346" s="1408"/>
      <c r="U346" s="1408"/>
      <c r="V346" s="1408"/>
      <c r="W346" s="1408"/>
      <c r="X346" s="1408"/>
      <c r="Y346" s="1408"/>
      <c r="Z346" s="1408"/>
      <c r="AA346" s="4" t="s">
        <v>207</v>
      </c>
      <c r="AB346" s="4"/>
      <c r="AC346" s="1436"/>
      <c r="AD346" s="1436"/>
      <c r="AE346" s="1436"/>
      <c r="AF346" s="324"/>
      <c r="AG346" s="4"/>
      <c r="AH346" s="4"/>
      <c r="AI346" s="4"/>
      <c r="AJ346" s="4"/>
      <c r="AK346" s="4"/>
    </row>
    <row r="347" spans="1:66" ht="13.05" customHeight="1">
      <c r="B347" s="4"/>
      <c r="C347" s="4"/>
      <c r="D347" s="4"/>
      <c r="E347" s="4"/>
      <c r="F347" s="4"/>
      <c r="G347" s="4"/>
      <c r="H347" s="324"/>
      <c r="I347" s="4" t="s">
        <v>90</v>
      </c>
      <c r="P347" s="1408"/>
      <c r="Q347" s="1408"/>
      <c r="R347" s="1408"/>
      <c r="S347" s="1408"/>
      <c r="T347" s="1408"/>
      <c r="U347" s="1408"/>
      <c r="V347" s="1408"/>
      <c r="W347" s="1408"/>
      <c r="X347" s="1408"/>
      <c r="Y347" s="1408"/>
      <c r="Z347" s="1408"/>
      <c r="AF347" s="324"/>
      <c r="AG347" s="4"/>
      <c r="AH347" s="4"/>
      <c r="AI347" s="35"/>
      <c r="AJ347" s="35"/>
      <c r="AK347" s="35"/>
    </row>
    <row r="348" spans="1:66" ht="13.05" customHeight="1">
      <c r="B348" s="4"/>
      <c r="C348" s="4"/>
      <c r="D348" s="4"/>
      <c r="E348" s="4"/>
      <c r="F348" s="4"/>
      <c r="G348" s="4"/>
      <c r="I348" s="4" t="s">
        <v>77</v>
      </c>
      <c r="P348" s="1365"/>
      <c r="Q348" s="1365"/>
      <c r="R348" s="1365"/>
      <c r="S348" s="1365"/>
      <c r="T348" s="1365"/>
      <c r="U348" s="1365"/>
      <c r="V348" s="1365"/>
      <c r="W348" s="1365"/>
      <c r="X348" s="1365"/>
      <c r="Y348" s="1365"/>
      <c r="Z348" s="1365"/>
      <c r="AA348" s="1365"/>
      <c r="AB348" s="1365"/>
      <c r="AC348" s="1365"/>
      <c r="AD348" s="1365"/>
      <c r="AE348" s="1365"/>
    </row>
    <row r="349" spans="1:66" ht="13.05" customHeight="1">
      <c r="T349" s="8"/>
      <c r="U349" s="8"/>
      <c r="V349" s="8"/>
      <c r="W349" s="8"/>
      <c r="X349" s="8"/>
      <c r="Y349" s="8"/>
      <c r="Z349" s="8"/>
    </row>
    <row r="350" spans="1:66" ht="13.05" customHeight="1">
      <c r="A350" s="1413" t="s">
        <v>551</v>
      </c>
      <c r="B350" s="1413"/>
      <c r="C350" s="1413"/>
      <c r="D350" s="1413"/>
      <c r="E350" s="1413"/>
      <c r="F350" s="1413"/>
      <c r="G350" s="1413"/>
      <c r="H350" s="1413"/>
      <c r="I350" s="1413"/>
      <c r="J350" s="1413"/>
      <c r="K350" s="1413"/>
      <c r="L350" s="1413"/>
      <c r="M350" s="1413"/>
      <c r="N350" s="1413"/>
      <c r="O350" s="1413"/>
      <c r="P350" s="1413"/>
      <c r="Q350" s="1413"/>
      <c r="R350" s="1413"/>
      <c r="S350" s="1413"/>
      <c r="T350" s="1413"/>
      <c r="U350" s="1413"/>
      <c r="V350" s="1413"/>
      <c r="W350" s="1413"/>
      <c r="X350" s="1413"/>
      <c r="Y350" s="1413"/>
      <c r="Z350" s="1413"/>
      <c r="AA350" s="1413"/>
      <c r="AB350" s="1413"/>
      <c r="AC350" s="1413"/>
      <c r="AD350" s="1413"/>
      <c r="AE350" s="1413"/>
      <c r="AF350" s="1413"/>
      <c r="AG350" s="1413"/>
      <c r="AH350" s="1413"/>
      <c r="AI350" s="1413"/>
      <c r="AJ350" s="1413"/>
      <c r="AK350" s="1413"/>
      <c r="AL350" s="1413"/>
      <c r="AM350" s="95"/>
      <c r="AN350" s="95"/>
      <c r="AO350" s="95"/>
      <c r="AP350" s="95"/>
      <c r="AQ350" s="95"/>
      <c r="AR350" s="95"/>
      <c r="AS350" s="95"/>
      <c r="AT350" s="95"/>
      <c r="AU350" s="95"/>
      <c r="AV350" s="95"/>
      <c r="AW350" s="95"/>
      <c r="AX350" s="95"/>
      <c r="AY350" s="95"/>
    </row>
    <row r="351" spans="1:66" ht="13.05" customHeight="1" thickBot="1">
      <c r="A351" s="1414"/>
      <c r="B351" s="1414"/>
      <c r="C351" s="1414"/>
      <c r="D351" s="1414"/>
      <c r="E351" s="1414"/>
      <c r="F351" s="1414"/>
      <c r="G351" s="1414"/>
      <c r="H351" s="1414"/>
      <c r="I351" s="1414"/>
      <c r="J351" s="1414"/>
      <c r="K351" s="1414"/>
      <c r="L351" s="1414"/>
      <c r="M351" s="1414"/>
      <c r="N351" s="1414"/>
      <c r="O351" s="1414"/>
      <c r="P351" s="1414"/>
      <c r="Q351" s="1414"/>
      <c r="R351" s="1414"/>
      <c r="S351" s="1414"/>
      <c r="T351" s="1414"/>
      <c r="U351" s="1414"/>
      <c r="V351" s="1414"/>
      <c r="W351" s="1414"/>
      <c r="X351" s="1414"/>
      <c r="Y351" s="1414"/>
      <c r="Z351" s="1414"/>
      <c r="AA351" s="1414"/>
      <c r="AB351" s="1414"/>
      <c r="AC351" s="1414"/>
      <c r="AD351" s="1414"/>
      <c r="AE351" s="1414"/>
      <c r="AF351" s="1414"/>
      <c r="AG351" s="1414"/>
      <c r="AH351" s="1414"/>
      <c r="AI351" s="1414"/>
      <c r="AJ351" s="1414"/>
      <c r="AK351" s="1414"/>
      <c r="AL351" s="1414"/>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320</v>
      </c>
      <c r="B353" s="2"/>
      <c r="C353" s="2" t="s">
        <v>806</v>
      </c>
    </row>
    <row r="354" spans="1:37" ht="13.05" customHeight="1">
      <c r="D354" s="3" t="s">
        <v>2520</v>
      </c>
      <c r="M354" s="1344" t="s">
        <v>600</v>
      </c>
      <c r="N354" s="1344"/>
      <c r="P354" t="s">
        <v>1831</v>
      </c>
      <c r="AJ354" s="1344" t="s">
        <v>678</v>
      </c>
      <c r="AK354" s="1344"/>
    </row>
    <row r="355" spans="1:37" ht="13.05" customHeight="1">
      <c r="D355" s="3" t="s">
        <v>1820</v>
      </c>
      <c r="M355" s="1344" t="s">
        <v>600</v>
      </c>
      <c r="N355" s="1344"/>
      <c r="P355" s="3" t="s">
        <v>1980</v>
      </c>
      <c r="AJ355" s="1401">
        <v>0</v>
      </c>
      <c r="AK355" s="1401"/>
    </row>
    <row r="356" spans="1:37" ht="13.05" customHeight="1">
      <c r="D356" s="3" t="s">
        <v>716</v>
      </c>
      <c r="M356" s="1344" t="s">
        <v>600</v>
      </c>
      <c r="N356" s="1344"/>
      <c r="P356" t="s">
        <v>1830</v>
      </c>
      <c r="AJ356" s="1344" t="s">
        <v>554</v>
      </c>
      <c r="AK356" s="1344"/>
    </row>
    <row r="357" spans="1:37" ht="13.05" customHeight="1">
      <c r="D357" s="3" t="s">
        <v>717</v>
      </c>
      <c r="M357" s="1344" t="s">
        <v>554</v>
      </c>
      <c r="N357" s="1344"/>
      <c r="Q357" s="4"/>
    </row>
    <row r="358" spans="1:37" ht="13.05" customHeight="1">
      <c r="Q358" s="4"/>
    </row>
    <row r="359" spans="1:37" ht="13.05" customHeight="1">
      <c r="Q359" s="4"/>
    </row>
    <row r="360" spans="1:37" ht="13.05" customHeight="1">
      <c r="A360" s="2" t="s">
        <v>585</v>
      </c>
      <c r="B360" s="2"/>
      <c r="C360" s="2" t="s">
        <v>561</v>
      </c>
      <c r="D360" s="2"/>
    </row>
    <row r="361" spans="1:37" ht="13.0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186</v>
      </c>
      <c r="E362" s="40"/>
      <c r="F362" s="40"/>
      <c r="G362" s="40"/>
      <c r="H362" s="40"/>
      <c r="I362" s="40"/>
      <c r="J362" s="40"/>
      <c r="K362" s="40"/>
      <c r="L362" s="40"/>
      <c r="M362" s="40"/>
      <c r="N362" s="1344" t="s">
        <v>554</v>
      </c>
      <c r="O362" s="1344"/>
      <c r="P362" s="40"/>
      <c r="Q362" s="40"/>
      <c r="R362" s="40"/>
      <c r="S362" s="40"/>
      <c r="T362" s="40"/>
      <c r="U362" s="40"/>
      <c r="V362" s="40"/>
      <c r="W362" s="40"/>
      <c r="X362" s="40"/>
      <c r="Y362" s="40"/>
      <c r="Z362" s="40"/>
      <c r="AC362" s="40"/>
      <c r="AD362" s="40"/>
      <c r="AE362" s="40"/>
    </row>
    <row r="363" spans="1:37" ht="13.05" customHeight="1">
      <c r="E363" t="s">
        <v>371</v>
      </c>
      <c r="Y363" s="1344" t="s">
        <v>600</v>
      </c>
      <c r="Z363" s="1344"/>
    </row>
    <row r="364" spans="1:37" ht="13.05" customHeight="1">
      <c r="D364" s="4" t="s">
        <v>1018</v>
      </c>
      <c r="Q364" s="1365" t="s">
        <v>2673</v>
      </c>
      <c r="R364" s="1365"/>
      <c r="S364" s="1365"/>
      <c r="T364" s="1365"/>
      <c r="U364" s="1365"/>
      <c r="V364" s="1365"/>
      <c r="W364" s="1365"/>
      <c r="X364" s="1365"/>
      <c r="Y364" s="1365"/>
      <c r="Z364" s="1365"/>
      <c r="AA364" s="1365"/>
      <c r="AB364" s="1365"/>
      <c r="AC364" s="1365"/>
      <c r="AD364" s="1365"/>
      <c r="AE364" s="1365"/>
      <c r="AF364" s="1365"/>
      <c r="AG364" s="1365"/>
    </row>
    <row r="365" spans="1:37" ht="13.0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189</v>
      </c>
      <c r="E366" s="40"/>
      <c r="F366" s="40"/>
      <c r="G366" s="40"/>
      <c r="H366" s="40"/>
      <c r="I366" s="40"/>
      <c r="J366" s="1344" t="s">
        <v>554</v>
      </c>
      <c r="K366" s="1344"/>
      <c r="L366" s="40"/>
      <c r="M366" s="40"/>
      <c r="N366" s="40"/>
      <c r="O366" s="40"/>
      <c r="P366" s="40"/>
      <c r="Q366" s="40"/>
      <c r="R366" s="40"/>
      <c r="S366" s="40"/>
      <c r="T366" s="40"/>
      <c r="U366" s="40"/>
      <c r="V366" s="40"/>
      <c r="W366" s="40"/>
      <c r="X366" s="40"/>
      <c r="Y366" s="40"/>
      <c r="Z366" s="40"/>
      <c r="AC366" s="40"/>
      <c r="AD366" s="40"/>
      <c r="AE366" s="40"/>
    </row>
    <row r="367" spans="1:37" ht="13.05" customHeight="1">
      <c r="E367" s="1566" t="s">
        <v>718</v>
      </c>
      <c r="F367" s="1566"/>
      <c r="G367" s="1566"/>
      <c r="H367" s="1566"/>
      <c r="I367" s="1566"/>
      <c r="J367" s="1566"/>
      <c r="K367" s="1566"/>
      <c r="L367" s="1566"/>
      <c r="M367" s="1566"/>
      <c r="N367" s="1566"/>
      <c r="O367" s="1566"/>
      <c r="P367" s="1566"/>
      <c r="Q367" s="1566"/>
      <c r="R367" s="1566"/>
      <c r="S367" s="1566"/>
      <c r="T367" s="1566"/>
      <c r="U367" s="1566"/>
      <c r="V367" s="1566"/>
      <c r="W367" s="1566"/>
      <c r="X367" s="1566"/>
      <c r="Y367" s="1566"/>
      <c r="Z367" s="1566"/>
      <c r="AA367" s="1566"/>
      <c r="AB367" s="1566"/>
      <c r="AC367" s="1566"/>
      <c r="AD367" s="1566"/>
      <c r="AE367" s="1566"/>
      <c r="AF367" s="1566"/>
      <c r="AG367" s="1566"/>
      <c r="AH367" s="1566"/>
    </row>
    <row r="368" spans="1:37" ht="13.05" customHeight="1">
      <c r="E368" s="1566"/>
      <c r="F368" s="1566"/>
      <c r="G368" s="1566"/>
      <c r="H368" s="1566"/>
      <c r="I368" s="1566"/>
      <c r="J368" s="1566"/>
      <c r="K368" s="1566"/>
      <c r="L368" s="1566"/>
      <c r="M368" s="1566"/>
      <c r="N368" s="1566"/>
      <c r="O368" s="1566"/>
      <c r="P368" s="1566"/>
      <c r="Q368" s="1566"/>
      <c r="R368" s="1566"/>
      <c r="S368" s="1566"/>
      <c r="T368" s="1566"/>
      <c r="U368" s="1566"/>
      <c r="V368" s="1566"/>
      <c r="W368" s="1566"/>
      <c r="X368" s="1566"/>
      <c r="Y368" s="1566"/>
      <c r="Z368" s="1566"/>
      <c r="AA368" s="1566"/>
      <c r="AB368" s="1566"/>
      <c r="AC368" s="1566"/>
      <c r="AD368" s="1566"/>
      <c r="AE368" s="1566"/>
      <c r="AF368" s="1566"/>
      <c r="AG368" s="1566"/>
      <c r="AH368" s="1566"/>
    </row>
    <row r="369" spans="1:36" ht="13.05" customHeight="1">
      <c r="E369" s="4" t="s">
        <v>457</v>
      </c>
      <c r="F369" s="4"/>
      <c r="G369" s="4"/>
      <c r="H369" s="4"/>
      <c r="I369" s="4"/>
      <c r="J369" s="4"/>
      <c r="K369" s="4"/>
      <c r="L369" s="4"/>
      <c r="N369" s="1512" t="s">
        <v>2674</v>
      </c>
      <c r="O369" s="1349"/>
      <c r="P369" s="1349"/>
      <c r="Q369" s="1349"/>
      <c r="R369" s="4"/>
      <c r="U369" s="4" t="s">
        <v>458</v>
      </c>
      <c r="V369" s="4"/>
      <c r="W369" s="4"/>
      <c r="X369" s="4"/>
      <c r="Y369" s="4"/>
      <c r="Z369" s="4"/>
      <c r="AA369" s="4"/>
      <c r="AB369" s="4"/>
      <c r="AC369" s="1349">
        <v>22</v>
      </c>
      <c r="AD369" s="1349"/>
      <c r="AE369" s="1349"/>
      <c r="AF369" s="1349"/>
    </row>
    <row r="370" spans="1:36" ht="13.05" customHeight="1">
      <c r="E370" s="4" t="s">
        <v>459</v>
      </c>
      <c r="F370" s="4"/>
      <c r="G370" s="4"/>
      <c r="H370" s="4"/>
      <c r="I370" s="4"/>
      <c r="J370" s="4"/>
      <c r="K370" s="4"/>
      <c r="L370" s="4"/>
      <c r="N370" s="1349">
        <v>22</v>
      </c>
      <c r="O370" s="1349"/>
      <c r="P370" s="1349"/>
      <c r="Q370" s="1349"/>
      <c r="R370" s="4"/>
      <c r="U370" s="4" t="s">
        <v>0</v>
      </c>
      <c r="V370" s="4"/>
      <c r="W370" s="4"/>
      <c r="X370" s="4"/>
      <c r="Y370" s="4"/>
      <c r="Z370" s="4"/>
      <c r="AA370" s="4"/>
      <c r="AB370" s="4"/>
      <c r="AC370" s="1349">
        <v>206</v>
      </c>
      <c r="AD370" s="1349"/>
      <c r="AE370" s="1349"/>
      <c r="AF370" s="1349"/>
    </row>
    <row r="371" spans="1:36" ht="13.05" customHeight="1">
      <c r="E371" s="4" t="s">
        <v>1</v>
      </c>
      <c r="F371" s="4"/>
      <c r="G371" s="4"/>
      <c r="H371" s="4"/>
      <c r="I371" s="4"/>
      <c r="J371" s="4"/>
      <c r="K371" s="4"/>
      <c r="L371" s="4"/>
      <c r="N371" s="1349">
        <v>1</v>
      </c>
      <c r="O371" s="1349"/>
      <c r="P371" s="1349"/>
      <c r="Q371" s="1349"/>
      <c r="R371" s="4"/>
      <c r="V371" s="4"/>
      <c r="W371" s="4"/>
      <c r="X371" s="4"/>
      <c r="Y371" s="4"/>
      <c r="Z371" s="4"/>
      <c r="AA371" s="4"/>
      <c r="AB371" s="4"/>
    </row>
    <row r="372" spans="1:36" ht="13.05" customHeight="1">
      <c r="E372" s="4" t="s">
        <v>2</v>
      </c>
      <c r="F372" s="4"/>
      <c r="G372" s="4"/>
      <c r="H372" s="4"/>
      <c r="I372" s="4"/>
      <c r="J372" s="4"/>
      <c r="K372" s="4"/>
      <c r="L372" s="4"/>
      <c r="N372" s="1409" t="s">
        <v>2675</v>
      </c>
      <c r="O372" s="1410"/>
      <c r="P372" s="1410"/>
      <c r="Q372" s="1410"/>
      <c r="R372" s="1410"/>
      <c r="S372" s="1410"/>
      <c r="T372" s="1410"/>
      <c r="U372" s="1410"/>
      <c r="V372" s="1410"/>
      <c r="W372" s="1410"/>
      <c r="X372" s="1410"/>
      <c r="Y372" s="1410"/>
      <c r="Z372" s="1410"/>
      <c r="AA372" s="1410"/>
      <c r="AB372" s="1410"/>
      <c r="AC372" s="1410"/>
      <c r="AD372" s="1410"/>
      <c r="AE372" s="1410"/>
      <c r="AF372" s="1410"/>
    </row>
    <row r="373" spans="1:36" ht="13.05" customHeight="1">
      <c r="E373" s="4"/>
      <c r="F373" s="4"/>
      <c r="G373" s="4"/>
      <c r="H373" s="4"/>
      <c r="I373" s="4"/>
      <c r="J373" s="4"/>
      <c r="K373" s="4"/>
      <c r="L373" s="4"/>
      <c r="N373" s="1411"/>
      <c r="O373" s="1411"/>
      <c r="P373" s="1411"/>
      <c r="Q373" s="1411"/>
      <c r="R373" s="1411"/>
      <c r="S373" s="1411"/>
      <c r="T373" s="1411"/>
      <c r="U373" s="1411"/>
      <c r="V373" s="1411"/>
      <c r="W373" s="1411"/>
      <c r="X373" s="1411"/>
      <c r="Y373" s="1411"/>
      <c r="Z373" s="1411"/>
      <c r="AA373" s="1411"/>
      <c r="AB373" s="1411"/>
      <c r="AC373" s="1411"/>
      <c r="AD373" s="1411"/>
      <c r="AE373" s="1411"/>
      <c r="AF373" s="1411"/>
    </row>
    <row r="374" spans="1:36" ht="13.05" customHeight="1">
      <c r="C374" s="547"/>
      <c r="E374" s="4"/>
      <c r="F374" s="4"/>
      <c r="G374" s="4"/>
      <c r="H374" s="4"/>
      <c r="I374" s="4"/>
      <c r="J374" s="4"/>
      <c r="K374" s="4"/>
      <c r="L374" s="4"/>
    </row>
    <row r="375" spans="1:36" ht="13.05" customHeight="1">
      <c r="D375" s="2" t="s">
        <v>1015</v>
      </c>
      <c r="E375" s="2"/>
      <c r="F375" s="4"/>
      <c r="G375" s="4"/>
      <c r="H375" s="4"/>
      <c r="I375" s="4"/>
      <c r="J375" s="4"/>
      <c r="K375" s="4"/>
      <c r="L375" s="4"/>
    </row>
    <row r="376" spans="1:36" ht="13.05" customHeight="1">
      <c r="E376" s="4" t="s">
        <v>2503</v>
      </c>
      <c r="F376" s="4"/>
      <c r="G376" s="4"/>
      <c r="H376" s="4"/>
      <c r="I376" s="4"/>
      <c r="J376" s="4"/>
      <c r="K376" s="4"/>
      <c r="L376" s="4"/>
      <c r="N376" t="s">
        <v>2497</v>
      </c>
      <c r="R376" s="27" t="s">
        <v>306</v>
      </c>
      <c r="S376" s="1415">
        <v>98</v>
      </c>
      <c r="T376" s="1415"/>
      <c r="U376" s="1" t="s">
        <v>307</v>
      </c>
      <c r="V376" s="1415">
        <v>933</v>
      </c>
      <c r="W376" s="1415"/>
      <c r="Y376" t="s">
        <v>2497</v>
      </c>
      <c r="AC376" s="27" t="s">
        <v>306</v>
      </c>
      <c r="AD376" s="1415"/>
      <c r="AE376" s="1415"/>
      <c r="AF376" s="1" t="s">
        <v>307</v>
      </c>
      <c r="AG376" s="1415"/>
      <c r="AH376" s="1415"/>
    </row>
    <row r="377" spans="1:36" ht="13.05" customHeight="1">
      <c r="E377" s="4" t="s">
        <v>1044</v>
      </c>
      <c r="F377" s="4"/>
      <c r="G377" s="4"/>
      <c r="H377" s="4"/>
      <c r="I377" s="4"/>
      <c r="J377" s="4"/>
      <c r="K377" s="4"/>
      <c r="L377" s="4"/>
      <c r="N377" s="1415">
        <v>1998</v>
      </c>
      <c r="O377" s="1415"/>
      <c r="P377" s="1415"/>
    </row>
    <row r="378" spans="1:36" ht="13.05" customHeight="1">
      <c r="E378" s="218" t="s">
        <v>2504</v>
      </c>
      <c r="F378" s="4"/>
      <c r="G378" s="4"/>
      <c r="H378" s="4"/>
      <c r="I378" s="4"/>
      <c r="J378" s="4"/>
      <c r="K378" s="4"/>
      <c r="L378" s="4"/>
      <c r="AG378" s="1442" t="s">
        <v>678</v>
      </c>
      <c r="AH378" s="1442"/>
    </row>
    <row r="379" spans="1:36" ht="13.05" customHeight="1">
      <c r="E379" s="4"/>
      <c r="F379" s="4"/>
      <c r="G379" s="4" t="s">
        <v>2505</v>
      </c>
      <c r="H379" s="4"/>
      <c r="I379" s="4"/>
      <c r="J379" s="4"/>
      <c r="K379" s="4"/>
      <c r="L379" s="4"/>
      <c r="AG379" s="1442" t="s">
        <v>678</v>
      </c>
      <c r="AH379" s="1442"/>
    </row>
    <row r="380" spans="1:36" ht="13.05" customHeight="1">
      <c r="E380" s="4"/>
      <c r="F380" s="4"/>
      <c r="G380" s="349" t="s">
        <v>1045</v>
      </c>
      <c r="H380" s="4"/>
      <c r="I380" s="4"/>
      <c r="J380" s="4"/>
      <c r="K380" s="4"/>
      <c r="L380" s="4"/>
      <c r="V380" s="1344" t="s">
        <v>600</v>
      </c>
      <c r="W380" s="1344"/>
      <c r="Y380" s="22" t="s">
        <v>1020</v>
      </c>
    </row>
    <row r="381" spans="1:36" ht="13.05" customHeight="1">
      <c r="E381" s="4" t="s">
        <v>1021</v>
      </c>
      <c r="F381" s="4"/>
      <c r="G381" s="4"/>
      <c r="H381" s="4"/>
      <c r="I381" s="4"/>
      <c r="J381" s="4"/>
      <c r="K381" s="4"/>
      <c r="L381" s="4"/>
      <c r="V381" s="1344" t="s">
        <v>600</v>
      </c>
      <c r="W381" s="1344"/>
      <c r="Y381" s="4" t="s">
        <v>1022</v>
      </c>
    </row>
    <row r="382" spans="1:36" ht="13.05" customHeight="1"/>
    <row r="383" spans="1:36" ht="13.05" customHeight="1">
      <c r="A383" s="2" t="s">
        <v>79</v>
      </c>
      <c r="B383" s="2"/>
    </row>
    <row r="384" spans="1:36" ht="13.05" customHeight="1">
      <c r="D384" t="s">
        <v>429</v>
      </c>
      <c r="J384" s="1508" t="s">
        <v>2726</v>
      </c>
      <c r="K384" s="1365"/>
      <c r="L384" s="1365"/>
      <c r="M384" s="1365"/>
      <c r="N384" s="1365"/>
      <c r="O384" s="1365"/>
      <c r="P384" s="1365"/>
      <c r="Q384" s="1365"/>
      <c r="R384" s="1365"/>
      <c r="S384" s="1365"/>
      <c r="T384" s="1365"/>
      <c r="U384" s="1365"/>
      <c r="V384" s="8" t="s">
        <v>84</v>
      </c>
      <c r="W384" s="8"/>
      <c r="X384" s="8"/>
      <c r="Y384" s="8"/>
      <c r="Z384" s="8"/>
      <c r="AA384" s="8"/>
      <c r="AB384" s="8"/>
      <c r="AC384" s="1365" t="s">
        <v>2701</v>
      </c>
      <c r="AD384" s="1365"/>
      <c r="AE384" s="1365"/>
      <c r="AF384" s="1365"/>
      <c r="AG384" s="1365"/>
      <c r="AH384" s="1365"/>
      <c r="AI384" s="1365"/>
      <c r="AJ384" s="1365"/>
    </row>
    <row r="385" spans="4:36" ht="13.05" customHeight="1">
      <c r="D385" s="3" t="s">
        <v>1325</v>
      </c>
      <c r="J385" s="1337" t="s">
        <v>2751</v>
      </c>
      <c r="K385" s="1337"/>
      <c r="L385" s="1337"/>
      <c r="M385" s="1337"/>
      <c r="N385" s="1337"/>
      <c r="O385" s="1337"/>
      <c r="P385" s="1337"/>
      <c r="Q385" s="1337"/>
      <c r="R385" s="1337"/>
      <c r="S385" s="1337"/>
      <c r="T385" s="1337"/>
      <c r="U385" s="1337"/>
      <c r="V385" s="3" t="s">
        <v>1325</v>
      </c>
      <c r="W385" s="8"/>
      <c r="X385" s="8"/>
      <c r="Y385" s="8"/>
      <c r="Z385" s="8"/>
      <c r="AA385" s="8"/>
      <c r="AB385" s="8"/>
      <c r="AC385" s="1365"/>
      <c r="AD385" s="1365"/>
      <c r="AE385" s="1365"/>
      <c r="AF385" s="1365"/>
      <c r="AG385" s="1365"/>
      <c r="AH385" s="1365"/>
      <c r="AI385" s="1365"/>
      <c r="AJ385" s="1365"/>
    </row>
    <row r="386" spans="4:36" ht="13.05" customHeight="1">
      <c r="D386" s="3" t="s">
        <v>444</v>
      </c>
      <c r="J386" s="1337" t="s">
        <v>2752</v>
      </c>
      <c r="K386" s="1337"/>
      <c r="L386" s="1337"/>
      <c r="M386" s="1337"/>
      <c r="N386" s="1337"/>
      <c r="O386" s="1337"/>
      <c r="P386" s="1337"/>
      <c r="Q386" s="1337"/>
      <c r="R386" s="1337"/>
      <c r="S386" s="1337"/>
      <c r="T386" s="1337"/>
      <c r="U386" s="1337"/>
      <c r="V386" s="3" t="s">
        <v>444</v>
      </c>
      <c r="W386" s="8"/>
      <c r="X386" s="8"/>
      <c r="Y386" s="8"/>
      <c r="Z386" s="8"/>
      <c r="AA386" s="8"/>
      <c r="AB386" s="8"/>
      <c r="AC386" s="1365"/>
      <c r="AD386" s="1365"/>
      <c r="AE386" s="1365"/>
      <c r="AF386" s="1365"/>
      <c r="AG386" s="1365"/>
      <c r="AH386" s="1365"/>
      <c r="AI386" s="1365"/>
      <c r="AJ386" s="1365"/>
    </row>
    <row r="387" spans="4:36" ht="13.05" customHeight="1">
      <c r="D387" t="s">
        <v>1321</v>
      </c>
      <c r="J387" s="1326" t="s">
        <v>2727</v>
      </c>
      <c r="K387" s="1326"/>
      <c r="L387" s="1326"/>
      <c r="M387" s="1326"/>
      <c r="N387" s="1326"/>
      <c r="O387" s="1326"/>
      <c r="P387" s="1326"/>
      <c r="Q387" s="1326"/>
      <c r="R387" s="1326"/>
      <c r="S387" s="1326"/>
      <c r="T387" s="1326"/>
      <c r="U387" s="1326"/>
      <c r="V387" s="1365"/>
      <c r="W387" s="1365"/>
      <c r="X387" s="1365"/>
      <c r="Y387" s="1365"/>
      <c r="Z387" s="1365"/>
      <c r="AA387" s="1365"/>
      <c r="AB387" s="1365"/>
      <c r="AC387" s="1365"/>
      <c r="AD387" s="1365"/>
      <c r="AE387" s="1365"/>
      <c r="AF387" s="1365"/>
      <c r="AG387" s="1365"/>
      <c r="AH387" s="1365"/>
      <c r="AI387" s="1365"/>
      <c r="AJ387" s="1365"/>
    </row>
    <row r="388" spans="4:36" ht="13.05" customHeight="1">
      <c r="D388" t="s">
        <v>4</v>
      </c>
      <c r="Q388" s="1723">
        <v>45165</v>
      </c>
      <c r="R388" s="1723"/>
      <c r="S388" s="1723"/>
      <c r="T388" s="1723"/>
      <c r="U388" s="1723"/>
      <c r="V388" t="s">
        <v>310</v>
      </c>
      <c r="AI388" s="1344" t="s">
        <v>678</v>
      </c>
      <c r="AJ388" s="1344"/>
    </row>
    <row r="389" spans="4:36" ht="13.05" customHeight="1">
      <c r="D389" t="s">
        <v>5</v>
      </c>
      <c r="Q389" s="1564"/>
      <c r="R389" s="1565"/>
      <c r="S389" s="1565"/>
      <c r="T389" s="1565"/>
      <c r="U389" s="1565"/>
      <c r="W389" s="21" t="s">
        <v>75</v>
      </c>
      <c r="AG389" s="1407"/>
      <c r="AH389" s="1407"/>
      <c r="AI389" s="1407"/>
      <c r="AJ389" s="1407"/>
    </row>
    <row r="390" spans="4:36" ht="13.05" customHeight="1">
      <c r="D390" t="s">
        <v>428</v>
      </c>
      <c r="Q390" s="1563">
        <v>40000000</v>
      </c>
      <c r="R390" s="1563"/>
      <c r="S390" s="1563"/>
      <c r="T390" s="1563"/>
      <c r="U390" s="1563"/>
      <c r="V390" s="3" t="s">
        <v>1324</v>
      </c>
      <c r="AG390" s="1418">
        <v>45383</v>
      </c>
      <c r="AH390" s="1418"/>
      <c r="AI390" s="1418"/>
      <c r="AJ390" s="1418"/>
    </row>
    <row r="391" spans="4:36" ht="13.05" customHeight="1">
      <c r="D391" t="s">
        <v>89</v>
      </c>
      <c r="I391" s="1438" t="s">
        <v>2728</v>
      </c>
      <c r="J391" s="1511"/>
      <c r="K391" s="1511"/>
      <c r="L391" s="1511"/>
      <c r="M391" s="1511"/>
      <c r="N391" s="1511"/>
      <c r="Q391" s="4" t="s">
        <v>207</v>
      </c>
      <c r="S391" s="1568"/>
      <c r="T391" s="1568"/>
      <c r="U391" s="1568"/>
      <c r="V391" t="s">
        <v>74</v>
      </c>
      <c r="AI391" s="1344" t="s">
        <v>678</v>
      </c>
      <c r="AJ391" s="1344"/>
    </row>
    <row r="392" spans="4:36" ht="13.05" customHeight="1">
      <c r="D392" t="s">
        <v>311</v>
      </c>
      <c r="Q392" s="1412">
        <v>0</v>
      </c>
      <c r="R392" s="1412"/>
      <c r="S392" s="1412"/>
      <c r="T392" s="1412"/>
      <c r="U392" s="1412"/>
      <c r="V392" t="s">
        <v>312</v>
      </c>
      <c r="AG392" s="1407">
        <v>0</v>
      </c>
      <c r="AH392" s="1407"/>
      <c r="AI392" s="1407"/>
      <c r="AJ392" s="1407"/>
    </row>
    <row r="393" spans="4:36" ht="13.05" customHeight="1">
      <c r="D393" t="s">
        <v>313</v>
      </c>
      <c r="Q393" s="1680"/>
      <c r="R393" s="1680"/>
      <c r="S393" s="1680"/>
      <c r="T393" s="1680"/>
      <c r="U393" s="1680"/>
      <c r="V393" t="s">
        <v>1305</v>
      </c>
      <c r="AG393" s="1407">
        <v>0</v>
      </c>
      <c r="AH393" s="1407"/>
      <c r="AI393" s="1407"/>
      <c r="AJ393" s="1407"/>
    </row>
    <row r="394" spans="4:36" ht="13.05" customHeight="1">
      <c r="D394" t="s">
        <v>1304</v>
      </c>
      <c r="AG394" s="1407">
        <v>0</v>
      </c>
      <c r="AH394" s="1407"/>
      <c r="AI394" s="1407"/>
      <c r="AJ394" s="1407"/>
    </row>
    <row r="395" spans="4:36" ht="13.05" customHeight="1">
      <c r="AG395" s="491"/>
      <c r="AH395" s="491"/>
      <c r="AI395" s="491"/>
      <c r="AJ395" s="491"/>
    </row>
    <row r="396" spans="4:36" ht="13.05" customHeight="1">
      <c r="D396" s="3" t="s">
        <v>2615</v>
      </c>
      <c r="AG396" s="491"/>
      <c r="AH396" s="491"/>
      <c r="AI396" s="1344" t="s">
        <v>678</v>
      </c>
      <c r="AJ396" s="1344"/>
    </row>
    <row r="397" spans="4:36" ht="13.05" customHeight="1">
      <c r="D397" s="3" t="s">
        <v>1849</v>
      </c>
      <c r="T397" s="1379" t="s">
        <v>600</v>
      </c>
      <c r="U397" s="1379"/>
      <c r="V397" s="1379"/>
      <c r="W397" s="1379"/>
      <c r="X397" s="1379"/>
      <c r="Y397" s="1379"/>
      <c r="Z397" s="1379"/>
      <c r="AA397" s="1379"/>
      <c r="AB397" s="1379"/>
      <c r="AC397" s="1379"/>
      <c r="AD397" s="1379"/>
      <c r="AE397" s="1379"/>
      <c r="AF397" s="1379"/>
      <c r="AG397" s="1379"/>
      <c r="AH397" s="1379"/>
      <c r="AI397" s="1379"/>
      <c r="AJ397" s="1379"/>
    </row>
    <row r="398" spans="4:36" ht="13.05" customHeight="1">
      <c r="D398" s="3" t="s">
        <v>1848</v>
      </c>
      <c r="T398" s="1379" t="s">
        <v>600</v>
      </c>
      <c r="U398" s="1379"/>
      <c r="V398" s="1379"/>
      <c r="W398" s="1379"/>
      <c r="X398" s="1379"/>
      <c r="Y398" s="1379"/>
      <c r="Z398" s="1379"/>
      <c r="AA398" s="1379"/>
      <c r="AB398" s="1379"/>
      <c r="AC398" s="1379"/>
      <c r="AD398" s="1379"/>
      <c r="AE398" s="1379"/>
      <c r="AF398" s="1379"/>
      <c r="AG398" s="1379"/>
      <c r="AH398" s="1379"/>
      <c r="AI398" s="1379"/>
      <c r="AJ398" s="1379"/>
    </row>
    <row r="399" spans="4:36" ht="13.05" customHeight="1">
      <c r="AG399" s="491"/>
      <c r="AH399" s="491"/>
      <c r="AI399" s="491"/>
      <c r="AJ399" s="491"/>
    </row>
    <row r="400" spans="4:36" ht="13.05" customHeight="1">
      <c r="D400" s="3" t="s">
        <v>1842</v>
      </c>
      <c r="S400" s="1379" t="s">
        <v>678</v>
      </c>
      <c r="T400" s="1379"/>
      <c r="U400" s="1379"/>
      <c r="V400" t="s">
        <v>1843</v>
      </c>
      <c r="AG400" s="1443"/>
      <c r="AH400" s="1443"/>
      <c r="AI400" s="1443"/>
      <c r="AJ400" s="1443"/>
    </row>
    <row r="401" spans="1:36" ht="13.05" customHeight="1">
      <c r="D401" s="3" t="s">
        <v>1840</v>
      </c>
      <c r="S401" s="1379" t="s">
        <v>600</v>
      </c>
      <c r="T401" s="1379"/>
      <c r="U401" s="1379"/>
      <c r="V401" t="s">
        <v>1845</v>
      </c>
      <c r="AE401" s="1444"/>
      <c r="AF401" s="1444"/>
      <c r="AG401" s="1444"/>
      <c r="AH401" s="1444"/>
      <c r="AI401" s="1444"/>
      <c r="AJ401" s="1444"/>
    </row>
    <row r="402" spans="1:36" ht="13.05" customHeight="1">
      <c r="D402" s="3" t="s">
        <v>1841</v>
      </c>
      <c r="K402" s="1428" t="s">
        <v>2729</v>
      </c>
      <c r="L402" s="1428"/>
      <c r="M402" s="1428"/>
      <c r="N402" s="1428"/>
      <c r="O402" s="1428"/>
      <c r="P402" s="1428"/>
      <c r="Q402" s="1428"/>
      <c r="R402" s="1428"/>
      <c r="S402" s="1428"/>
      <c r="T402" s="1428"/>
      <c r="U402" s="1428"/>
      <c r="V402" s="1428"/>
      <c r="W402" s="1428"/>
      <c r="X402" s="1428"/>
      <c r="Y402" s="1428"/>
      <c r="Z402" s="1428"/>
      <c r="AA402" s="1428"/>
      <c r="AB402" s="1428"/>
      <c r="AC402" s="1428"/>
      <c r="AD402" s="1428"/>
      <c r="AE402" s="1428"/>
      <c r="AF402" s="1428"/>
      <c r="AG402" s="1428"/>
      <c r="AH402" s="1428"/>
      <c r="AI402" s="1428"/>
      <c r="AJ402" s="1428"/>
    </row>
    <row r="403" spans="1:36" ht="13.05" customHeight="1">
      <c r="D403" s="3" t="s">
        <v>1844</v>
      </c>
      <c r="K403" s="1428"/>
      <c r="L403" s="1428"/>
      <c r="M403" s="1428"/>
      <c r="N403" s="1428"/>
      <c r="O403" s="1428"/>
      <c r="P403" s="1428"/>
      <c r="Q403" s="1428"/>
      <c r="R403" s="1428"/>
      <c r="S403" s="1428"/>
      <c r="T403" s="1428"/>
      <c r="U403" s="1428"/>
      <c r="V403" s="1428"/>
      <c r="W403" s="1428"/>
      <c r="X403" s="1428"/>
      <c r="Y403" s="1428"/>
      <c r="Z403" s="1428"/>
      <c r="AA403" s="1428"/>
      <c r="AB403" s="1428"/>
      <c r="AC403" s="1428"/>
      <c r="AD403" s="1428"/>
      <c r="AE403" s="1428"/>
      <c r="AF403" s="1428"/>
      <c r="AG403" s="1428"/>
      <c r="AH403" s="1428"/>
      <c r="AI403" s="1428"/>
      <c r="AJ403" s="1428"/>
    </row>
    <row r="404" spans="1:36" ht="13.05" customHeight="1">
      <c r="D404" s="3" t="s">
        <v>1847</v>
      </c>
      <c r="E404" s="512"/>
      <c r="F404" s="512"/>
      <c r="G404" s="512"/>
      <c r="H404" s="512"/>
      <c r="I404" s="512"/>
      <c r="J404" s="512"/>
      <c r="K404" s="512"/>
      <c r="L404" s="512"/>
      <c r="M404" s="512"/>
      <c r="N404" s="512"/>
      <c r="O404" s="512"/>
      <c r="P404" s="512"/>
      <c r="Q404" s="512"/>
      <c r="R404" s="512"/>
      <c r="S404" s="1507" t="s">
        <v>2730</v>
      </c>
      <c r="T404" s="1507"/>
      <c r="U404" s="1507"/>
      <c r="V404" s="1507"/>
      <c r="W404" s="1507"/>
      <c r="X404" s="1507"/>
      <c r="Y404" s="1507"/>
      <c r="Z404" s="1507"/>
      <c r="AA404" s="1507"/>
      <c r="AB404" s="1507"/>
      <c r="AC404" s="1507"/>
      <c r="AD404" s="1507"/>
      <c r="AE404" s="1507"/>
      <c r="AF404" s="1507"/>
      <c r="AG404" s="1507"/>
      <c r="AH404" s="1507"/>
      <c r="AI404" s="1507"/>
      <c r="AJ404" s="1507"/>
    </row>
    <row r="405" spans="1:36" ht="13.0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0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AG407" s="491"/>
      <c r="AH407" s="491"/>
      <c r="AI407" s="491"/>
      <c r="AJ407" s="491"/>
    </row>
    <row r="408" spans="1:36" ht="13.05" customHeight="1">
      <c r="A408" s="2" t="s">
        <v>598</v>
      </c>
      <c r="B408" s="2"/>
      <c r="C408" s="2" t="s">
        <v>112</v>
      </c>
    </row>
    <row r="409" spans="1:36" ht="13.05" customHeight="1">
      <c r="B409" s="2"/>
      <c r="C409" s="2"/>
      <c r="D409" s="2" t="s">
        <v>1347</v>
      </c>
      <c r="I409" s="1508" t="s">
        <v>2753</v>
      </c>
      <c r="J409" s="1508"/>
      <c r="K409" s="1508"/>
      <c r="L409" s="1508"/>
      <c r="M409" s="1508"/>
      <c r="N409" s="1508"/>
      <c r="O409" s="1508"/>
      <c r="P409" s="1508"/>
      <c r="Q409" s="1508"/>
      <c r="R409" s="1508"/>
      <c r="S409" s="1508"/>
      <c r="T409" s="1508"/>
      <c r="U409" s="1508"/>
      <c r="V409" s="1508"/>
      <c r="W409" s="1508"/>
      <c r="X409" s="1508"/>
      <c r="Y409" s="1508"/>
      <c r="Z409" s="1508"/>
      <c r="AA409" s="1508"/>
      <c r="AB409" s="1508"/>
      <c r="AC409" s="1508"/>
      <c r="AD409" s="1508"/>
      <c r="AE409" s="1508"/>
    </row>
    <row r="410" spans="1:36" ht="13.05" customHeight="1">
      <c r="E410" t="s">
        <v>107</v>
      </c>
      <c r="R410" s="1344" t="s">
        <v>600</v>
      </c>
      <c r="S410" s="1344"/>
      <c r="T410" t="s">
        <v>579</v>
      </c>
      <c r="AD410" s="1349">
        <v>0</v>
      </c>
      <c r="AE410" s="1349"/>
    </row>
    <row r="411" spans="1:36" ht="13.05" customHeight="1">
      <c r="E411" t="s">
        <v>108</v>
      </c>
      <c r="R411" s="1344" t="s">
        <v>600</v>
      </c>
      <c r="S411" s="1344"/>
      <c r="T411" t="s">
        <v>579</v>
      </c>
      <c r="AD411" s="1349">
        <v>0</v>
      </c>
      <c r="AE411" s="1349"/>
    </row>
    <row r="412" spans="1:36" ht="13.05" customHeight="1">
      <c r="E412" t="s">
        <v>109</v>
      </c>
      <c r="S412" s="1344" t="s">
        <v>600</v>
      </c>
      <c r="T412" s="1344"/>
    </row>
    <row r="413" spans="1:36" ht="13.05" customHeight="1">
      <c r="E413" t="s">
        <v>170</v>
      </c>
      <c r="H413" s="1678" t="s">
        <v>2731</v>
      </c>
      <c r="I413" s="1678"/>
      <c r="J413" s="1678"/>
      <c r="K413" s="1678"/>
      <c r="L413" s="1678"/>
      <c r="M413" s="1678"/>
      <c r="N413" s="1678"/>
      <c r="O413" s="1678"/>
      <c r="P413" s="1678"/>
      <c r="Q413" s="1678"/>
      <c r="R413" s="1678"/>
      <c r="S413" s="1678"/>
      <c r="T413" s="1678"/>
      <c r="U413" s="1678"/>
      <c r="V413" s="1678"/>
      <c r="W413" s="1678"/>
      <c r="X413" s="1678"/>
      <c r="Y413" s="1678"/>
      <c r="Z413" s="1678"/>
      <c r="AA413" s="1678"/>
      <c r="AB413" s="1678"/>
      <c r="AC413" s="1678"/>
      <c r="AD413" s="1678"/>
      <c r="AE413" s="1678"/>
    </row>
    <row r="414" spans="1:36" ht="13.05" customHeight="1">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row>
    <row r="415" spans="1:36" ht="13.05" customHeight="1"/>
    <row r="416" spans="1:36" ht="13.05" customHeight="1">
      <c r="A416" s="2" t="s">
        <v>599</v>
      </c>
      <c r="B416" s="2"/>
      <c r="C416" s="2"/>
      <c r="D416" s="2" t="s">
        <v>115</v>
      </c>
      <c r="AF416" s="2" t="s">
        <v>997</v>
      </c>
    </row>
    <row r="417" spans="1:39" ht="13.05" customHeight="1">
      <c r="E417" s="1415"/>
      <c r="F417" s="1415"/>
      <c r="G417" s="1415"/>
      <c r="H417" s="13" t="s">
        <v>116</v>
      </c>
      <c r="I417" s="1415"/>
      <c r="J417" s="1415"/>
      <c r="K417" s="1415"/>
      <c r="L417" t="s">
        <v>117</v>
      </c>
      <c r="N417" s="27" t="s">
        <v>584</v>
      </c>
      <c r="P417" s="1567">
        <v>9.59</v>
      </c>
      <c r="Q417" s="1567"/>
      <c r="R417" s="1567"/>
      <c r="S417" t="s">
        <v>118</v>
      </c>
      <c r="W417" s="1335">
        <f>IF(E417&gt;0,(E417*I417),(P417*43560))</f>
        <v>417740.39999999997</v>
      </c>
      <c r="X417" s="1335"/>
      <c r="Y417" s="1335"/>
      <c r="Z417" t="s">
        <v>119</v>
      </c>
      <c r="AF417" s="1506">
        <f>IF(P417&gt;0,(AG436/P417),(AG436/(W417/43560)))</f>
        <v>21.480709071949949</v>
      </c>
      <c r="AG417" s="1506"/>
      <c r="AH417" s="1506"/>
      <c r="AM417" s="3"/>
    </row>
    <row r="418" spans="1:39" ht="13.05" customHeight="1">
      <c r="E418" t="s">
        <v>51</v>
      </c>
    </row>
    <row r="419" spans="1:39" ht="13.05" customHeight="1">
      <c r="E419" s="1503"/>
      <c r="F419" s="1503"/>
      <c r="G419" s="1503"/>
      <c r="H419" s="1503"/>
      <c r="I419" s="1503"/>
      <c r="J419" s="1503"/>
      <c r="K419" s="1503"/>
      <c r="L419" s="1503"/>
      <c r="M419" s="1503"/>
      <c r="N419" s="1503"/>
      <c r="O419" s="1503"/>
      <c r="P419" s="1503"/>
      <c r="Q419" s="1503"/>
      <c r="R419" s="1503"/>
      <c r="S419" s="1503"/>
      <c r="T419" s="1503"/>
      <c r="U419" s="1503"/>
      <c r="V419" s="1503"/>
      <c r="W419" s="1503"/>
      <c r="X419" s="1503"/>
      <c r="Y419" s="1503"/>
      <c r="Z419" s="1503"/>
      <c r="AA419" s="1503"/>
      <c r="AB419" s="1503"/>
      <c r="AC419" s="1503"/>
      <c r="AD419" s="1503"/>
      <c r="AE419" s="1503"/>
      <c r="AF419" s="1503"/>
      <c r="AG419" s="1503"/>
      <c r="AH419" s="1503"/>
      <c r="AI419" s="1503"/>
      <c r="AJ419" s="1503"/>
    </row>
    <row r="420" spans="1:39" ht="13.05" customHeight="1">
      <c r="E420" s="118" t="s">
        <v>1997</v>
      </c>
      <c r="F420" s="1050"/>
      <c r="G420" s="1050"/>
      <c r="H420" s="1050"/>
      <c r="I420" s="1689">
        <v>9.59</v>
      </c>
      <c r="J420" s="1689"/>
      <c r="K420" s="1689"/>
      <c r="L420" s="1050"/>
      <c r="M420" s="118"/>
      <c r="N420" s="1050"/>
      <c r="O420" s="1050"/>
      <c r="P420" s="1713">
        <f>(CS623+CS631+CS647)/I420</f>
        <v>21.584984358706986</v>
      </c>
      <c r="Q420" s="1713"/>
      <c r="R420" s="171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601</v>
      </c>
      <c r="B422" s="2"/>
      <c r="C422" s="2"/>
      <c r="D422" s="2" t="s">
        <v>121</v>
      </c>
    </row>
    <row r="423" spans="1:39" ht="13.05" customHeight="1">
      <c r="E423" t="s">
        <v>122</v>
      </c>
      <c r="P423" s="1344">
        <v>22</v>
      </c>
      <c r="Q423" s="1344"/>
      <c r="S423" t="s">
        <v>190</v>
      </c>
      <c r="AE423" s="1344">
        <v>20</v>
      </c>
      <c r="AF423" s="1344"/>
    </row>
    <row r="424" spans="1:39" ht="13.05" customHeight="1">
      <c r="E424" t="s">
        <v>191</v>
      </c>
      <c r="P424" s="1344">
        <v>2</v>
      </c>
      <c r="Q424" s="1344"/>
      <c r="S424" t="s">
        <v>132</v>
      </c>
      <c r="AE424" s="1344" t="s">
        <v>600</v>
      </c>
      <c r="AF424" s="1344"/>
    </row>
    <row r="425" spans="1:39" ht="13.05" customHeight="1">
      <c r="F425" s="28" t="s">
        <v>133</v>
      </c>
    </row>
    <row r="426" spans="1:39" ht="13.05" customHeight="1">
      <c r="F426" s="1416"/>
      <c r="G426" s="1416"/>
      <c r="H426" s="1416"/>
      <c r="I426" s="1416"/>
      <c r="J426" s="1416"/>
      <c r="K426" s="1416"/>
      <c r="L426" s="1416"/>
      <c r="M426" s="1416"/>
      <c r="N426" s="1416"/>
      <c r="O426" s="1416"/>
      <c r="P426" s="1416"/>
      <c r="Q426" s="1416"/>
      <c r="R426" s="1416"/>
      <c r="S426" s="1416"/>
      <c r="T426" s="1416"/>
      <c r="U426" s="1416"/>
      <c r="V426" s="1416"/>
      <c r="W426" s="1416"/>
      <c r="X426" s="1416"/>
      <c r="Y426" s="1416"/>
      <c r="Z426" s="1416"/>
      <c r="AA426" s="1416"/>
      <c r="AB426" s="1416"/>
      <c r="AC426" s="1416"/>
      <c r="AD426" s="1416"/>
      <c r="AE426" s="1416"/>
      <c r="AF426" s="1416"/>
      <c r="AG426" s="1416"/>
      <c r="AH426" s="1416"/>
    </row>
    <row r="427" spans="1:39" ht="13.05" customHeight="1">
      <c r="F427" s="1417"/>
      <c r="G427" s="1417"/>
      <c r="H427" s="1417"/>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row>
    <row r="428" spans="1:39" ht="13.05" customHeight="1">
      <c r="E428" t="s">
        <v>617</v>
      </c>
      <c r="P428" s="1"/>
      <c r="Q428" s="1344" t="s">
        <v>554</v>
      </c>
      <c r="R428" s="1344"/>
    </row>
    <row r="429" spans="1:39" ht="13.05" customHeight="1">
      <c r="F429" t="s">
        <v>618</v>
      </c>
      <c r="P429" s="1"/>
      <c r="Q429" s="1"/>
      <c r="AF429" s="1344" t="s">
        <v>600</v>
      </c>
      <c r="AG429" s="1543"/>
    </row>
    <row r="430" spans="1:39" ht="13.05" customHeight="1"/>
    <row r="431" spans="1:39" ht="13.05" customHeight="1">
      <c r="A431" s="2"/>
      <c r="B431" s="2"/>
      <c r="C431" s="2"/>
      <c r="E431" s="4" t="s">
        <v>309</v>
      </c>
      <c r="Z431" s="1344" t="s">
        <v>678</v>
      </c>
      <c r="AA431" s="1344"/>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719</v>
      </c>
      <c r="G433" s="40"/>
      <c r="I433" s="40"/>
      <c r="J433" s="40"/>
      <c r="K433" s="40"/>
      <c r="L433" s="40"/>
      <c r="M433" s="40"/>
      <c r="N433" s="40"/>
      <c r="O433" s="28"/>
      <c r="P433" s="40"/>
      <c r="Q433" s="40"/>
      <c r="R433" s="40"/>
      <c r="S433" s="40"/>
      <c r="T433" s="40"/>
      <c r="U433" s="40"/>
      <c r="V433" s="40"/>
      <c r="W433" s="40"/>
      <c r="Z433" s="1344" t="s">
        <v>678</v>
      </c>
      <c r="AA433" s="1344"/>
    </row>
    <row r="434" spans="1:110" ht="13.05" customHeight="1"/>
    <row r="435" spans="1:110" ht="13.05" customHeight="1">
      <c r="A435" s="2" t="s">
        <v>476</v>
      </c>
      <c r="B435" s="2"/>
      <c r="C435" s="2"/>
      <c r="D435" s="2" t="s">
        <v>788</v>
      </c>
      <c r="AF435" s="48"/>
    </row>
    <row r="436" spans="1:110" ht="13.05" customHeight="1">
      <c r="D436" s="1394" t="s">
        <v>43</v>
      </c>
      <c r="E436" s="1395"/>
      <c r="F436" s="1395"/>
      <c r="G436" s="1395"/>
      <c r="H436" s="1395"/>
      <c r="I436" s="1395"/>
      <c r="J436" s="1395"/>
      <c r="K436" s="1395"/>
      <c r="L436" s="1395"/>
      <c r="M436" s="1395"/>
      <c r="N436" s="1395"/>
      <c r="O436" s="1395"/>
      <c r="P436" s="1395"/>
      <c r="Q436" s="1395"/>
      <c r="R436" s="1395"/>
      <c r="S436" s="1395"/>
      <c r="T436" s="1395"/>
      <c r="U436" s="1395"/>
      <c r="V436" s="1395"/>
      <c r="W436" s="1395"/>
      <c r="X436" s="1395"/>
      <c r="Y436" s="1395"/>
      <c r="Z436" s="1395"/>
      <c r="AA436" s="1395"/>
      <c r="AB436" s="1395"/>
      <c r="AC436" s="1395"/>
      <c r="AD436" s="1395"/>
      <c r="AE436" s="1395"/>
      <c r="AF436" s="1396"/>
      <c r="AG436" s="1328">
        <v>206</v>
      </c>
      <c r="AH436" s="1328"/>
      <c r="AI436" s="1328"/>
      <c r="AJ436" s="1328"/>
    </row>
    <row r="437" spans="1:110" ht="13.05" customHeight="1">
      <c r="D437" s="1332" t="s">
        <v>1369</v>
      </c>
      <c r="E437" s="1333"/>
      <c r="F437" s="1333"/>
      <c r="G437" s="1333"/>
      <c r="H437" s="1333"/>
      <c r="I437" s="1333"/>
      <c r="J437" s="1333"/>
      <c r="K437" s="1333"/>
      <c r="L437" s="1333"/>
      <c r="M437" s="1333"/>
      <c r="N437" s="1333"/>
      <c r="O437" s="1333"/>
      <c r="P437" s="1333"/>
      <c r="Q437" s="1333"/>
      <c r="R437" s="1333"/>
      <c r="S437" s="1333"/>
      <c r="T437" s="1333"/>
      <c r="U437" s="1333"/>
      <c r="V437" s="1333"/>
      <c r="W437" s="1333"/>
      <c r="X437" s="1333"/>
      <c r="Y437" s="1333"/>
      <c r="Z437" s="1333"/>
      <c r="AA437" s="1333"/>
      <c r="AB437" s="1333"/>
      <c r="AC437" s="1333"/>
      <c r="AD437" s="1333"/>
      <c r="AE437" s="1333"/>
      <c r="AF437" s="1334"/>
      <c r="AG437" s="1342"/>
      <c r="AH437" s="1343"/>
      <c r="AI437" s="1343"/>
      <c r="AJ437" s="1343"/>
    </row>
    <row r="438" spans="1:110" ht="13.05" customHeight="1">
      <c r="D438" s="1332" t="s">
        <v>1092</v>
      </c>
      <c r="E438" s="1333"/>
      <c r="F438" s="1333"/>
      <c r="G438" s="1333"/>
      <c r="H438" s="1333"/>
      <c r="I438" s="1333"/>
      <c r="J438" s="1333"/>
      <c r="K438" s="1333"/>
      <c r="L438" s="1333"/>
      <c r="M438" s="1333"/>
      <c r="N438" s="1333"/>
      <c r="O438" s="1333"/>
      <c r="P438" s="1333"/>
      <c r="Q438" s="1333"/>
      <c r="R438" s="1333"/>
      <c r="S438" s="1333"/>
      <c r="T438" s="1333"/>
      <c r="U438" s="1333"/>
      <c r="V438" s="1333"/>
      <c r="W438" s="1333"/>
      <c r="X438" s="1333"/>
      <c r="Y438" s="1333"/>
      <c r="Z438" s="1333"/>
      <c r="AA438" s="1333"/>
      <c r="AB438" s="1333"/>
      <c r="AC438" s="1333"/>
      <c r="AD438" s="1333"/>
      <c r="AE438" s="1333"/>
      <c r="AF438" s="1334"/>
      <c r="AG438" s="1328">
        <v>204</v>
      </c>
      <c r="AH438" s="1328"/>
      <c r="AI438" s="1328"/>
      <c r="AJ438" s="1328"/>
    </row>
    <row r="439" spans="1:110" ht="13.05" customHeight="1">
      <c r="D439" s="1332" t="s">
        <v>1093</v>
      </c>
      <c r="E439" s="1333"/>
      <c r="F439" s="1333"/>
      <c r="G439" s="1333"/>
      <c r="H439" s="1333"/>
      <c r="I439" s="1333"/>
      <c r="J439" s="1333"/>
      <c r="K439" s="1333"/>
      <c r="L439" s="1333"/>
      <c r="M439" s="1333"/>
      <c r="N439" s="1333"/>
      <c r="O439" s="1333"/>
      <c r="P439" s="1333"/>
      <c r="Q439" s="1333"/>
      <c r="R439" s="1333"/>
      <c r="S439" s="1333"/>
      <c r="T439" s="1333"/>
      <c r="U439" s="1333"/>
      <c r="V439" s="1333"/>
      <c r="W439" s="1333"/>
      <c r="X439" s="1333"/>
      <c r="Y439" s="1333"/>
      <c r="Z439" s="1333"/>
      <c r="AA439" s="1333"/>
      <c r="AB439" s="1333"/>
      <c r="AC439" s="1333"/>
      <c r="AD439" s="1333"/>
      <c r="AE439" s="1333"/>
      <c r="AF439" s="1334"/>
      <c r="AG439" s="1328">
        <v>204</v>
      </c>
      <c r="AH439" s="1328"/>
      <c r="AI439" s="1328"/>
      <c r="AJ439" s="1328"/>
    </row>
    <row r="440" spans="1:110" ht="13.05" customHeight="1">
      <c r="D440" s="1332" t="s">
        <v>1095</v>
      </c>
      <c r="E440" s="1333"/>
      <c r="F440" s="1333"/>
      <c r="G440" s="1333"/>
      <c r="H440" s="1333"/>
      <c r="I440" s="1333"/>
      <c r="J440" s="1333"/>
      <c r="K440" s="1333"/>
      <c r="L440" s="1333"/>
      <c r="M440" s="1333"/>
      <c r="N440" s="1333"/>
      <c r="O440" s="1333"/>
      <c r="P440" s="1333"/>
      <c r="Q440" s="1333"/>
      <c r="R440" s="1333"/>
      <c r="S440" s="1333"/>
      <c r="T440" s="1333"/>
      <c r="U440" s="1333"/>
      <c r="V440" s="1333"/>
      <c r="W440" s="1333"/>
      <c r="X440" s="1333"/>
      <c r="Y440" s="1333"/>
      <c r="Z440" s="1333"/>
      <c r="AA440" s="1333"/>
      <c r="AB440" s="1333"/>
      <c r="AC440" s="1333"/>
      <c r="AD440" s="1333"/>
      <c r="AE440" s="1333"/>
      <c r="AF440" s="1334"/>
      <c r="AG440" s="1330">
        <f>IF(ISERROR(AG439/AG438),"",AG439/AG438)</f>
        <v>1</v>
      </c>
      <c r="AH440" s="1330"/>
      <c r="AI440" s="1330"/>
      <c r="AJ440" s="1330"/>
    </row>
    <row r="441" spans="1:110" ht="13.05" customHeight="1">
      <c r="D441" s="1332" t="s">
        <v>1094</v>
      </c>
      <c r="E441" s="1333"/>
      <c r="F441" s="1333"/>
      <c r="G441" s="1333"/>
      <c r="H441" s="1333"/>
      <c r="I441" s="1333"/>
      <c r="J441" s="1333"/>
      <c r="K441" s="1333"/>
      <c r="L441" s="1333"/>
      <c r="M441" s="1333"/>
      <c r="N441" s="1333"/>
      <c r="O441" s="1333"/>
      <c r="P441" s="1333"/>
      <c r="Q441" s="1333"/>
      <c r="R441" s="1333"/>
      <c r="S441" s="1333"/>
      <c r="T441" s="1333"/>
      <c r="U441" s="1333"/>
      <c r="V441" s="1333"/>
      <c r="W441" s="1333"/>
      <c r="X441" s="1333"/>
      <c r="Y441" s="1333"/>
      <c r="Z441" s="1333"/>
      <c r="AA441" s="1333"/>
      <c r="AB441" s="1333"/>
      <c r="AC441" s="1333"/>
      <c r="AD441" s="1333"/>
      <c r="AE441" s="1333"/>
      <c r="AF441" s="1334"/>
      <c r="AG441" s="1329">
        <v>124974</v>
      </c>
      <c r="AH441" s="1329"/>
      <c r="AI441" s="1329"/>
      <c r="AJ441" s="1329"/>
    </row>
    <row r="442" spans="1:110" ht="13.05" customHeight="1">
      <c r="D442" s="1332" t="s">
        <v>1096</v>
      </c>
      <c r="E442" s="1333"/>
      <c r="F442" s="1333"/>
      <c r="G442" s="1333"/>
      <c r="H442" s="1333"/>
      <c r="I442" s="1333"/>
      <c r="J442" s="1333"/>
      <c r="K442" s="1333"/>
      <c r="L442" s="1333"/>
      <c r="M442" s="1333"/>
      <c r="N442" s="1333"/>
      <c r="O442" s="1333"/>
      <c r="P442" s="1333"/>
      <c r="Q442" s="1333"/>
      <c r="R442" s="1333"/>
      <c r="S442" s="1333"/>
      <c r="T442" s="1333"/>
      <c r="U442" s="1333"/>
      <c r="V442" s="1333"/>
      <c r="W442" s="1333"/>
      <c r="X442" s="1333"/>
      <c r="Y442" s="1333"/>
      <c r="Z442" s="1333"/>
      <c r="AA442" s="1333"/>
      <c r="AB442" s="1333"/>
      <c r="AC442" s="1333"/>
      <c r="AD442" s="1333"/>
      <c r="AE442" s="1333"/>
      <c r="AF442" s="1334"/>
      <c r="AG442" s="1329">
        <v>124974</v>
      </c>
      <c r="AH442" s="1329"/>
      <c r="AI442" s="1329"/>
      <c r="AJ442" s="1329"/>
    </row>
    <row r="443" spans="1:110" ht="13.05" customHeight="1">
      <c r="D443" s="1332" t="s">
        <v>1097</v>
      </c>
      <c r="E443" s="1333"/>
      <c r="F443" s="1333"/>
      <c r="G443" s="1333"/>
      <c r="H443" s="1333"/>
      <c r="I443" s="1333"/>
      <c r="J443" s="1333"/>
      <c r="K443" s="1333"/>
      <c r="L443" s="1333"/>
      <c r="M443" s="1333"/>
      <c r="N443" s="1333"/>
      <c r="O443" s="1333"/>
      <c r="P443" s="1333"/>
      <c r="Q443" s="1333"/>
      <c r="R443" s="1333"/>
      <c r="S443" s="1333"/>
      <c r="T443" s="1333"/>
      <c r="U443" s="1333"/>
      <c r="V443" s="1333"/>
      <c r="W443" s="1333"/>
      <c r="X443" s="1333"/>
      <c r="Y443" s="1333"/>
      <c r="Z443" s="1333"/>
      <c r="AA443" s="1333"/>
      <c r="AB443" s="1333"/>
      <c r="AC443" s="1333"/>
      <c r="AD443" s="1333"/>
      <c r="AE443" s="1333"/>
      <c r="AF443" s="1334"/>
      <c r="AG443" s="1330">
        <f>IF(ISERROR(AG442/AG441),"",AG442/AG441)</f>
        <v>1</v>
      </c>
      <c r="AH443" s="1330"/>
      <c r="AI443" s="1330"/>
      <c r="AJ443" s="1330"/>
    </row>
    <row r="444" spans="1:110" ht="13.05" customHeight="1">
      <c r="D444" s="1332" t="s">
        <v>1098</v>
      </c>
      <c r="E444" s="1333"/>
      <c r="F444" s="1333"/>
      <c r="G444" s="1333"/>
      <c r="H444" s="1333"/>
      <c r="I444" s="1333"/>
      <c r="J444" s="1333"/>
      <c r="K444" s="1333"/>
      <c r="L444" s="1333"/>
      <c r="M444" s="1333"/>
      <c r="N444" s="1333"/>
      <c r="O444" s="1333"/>
      <c r="P444" s="1333"/>
      <c r="Q444" s="1333"/>
      <c r="R444" s="1333"/>
      <c r="S444" s="1333"/>
      <c r="T444" s="1333"/>
      <c r="U444" s="1333"/>
      <c r="V444" s="1333"/>
      <c r="W444" s="1333"/>
      <c r="X444" s="1333"/>
      <c r="Y444" s="1333"/>
      <c r="Z444" s="1333"/>
      <c r="AA444" s="1333"/>
      <c r="AB444" s="1333"/>
      <c r="AC444" s="1333"/>
      <c r="AD444" s="1333"/>
      <c r="AE444" s="1333"/>
      <c r="AF444" s="1334"/>
      <c r="AG444" s="1330">
        <f>MIN(IF(AG440&gt;AG443,AG443,AG440),1)</f>
        <v>1</v>
      </c>
      <c r="AH444" s="1330"/>
      <c r="AI444" s="1330"/>
      <c r="AJ444" s="1330"/>
    </row>
    <row r="445" spans="1:110" ht="13.05" customHeight="1">
      <c r="D445" s="1332" t="s">
        <v>2506</v>
      </c>
      <c r="E445" s="1395"/>
      <c r="F445" s="1395"/>
      <c r="G445" s="1395"/>
      <c r="H445" s="1395"/>
      <c r="I445" s="1395"/>
      <c r="J445" s="1395"/>
      <c r="K445" s="1395"/>
      <c r="L445" s="1395"/>
      <c r="M445" s="1395"/>
      <c r="N445" s="1395"/>
      <c r="O445" s="1395"/>
      <c r="P445" s="1395"/>
      <c r="Q445" s="1395"/>
      <c r="R445" s="1395"/>
      <c r="S445" s="1395"/>
      <c r="T445" s="1395"/>
      <c r="U445" s="1395"/>
      <c r="V445" s="1395"/>
      <c r="W445" s="1395"/>
      <c r="X445" s="1395"/>
      <c r="Y445" s="1395"/>
      <c r="Z445" s="1395"/>
      <c r="AA445" s="1395"/>
      <c r="AB445" s="1395"/>
      <c r="AC445" s="1395"/>
      <c r="AD445" s="1395"/>
      <c r="AE445" s="1395"/>
      <c r="AF445" s="1396"/>
      <c r="AG445" s="1329">
        <v>1815</v>
      </c>
      <c r="AH445" s="1329"/>
      <c r="AI445" s="1329"/>
      <c r="AJ445" s="1329"/>
    </row>
    <row r="446" spans="1:110" ht="13.05" customHeight="1">
      <c r="D446" s="1394" t="s">
        <v>578</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29">
        <v>0</v>
      </c>
      <c r="AH446" s="1329"/>
      <c r="AI446" s="1329"/>
      <c r="AJ446" s="13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32" t="s">
        <v>1348</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29">
        <f>600+1503</f>
        <v>2103</v>
      </c>
      <c r="AH447" s="1329"/>
      <c r="AI447" s="1329"/>
      <c r="AJ447" s="13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32" t="s">
        <v>1099</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29">
        <v>0</v>
      </c>
      <c r="AH448" s="1329"/>
      <c r="AI448" s="1329"/>
      <c r="AJ448" s="13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98" t="s">
        <v>1100</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34">
        <f>AG441+AG445+AG447+AG448</f>
        <v>128892</v>
      </c>
      <c r="AH449" s="1434"/>
      <c r="AI449" s="1434"/>
      <c r="AJ449" s="14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01" t="s">
        <v>1349</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1"/>
      <c r="AG450" s="1501"/>
      <c r="AH450" s="1501"/>
      <c r="AI450" s="1501"/>
      <c r="AJ450" s="15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02"/>
      <c r="E451" s="1502"/>
      <c r="F451" s="1502"/>
      <c r="G451" s="1502"/>
      <c r="H451" s="1502"/>
      <c r="I451" s="1502"/>
      <c r="J451" s="1502"/>
      <c r="K451" s="1502"/>
      <c r="L451" s="1502"/>
      <c r="M451" s="1502"/>
      <c r="N451" s="1502"/>
      <c r="O451" s="1502"/>
      <c r="P451" s="1502"/>
      <c r="Q451" s="1502"/>
      <c r="R451" s="1502"/>
      <c r="S451" s="1502"/>
      <c r="T451" s="1502"/>
      <c r="U451" s="1502"/>
      <c r="V451" s="1502"/>
      <c r="W451" s="1502"/>
      <c r="X451" s="1502"/>
      <c r="Y451" s="1502"/>
      <c r="Z451" s="1502"/>
      <c r="AA451" s="1502"/>
      <c r="AB451" s="1502"/>
      <c r="AC451" s="1502"/>
      <c r="AD451" s="1502"/>
      <c r="AE451" s="1502"/>
      <c r="AF451" s="1502"/>
      <c r="AG451" s="1502"/>
      <c r="AH451" s="1502"/>
      <c r="AI451" s="1502"/>
      <c r="AJ451" s="15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31">
        <f>'Sources and Uses Budget'!B105/Application!AG436</f>
        <v>361495.97572815535</v>
      </c>
      <c r="AD453" s="1331"/>
      <c r="AE453" s="1331"/>
      <c r="AF453" s="133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31">
        <f>'Sources and Uses Budget'!C105/Application!AG436</f>
        <v>361495.97572815535</v>
      </c>
      <c r="AD454" s="1331"/>
      <c r="AE454" s="1331"/>
      <c r="AF454" s="133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31">
        <f>('Sources and Uses Budget'!$S$107+'Sources and Uses Budget'!$T$107)/Application!AG436</f>
        <v>323302.90776699031</v>
      </c>
      <c r="AD455" s="1331"/>
      <c r="AE455" s="1331"/>
      <c r="AF455" s="133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504" t="str">
        <f>IFERROR(IF(AC453&gt;650000,"Please provide a justification of cost per unit in Tab 12 for all projects with per unit costs of greater than $650,000.",""),"")</f>
        <v/>
      </c>
      <c r="G456" s="1504"/>
      <c r="H456" s="1504"/>
      <c r="I456" s="1504"/>
      <c r="J456" s="1504"/>
      <c r="K456" s="1504"/>
      <c r="L456" s="1504"/>
      <c r="M456" s="1504"/>
      <c r="N456" s="1504"/>
      <c r="O456" s="1504"/>
      <c r="P456" s="1504"/>
      <c r="Q456" s="1504"/>
      <c r="R456" s="1504"/>
      <c r="S456" s="1504"/>
      <c r="T456" s="1504"/>
      <c r="U456" s="1504"/>
      <c r="V456" s="1504"/>
      <c r="W456" s="1504"/>
      <c r="X456" s="1504"/>
      <c r="Y456" s="1504"/>
      <c r="Z456" s="1504"/>
      <c r="AA456" s="1504"/>
      <c r="AB456" s="150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504"/>
      <c r="G457" s="1504"/>
      <c r="H457" s="1504"/>
      <c r="I457" s="1504"/>
      <c r="J457" s="1504"/>
      <c r="K457" s="1504"/>
      <c r="L457" s="1504"/>
      <c r="M457" s="1504"/>
      <c r="N457" s="1504"/>
      <c r="O457" s="1504"/>
      <c r="P457" s="1504"/>
      <c r="Q457" s="1504"/>
      <c r="R457" s="1504"/>
      <c r="S457" s="1504"/>
      <c r="T457" s="1504"/>
      <c r="U457" s="1504"/>
      <c r="V457" s="1504"/>
      <c r="W457" s="1504"/>
      <c r="X457" s="1504"/>
      <c r="Y457" s="1504"/>
      <c r="Z457" s="1504"/>
      <c r="AA457" s="1504"/>
      <c r="AB457" s="150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29" t="s">
        <v>2521</v>
      </c>
      <c r="E464" s="1324"/>
      <c r="F464" s="1324"/>
      <c r="G464" s="1324"/>
      <c r="H464" s="1324"/>
      <c r="I464" s="1324"/>
      <c r="J464" s="1324"/>
      <c r="K464" s="1324"/>
      <c r="L464" s="1324"/>
      <c r="M464" s="1324"/>
      <c r="N464" s="1324"/>
      <c r="O464" s="1324"/>
      <c r="P464" s="1324"/>
      <c r="Q464" s="1324"/>
      <c r="R464" s="1324"/>
      <c r="S464" s="1324"/>
      <c r="T464" s="1324"/>
      <c r="U464" s="1324"/>
      <c r="V464" s="1325"/>
      <c r="W464" s="1320">
        <v>0</v>
      </c>
      <c r="X464" s="1321"/>
      <c r="Y464" s="132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23" t="s">
        <v>703</v>
      </c>
      <c r="E465" s="1324"/>
      <c r="F465" s="1324"/>
      <c r="G465" s="1324"/>
      <c r="H465" s="1324"/>
      <c r="I465" s="1324"/>
      <c r="J465" s="1324"/>
      <c r="K465" s="1324"/>
      <c r="L465" s="1324"/>
      <c r="M465" s="1324"/>
      <c r="N465" s="1324"/>
      <c r="O465" s="1324"/>
      <c r="P465" s="1324"/>
      <c r="Q465" s="1324"/>
      <c r="R465" s="1324"/>
      <c r="S465" s="1324"/>
      <c r="T465" s="1324"/>
      <c r="U465" s="1324"/>
      <c r="V465" s="1325"/>
      <c r="W465" s="1320">
        <v>0</v>
      </c>
      <c r="X465" s="1321"/>
      <c r="Y465" s="132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23" t="s">
        <v>704</v>
      </c>
      <c r="E466" s="1324"/>
      <c r="F466" s="1324"/>
      <c r="G466" s="1324"/>
      <c r="H466" s="1324"/>
      <c r="I466" s="1324"/>
      <c r="J466" s="1324"/>
      <c r="K466" s="1324"/>
      <c r="L466" s="1324"/>
      <c r="M466" s="1324"/>
      <c r="N466" s="1324"/>
      <c r="O466" s="1324"/>
      <c r="P466" s="1324"/>
      <c r="Q466" s="1324"/>
      <c r="R466" s="1324"/>
      <c r="S466" s="1324"/>
      <c r="T466" s="1324"/>
      <c r="U466" s="1324"/>
      <c r="V466" s="1325"/>
      <c r="W466" s="1320">
        <v>30</v>
      </c>
      <c r="X466" s="1321"/>
      <c r="Y466" s="132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23" t="s">
        <v>705</v>
      </c>
      <c r="E467" s="1324"/>
      <c r="F467" s="1324"/>
      <c r="G467" s="1324"/>
      <c r="H467" s="1324"/>
      <c r="I467" s="1324"/>
      <c r="J467" s="1324"/>
      <c r="K467" s="1324"/>
      <c r="L467" s="1324"/>
      <c r="M467" s="1324"/>
      <c r="N467" s="1324"/>
      <c r="O467" s="1324"/>
      <c r="P467" s="1324"/>
      <c r="Q467" s="1324"/>
      <c r="R467" s="1324"/>
      <c r="S467" s="1324"/>
      <c r="T467" s="1324"/>
      <c r="U467" s="1324"/>
      <c r="V467" s="1325"/>
      <c r="W467" s="1320">
        <v>0</v>
      </c>
      <c r="X467" s="1321"/>
      <c r="Y467" s="132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23" t="s">
        <v>910</v>
      </c>
      <c r="E468" s="1324"/>
      <c r="F468" s="1324"/>
      <c r="G468" s="1324"/>
      <c r="H468" s="1324"/>
      <c r="I468" s="1324"/>
      <c r="J468" s="1324"/>
      <c r="K468" s="1324"/>
      <c r="L468" s="1324"/>
      <c r="M468" s="1324"/>
      <c r="N468" s="1324"/>
      <c r="O468" s="1324"/>
      <c r="P468" s="1324"/>
      <c r="Q468" s="1324"/>
      <c r="R468" s="1324"/>
      <c r="S468" s="1324"/>
      <c r="T468" s="1324"/>
      <c r="U468" s="1324"/>
      <c r="V468" s="1325"/>
      <c r="W468" s="1320">
        <v>0</v>
      </c>
      <c r="X468" s="1321"/>
      <c r="Y468" s="132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23" t="s">
        <v>706</v>
      </c>
      <c r="E469" s="1324"/>
      <c r="F469" s="1324"/>
      <c r="G469" s="1324"/>
      <c r="H469" s="1324"/>
      <c r="I469" s="1324"/>
      <c r="J469" s="1324"/>
      <c r="K469" s="1324"/>
      <c r="L469" s="1324"/>
      <c r="M469" s="1324"/>
      <c r="N469" s="1324"/>
      <c r="O469" s="1324"/>
      <c r="P469" s="1324"/>
      <c r="Q469" s="1324"/>
      <c r="R469" s="1324"/>
      <c r="S469" s="1324"/>
      <c r="T469" s="1324"/>
      <c r="U469" s="1324"/>
      <c r="V469" s="1325"/>
      <c r="W469" s="1320">
        <v>0</v>
      </c>
      <c r="X469" s="1321"/>
      <c r="Y469" s="132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23" t="s">
        <v>1069</v>
      </c>
      <c r="E470" s="1324"/>
      <c r="F470" s="1324"/>
      <c r="G470" s="1324"/>
      <c r="H470" s="1324"/>
      <c r="I470" s="1324"/>
      <c r="J470" s="1324"/>
      <c r="K470" s="1324"/>
      <c r="L470" s="1324"/>
      <c r="M470" s="1324"/>
      <c r="N470" s="1324"/>
      <c r="O470" s="1324"/>
      <c r="P470" s="1324"/>
      <c r="Q470" s="1324"/>
      <c r="R470" s="1324"/>
      <c r="S470" s="1324"/>
      <c r="T470" s="1324"/>
      <c r="U470" s="1324"/>
      <c r="V470" s="1325"/>
      <c r="W470" s="1320">
        <v>0</v>
      </c>
      <c r="X470" s="1321"/>
      <c r="Y470" s="132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29" t="s">
        <v>1835</v>
      </c>
      <c r="E471" s="1324"/>
      <c r="F471" s="1324"/>
      <c r="G471" s="1324"/>
      <c r="H471" s="1324"/>
      <c r="I471" s="1324"/>
      <c r="J471" s="1324"/>
      <c r="K471" s="1324"/>
      <c r="L471" s="1324"/>
      <c r="M471" s="1324"/>
      <c r="N471" s="1324"/>
      <c r="O471" s="1324"/>
      <c r="P471" s="1324"/>
      <c r="Q471" s="1324"/>
      <c r="R471" s="1324"/>
      <c r="S471" s="1324"/>
      <c r="T471" s="1324"/>
      <c r="U471" s="1324"/>
      <c r="V471" s="1325"/>
      <c r="W471" s="1320">
        <v>11</v>
      </c>
      <c r="X471" s="1321"/>
      <c r="Y471" s="132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170</v>
      </c>
      <c r="E472" s="262"/>
      <c r="F472" s="263"/>
      <c r="G472" s="1431"/>
      <c r="H472" s="1432"/>
      <c r="I472" s="1432"/>
      <c r="J472" s="1432"/>
      <c r="K472" s="1432"/>
      <c r="L472" s="1432"/>
      <c r="M472" s="1432"/>
      <c r="N472" s="1432"/>
      <c r="O472" s="1432"/>
      <c r="P472" s="1432"/>
      <c r="Q472" s="1432"/>
      <c r="R472" s="1432"/>
      <c r="S472" s="1432"/>
      <c r="T472" s="1432"/>
      <c r="U472" s="1432"/>
      <c r="V472" s="1433"/>
      <c r="W472" s="1320">
        <v>0</v>
      </c>
      <c r="X472" s="1321"/>
      <c r="Y472" s="132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13" t="s">
        <v>835</v>
      </c>
      <c r="B478" s="1413"/>
      <c r="C478" s="1413"/>
      <c r="D478" s="1413"/>
      <c r="E478" s="1413"/>
      <c r="F478" s="1413"/>
      <c r="G478" s="1413"/>
      <c r="H478" s="1413"/>
      <c r="I478" s="1413"/>
      <c r="J478" s="1413"/>
      <c r="K478" s="1413"/>
      <c r="L478" s="1413"/>
      <c r="M478" s="1413"/>
      <c r="N478" s="1413"/>
      <c r="O478" s="1413"/>
      <c r="P478" s="1413"/>
      <c r="Q478" s="1413"/>
      <c r="R478" s="1413"/>
      <c r="S478" s="1413"/>
      <c r="T478" s="1413"/>
      <c r="U478" s="1413"/>
      <c r="V478" s="1413"/>
      <c r="W478" s="1413"/>
      <c r="X478" s="1413"/>
      <c r="Y478" s="1413"/>
      <c r="Z478" s="1413"/>
      <c r="AA478" s="1413"/>
      <c r="AB478" s="1413"/>
      <c r="AC478" s="1413"/>
      <c r="AD478" s="1413"/>
      <c r="AE478" s="1413"/>
      <c r="AF478" s="1413"/>
      <c r="AG478" s="1413"/>
      <c r="AH478" s="1413"/>
      <c r="AI478" s="1413"/>
      <c r="AJ478" s="1413"/>
      <c r="AK478" s="1413"/>
      <c r="AL478" s="1413"/>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14"/>
      <c r="B479" s="1414"/>
      <c r="C479" s="1414"/>
      <c r="D479" s="1414"/>
      <c r="E479" s="1414"/>
      <c r="F479" s="1414"/>
      <c r="G479" s="1414"/>
      <c r="H479" s="1414"/>
      <c r="I479" s="1414"/>
      <c r="J479" s="1414"/>
      <c r="K479" s="1414"/>
      <c r="L479" s="1414"/>
      <c r="M479" s="1414"/>
      <c r="N479" s="1414"/>
      <c r="O479" s="1414"/>
      <c r="P479" s="1414"/>
      <c r="Q479" s="1414"/>
      <c r="R479" s="1414"/>
      <c r="S479" s="1414"/>
      <c r="T479" s="1414"/>
      <c r="U479" s="1414"/>
      <c r="V479" s="1414"/>
      <c r="W479" s="1414"/>
      <c r="X479" s="1414"/>
      <c r="Y479" s="1414"/>
      <c r="Z479" s="1414"/>
      <c r="AA479" s="1414"/>
      <c r="AB479" s="1414"/>
      <c r="AC479" s="1414"/>
      <c r="AD479" s="1414"/>
      <c r="AE479" s="1414"/>
      <c r="AF479" s="1414"/>
      <c r="AG479" s="1414"/>
      <c r="AH479" s="1414"/>
      <c r="AI479" s="1414"/>
      <c r="AJ479" s="1414"/>
      <c r="AK479" s="1414"/>
      <c r="AL479" s="141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393" t="s">
        <v>394</v>
      </c>
      <c r="R483" s="1389"/>
      <c r="S483" s="1389"/>
      <c r="T483" s="1389"/>
      <c r="U483" s="1389"/>
      <c r="V483" s="1389"/>
      <c r="W483" s="1389"/>
      <c r="X483" s="1389"/>
      <c r="Y483" s="1389"/>
      <c r="Z483" s="1389"/>
      <c r="AA483" s="1389"/>
      <c r="AB483" s="1389"/>
      <c r="AC483" s="1389"/>
      <c r="AD483" s="1389"/>
      <c r="AE483" s="1389"/>
      <c r="AF483" s="1389"/>
      <c r="AG483" s="1389"/>
      <c r="AH483" s="1389"/>
      <c r="AI483" s="1389"/>
      <c r="AJ483" s="1389"/>
      <c r="AK483" s="13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395</v>
      </c>
      <c r="C484" s="5"/>
      <c r="D484" s="5"/>
      <c r="E484" s="5"/>
      <c r="F484" s="5"/>
      <c r="G484" s="5"/>
      <c r="H484" s="5"/>
      <c r="I484" s="5"/>
      <c r="J484" s="5"/>
      <c r="K484" s="5"/>
      <c r="L484" s="5"/>
      <c r="M484" s="5"/>
      <c r="N484" s="5"/>
      <c r="O484" s="5"/>
      <c r="P484" s="5"/>
      <c r="Q484" s="1377" t="s">
        <v>2676</v>
      </c>
      <c r="R484" s="1337"/>
      <c r="S484" s="1337"/>
      <c r="T484" s="1337"/>
      <c r="U484" s="1337"/>
      <c r="V484" s="1337"/>
      <c r="W484" s="1337"/>
      <c r="X484" s="1337"/>
      <c r="Y484" s="1337"/>
      <c r="Z484" s="1337"/>
      <c r="AA484" s="1337"/>
      <c r="AB484" s="1337"/>
      <c r="AC484" s="1337"/>
      <c r="AD484" s="1337"/>
      <c r="AE484" s="1337"/>
      <c r="AF484" s="1337"/>
      <c r="AG484" s="1337"/>
      <c r="AH484" s="1337"/>
      <c r="AI484" s="1337"/>
      <c r="AJ484" s="1337"/>
      <c r="AK484" s="133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396</v>
      </c>
      <c r="C485" s="5"/>
      <c r="D485" s="5"/>
      <c r="E485" s="5"/>
      <c r="F485" s="5"/>
      <c r="G485" s="5"/>
      <c r="H485" s="5"/>
      <c r="I485" s="5"/>
      <c r="J485" s="5"/>
      <c r="K485" s="5"/>
      <c r="L485" s="5"/>
      <c r="M485" s="5"/>
      <c r="N485" s="5"/>
      <c r="O485" s="5"/>
      <c r="P485" s="5"/>
      <c r="Q485" s="1377" t="s">
        <v>2732</v>
      </c>
      <c r="R485" s="1337"/>
      <c r="S485" s="1337"/>
      <c r="T485" s="1337"/>
      <c r="U485" s="1337"/>
      <c r="V485" s="1337"/>
      <c r="W485" s="1337"/>
      <c r="X485" s="1337"/>
      <c r="Y485" s="1337"/>
      <c r="Z485" s="1337"/>
      <c r="AA485" s="1337"/>
      <c r="AB485" s="1337"/>
      <c r="AC485" s="1337"/>
      <c r="AD485" s="1337"/>
      <c r="AE485" s="1337"/>
      <c r="AF485" s="1337"/>
      <c r="AG485" s="1337"/>
      <c r="AH485" s="1337"/>
      <c r="AI485" s="1337"/>
      <c r="AJ485" s="1337"/>
      <c r="AK485" s="13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397</v>
      </c>
      <c r="C486" s="5"/>
      <c r="D486" s="5"/>
      <c r="E486" s="5"/>
      <c r="F486" s="5"/>
      <c r="G486" s="5"/>
      <c r="H486" s="5"/>
      <c r="I486" s="5"/>
      <c r="J486" s="5"/>
      <c r="K486" s="5"/>
      <c r="L486" s="5"/>
      <c r="M486" s="5"/>
      <c r="N486" s="5"/>
      <c r="O486" s="5"/>
      <c r="P486" s="5"/>
      <c r="Q486" s="1336" t="s">
        <v>2736</v>
      </c>
      <c r="R486" s="1337"/>
      <c r="S486" s="1337"/>
      <c r="T486" s="1337"/>
      <c r="U486" s="1337"/>
      <c r="V486" s="1337"/>
      <c r="W486" s="1337"/>
      <c r="X486" s="1337"/>
      <c r="Y486" s="1337"/>
      <c r="Z486" s="1337"/>
      <c r="AA486" s="1337"/>
      <c r="AB486" s="1337"/>
      <c r="AC486" s="1337"/>
      <c r="AD486" s="1337"/>
      <c r="AE486" s="1337"/>
      <c r="AF486" s="1337"/>
      <c r="AG486" s="1337"/>
      <c r="AH486" s="1337"/>
      <c r="AI486" s="1337"/>
      <c r="AJ486" s="1337"/>
      <c r="AK486" s="133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367" t="s">
        <v>398</v>
      </c>
      <c r="C487" s="1368"/>
      <c r="D487" s="1368"/>
      <c r="E487" s="1368"/>
      <c r="F487" s="1368"/>
      <c r="G487" s="1368"/>
      <c r="H487" s="1368"/>
      <c r="I487" s="1368"/>
      <c r="J487" s="1368"/>
      <c r="K487" s="1368"/>
      <c r="L487" s="1368"/>
      <c r="M487" s="1368"/>
      <c r="N487" s="1368"/>
      <c r="O487" s="1368"/>
      <c r="P487" s="1369"/>
      <c r="Q487" s="1373" t="s">
        <v>678</v>
      </c>
      <c r="R487" s="1374"/>
      <c r="S487" s="1698" t="s">
        <v>2677</v>
      </c>
      <c r="T487" s="1699"/>
      <c r="U487" s="1699"/>
      <c r="V487" s="1699"/>
      <c r="W487" s="1699"/>
      <c r="X487" s="1699"/>
      <c r="Y487" s="1699"/>
      <c r="Z487" s="1699"/>
      <c r="AA487" s="1699"/>
      <c r="AB487" s="1699"/>
      <c r="AC487" s="1699"/>
      <c r="AD487" s="1699"/>
      <c r="AE487" s="1699"/>
      <c r="AF487" s="1699"/>
      <c r="AG487" s="1699"/>
      <c r="AH487" s="1699"/>
      <c r="AI487" s="1699"/>
      <c r="AJ487" s="1699"/>
      <c r="AK487" s="170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370"/>
      <c r="C488" s="1371"/>
      <c r="D488" s="1371"/>
      <c r="E488" s="1371"/>
      <c r="F488" s="1371"/>
      <c r="G488" s="1371"/>
      <c r="H488" s="1371"/>
      <c r="I488" s="1371"/>
      <c r="J488" s="1371"/>
      <c r="K488" s="1371"/>
      <c r="L488" s="1371"/>
      <c r="M488" s="1371"/>
      <c r="N488" s="1371"/>
      <c r="O488" s="1371"/>
      <c r="P488" s="1372"/>
      <c r="Q488" s="1375"/>
      <c r="R488" s="1376"/>
      <c r="S488" s="1701"/>
      <c r="T488" s="1417"/>
      <c r="U488" s="1417"/>
      <c r="V488" s="1417"/>
      <c r="W488" s="1417"/>
      <c r="X488" s="1417"/>
      <c r="Y488" s="1417"/>
      <c r="Z488" s="1417"/>
      <c r="AA488" s="1417"/>
      <c r="AB488" s="1417"/>
      <c r="AC488" s="1417"/>
      <c r="AD488" s="1417"/>
      <c r="AE488" s="1417"/>
      <c r="AF488" s="1417"/>
      <c r="AG488" s="1417"/>
      <c r="AH488" s="1417"/>
      <c r="AI488" s="1417"/>
      <c r="AJ488" s="1417"/>
      <c r="AK488" s="170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1853</v>
      </c>
      <c r="C489" s="909"/>
      <c r="D489" s="909"/>
      <c r="E489" s="909"/>
      <c r="F489" s="909"/>
      <c r="G489" s="909"/>
      <c r="H489" s="909"/>
      <c r="I489" s="909"/>
      <c r="J489" s="909"/>
      <c r="K489" s="909"/>
      <c r="L489" s="909"/>
      <c r="M489" s="909"/>
      <c r="N489" s="909"/>
      <c r="O489" s="909"/>
      <c r="P489" s="909"/>
      <c r="Q489" s="1425" t="s">
        <v>678</v>
      </c>
      <c r="R489" s="1426"/>
      <c r="S489" s="1426"/>
      <c r="T489" s="1426"/>
      <c r="U489" s="1426"/>
      <c r="V489" s="1426"/>
      <c r="W489" s="1426"/>
      <c r="X489" s="1426"/>
      <c r="Y489" s="1426"/>
      <c r="Z489" s="1426"/>
      <c r="AA489" s="1426"/>
      <c r="AB489" s="1426"/>
      <c r="AC489" s="1426"/>
      <c r="AD489" s="1426"/>
      <c r="AE489" s="1426"/>
      <c r="AF489" s="1426"/>
      <c r="AG489" s="1426"/>
      <c r="AH489" s="1426"/>
      <c r="AI489" s="1426"/>
      <c r="AJ489" s="1426"/>
      <c r="AK489" s="14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399</v>
      </c>
      <c r="C490" s="5"/>
      <c r="D490" s="5"/>
      <c r="E490" s="5"/>
      <c r="F490" s="5"/>
      <c r="G490" s="5"/>
      <c r="H490" s="5"/>
      <c r="I490" s="5"/>
      <c r="J490" s="5"/>
      <c r="K490" s="5"/>
      <c r="L490" s="5"/>
      <c r="M490" s="5"/>
      <c r="N490" s="5"/>
      <c r="O490" s="5"/>
      <c r="P490" s="5"/>
      <c r="Q490" s="1377" t="s">
        <v>600</v>
      </c>
      <c r="R490" s="1337"/>
      <c r="S490" s="1337"/>
      <c r="T490" s="1337"/>
      <c r="U490" s="1337"/>
      <c r="V490" s="1337"/>
      <c r="W490" s="1337"/>
      <c r="X490" s="1337"/>
      <c r="Y490" s="1337"/>
      <c r="Z490" s="1337"/>
      <c r="AA490" s="1337"/>
      <c r="AB490" s="1337"/>
      <c r="AC490" s="1337"/>
      <c r="AD490" s="1337"/>
      <c r="AE490" s="1337"/>
      <c r="AF490" s="1337"/>
      <c r="AG490" s="1337"/>
      <c r="AH490" s="1337"/>
      <c r="AI490" s="1337"/>
      <c r="AJ490" s="1337"/>
      <c r="AK490" s="133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400</v>
      </c>
      <c r="C491" s="5"/>
      <c r="D491" s="5"/>
      <c r="E491" s="5"/>
      <c r="F491" s="5"/>
      <c r="G491" s="5"/>
      <c r="H491" s="5"/>
      <c r="I491" s="5"/>
      <c r="J491" s="5"/>
      <c r="K491" s="5"/>
      <c r="L491" s="5"/>
      <c r="M491" s="5"/>
      <c r="N491" s="5"/>
      <c r="O491" s="5"/>
      <c r="P491" s="5"/>
      <c r="Q491" s="1377" t="s">
        <v>2735</v>
      </c>
      <c r="R491" s="1337"/>
      <c r="S491" s="1337"/>
      <c r="T491" s="1337"/>
      <c r="U491" s="1337"/>
      <c r="V491" s="1337"/>
      <c r="W491" s="1337"/>
      <c r="X491" s="1337"/>
      <c r="Y491" s="1337"/>
      <c r="Z491" s="1337"/>
      <c r="AA491" s="1337"/>
      <c r="AB491" s="1337"/>
      <c r="AC491" s="1337"/>
      <c r="AD491" s="1337"/>
      <c r="AE491" s="1337"/>
      <c r="AF491" s="1337"/>
      <c r="AG491" s="1337"/>
      <c r="AH491" s="1337"/>
      <c r="AI491" s="1337"/>
      <c r="AJ491" s="1337"/>
      <c r="AK491" s="133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1850</v>
      </c>
      <c r="C492" s="5"/>
      <c r="D492" s="5"/>
      <c r="E492" s="5"/>
      <c r="F492" s="5"/>
      <c r="G492" s="5"/>
      <c r="H492" s="5"/>
      <c r="I492" s="5"/>
      <c r="J492" s="5"/>
      <c r="K492" s="5"/>
      <c r="L492" s="5"/>
      <c r="M492" s="5"/>
      <c r="N492" s="5"/>
      <c r="O492" s="5"/>
      <c r="P492" s="5"/>
      <c r="Q492" s="1336">
        <f>137+94</f>
        <v>231</v>
      </c>
      <c r="R492" s="1337"/>
      <c r="S492" s="1337"/>
      <c r="T492" s="1337"/>
      <c r="U492" s="1337"/>
      <c r="V492" s="1337"/>
      <c r="W492" s="1337"/>
      <c r="X492" s="1337"/>
      <c r="Y492" s="1337"/>
      <c r="Z492" s="1337"/>
      <c r="AA492" s="1337"/>
      <c r="AB492" s="1337"/>
      <c r="AC492" s="1337"/>
      <c r="AD492" s="1337"/>
      <c r="AE492" s="1337"/>
      <c r="AF492" s="1337"/>
      <c r="AG492" s="1337"/>
      <c r="AH492" s="1337"/>
      <c r="AI492" s="1337"/>
      <c r="AJ492" s="1337"/>
      <c r="AK492" s="133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1851</v>
      </c>
      <c r="C493" s="5"/>
      <c r="D493" s="5"/>
      <c r="E493" s="5"/>
      <c r="F493" s="5"/>
      <c r="G493" s="5"/>
      <c r="H493" s="5"/>
      <c r="I493" s="5"/>
      <c r="J493" s="5"/>
      <c r="K493" s="5"/>
      <c r="L493" s="5"/>
      <c r="M493" s="1400">
        <v>137</v>
      </c>
      <c r="N493" s="1401"/>
      <c r="O493" s="1401"/>
      <c r="P493" s="1402"/>
      <c r="Q493" s="121" t="s">
        <v>1852</v>
      </c>
      <c r="R493" s="5"/>
      <c r="S493" s="5"/>
      <c r="T493" s="5"/>
      <c r="U493" s="5"/>
      <c r="V493" s="5"/>
      <c r="W493" s="5"/>
      <c r="X493" s="5"/>
      <c r="Y493" s="5"/>
      <c r="Z493" s="5"/>
      <c r="AA493" s="5"/>
      <c r="AB493" s="5"/>
      <c r="AC493" s="5"/>
      <c r="AD493" s="5"/>
      <c r="AE493" s="5"/>
      <c r="AF493" s="5"/>
      <c r="AG493" s="5"/>
      <c r="AH493" s="1400">
        <v>94</v>
      </c>
      <c r="AI493" s="1401"/>
      <c r="AJ493" s="1401"/>
      <c r="AK493" s="140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393" t="s">
        <v>402</v>
      </c>
      <c r="AD497" s="1389"/>
      <c r="AE497" s="1389"/>
      <c r="AF497" s="1389"/>
      <c r="AG497" s="1389"/>
      <c r="AH497" s="1389"/>
      <c r="AI497" s="1389"/>
      <c r="AJ497" s="1389"/>
      <c r="AK497" s="13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393" t="s">
        <v>403</v>
      </c>
      <c r="AD498" s="1389"/>
      <c r="AE498" s="1389"/>
      <c r="AF498" s="1389"/>
      <c r="AG498" s="50" t="s">
        <v>404</v>
      </c>
      <c r="AH498" s="1389" t="s">
        <v>405</v>
      </c>
      <c r="AI498" s="1389"/>
      <c r="AJ498" s="1389"/>
      <c r="AK498" s="13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380" t="s">
        <v>406</v>
      </c>
      <c r="C499" s="1381"/>
      <c r="D499" s="1381"/>
      <c r="E499" s="1381"/>
      <c r="F499" s="1381"/>
      <c r="G499" s="1381"/>
      <c r="H499" s="1382"/>
      <c r="I499" s="42" t="s">
        <v>407</v>
      </c>
      <c r="J499" s="42"/>
      <c r="K499" s="42"/>
      <c r="L499" s="42"/>
      <c r="M499" s="42"/>
      <c r="N499" s="42"/>
      <c r="O499" s="42"/>
      <c r="P499" s="42"/>
      <c r="Q499" s="42"/>
      <c r="R499" s="42"/>
      <c r="S499" s="42"/>
      <c r="T499" s="42"/>
      <c r="U499" s="42"/>
      <c r="V499" s="42"/>
      <c r="W499" s="42"/>
      <c r="AC499" s="1403">
        <v>12</v>
      </c>
      <c r="AD499" s="1349"/>
      <c r="AE499" s="1349"/>
      <c r="AF499" s="1349"/>
      <c r="AG499" s="13" t="s">
        <v>404</v>
      </c>
      <c r="AH499" s="1326">
        <v>2012</v>
      </c>
      <c r="AI499" s="1326"/>
      <c r="AJ499" s="1326"/>
      <c r="AK499" s="132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383"/>
      <c r="C500" s="1384"/>
      <c r="D500" s="1384"/>
      <c r="E500" s="1384"/>
      <c r="F500" s="1384"/>
      <c r="G500" s="1384"/>
      <c r="H500" s="1385"/>
      <c r="I500" s="48" t="s">
        <v>408</v>
      </c>
      <c r="J500" s="48"/>
      <c r="K500" s="48"/>
      <c r="L500" s="48"/>
      <c r="M500" s="48"/>
      <c r="N500" s="48"/>
      <c r="O500" s="48"/>
      <c r="P500" s="48"/>
      <c r="Q500" s="48"/>
      <c r="R500" s="48"/>
      <c r="S500" s="48"/>
      <c r="T500" s="48"/>
      <c r="U500" s="48"/>
      <c r="V500" s="48"/>
      <c r="W500" s="48"/>
      <c r="X500" s="48"/>
      <c r="Y500" s="48"/>
      <c r="Z500" s="48"/>
      <c r="AA500" s="48"/>
      <c r="AB500" s="48"/>
      <c r="AC500" s="1348">
        <v>12</v>
      </c>
      <c r="AD500" s="1349"/>
      <c r="AE500" s="1349"/>
      <c r="AF500" s="1349"/>
      <c r="AG500" s="38" t="s">
        <v>404</v>
      </c>
      <c r="AH500" s="1326">
        <v>2012</v>
      </c>
      <c r="AI500" s="1326"/>
      <c r="AJ500" s="1326"/>
      <c r="AK500" s="132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380" t="s">
        <v>409</v>
      </c>
      <c r="C501" s="1381"/>
      <c r="D501" s="1381"/>
      <c r="E501" s="1381"/>
      <c r="F501" s="1381"/>
      <c r="G501" s="1381"/>
      <c r="H501" s="1382"/>
      <c r="I501" s="42" t="s">
        <v>410</v>
      </c>
      <c r="J501" s="42"/>
      <c r="K501" s="42"/>
      <c r="L501" s="42"/>
      <c r="M501" s="42"/>
      <c r="N501" s="42"/>
      <c r="O501" s="42"/>
      <c r="P501" s="42"/>
      <c r="Q501" s="42"/>
      <c r="R501" s="42"/>
      <c r="S501" s="42"/>
      <c r="T501" s="42"/>
      <c r="U501" s="42"/>
      <c r="V501" s="42"/>
      <c r="W501" s="42"/>
      <c r="AC501" s="1348" t="s">
        <v>600</v>
      </c>
      <c r="AD501" s="1349"/>
      <c r="AE501" s="1349"/>
      <c r="AF501" s="1349"/>
      <c r="AG501" s="13" t="s">
        <v>404</v>
      </c>
      <c r="AH501" s="1326"/>
      <c r="AI501" s="1326"/>
      <c r="AJ501" s="1326"/>
      <c r="AK501" s="132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383"/>
      <c r="C502" s="1384"/>
      <c r="D502" s="1384"/>
      <c r="E502" s="1384"/>
      <c r="F502" s="1384"/>
      <c r="G502" s="1384"/>
      <c r="H502" s="1385"/>
      <c r="I502" t="s">
        <v>411</v>
      </c>
      <c r="AC502" s="1348" t="s">
        <v>600</v>
      </c>
      <c r="AD502" s="1349"/>
      <c r="AE502" s="1349"/>
      <c r="AF502" s="1349"/>
      <c r="AG502" s="13" t="s">
        <v>404</v>
      </c>
      <c r="AH502" s="1326"/>
      <c r="AI502" s="1326"/>
      <c r="AJ502" s="1326"/>
      <c r="AK502" s="132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383"/>
      <c r="C503" s="1384"/>
      <c r="D503" s="1384"/>
      <c r="E503" s="1384"/>
      <c r="F503" s="1384"/>
      <c r="G503" s="1384"/>
      <c r="H503" s="1385"/>
      <c r="I503" t="s">
        <v>412</v>
      </c>
      <c r="AC503" s="1348" t="s">
        <v>600</v>
      </c>
      <c r="AD503" s="1349"/>
      <c r="AE503" s="1349"/>
      <c r="AF503" s="1349"/>
      <c r="AG503" s="13" t="s">
        <v>404</v>
      </c>
      <c r="AH503" s="1326"/>
      <c r="AI503" s="1326"/>
      <c r="AJ503" s="1326"/>
      <c r="AK503" s="132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383"/>
      <c r="C504" s="1384"/>
      <c r="D504" s="1384"/>
      <c r="E504" s="1384"/>
      <c r="F504" s="1384"/>
      <c r="G504" s="1384"/>
      <c r="H504" s="1385"/>
      <c r="I504" t="s">
        <v>413</v>
      </c>
      <c r="AC504" s="1348">
        <v>11</v>
      </c>
      <c r="AD504" s="1349"/>
      <c r="AE504" s="1349"/>
      <c r="AF504" s="1349"/>
      <c r="AG504" s="13" t="s">
        <v>404</v>
      </c>
      <c r="AH504" s="1326">
        <v>2023</v>
      </c>
      <c r="AI504" s="1326"/>
      <c r="AJ504" s="1326"/>
      <c r="AK504" s="132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383"/>
      <c r="C505" s="1384"/>
      <c r="D505" s="1384"/>
      <c r="E505" s="1384"/>
      <c r="F505" s="1384"/>
      <c r="G505" s="1384"/>
      <c r="H505" s="1385"/>
      <c r="I505" s="3" t="s">
        <v>414</v>
      </c>
      <c r="AC505" s="1350">
        <v>11</v>
      </c>
      <c r="AD505" s="1351"/>
      <c r="AE505" s="1351"/>
      <c r="AF505" s="1351"/>
      <c r="AG505" s="13" t="s">
        <v>404</v>
      </c>
      <c r="AH505" s="1326">
        <v>2023</v>
      </c>
      <c r="AI505" s="1326"/>
      <c r="AJ505" s="1326"/>
      <c r="AK505" s="132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383"/>
      <c r="C506" s="1384"/>
      <c r="D506" s="1384"/>
      <c r="E506" s="1384"/>
      <c r="F506" s="1384"/>
      <c r="G506" s="1384"/>
      <c r="H506" s="1385"/>
      <c r="I506" s="933" t="s">
        <v>170</v>
      </c>
      <c r="J506" s="48"/>
      <c r="K506" s="48"/>
      <c r="L506" s="1378" t="s">
        <v>335</v>
      </c>
      <c r="M506" s="1379"/>
      <c r="N506" s="1379"/>
      <c r="O506" s="1379"/>
      <c r="P506" s="1379"/>
      <c r="Q506" s="1379"/>
      <c r="R506" s="1379"/>
      <c r="S506" s="1379"/>
      <c r="T506" s="1379"/>
      <c r="U506" s="1379"/>
      <c r="V506" s="1379"/>
      <c r="W506" s="1379"/>
      <c r="X506" s="1379"/>
      <c r="Y506" s="1379"/>
      <c r="Z506" s="1379"/>
      <c r="AA506" s="1379"/>
      <c r="AB506" s="1405"/>
      <c r="AC506" s="1348" t="s">
        <v>600</v>
      </c>
      <c r="AD506" s="1349"/>
      <c r="AE506" s="1349"/>
      <c r="AF506" s="1349"/>
      <c r="AG506" s="38" t="s">
        <v>404</v>
      </c>
      <c r="AH506" s="1326"/>
      <c r="AI506" s="1326"/>
      <c r="AJ506" s="1326"/>
      <c r="AK506" s="132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1857</v>
      </c>
      <c r="AC507" s="1328" t="s">
        <v>678</v>
      </c>
      <c r="AD507" s="1328"/>
      <c r="AE507" s="1328"/>
      <c r="AF507" s="1328"/>
      <c r="AG507" s="13"/>
      <c r="AH507" s="1299"/>
      <c r="AI507" s="1299"/>
      <c r="AJ507" s="1299"/>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1854</v>
      </c>
      <c r="AC508" s="1350"/>
      <c r="AD508" s="1351"/>
      <c r="AE508" s="1351"/>
      <c r="AF508" s="1352"/>
      <c r="AG508" s="13"/>
      <c r="AH508" s="1299"/>
      <c r="AI508" s="1299"/>
      <c r="AJ508" s="1299"/>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54"/>
      <c r="AD510" s="1355"/>
      <c r="AE510" s="1355"/>
      <c r="AF510" s="1356"/>
      <c r="AG510" s="38"/>
      <c r="AH510" s="1357"/>
      <c r="AI510" s="1357"/>
      <c r="AJ510" s="1357"/>
      <c r="AK510" s="13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22" t="s">
        <v>403</v>
      </c>
      <c r="AD511" s="1423"/>
      <c r="AE511" s="1423"/>
      <c r="AF511" s="1423"/>
      <c r="AG511" s="38" t="s">
        <v>404</v>
      </c>
      <c r="AH511" s="1423" t="s">
        <v>405</v>
      </c>
      <c r="AI511" s="1423"/>
      <c r="AJ511" s="1423"/>
      <c r="AK511" s="142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380" t="s">
        <v>415</v>
      </c>
      <c r="C512" s="1381"/>
      <c r="D512" s="1381"/>
      <c r="E512" s="1381"/>
      <c r="F512" s="1381"/>
      <c r="G512" s="1381"/>
      <c r="H512" s="1382"/>
      <c r="I512" s="42" t="s">
        <v>416</v>
      </c>
      <c r="J512" s="42"/>
      <c r="K512" s="42"/>
      <c r="L512" s="42"/>
      <c r="M512" s="42"/>
      <c r="N512" s="42"/>
      <c r="O512" s="42"/>
      <c r="P512" s="42"/>
      <c r="Q512" s="42"/>
      <c r="R512" s="42"/>
      <c r="S512" s="42"/>
      <c r="T512" s="42"/>
      <c r="U512" s="42"/>
      <c r="V512" s="42"/>
      <c r="W512" s="42"/>
      <c r="AC512" s="1348">
        <v>9</v>
      </c>
      <c r="AD512" s="1349"/>
      <c r="AE512" s="1349"/>
      <c r="AF512" s="1349"/>
      <c r="AG512" s="13" t="s">
        <v>404</v>
      </c>
      <c r="AH512" s="1326">
        <v>2023</v>
      </c>
      <c r="AI512" s="1326"/>
      <c r="AJ512" s="1326"/>
      <c r="AK512" s="1327"/>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383"/>
      <c r="C513" s="1384"/>
      <c r="D513" s="1384"/>
      <c r="E513" s="1384"/>
      <c r="F513" s="1384"/>
      <c r="G513" s="1384"/>
      <c r="H513" s="1385"/>
      <c r="I513" t="s">
        <v>417</v>
      </c>
      <c r="AC513" s="1348" t="s">
        <v>600</v>
      </c>
      <c r="AD513" s="1349"/>
      <c r="AE513" s="1349"/>
      <c r="AF513" s="1349"/>
      <c r="AG513" s="13" t="s">
        <v>404</v>
      </c>
      <c r="AH513" s="1326"/>
      <c r="AI513" s="1326"/>
      <c r="AJ513" s="1326"/>
      <c r="AK513" s="1327"/>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383"/>
      <c r="C514" s="1384"/>
      <c r="D514" s="1384"/>
      <c r="E514" s="1384"/>
      <c r="F514" s="1384"/>
      <c r="G514" s="1384"/>
      <c r="H514" s="1385"/>
      <c r="I514" s="48" t="s">
        <v>418</v>
      </c>
      <c r="J514" s="48"/>
      <c r="K514" s="48"/>
      <c r="L514" s="48"/>
      <c r="M514" s="48"/>
      <c r="N514" s="48"/>
      <c r="O514" s="48"/>
      <c r="P514" s="48"/>
      <c r="Q514" s="48"/>
      <c r="R514" s="48"/>
      <c r="S514" s="48"/>
      <c r="T514" s="48"/>
      <c r="U514" s="48"/>
      <c r="V514" s="48"/>
      <c r="W514" s="48"/>
      <c r="X514" s="48"/>
      <c r="Y514" s="48"/>
      <c r="Z514" s="48"/>
      <c r="AA514" s="48"/>
      <c r="AB514" s="48"/>
      <c r="AC514" s="1348">
        <v>4</v>
      </c>
      <c r="AD514" s="1349"/>
      <c r="AE514" s="1349"/>
      <c r="AF514" s="1349"/>
      <c r="AG514" s="38" t="s">
        <v>404</v>
      </c>
      <c r="AH514" s="1326">
        <v>2024</v>
      </c>
      <c r="AI514" s="1326"/>
      <c r="AJ514" s="1326"/>
      <c r="AK514" s="1327"/>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380" t="s">
        <v>419</v>
      </c>
      <c r="C515" s="1381"/>
      <c r="D515" s="1381"/>
      <c r="E515" s="1381"/>
      <c r="F515" s="1381"/>
      <c r="G515" s="1381"/>
      <c r="H515" s="1382"/>
      <c r="I515" s="42" t="s">
        <v>416</v>
      </c>
      <c r="J515" s="42"/>
      <c r="K515" s="42"/>
      <c r="L515" s="42"/>
      <c r="M515" s="42"/>
      <c r="N515" s="42"/>
      <c r="O515" s="42"/>
      <c r="P515" s="42"/>
      <c r="Q515" s="42"/>
      <c r="R515" s="42"/>
      <c r="S515" s="42"/>
      <c r="T515" s="42"/>
      <c r="U515" s="42"/>
      <c r="V515" s="42"/>
      <c r="W515" s="42"/>
      <c r="X515" s="42"/>
      <c r="Y515" s="42"/>
      <c r="Z515" s="42"/>
      <c r="AA515" s="42"/>
      <c r="AB515" s="42"/>
      <c r="AC515" s="1350">
        <v>9</v>
      </c>
      <c r="AD515" s="1351"/>
      <c r="AE515" s="1351"/>
      <c r="AF515" s="1351"/>
      <c r="AG515" s="129" t="s">
        <v>404</v>
      </c>
      <c r="AH515" s="1326">
        <v>2023</v>
      </c>
      <c r="AI515" s="1326"/>
      <c r="AJ515" s="1326"/>
      <c r="AK515" s="1327"/>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383"/>
      <c r="C516" s="1384"/>
      <c r="D516" s="1384"/>
      <c r="E516" s="1384"/>
      <c r="F516" s="1384"/>
      <c r="G516" s="1384"/>
      <c r="H516" s="1385"/>
      <c r="I516" t="s">
        <v>417</v>
      </c>
      <c r="AC516" s="1348" t="s">
        <v>600</v>
      </c>
      <c r="AD516" s="1349"/>
      <c r="AE516" s="1349"/>
      <c r="AF516" s="1349"/>
      <c r="AG516" s="13" t="s">
        <v>404</v>
      </c>
      <c r="AH516" s="1326"/>
      <c r="AI516" s="1326"/>
      <c r="AJ516" s="1326"/>
      <c r="AK516" s="1327"/>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386"/>
      <c r="C517" s="1387"/>
      <c r="D517" s="1387"/>
      <c r="E517" s="1387"/>
      <c r="F517" s="1387"/>
      <c r="G517" s="1387"/>
      <c r="H517" s="1388"/>
      <c r="I517" s="48" t="s">
        <v>418</v>
      </c>
      <c r="J517" s="48"/>
      <c r="K517" s="48"/>
      <c r="L517" s="48"/>
      <c r="M517" s="48"/>
      <c r="N517" s="48"/>
      <c r="O517" s="48"/>
      <c r="P517" s="48"/>
      <c r="Q517" s="48"/>
      <c r="R517" s="48"/>
      <c r="S517" s="48"/>
      <c r="T517" s="48"/>
      <c r="U517" s="48"/>
      <c r="V517" s="48"/>
      <c r="W517" s="48"/>
      <c r="X517" s="48"/>
      <c r="Y517" s="48"/>
      <c r="Z517" s="48"/>
      <c r="AA517" s="48"/>
      <c r="AB517" s="48"/>
      <c r="AC517" s="1348">
        <v>4</v>
      </c>
      <c r="AD517" s="1349"/>
      <c r="AE517" s="1349"/>
      <c r="AF517" s="1349"/>
      <c r="AG517" s="38" t="s">
        <v>404</v>
      </c>
      <c r="AH517" s="1326">
        <v>2024</v>
      </c>
      <c r="AI517" s="1326"/>
      <c r="AJ517" s="1326"/>
      <c r="AK517" s="1327"/>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380" t="s">
        <v>420</v>
      </c>
      <c r="C518" s="1381"/>
      <c r="D518" s="1381"/>
      <c r="E518" s="1381"/>
      <c r="F518" s="1381"/>
      <c r="G518" s="1381"/>
      <c r="H518" s="1382"/>
      <c r="I518" s="41" t="s">
        <v>421</v>
      </c>
      <c r="J518" s="42"/>
      <c r="K518" s="42"/>
      <c r="L518" s="42"/>
      <c r="M518" s="42"/>
      <c r="N518" s="42"/>
      <c r="O518" s="1378" t="s">
        <v>2737</v>
      </c>
      <c r="P518" s="1379"/>
      <c r="Q518" s="1379"/>
      <c r="R518" s="1379"/>
      <c r="S518" s="1379"/>
      <c r="T518" s="1379"/>
      <c r="U518" s="1379"/>
      <c r="V518" s="1379"/>
      <c r="W518" s="1379"/>
      <c r="X518" s="1379"/>
      <c r="Y518" s="1379"/>
      <c r="Z518" s="1379"/>
      <c r="AA518" s="1379"/>
      <c r="AB518" s="58"/>
      <c r="AC518" s="1350" t="s">
        <v>600</v>
      </c>
      <c r="AD518" s="1351"/>
      <c r="AE518" s="1351"/>
      <c r="AF518" s="1351"/>
      <c r="AG518" s="129" t="s">
        <v>404</v>
      </c>
      <c r="AH518" s="1326"/>
      <c r="AI518" s="1326"/>
      <c r="AJ518" s="1326"/>
      <c r="AK518" s="1327"/>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383"/>
      <c r="C519" s="1384"/>
      <c r="D519" s="1384"/>
      <c r="E519" s="1384"/>
      <c r="F519" s="1384"/>
      <c r="G519" s="1384"/>
      <c r="H519" s="1385"/>
      <c r="I519" s="114" t="s">
        <v>422</v>
      </c>
      <c r="AB519" s="65"/>
      <c r="AC519" s="1348">
        <v>6</v>
      </c>
      <c r="AD519" s="1349"/>
      <c r="AE519" s="1349"/>
      <c r="AF519" s="1349"/>
      <c r="AG519" s="13" t="s">
        <v>404</v>
      </c>
      <c r="AH519" s="1326">
        <v>2022</v>
      </c>
      <c r="AI519" s="1326"/>
      <c r="AJ519" s="1326"/>
      <c r="AK519" s="1327"/>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383"/>
      <c r="C520" s="1384"/>
      <c r="D520" s="1384"/>
      <c r="E520" s="1384"/>
      <c r="F520" s="1384"/>
      <c r="G520" s="1384"/>
      <c r="H520" s="1385"/>
      <c r="I520" s="47" t="s">
        <v>423</v>
      </c>
      <c r="J520" s="48"/>
      <c r="K520" s="48"/>
      <c r="L520" s="48"/>
      <c r="M520" s="48"/>
      <c r="N520" s="48"/>
      <c r="O520" s="48"/>
      <c r="P520" s="48"/>
      <c r="Q520" s="48"/>
      <c r="R520" s="48"/>
      <c r="S520" s="48"/>
      <c r="T520" s="48"/>
      <c r="U520" s="48"/>
      <c r="V520" s="48"/>
      <c r="W520" s="48"/>
      <c r="X520" s="48"/>
      <c r="Y520" s="48"/>
      <c r="Z520" s="48"/>
      <c r="AA520" s="48"/>
      <c r="AB520" s="49"/>
      <c r="AC520" s="1348">
        <v>11</v>
      </c>
      <c r="AD520" s="1349"/>
      <c r="AE520" s="1349"/>
      <c r="AF520" s="1349"/>
      <c r="AG520" s="38" t="s">
        <v>404</v>
      </c>
      <c r="AH520" s="1326">
        <v>2022</v>
      </c>
      <c r="AI520" s="1326"/>
      <c r="AJ520" s="1326"/>
      <c r="AK520" s="1327"/>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383"/>
      <c r="C521" s="1384"/>
      <c r="D521" s="1384"/>
      <c r="E521" s="1384"/>
      <c r="F521" s="1384"/>
      <c r="G521" s="1384"/>
      <c r="H521" s="1385"/>
      <c r="I521" s="42" t="s">
        <v>424</v>
      </c>
      <c r="J521" s="42"/>
      <c r="K521" s="42"/>
      <c r="L521" s="42"/>
      <c r="M521" s="42"/>
      <c r="N521" s="42"/>
      <c r="O521" s="1378" t="s">
        <v>335</v>
      </c>
      <c r="P521" s="1379"/>
      <c r="Q521" s="1379"/>
      <c r="R521" s="1379"/>
      <c r="S521" s="1379"/>
      <c r="T521" s="1379"/>
      <c r="U521" s="1379"/>
      <c r="V521" s="1379"/>
      <c r="W521" s="1379"/>
      <c r="X521" s="1379"/>
      <c r="Y521" s="1379"/>
      <c r="Z521" s="1379"/>
      <c r="AA521" s="1379"/>
      <c r="AC521" s="1348" t="s">
        <v>600</v>
      </c>
      <c r="AD521" s="1349"/>
      <c r="AE521" s="1349"/>
      <c r="AF521" s="1349"/>
      <c r="AG521" s="13" t="s">
        <v>404</v>
      </c>
      <c r="AH521" s="1326"/>
      <c r="AI521" s="1326"/>
      <c r="AJ521" s="1326"/>
      <c r="AK521" s="1327"/>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383"/>
      <c r="C522" s="1384"/>
      <c r="D522" s="1384"/>
      <c r="E522" s="1384"/>
      <c r="F522" s="1384"/>
      <c r="G522" s="1384"/>
      <c r="H522" s="1385"/>
      <c r="I522" t="s">
        <v>422</v>
      </c>
      <c r="AC522" s="1348" t="s">
        <v>600</v>
      </c>
      <c r="AD522" s="1349"/>
      <c r="AE522" s="1349"/>
      <c r="AF522" s="1349"/>
      <c r="AG522" s="13" t="s">
        <v>404</v>
      </c>
      <c r="AH522" s="1326"/>
      <c r="AI522" s="1326"/>
      <c r="AJ522" s="1326"/>
      <c r="AK522" s="1327"/>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383"/>
      <c r="C523" s="1384"/>
      <c r="D523" s="1384"/>
      <c r="E523" s="1384"/>
      <c r="F523" s="1384"/>
      <c r="G523" s="1384"/>
      <c r="H523" s="1385"/>
      <c r="I523" s="48" t="s">
        <v>423</v>
      </c>
      <c r="J523" s="48"/>
      <c r="K523" s="48"/>
      <c r="L523" s="48"/>
      <c r="M523" s="48"/>
      <c r="N523" s="48"/>
      <c r="O523" s="48"/>
      <c r="P523" s="48"/>
      <c r="Q523" s="48"/>
      <c r="R523" s="48"/>
      <c r="S523" s="48"/>
      <c r="T523" s="48"/>
      <c r="U523" s="48"/>
      <c r="V523" s="48"/>
      <c r="W523" s="48"/>
      <c r="X523" s="48"/>
      <c r="Y523" s="48"/>
      <c r="Z523" s="48"/>
      <c r="AA523" s="48"/>
      <c r="AB523" s="48"/>
      <c r="AC523" s="1348" t="s">
        <v>600</v>
      </c>
      <c r="AD523" s="1349"/>
      <c r="AE523" s="1349"/>
      <c r="AF523" s="1349"/>
      <c r="AG523" s="38" t="s">
        <v>404</v>
      </c>
      <c r="AH523" s="1326"/>
      <c r="AI523" s="1326"/>
      <c r="AJ523" s="1326"/>
      <c r="AK523" s="1327"/>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383"/>
      <c r="C524" s="1384"/>
      <c r="D524" s="1384"/>
      <c r="E524" s="1384"/>
      <c r="F524" s="1384"/>
      <c r="G524" s="1384"/>
      <c r="H524" s="1385"/>
      <c r="I524" s="42" t="s">
        <v>424</v>
      </c>
      <c r="J524" s="42"/>
      <c r="K524" s="42"/>
      <c r="L524" s="42"/>
      <c r="M524" s="42"/>
      <c r="N524" s="42"/>
      <c r="O524" s="1378" t="s">
        <v>335</v>
      </c>
      <c r="P524" s="1379"/>
      <c r="Q524" s="1379"/>
      <c r="R524" s="1379"/>
      <c r="S524" s="1379"/>
      <c r="T524" s="1379"/>
      <c r="U524" s="1379"/>
      <c r="V524" s="1379"/>
      <c r="W524" s="1379"/>
      <c r="X524" s="1379"/>
      <c r="Y524" s="1379"/>
      <c r="Z524" s="1379"/>
      <c r="AA524" s="1379"/>
      <c r="AC524" s="1348" t="s">
        <v>600</v>
      </c>
      <c r="AD524" s="1349"/>
      <c r="AE524" s="1349"/>
      <c r="AF524" s="1349"/>
      <c r="AG524" s="13" t="s">
        <v>404</v>
      </c>
      <c r="AH524" s="1326"/>
      <c r="AI524" s="1326"/>
      <c r="AJ524" s="1326"/>
      <c r="AK524" s="1327"/>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383"/>
      <c r="C525" s="1384"/>
      <c r="D525" s="1384"/>
      <c r="E525" s="1384"/>
      <c r="F525" s="1384"/>
      <c r="G525" s="1384"/>
      <c r="H525" s="1385"/>
      <c r="I525" t="s">
        <v>422</v>
      </c>
      <c r="AC525" s="1348" t="s">
        <v>600</v>
      </c>
      <c r="AD525" s="1349"/>
      <c r="AE525" s="1349"/>
      <c r="AF525" s="1349"/>
      <c r="AG525" s="13" t="s">
        <v>404</v>
      </c>
      <c r="AH525" s="1326"/>
      <c r="AI525" s="1326"/>
      <c r="AJ525" s="1326"/>
      <c r="AK525" s="1327"/>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383"/>
      <c r="C526" s="1384"/>
      <c r="D526" s="1384"/>
      <c r="E526" s="1384"/>
      <c r="F526" s="1384"/>
      <c r="G526" s="1384"/>
      <c r="H526" s="1385"/>
      <c r="I526" s="48" t="s">
        <v>423</v>
      </c>
      <c r="J526" s="48"/>
      <c r="K526" s="48"/>
      <c r="L526" s="48"/>
      <c r="M526" s="48"/>
      <c r="N526" s="48"/>
      <c r="O526" s="48"/>
      <c r="P526" s="48"/>
      <c r="Q526" s="48"/>
      <c r="R526" s="48"/>
      <c r="S526" s="48"/>
      <c r="T526" s="48"/>
      <c r="U526" s="48"/>
      <c r="V526" s="48"/>
      <c r="W526" s="48"/>
      <c r="X526" s="48"/>
      <c r="Y526" s="48"/>
      <c r="Z526" s="48"/>
      <c r="AA526" s="48"/>
      <c r="AB526" s="48"/>
      <c r="AC526" s="1348" t="s">
        <v>600</v>
      </c>
      <c r="AD526" s="1349"/>
      <c r="AE526" s="1349"/>
      <c r="AF526" s="1349"/>
      <c r="AG526" s="38" t="s">
        <v>404</v>
      </c>
      <c r="AH526" s="1326"/>
      <c r="AI526" s="1326"/>
      <c r="AJ526" s="1326"/>
      <c r="AK526" s="1327"/>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383"/>
      <c r="C527" s="1384"/>
      <c r="D527" s="1384"/>
      <c r="E527" s="1384"/>
      <c r="F527" s="1384"/>
      <c r="G527" s="1384"/>
      <c r="H527" s="1385"/>
      <c r="I527" s="42" t="s">
        <v>424</v>
      </c>
      <c r="J527" s="42"/>
      <c r="K527" s="42"/>
      <c r="L527" s="42"/>
      <c r="M527" s="42"/>
      <c r="N527" s="42"/>
      <c r="O527" s="1378" t="s">
        <v>335</v>
      </c>
      <c r="P527" s="1379"/>
      <c r="Q527" s="1379"/>
      <c r="R527" s="1379"/>
      <c r="S527" s="1379"/>
      <c r="T527" s="1379"/>
      <c r="U527" s="1379"/>
      <c r="V527" s="1379"/>
      <c r="W527" s="1379"/>
      <c r="X527" s="1379"/>
      <c r="Y527" s="1379"/>
      <c r="Z527" s="1379"/>
      <c r="AA527" s="1379"/>
      <c r="AC527" s="1348" t="s">
        <v>600</v>
      </c>
      <c r="AD527" s="1349"/>
      <c r="AE527" s="1349"/>
      <c r="AF527" s="1349"/>
      <c r="AG527" s="13" t="s">
        <v>404</v>
      </c>
      <c r="AH527" s="1326"/>
      <c r="AI527" s="1326"/>
      <c r="AJ527" s="1326"/>
      <c r="AK527" s="1327"/>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383"/>
      <c r="C528" s="1384"/>
      <c r="D528" s="1384"/>
      <c r="E528" s="1384"/>
      <c r="F528" s="1384"/>
      <c r="G528" s="1384"/>
      <c r="H528" s="1385"/>
      <c r="I528" t="s">
        <v>422</v>
      </c>
      <c r="AC528" s="1348" t="s">
        <v>600</v>
      </c>
      <c r="AD528" s="1349"/>
      <c r="AE528" s="1349"/>
      <c r="AF528" s="1349"/>
      <c r="AG528" s="13" t="s">
        <v>404</v>
      </c>
      <c r="AH528" s="1326"/>
      <c r="AI528" s="1326"/>
      <c r="AJ528" s="1326"/>
      <c r="AK528" s="1327"/>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383"/>
      <c r="C529" s="1384"/>
      <c r="D529" s="1384"/>
      <c r="E529" s="1384"/>
      <c r="F529" s="1384"/>
      <c r="G529" s="1384"/>
      <c r="H529" s="1385"/>
      <c r="I529" s="48" t="s">
        <v>423</v>
      </c>
      <c r="J529" s="48"/>
      <c r="K529" s="48"/>
      <c r="L529" s="48"/>
      <c r="M529" s="48"/>
      <c r="N529" s="48"/>
      <c r="O529" s="48"/>
      <c r="P529" s="48"/>
      <c r="Q529" s="48"/>
      <c r="R529" s="48"/>
      <c r="S529" s="48"/>
      <c r="T529" s="48"/>
      <c r="U529" s="48"/>
      <c r="V529" s="48"/>
      <c r="W529" s="48"/>
      <c r="X529" s="48"/>
      <c r="Y529" s="48"/>
      <c r="Z529" s="48"/>
      <c r="AA529" s="48"/>
      <c r="AB529" s="48"/>
      <c r="AC529" s="1348" t="s">
        <v>600</v>
      </c>
      <c r="AD529" s="1349"/>
      <c r="AE529" s="1349"/>
      <c r="AF529" s="1349"/>
      <c r="AG529" s="38" t="s">
        <v>404</v>
      </c>
      <c r="AH529" s="1326"/>
      <c r="AI529" s="1326"/>
      <c r="AJ529" s="1326"/>
      <c r="AK529" s="1327"/>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383"/>
      <c r="C530" s="1384"/>
      <c r="D530" s="1384"/>
      <c r="E530" s="1384"/>
      <c r="F530" s="1384"/>
      <c r="G530" s="1384"/>
      <c r="H530" s="1385"/>
      <c r="I530" s="42" t="s">
        <v>424</v>
      </c>
      <c r="J530" s="42"/>
      <c r="K530" s="42"/>
      <c r="L530" s="42"/>
      <c r="M530" s="42"/>
      <c r="N530" s="42"/>
      <c r="O530" s="1378" t="s">
        <v>335</v>
      </c>
      <c r="P530" s="1379"/>
      <c r="Q530" s="1379"/>
      <c r="R530" s="1379"/>
      <c r="S530" s="1379"/>
      <c r="T530" s="1379"/>
      <c r="U530" s="1379"/>
      <c r="V530" s="1379"/>
      <c r="W530" s="1379"/>
      <c r="X530" s="1379"/>
      <c r="Y530" s="1379"/>
      <c r="Z530" s="1379"/>
      <c r="AA530" s="1379"/>
      <c r="AC530" s="1348" t="s">
        <v>600</v>
      </c>
      <c r="AD530" s="1349"/>
      <c r="AE530" s="1349"/>
      <c r="AF530" s="1349"/>
      <c r="AG530" s="13" t="s">
        <v>404</v>
      </c>
      <c r="AH530" s="1326"/>
      <c r="AI530" s="1326"/>
      <c r="AJ530" s="1326"/>
      <c r="AK530" s="1327"/>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383"/>
      <c r="C531" s="1384"/>
      <c r="D531" s="1384"/>
      <c r="E531" s="1384"/>
      <c r="F531" s="1384"/>
      <c r="G531" s="1384"/>
      <c r="H531" s="1385"/>
      <c r="I531" t="s">
        <v>422</v>
      </c>
      <c r="AC531" s="1348" t="s">
        <v>600</v>
      </c>
      <c r="AD531" s="1349"/>
      <c r="AE531" s="1349"/>
      <c r="AF531" s="1349"/>
      <c r="AG531" s="38" t="s">
        <v>404</v>
      </c>
      <c r="AH531" s="1326"/>
      <c r="AI531" s="1326"/>
      <c r="AJ531" s="1326"/>
      <c r="AK531" s="1327"/>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383"/>
      <c r="C532" s="1384"/>
      <c r="D532" s="1384"/>
      <c r="E532" s="1384"/>
      <c r="F532" s="1384"/>
      <c r="G532" s="1384"/>
      <c r="H532" s="1385"/>
      <c r="I532" s="48" t="s">
        <v>423</v>
      </c>
      <c r="J532" s="48"/>
      <c r="K532" s="48"/>
      <c r="L532" s="48"/>
      <c r="M532" s="48"/>
      <c r="N532" s="48"/>
      <c r="O532" s="48"/>
      <c r="P532" s="48"/>
      <c r="Q532" s="48"/>
      <c r="R532" s="48"/>
      <c r="S532" s="48"/>
      <c r="T532" s="48"/>
      <c r="U532" s="48"/>
      <c r="V532" s="48"/>
      <c r="W532" s="48"/>
      <c r="X532" s="48"/>
      <c r="Y532" s="48"/>
      <c r="Z532" s="48"/>
      <c r="AA532" s="48"/>
      <c r="AB532" s="48"/>
      <c r="AC532" s="1348" t="s">
        <v>600</v>
      </c>
      <c r="AD532" s="1349"/>
      <c r="AE532" s="1349"/>
      <c r="AF532" s="1349"/>
      <c r="AG532" s="13" t="s">
        <v>404</v>
      </c>
      <c r="AH532" s="1326"/>
      <c r="AI532" s="1326"/>
      <c r="AJ532" s="1326"/>
      <c r="AK532" s="1327"/>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383"/>
      <c r="C533" s="1384"/>
      <c r="D533" s="1384"/>
      <c r="E533" s="1384"/>
      <c r="F533" s="1384"/>
      <c r="G533" s="1384"/>
      <c r="H533" s="1385"/>
      <c r="I533" s="42" t="s">
        <v>424</v>
      </c>
      <c r="J533" s="42"/>
      <c r="K533" s="42"/>
      <c r="L533" s="42"/>
      <c r="M533" s="42"/>
      <c r="N533" s="42"/>
      <c r="O533" s="1378" t="s">
        <v>335</v>
      </c>
      <c r="P533" s="1379"/>
      <c r="Q533" s="1379"/>
      <c r="R533" s="1379"/>
      <c r="S533" s="1379"/>
      <c r="T533" s="1379"/>
      <c r="U533" s="1379"/>
      <c r="V533" s="1379"/>
      <c r="W533" s="1379"/>
      <c r="X533" s="1379"/>
      <c r="Y533" s="1379"/>
      <c r="Z533" s="1379"/>
      <c r="AA533" s="1379"/>
      <c r="AC533" s="1348" t="s">
        <v>600</v>
      </c>
      <c r="AD533" s="1349"/>
      <c r="AE533" s="1349"/>
      <c r="AF533" s="1349"/>
      <c r="AG533" s="38" t="s">
        <v>404</v>
      </c>
      <c r="AH533" s="1326"/>
      <c r="AI533" s="1326"/>
      <c r="AJ533" s="1326"/>
      <c r="AK533" s="1327"/>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383"/>
      <c r="C534" s="1384"/>
      <c r="D534" s="1384"/>
      <c r="E534" s="1384"/>
      <c r="F534" s="1384"/>
      <c r="G534" s="1384"/>
      <c r="H534" s="1385"/>
      <c r="I534" t="s">
        <v>422</v>
      </c>
      <c r="AC534" s="1348" t="s">
        <v>600</v>
      </c>
      <c r="AD534" s="1349"/>
      <c r="AE534" s="1349"/>
      <c r="AF534" s="1349"/>
      <c r="AG534" s="13" t="s">
        <v>404</v>
      </c>
      <c r="AH534" s="1326"/>
      <c r="AI534" s="1326"/>
      <c r="AJ534" s="1326"/>
      <c r="AK534" s="1327"/>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383"/>
      <c r="C535" s="1384"/>
      <c r="D535" s="1384"/>
      <c r="E535" s="1384"/>
      <c r="F535" s="1384"/>
      <c r="G535" s="1384"/>
      <c r="H535" s="1385"/>
      <c r="I535" s="48" t="s">
        <v>423</v>
      </c>
      <c r="J535" s="48"/>
      <c r="K535" s="48"/>
      <c r="L535" s="48"/>
      <c r="M535" s="48"/>
      <c r="N535" s="48"/>
      <c r="O535" s="48"/>
      <c r="P535" s="48"/>
      <c r="Q535" s="48"/>
      <c r="R535" s="48"/>
      <c r="S535" s="48"/>
      <c r="T535" s="48"/>
      <c r="U535" s="48"/>
      <c r="V535" s="48"/>
      <c r="W535" s="48"/>
      <c r="X535" s="48"/>
      <c r="Y535" s="48"/>
      <c r="Z535" s="48"/>
      <c r="AA535" s="48"/>
      <c r="AB535" s="48"/>
      <c r="AC535" s="1348" t="s">
        <v>600</v>
      </c>
      <c r="AD535" s="1349"/>
      <c r="AE535" s="1349"/>
      <c r="AF535" s="1349"/>
      <c r="AG535" s="38" t="s">
        <v>404</v>
      </c>
      <c r="AH535" s="1326"/>
      <c r="AI535" s="1326"/>
      <c r="AJ535" s="1326"/>
      <c r="AK535" s="1327"/>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383"/>
      <c r="C536" s="1384"/>
      <c r="D536" s="1384"/>
      <c r="E536" s="1384"/>
      <c r="F536" s="1384"/>
      <c r="G536" s="1384"/>
      <c r="H536" s="1385"/>
      <c r="I536" s="42" t="s">
        <v>571</v>
      </c>
      <c r="J536" s="42"/>
      <c r="K536" s="42"/>
      <c r="L536" s="42"/>
      <c r="M536" s="42"/>
      <c r="N536" s="42"/>
      <c r="O536" s="42"/>
      <c r="P536" s="42"/>
      <c r="Q536" s="42"/>
      <c r="R536" s="42"/>
      <c r="S536" s="42"/>
      <c r="T536" s="42"/>
      <c r="U536" s="42"/>
      <c r="V536" s="42"/>
      <c r="W536" s="42"/>
      <c r="AC536" s="1348" t="s">
        <v>600</v>
      </c>
      <c r="AD536" s="1349"/>
      <c r="AE536" s="1349"/>
      <c r="AF536" s="1349"/>
      <c r="AG536" s="38" t="s">
        <v>404</v>
      </c>
      <c r="AH536" s="1326"/>
      <c r="AI536" s="1326"/>
      <c r="AJ536" s="1326"/>
      <c r="AK536" s="1327"/>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383"/>
      <c r="C537" s="1384"/>
      <c r="D537" s="1384"/>
      <c r="E537" s="1384"/>
      <c r="F537" s="1384"/>
      <c r="G537" s="1384"/>
      <c r="H537" s="1385"/>
      <c r="I537" t="s">
        <v>572</v>
      </c>
      <c r="AC537" s="1348">
        <v>4</v>
      </c>
      <c r="AD537" s="1349"/>
      <c r="AE537" s="1349"/>
      <c r="AF537" s="1349"/>
      <c r="AG537" s="13" t="s">
        <v>404</v>
      </c>
      <c r="AH537" s="1326">
        <v>2024</v>
      </c>
      <c r="AI537" s="1326"/>
      <c r="AJ537" s="1326"/>
      <c r="AK537" s="132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383"/>
      <c r="C538" s="1384"/>
      <c r="D538" s="1384"/>
      <c r="E538" s="1384"/>
      <c r="F538" s="1384"/>
      <c r="G538" s="1384"/>
      <c r="H538" s="1385"/>
      <c r="I538" t="s">
        <v>573</v>
      </c>
      <c r="AC538" s="1348">
        <v>10</v>
      </c>
      <c r="AD538" s="1349"/>
      <c r="AE538" s="1349"/>
      <c r="AF538" s="1349"/>
      <c r="AG538" s="38" t="s">
        <v>404</v>
      </c>
      <c r="AH538" s="1326">
        <v>2025</v>
      </c>
      <c r="AI538" s="1326"/>
      <c r="AJ538" s="1326"/>
      <c r="AK538" s="132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383"/>
      <c r="C539" s="1384"/>
      <c r="D539" s="1384"/>
      <c r="E539" s="1384"/>
      <c r="F539" s="1384"/>
      <c r="G539" s="1384"/>
      <c r="H539" s="1385"/>
      <c r="I539" t="s">
        <v>574</v>
      </c>
      <c r="AC539" s="1348">
        <v>7</v>
      </c>
      <c r="AD539" s="1349"/>
      <c r="AE539" s="1349"/>
      <c r="AF539" s="1349"/>
      <c r="AG539" s="38" t="s">
        <v>404</v>
      </c>
      <c r="AH539" s="1326">
        <v>2026</v>
      </c>
      <c r="AI539" s="1326"/>
      <c r="AJ539" s="1326"/>
      <c r="AK539" s="132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386"/>
      <c r="C540" s="1387"/>
      <c r="D540" s="1387"/>
      <c r="E540" s="1387"/>
      <c r="F540" s="1387"/>
      <c r="G540" s="1387"/>
      <c r="H540" s="1388"/>
      <c r="I540" s="48" t="s">
        <v>460</v>
      </c>
      <c r="J540" s="48"/>
      <c r="K540" s="48"/>
      <c r="L540" s="48"/>
      <c r="M540" s="48"/>
      <c r="N540" s="48"/>
      <c r="O540" s="48"/>
      <c r="P540" s="48"/>
      <c r="Q540" s="48"/>
      <c r="R540" s="48"/>
      <c r="S540" s="48"/>
      <c r="T540" s="48"/>
      <c r="U540" s="48"/>
      <c r="V540" s="48"/>
      <c r="W540" s="48"/>
      <c r="X540" s="48"/>
      <c r="Y540" s="48"/>
      <c r="Z540" s="48"/>
      <c r="AA540" s="48"/>
      <c r="AB540" s="48"/>
      <c r="AC540" s="1348">
        <v>3</v>
      </c>
      <c r="AD540" s="1349"/>
      <c r="AE540" s="1349"/>
      <c r="AF540" s="1349"/>
      <c r="AG540" s="38" t="s">
        <v>404</v>
      </c>
      <c r="AH540" s="1326">
        <v>2026</v>
      </c>
      <c r="AI540" s="1326"/>
      <c r="AJ540" s="1326"/>
      <c r="AK540" s="132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45" t="s">
        <v>2525</v>
      </c>
      <c r="C549" s="1346"/>
      <c r="D549" s="1346"/>
      <c r="E549" s="1346"/>
      <c r="F549" s="1346"/>
      <c r="G549" s="1346"/>
      <c r="H549" s="1346"/>
      <c r="I549" s="1346"/>
      <c r="J549" s="1346"/>
      <c r="K549" s="1346"/>
      <c r="L549" s="1347"/>
      <c r="M549" s="1487" t="s">
        <v>2526</v>
      </c>
      <c r="N549" s="1487"/>
      <c r="O549" s="1487"/>
      <c r="P549" s="1487"/>
      <c r="Q549" s="1345" t="s">
        <v>2552</v>
      </c>
      <c r="R549" s="1346"/>
      <c r="S549" s="1347"/>
      <c r="T549" s="1345" t="s">
        <v>2553</v>
      </c>
      <c r="U549" s="1346"/>
      <c r="V549" s="1347"/>
      <c r="W549" s="1345" t="s">
        <v>462</v>
      </c>
      <c r="X549" s="1346"/>
      <c r="Y549" s="1347"/>
      <c r="Z549" s="1345" t="s">
        <v>2115</v>
      </c>
      <c r="AA549" s="1346"/>
      <c r="AB549" s="1346"/>
      <c r="AC549" s="1346"/>
      <c r="AD549" s="1346"/>
      <c r="AE549" s="1345" t="s">
        <v>1936</v>
      </c>
      <c r="AF549" s="1346"/>
      <c r="AG549" s="1346"/>
      <c r="AH549" s="1347"/>
      <c r="AI549" s="1345" t="s">
        <v>1937</v>
      </c>
      <c r="AJ549" s="1346"/>
      <c r="AK549" s="1346"/>
      <c r="AL549" s="1347"/>
      <c r="AM549" s="1345" t="s">
        <v>463</v>
      </c>
      <c r="AN549" s="1346"/>
      <c r="AO549" s="1346"/>
      <c r="AP549" s="1346"/>
      <c r="AQ549" s="1346"/>
      <c r="AR549" s="1346"/>
      <c r="AS549" s="134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45" t="s">
        <v>2739</v>
      </c>
      <c r="D550" s="1445"/>
      <c r="E550" s="1445"/>
      <c r="F550" s="1445"/>
      <c r="G550" s="1445"/>
      <c r="H550" s="1445"/>
      <c r="I550" s="1445"/>
      <c r="J550" s="1445"/>
      <c r="K550" s="1445"/>
      <c r="L550" s="1445"/>
      <c r="M550" s="1445" t="s">
        <v>2542</v>
      </c>
      <c r="N550" s="1445"/>
      <c r="O550" s="1445"/>
      <c r="P550" s="1445"/>
      <c r="Q550" s="1363">
        <v>23</v>
      </c>
      <c r="R550" s="1363"/>
      <c r="S550" s="1364"/>
      <c r="T550" s="1362"/>
      <c r="U550" s="1363"/>
      <c r="V550" s="1364"/>
      <c r="W550" s="1359">
        <v>7.9699999999999993E-2</v>
      </c>
      <c r="X550" s="1360"/>
      <c r="Y550" s="1361"/>
      <c r="Z550" s="1404" t="s">
        <v>2740</v>
      </c>
      <c r="AA550" s="1404"/>
      <c r="AB550" s="1404"/>
      <c r="AC550" s="1404"/>
      <c r="AD550" s="1404"/>
      <c r="AE550" s="1397">
        <v>1</v>
      </c>
      <c r="AF550" s="1398"/>
      <c r="AG550" s="1398"/>
      <c r="AH550" s="1399"/>
      <c r="AI550" s="1419"/>
      <c r="AJ550" s="1420"/>
      <c r="AK550" s="1420"/>
      <c r="AL550" s="1421"/>
      <c r="AM550" s="1339">
        <v>37239587</v>
      </c>
      <c r="AN550" s="1340"/>
      <c r="AO550" s="1340"/>
      <c r="AP550" s="1340"/>
      <c r="AQ550" s="1340"/>
      <c r="AR550" s="1340"/>
      <c r="AS550" s="1341"/>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488" t="s">
        <v>2757</v>
      </c>
      <c r="D551" s="1489"/>
      <c r="E551" s="1489"/>
      <c r="F551" s="1489"/>
      <c r="G551" s="1489"/>
      <c r="H551" s="1489"/>
      <c r="I551" s="1489"/>
      <c r="J551" s="1489"/>
      <c r="K551" s="1489"/>
      <c r="L551" s="1490"/>
      <c r="M551" s="1445" t="s">
        <v>2543</v>
      </c>
      <c r="N551" s="1445"/>
      <c r="O551" s="1445"/>
      <c r="P551" s="1445"/>
      <c r="Q551" s="1362">
        <v>23</v>
      </c>
      <c r="R551" s="1363"/>
      <c r="S551" s="1364"/>
      <c r="T551" s="1362"/>
      <c r="U551" s="1363"/>
      <c r="V551" s="1364"/>
      <c r="W551" s="1359">
        <v>7.9699999999999993E-2</v>
      </c>
      <c r="X551" s="1360"/>
      <c r="Y551" s="1361"/>
      <c r="Z551" s="1404" t="s">
        <v>2740</v>
      </c>
      <c r="AA551" s="1404"/>
      <c r="AB551" s="1404"/>
      <c r="AC551" s="1404"/>
      <c r="AD551" s="1404"/>
      <c r="AE551" s="1397">
        <v>2</v>
      </c>
      <c r="AF551" s="1398"/>
      <c r="AG551" s="1398"/>
      <c r="AH551" s="1399"/>
      <c r="AI551" s="1419"/>
      <c r="AJ551" s="1420"/>
      <c r="AK551" s="1420"/>
      <c r="AL551" s="1421"/>
      <c r="AM551" s="1339">
        <v>2998854</v>
      </c>
      <c r="AN551" s="1340"/>
      <c r="AO551" s="1340"/>
      <c r="AP551" s="1340"/>
      <c r="AQ551" s="1340"/>
      <c r="AR551" s="1340"/>
      <c r="AS551" s="1341"/>
      <c r="AT551" s="1201" t="str">
        <f t="shared" ref="AT551:AT556" si="0">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446" t="s">
        <v>2690</v>
      </c>
      <c r="D552" s="1446"/>
      <c r="E552" s="1446"/>
      <c r="F552" s="1446"/>
      <c r="G552" s="1446"/>
      <c r="H552" s="1446"/>
      <c r="I552" s="1446"/>
      <c r="J552" s="1446"/>
      <c r="K552" s="1446"/>
      <c r="L552" s="1446"/>
      <c r="M552" s="1445" t="s">
        <v>2539</v>
      </c>
      <c r="N552" s="1445"/>
      <c r="O552" s="1445"/>
      <c r="P552" s="1445"/>
      <c r="Q552" s="1362">
        <v>23</v>
      </c>
      <c r="R552" s="1363"/>
      <c r="S552" s="1364"/>
      <c r="T552" s="1362"/>
      <c r="U552" s="1363"/>
      <c r="V552" s="1364"/>
      <c r="W552" s="1359">
        <v>0.03</v>
      </c>
      <c r="X552" s="1360"/>
      <c r="Y552" s="1361"/>
      <c r="Z552" s="1404" t="s">
        <v>2758</v>
      </c>
      <c r="AA552" s="1404"/>
      <c r="AB552" s="1404"/>
      <c r="AC552" s="1404"/>
      <c r="AD552" s="1404"/>
      <c r="AE552" s="1397">
        <v>3</v>
      </c>
      <c r="AF552" s="1398"/>
      <c r="AG552" s="1398"/>
      <c r="AH552" s="1399"/>
      <c r="AI552" s="1419"/>
      <c r="AJ552" s="1420"/>
      <c r="AK552" s="1420"/>
      <c r="AL552" s="1421"/>
      <c r="AM552" s="1339">
        <v>23000465</v>
      </c>
      <c r="AN552" s="1340"/>
      <c r="AO552" s="1340"/>
      <c r="AP552" s="1340"/>
      <c r="AQ552" s="1340"/>
      <c r="AR552" s="1340"/>
      <c r="AS552" s="1341"/>
      <c r="AT552" s="1201" t="str">
        <f t="shared" si="0"/>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25.2" customHeight="1">
      <c r="B553" s="52" t="s">
        <v>590</v>
      </c>
      <c r="C553" s="1446" t="s">
        <v>2691</v>
      </c>
      <c r="D553" s="1446"/>
      <c r="E553" s="1446"/>
      <c r="F553" s="1446"/>
      <c r="G553" s="1446"/>
      <c r="H553" s="1446"/>
      <c r="I553" s="1446"/>
      <c r="J553" s="1446"/>
      <c r="K553" s="1446"/>
      <c r="L553" s="1446"/>
      <c r="M553" s="1445" t="s">
        <v>2527</v>
      </c>
      <c r="N553" s="1445"/>
      <c r="O553" s="1445"/>
      <c r="P553" s="1445"/>
      <c r="Q553" s="1362"/>
      <c r="R553" s="1363"/>
      <c r="S553" s="1364"/>
      <c r="T553" s="1362"/>
      <c r="U553" s="1363"/>
      <c r="V553" s="1364"/>
      <c r="W553" s="1359"/>
      <c r="X553" s="1360"/>
      <c r="Y553" s="1361"/>
      <c r="Z553" s="1404" t="s">
        <v>1327</v>
      </c>
      <c r="AA553" s="1404"/>
      <c r="AB553" s="1404"/>
      <c r="AC553" s="1404"/>
      <c r="AD553" s="1404"/>
      <c r="AE553" s="1397"/>
      <c r="AF553" s="1398"/>
      <c r="AG553" s="1398"/>
      <c r="AH553" s="1399"/>
      <c r="AI553" s="1419"/>
      <c r="AJ553" s="1420"/>
      <c r="AK553" s="1420"/>
      <c r="AL553" s="1421"/>
      <c r="AM553" s="1339">
        <v>1919839</v>
      </c>
      <c r="AN553" s="1340"/>
      <c r="AO553" s="1340"/>
      <c r="AP553" s="1340"/>
      <c r="AQ553" s="1340"/>
      <c r="AR553" s="1340"/>
      <c r="AS553" s="1341"/>
      <c r="AT553" s="1201" t="str">
        <f t="shared" si="0"/>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8" customHeight="1">
      <c r="B554" s="52" t="s">
        <v>787</v>
      </c>
      <c r="C554" s="1488" t="s">
        <v>2759</v>
      </c>
      <c r="D554" s="1489"/>
      <c r="E554" s="1489"/>
      <c r="F554" s="1489"/>
      <c r="G554" s="1489"/>
      <c r="H554" s="1489"/>
      <c r="I554" s="1489"/>
      <c r="J554" s="1489"/>
      <c r="K554" s="1489"/>
      <c r="L554" s="1490"/>
      <c r="M554" s="1445" t="s">
        <v>2546</v>
      </c>
      <c r="N554" s="1445"/>
      <c r="O554" s="1445"/>
      <c r="P554" s="1445"/>
      <c r="Q554" s="1362"/>
      <c r="R554" s="1363"/>
      <c r="S554" s="1364"/>
      <c r="T554" s="1362"/>
      <c r="U554" s="1363"/>
      <c r="V554" s="1364"/>
      <c r="W554" s="1359"/>
      <c r="X554" s="1360"/>
      <c r="Y554" s="1361"/>
      <c r="Z554" s="1404" t="s">
        <v>1327</v>
      </c>
      <c r="AA554" s="1404"/>
      <c r="AB554" s="1404"/>
      <c r="AC554" s="1404"/>
      <c r="AD554" s="1404"/>
      <c r="AE554" s="1397"/>
      <c r="AF554" s="1398"/>
      <c r="AG554" s="1398"/>
      <c r="AH554" s="1399"/>
      <c r="AI554" s="1419"/>
      <c r="AJ554" s="1420"/>
      <c r="AK554" s="1420"/>
      <c r="AL554" s="1421"/>
      <c r="AM554" s="1339">
        <v>322105</v>
      </c>
      <c r="AN554" s="1340"/>
      <c r="AO554" s="1340"/>
      <c r="AP554" s="1340"/>
      <c r="AQ554" s="1340"/>
      <c r="AR554" s="1340"/>
      <c r="AS554" s="1341"/>
      <c r="AT554" s="1201" t="str">
        <f t="shared" si="0"/>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8.8" customHeight="1">
      <c r="B555" s="52" t="s">
        <v>593</v>
      </c>
      <c r="C555" s="1446" t="s">
        <v>2692</v>
      </c>
      <c r="D555" s="1446"/>
      <c r="E555" s="1446"/>
      <c r="F555" s="1446"/>
      <c r="G555" s="1446"/>
      <c r="H555" s="1446"/>
      <c r="I555" s="1446"/>
      <c r="J555" s="1446"/>
      <c r="K555" s="1446"/>
      <c r="L555" s="1446"/>
      <c r="M555" s="1445" t="s">
        <v>2528</v>
      </c>
      <c r="N555" s="1445"/>
      <c r="O555" s="1445"/>
      <c r="P555" s="1445"/>
      <c r="Q555" s="1362"/>
      <c r="R555" s="1363"/>
      <c r="S555" s="1364"/>
      <c r="T555" s="1362"/>
      <c r="U555" s="1363"/>
      <c r="V555" s="1364"/>
      <c r="W555" s="1359"/>
      <c r="X555" s="1360"/>
      <c r="Y555" s="1361"/>
      <c r="Z555" s="1404" t="s">
        <v>1327</v>
      </c>
      <c r="AA555" s="1404"/>
      <c r="AB555" s="1404"/>
      <c r="AC555" s="1404"/>
      <c r="AD555" s="1404"/>
      <c r="AE555" s="1397"/>
      <c r="AF555" s="1398"/>
      <c r="AG555" s="1398"/>
      <c r="AH555" s="1399"/>
      <c r="AI555" s="1419"/>
      <c r="AJ555" s="1420"/>
      <c r="AK555" s="1420"/>
      <c r="AL555" s="1421"/>
      <c r="AM555" s="1339">
        <v>1525261</v>
      </c>
      <c r="AN555" s="1340"/>
      <c r="AO555" s="1340"/>
      <c r="AP555" s="1340"/>
      <c r="AQ555" s="1340"/>
      <c r="AR555" s="1340"/>
      <c r="AS555" s="134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464</v>
      </c>
      <c r="C556" s="1446" t="s">
        <v>1922</v>
      </c>
      <c r="D556" s="1446"/>
      <c r="E556" s="1446"/>
      <c r="F556" s="1446"/>
      <c r="G556" s="1446"/>
      <c r="H556" s="1446"/>
      <c r="I556" s="1446"/>
      <c r="J556" s="1446"/>
      <c r="K556" s="1446"/>
      <c r="L556" s="1446"/>
      <c r="M556" s="1445" t="s">
        <v>2529</v>
      </c>
      <c r="N556" s="1445"/>
      <c r="O556" s="1445"/>
      <c r="P556" s="1445"/>
      <c r="Q556" s="1362"/>
      <c r="R556" s="1363"/>
      <c r="S556" s="1364"/>
      <c r="T556" s="1362"/>
      <c r="U556" s="1363"/>
      <c r="V556" s="1364"/>
      <c r="W556" s="1359"/>
      <c r="X556" s="1360"/>
      <c r="Y556" s="1361"/>
      <c r="Z556" s="1404" t="s">
        <v>1327</v>
      </c>
      <c r="AA556" s="1404"/>
      <c r="AB556" s="1404"/>
      <c r="AC556" s="1404"/>
      <c r="AD556" s="1404"/>
      <c r="AE556" s="1397"/>
      <c r="AF556" s="1398"/>
      <c r="AG556" s="1398"/>
      <c r="AH556" s="1399"/>
      <c r="AI556" s="1419"/>
      <c r="AJ556" s="1420"/>
      <c r="AK556" s="1420"/>
      <c r="AL556" s="1421"/>
      <c r="AM556" s="1339">
        <v>4197298</v>
      </c>
      <c r="AN556" s="1340"/>
      <c r="AO556" s="1340"/>
      <c r="AP556" s="1340"/>
      <c r="AQ556" s="1340"/>
      <c r="AR556" s="1340"/>
      <c r="AS556" s="134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3.55" customHeight="1">
      <c r="B557" s="52" t="s">
        <v>465</v>
      </c>
      <c r="C557" s="1446" t="s">
        <v>2693</v>
      </c>
      <c r="D557" s="1446"/>
      <c r="E557" s="1446"/>
      <c r="F557" s="1446"/>
      <c r="G557" s="1446"/>
      <c r="H557" s="1446"/>
      <c r="I557" s="1446"/>
      <c r="J557" s="1446"/>
      <c r="K557" s="1446"/>
      <c r="L557" s="1446"/>
      <c r="M557" s="1445" t="s">
        <v>2527</v>
      </c>
      <c r="N557" s="1445"/>
      <c r="O557" s="1445"/>
      <c r="P557" s="1445"/>
      <c r="Q557" s="1362"/>
      <c r="R557" s="1363"/>
      <c r="S557" s="1364"/>
      <c r="T557" s="1362"/>
      <c r="U557" s="1363"/>
      <c r="V557" s="1364"/>
      <c r="W557" s="1359"/>
      <c r="X557" s="1360"/>
      <c r="Y557" s="1361"/>
      <c r="Z557" s="1404" t="s">
        <v>1327</v>
      </c>
      <c r="AA557" s="1404"/>
      <c r="AB557" s="1404"/>
      <c r="AC557" s="1404"/>
      <c r="AD557" s="1404"/>
      <c r="AE557" s="1397"/>
      <c r="AF557" s="1398"/>
      <c r="AG557" s="1398"/>
      <c r="AH557" s="1399"/>
      <c r="AI557" s="1419"/>
      <c r="AJ557" s="1420"/>
      <c r="AK557" s="1420"/>
      <c r="AL557" s="1421"/>
      <c r="AM557" s="1339">
        <v>100</v>
      </c>
      <c r="AN557" s="1340"/>
      <c r="AO557" s="1340"/>
      <c r="AP557" s="1340"/>
      <c r="AQ557" s="1340"/>
      <c r="AR557" s="1340"/>
      <c r="AS557" s="1341"/>
      <c r="AT557" s="1201" t="str">
        <f>IF(AND(NOT(C556=""),C557="",NOT(C558="")),"!","")</f>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470</v>
      </c>
      <c r="C558" s="1446" t="s">
        <v>2754</v>
      </c>
      <c r="D558" s="1446"/>
      <c r="E558" s="1446"/>
      <c r="F558" s="1446"/>
      <c r="G558" s="1446"/>
      <c r="H558" s="1446"/>
      <c r="I558" s="1446"/>
      <c r="J558" s="1446"/>
      <c r="K558" s="1446"/>
      <c r="L558" s="1446"/>
      <c r="M558" s="1445" t="s">
        <v>2533</v>
      </c>
      <c r="N558" s="1445"/>
      <c r="O558" s="1445"/>
      <c r="P558" s="1445"/>
      <c r="Q558" s="1362"/>
      <c r="R558" s="1363"/>
      <c r="S558" s="1364"/>
      <c r="T558" s="1362"/>
      <c r="U558" s="1363"/>
      <c r="V558" s="1364"/>
      <c r="W558" s="1359"/>
      <c r="X558" s="1360"/>
      <c r="Y558" s="1361"/>
      <c r="Z558" s="1404" t="s">
        <v>1327</v>
      </c>
      <c r="AA558" s="1404"/>
      <c r="AB558" s="1404"/>
      <c r="AC558" s="1404"/>
      <c r="AD558" s="1404"/>
      <c r="AE558" s="1397"/>
      <c r="AF558" s="1398"/>
      <c r="AG558" s="1398"/>
      <c r="AH558" s="1399"/>
      <c r="AI558" s="1419"/>
      <c r="AJ558" s="1420"/>
      <c r="AK558" s="1420"/>
      <c r="AL558" s="1421"/>
      <c r="AM558" s="1339">
        <v>3264662</v>
      </c>
      <c r="AN558" s="1340"/>
      <c r="AO558" s="1340"/>
      <c r="AP558" s="1340"/>
      <c r="AQ558" s="1340"/>
      <c r="AR558" s="1340"/>
      <c r="AS558" s="1341"/>
      <c r="AT558" s="1201" t="str">
        <f>IF(AND(NOT(C557=""),C558="",NOT(C559="")),"!","")</f>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655</v>
      </c>
      <c r="C559" s="1446"/>
      <c r="D559" s="1446"/>
      <c r="E559" s="1446"/>
      <c r="F559" s="1446"/>
      <c r="G559" s="1446"/>
      <c r="H559" s="1446"/>
      <c r="I559" s="1446"/>
      <c r="J559" s="1446"/>
      <c r="K559" s="1446"/>
      <c r="L559" s="1446"/>
      <c r="M559" s="1445" t="s">
        <v>1327</v>
      </c>
      <c r="N559" s="1445"/>
      <c r="O559" s="1445"/>
      <c r="P559" s="1445"/>
      <c r="Q559" s="1362"/>
      <c r="R559" s="1363"/>
      <c r="S559" s="1364"/>
      <c r="T559" s="1362"/>
      <c r="U559" s="1363"/>
      <c r="V559" s="1364"/>
      <c r="W559" s="1359"/>
      <c r="X559" s="1360"/>
      <c r="Y559" s="1361"/>
      <c r="Z559" s="1404" t="s">
        <v>1327</v>
      </c>
      <c r="AA559" s="1404"/>
      <c r="AB559" s="1404"/>
      <c r="AC559" s="1404"/>
      <c r="AD559" s="1404"/>
      <c r="AE559" s="1397"/>
      <c r="AF559" s="1398"/>
      <c r="AG559" s="1398"/>
      <c r="AH559" s="1399"/>
      <c r="AI559" s="1419"/>
      <c r="AJ559" s="1420"/>
      <c r="AK559" s="1420"/>
      <c r="AL559" s="1421"/>
      <c r="AM559" s="1339"/>
      <c r="AN559" s="1340"/>
      <c r="AO559" s="1340"/>
      <c r="AP559" s="1340"/>
      <c r="AQ559" s="1340"/>
      <c r="AR559" s="1340"/>
      <c r="AS559" s="1341"/>
      <c r="AT559" s="1201" t="str">
        <f>IF(AND(NOT(C558=""),C559="",NOT(C560="")),"!","")</f>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363</v>
      </c>
      <c r="C560" s="1446"/>
      <c r="D560" s="1446"/>
      <c r="E560" s="1446"/>
      <c r="F560" s="1446"/>
      <c r="G560" s="1446"/>
      <c r="H560" s="1446"/>
      <c r="I560" s="1446"/>
      <c r="J560" s="1446"/>
      <c r="K560" s="1446"/>
      <c r="L560" s="1446"/>
      <c r="M560" s="1445" t="s">
        <v>1327</v>
      </c>
      <c r="N560" s="1445"/>
      <c r="O560" s="1445"/>
      <c r="P560" s="1445"/>
      <c r="Q560" s="1362"/>
      <c r="R560" s="1363"/>
      <c r="S560" s="1364"/>
      <c r="T560" s="1362"/>
      <c r="U560" s="1363"/>
      <c r="V560" s="1364"/>
      <c r="W560" s="1359"/>
      <c r="X560" s="1360"/>
      <c r="Y560" s="1361"/>
      <c r="Z560" s="1404" t="s">
        <v>1327</v>
      </c>
      <c r="AA560" s="1404"/>
      <c r="AB560" s="1404"/>
      <c r="AC560" s="1404"/>
      <c r="AD560" s="1404"/>
      <c r="AE560" s="1397"/>
      <c r="AF560" s="1398"/>
      <c r="AG560" s="1398"/>
      <c r="AH560" s="1399"/>
      <c r="AI560" s="1419"/>
      <c r="AJ560" s="1420"/>
      <c r="AK560" s="1420"/>
      <c r="AL560" s="1421"/>
      <c r="AM560" s="1339"/>
      <c r="AN560" s="1340"/>
      <c r="AO560" s="1340"/>
      <c r="AP560" s="1340"/>
      <c r="AQ560" s="1340"/>
      <c r="AR560" s="1340"/>
      <c r="AS560" s="1341"/>
      <c r="AT560" s="1201" t="str">
        <f>IF(AND(NOT(C559=""),C560="",NOT(C561="")),"!","")</f>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364</v>
      </c>
      <c r="C561" s="1446"/>
      <c r="D561" s="1446"/>
      <c r="E561" s="1446"/>
      <c r="F561" s="1446"/>
      <c r="G561" s="1446"/>
      <c r="H561" s="1446"/>
      <c r="I561" s="1446"/>
      <c r="J561" s="1446"/>
      <c r="K561" s="1446"/>
      <c r="L561" s="1446"/>
      <c r="M561" s="1445" t="s">
        <v>1327</v>
      </c>
      <c r="N561" s="1445"/>
      <c r="O561" s="1445"/>
      <c r="P561" s="1445"/>
      <c r="Q561" s="1362"/>
      <c r="R561" s="1363"/>
      <c r="S561" s="1364"/>
      <c r="T561" s="1362"/>
      <c r="U561" s="1363"/>
      <c r="V561" s="1364"/>
      <c r="W561" s="1359"/>
      <c r="X561" s="1360"/>
      <c r="Y561" s="1361"/>
      <c r="Z561" s="1404" t="s">
        <v>1327</v>
      </c>
      <c r="AA561" s="1404"/>
      <c r="AB561" s="1404"/>
      <c r="AC561" s="1404"/>
      <c r="AD561" s="1404"/>
      <c r="AE561" s="1397"/>
      <c r="AF561" s="1398"/>
      <c r="AG561" s="1398"/>
      <c r="AH561" s="1399"/>
      <c r="AI561" s="1419"/>
      <c r="AJ561" s="1420"/>
      <c r="AK561" s="1420"/>
      <c r="AL561" s="1421"/>
      <c r="AM561" s="1339"/>
      <c r="AN561" s="1340"/>
      <c r="AO561" s="1340"/>
      <c r="AP561" s="1340"/>
      <c r="AQ561" s="1340"/>
      <c r="AR561" s="1340"/>
      <c r="AS561" s="1341"/>
      <c r="AT561" s="1201" t="str">
        <f>IF(AND(NOT(C560=""),C561="",NOT(C562="")),"!","")</f>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494" t="s">
        <v>128</v>
      </c>
      <c r="C562" s="1495"/>
      <c r="D562" s="1495"/>
      <c r="E562" s="1495"/>
      <c r="F562" s="1495"/>
      <c r="G562" s="1495"/>
      <c r="H562" s="1495"/>
      <c r="I562" s="1495"/>
      <c r="J562" s="1495"/>
      <c r="K562" s="1495"/>
      <c r="L562" s="1495"/>
      <c r="M562" s="1495"/>
      <c r="N562" s="1495"/>
      <c r="O562" s="1495"/>
      <c r="P562" s="1495"/>
      <c r="Q562" s="1495"/>
      <c r="R562" s="1495"/>
      <c r="S562" s="1495"/>
      <c r="T562" s="1495"/>
      <c r="U562" s="1496"/>
      <c r="V562" s="1495"/>
      <c r="W562" s="1495"/>
      <c r="X562" s="1495"/>
      <c r="Y562" s="1495"/>
      <c r="Z562" s="1495"/>
      <c r="AA562" s="1495"/>
      <c r="AB562" s="1495"/>
      <c r="AC562" s="1495"/>
      <c r="AD562" s="1495"/>
      <c r="AE562" s="1495"/>
      <c r="AF562" s="1495"/>
      <c r="AG562" s="1495"/>
      <c r="AH562" s="1495"/>
      <c r="AI562" s="1495"/>
      <c r="AJ562" s="1495"/>
      <c r="AK562" s="1495"/>
      <c r="AL562" s="1497"/>
      <c r="AM562" s="1491">
        <f>SUM(AM550:AS561)</f>
        <v>74468171</v>
      </c>
      <c r="AN562" s="1492"/>
      <c r="AO562" s="1492"/>
      <c r="AP562" s="1492"/>
      <c r="AQ562" s="1492"/>
      <c r="AR562" s="1492"/>
      <c r="AS562" s="14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472</v>
      </c>
      <c r="G564" s="1485" t="str">
        <f>C550</f>
        <v>US Bank Tax-Exempt Construction Loan</v>
      </c>
      <c r="H564" s="1485"/>
      <c r="I564" s="1485"/>
      <c r="J564" s="1485"/>
      <c r="K564" s="1485"/>
      <c r="L564" s="1485"/>
      <c r="M564" s="1485"/>
      <c r="N564" s="1485"/>
      <c r="O564" s="1485"/>
      <c r="P564" s="1485"/>
      <c r="Q564" s="1485"/>
      <c r="R564" s="1485"/>
      <c r="S564" s="8"/>
      <c r="T564" s="55" t="s">
        <v>114</v>
      </c>
      <c r="U564" t="s">
        <v>472</v>
      </c>
      <c r="Z564" s="1485" t="str">
        <f>C551</f>
        <v>US Bank TE Recycled Bonds Construction Loan</v>
      </c>
      <c r="AA564" s="1485"/>
      <c r="AB564" s="1485"/>
      <c r="AC564" s="1485"/>
      <c r="AD564" s="1485"/>
      <c r="AE564" s="1485"/>
      <c r="AF564" s="1485"/>
      <c r="AG564" s="1485"/>
      <c r="AH564" s="1485"/>
      <c r="AI564" s="1485"/>
      <c r="AJ564" s="1485"/>
      <c r="AK564" s="148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65" t="s">
        <v>2768</v>
      </c>
      <c r="H565" s="1365"/>
      <c r="I565" s="1365"/>
      <c r="J565" s="1365"/>
      <c r="K565" s="1365"/>
      <c r="L565" s="1365"/>
      <c r="M565" s="1365"/>
      <c r="N565" s="1365"/>
      <c r="O565" s="1365"/>
      <c r="P565" s="1365"/>
      <c r="Q565" s="1365"/>
      <c r="R565" s="1365"/>
      <c r="S565" s="8"/>
      <c r="T565" s="22"/>
      <c r="U565" t="s">
        <v>86</v>
      </c>
      <c r="Z565" s="1365" t="str">
        <f>G565</f>
        <v>300 Pringle, Ste 200</v>
      </c>
      <c r="AA565" s="1365"/>
      <c r="AB565" s="1365"/>
      <c r="AC565" s="1365"/>
      <c r="AD565" s="1365"/>
      <c r="AE565" s="1365"/>
      <c r="AF565" s="1365"/>
      <c r="AG565" s="1365"/>
      <c r="AH565" s="1365"/>
      <c r="AI565" s="1365"/>
      <c r="AJ565" s="1365"/>
      <c r="AK565" s="1365"/>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589</v>
      </c>
      <c r="G566" s="1365" t="s">
        <v>2769</v>
      </c>
      <c r="H566" s="1365"/>
      <c r="I566" s="1365"/>
      <c r="J566" s="1365"/>
      <c r="K566" s="1365"/>
      <c r="L566" s="1365"/>
      <c r="M566" s="1365"/>
      <c r="N566" s="1365"/>
      <c r="O566" s="1365"/>
      <c r="P566" s="1365"/>
      <c r="Q566" s="1365"/>
      <c r="R566" s="1365"/>
      <c r="T566" s="22"/>
      <c r="U566" t="s">
        <v>589</v>
      </c>
      <c r="Z566" s="1337" t="str">
        <f>G566</f>
        <v>Walnut Creek</v>
      </c>
      <c r="AA566" s="1337"/>
      <c r="AB566" s="1337"/>
      <c r="AC566" s="1337"/>
      <c r="AD566" s="1337"/>
      <c r="AE566" s="1337"/>
      <c r="AF566" s="1337"/>
      <c r="AG566" s="1337"/>
      <c r="AH566" s="1337"/>
      <c r="AI566" s="1337"/>
      <c r="AJ566" s="1337"/>
      <c r="AK566" s="1337"/>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65" t="s">
        <v>2738</v>
      </c>
      <c r="H567" s="1365"/>
      <c r="I567" s="1365"/>
      <c r="J567" s="1365"/>
      <c r="K567" s="1365"/>
      <c r="L567" s="1365"/>
      <c r="M567" s="1365"/>
      <c r="N567" s="1365"/>
      <c r="O567" s="1365"/>
      <c r="P567" s="1365"/>
      <c r="Q567" s="1365"/>
      <c r="R567" s="1365"/>
      <c r="S567" s="8"/>
      <c r="T567" s="22"/>
      <c r="U567" t="s">
        <v>17</v>
      </c>
      <c r="Z567" s="1337" t="str">
        <f>G567</f>
        <v>Joshua Evju</v>
      </c>
      <c r="AA567" s="1337"/>
      <c r="AB567" s="1337"/>
      <c r="AC567" s="1337"/>
      <c r="AD567" s="1337"/>
      <c r="AE567" s="1337"/>
      <c r="AF567" s="1337"/>
      <c r="AG567" s="1337"/>
      <c r="AH567" s="1337"/>
      <c r="AI567" s="1337"/>
      <c r="AJ567" s="1337"/>
      <c r="AK567" s="133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317</v>
      </c>
      <c r="G568" s="1486" t="s">
        <v>2770</v>
      </c>
      <c r="H568" s="1408"/>
      <c r="I568" s="1408"/>
      <c r="J568" s="1408"/>
      <c r="K568" s="1408"/>
      <c r="L568" s="1408"/>
      <c r="O568" s="33" t="s">
        <v>207</v>
      </c>
      <c r="P568" s="1436"/>
      <c r="Q568" s="1436"/>
      <c r="R568" s="1436"/>
      <c r="S568" s="10"/>
      <c r="T568" s="22"/>
      <c r="U568" t="s">
        <v>317</v>
      </c>
      <c r="Z568" s="1408" t="str">
        <f>G568</f>
        <v>925.947.2491</v>
      </c>
      <c r="AA568" s="1408"/>
      <c r="AB568" s="1408"/>
      <c r="AC568" s="1408"/>
      <c r="AD568" s="1408"/>
      <c r="AE568" s="1408"/>
      <c r="AH568" s="33" t="s">
        <v>207</v>
      </c>
      <c r="AI568" s="1436"/>
      <c r="AJ568" s="1436"/>
      <c r="AK568" s="143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365" t="s">
        <v>2755</v>
      </c>
      <c r="I569" s="1365"/>
      <c r="J569" s="1365"/>
      <c r="K569" s="1365"/>
      <c r="L569" s="1365"/>
      <c r="M569" s="1365"/>
      <c r="N569" s="1365"/>
      <c r="O569" s="1365"/>
      <c r="P569" s="1365"/>
      <c r="Q569" s="1365"/>
      <c r="R569" s="1365"/>
      <c r="S569" s="8"/>
      <c r="T569" s="22"/>
      <c r="U569" t="s">
        <v>18</v>
      </c>
      <c r="AA569" s="1365" t="str">
        <f>H569</f>
        <v>Construction Loan</v>
      </c>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1328</v>
      </c>
      <c r="H570" s="8"/>
      <c r="I570" s="8"/>
      <c r="J570" s="8"/>
      <c r="K570" s="8"/>
      <c r="L570" s="8"/>
      <c r="M570" s="1505"/>
      <c r="N570" s="1505"/>
      <c r="O570" s="1505"/>
      <c r="P570" s="1505"/>
      <c r="Q570" s="1505"/>
      <c r="R570" s="1505"/>
      <c r="S570" s="8"/>
      <c r="T570" s="22"/>
      <c r="U570" s="349" t="s">
        <v>1328</v>
      </c>
      <c r="AA570" s="8"/>
      <c r="AB570" s="8"/>
      <c r="AC570" s="8"/>
      <c r="AD570" s="8"/>
      <c r="AE570" s="8"/>
      <c r="AF570" s="1505"/>
      <c r="AG570" s="1505"/>
      <c r="AH570" s="1505"/>
      <c r="AI570" s="1505"/>
      <c r="AJ570" s="1505"/>
      <c r="AK570" s="15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44" t="s">
        <v>554</v>
      </c>
      <c r="O571" s="1344"/>
      <c r="T571" s="22"/>
      <c r="U571" t="s">
        <v>20</v>
      </c>
      <c r="AG571" s="1344" t="s">
        <v>554</v>
      </c>
      <c r="AH571" s="13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472</v>
      </c>
      <c r="G573" s="1485" t="str">
        <f>C552</f>
        <v>Seller Carryback Loan</v>
      </c>
      <c r="H573" s="1485"/>
      <c r="I573" s="1485"/>
      <c r="J573" s="1485"/>
      <c r="K573" s="1485"/>
      <c r="L573" s="1485"/>
      <c r="M573" s="1485"/>
      <c r="N573" s="1485"/>
      <c r="O573" s="1485"/>
      <c r="P573" s="1485"/>
      <c r="Q573" s="1485"/>
      <c r="R573" s="1485"/>
      <c r="T573" s="55" t="s">
        <v>590</v>
      </c>
      <c r="U573" t="s">
        <v>472</v>
      </c>
      <c r="Z573" s="1485" t="str">
        <f>C553</f>
        <v>Acccrued Deferred Interest - Seller Carry</v>
      </c>
      <c r="AA573" s="1485"/>
      <c r="AB573" s="1485"/>
      <c r="AC573" s="1485"/>
      <c r="AD573" s="1485"/>
      <c r="AE573" s="1485"/>
      <c r="AF573" s="1485"/>
      <c r="AG573" s="1485"/>
      <c r="AH573" s="1485"/>
      <c r="AI573" s="1485"/>
      <c r="AJ573" s="1485"/>
      <c r="AK573" s="14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65" t="s">
        <v>2635</v>
      </c>
      <c r="H574" s="1365"/>
      <c r="I574" s="1365"/>
      <c r="J574" s="1365"/>
      <c r="K574" s="1365"/>
      <c r="L574" s="1365"/>
      <c r="M574" s="1365"/>
      <c r="N574" s="1365"/>
      <c r="O574" s="1365"/>
      <c r="P574" s="1365"/>
      <c r="Q574" s="1365"/>
      <c r="R574" s="1365"/>
      <c r="T574" s="22"/>
      <c r="U574" t="s">
        <v>86</v>
      </c>
      <c r="Z574" s="1365" t="s">
        <v>2635</v>
      </c>
      <c r="AA574" s="1365"/>
      <c r="AB574" s="1365"/>
      <c r="AC574" s="1365"/>
      <c r="AD574" s="1365"/>
      <c r="AE574" s="1365"/>
      <c r="AF574" s="1365"/>
      <c r="AG574" s="1365"/>
      <c r="AH574" s="1365"/>
      <c r="AI574" s="1365"/>
      <c r="AJ574" s="1365"/>
      <c r="AK574" s="136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589</v>
      </c>
      <c r="G575" s="1337" t="s">
        <v>2636</v>
      </c>
      <c r="H575" s="1337"/>
      <c r="I575" s="1337"/>
      <c r="J575" s="1337"/>
      <c r="K575" s="1337"/>
      <c r="L575" s="1337"/>
      <c r="M575" s="1337"/>
      <c r="N575" s="1337"/>
      <c r="O575" s="1337"/>
      <c r="P575" s="1337"/>
      <c r="Q575" s="1337"/>
      <c r="R575" s="1337"/>
      <c r="T575" s="22"/>
      <c r="U575" t="s">
        <v>589</v>
      </c>
      <c r="Z575" s="1337" t="s">
        <v>2636</v>
      </c>
      <c r="AA575" s="1337"/>
      <c r="AB575" s="1337"/>
      <c r="AC575" s="1337"/>
      <c r="AD575" s="1337"/>
      <c r="AE575" s="1337"/>
      <c r="AF575" s="1337"/>
      <c r="AG575" s="1337"/>
      <c r="AH575" s="1337"/>
      <c r="AI575" s="1337"/>
      <c r="AJ575" s="1337"/>
      <c r="AK575" s="133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37" t="s">
        <v>2701</v>
      </c>
      <c r="H576" s="1337"/>
      <c r="I576" s="1337"/>
      <c r="J576" s="1337"/>
      <c r="K576" s="1337"/>
      <c r="L576" s="1337"/>
      <c r="M576" s="1337"/>
      <c r="N576" s="1337"/>
      <c r="O576" s="1337"/>
      <c r="P576" s="1337"/>
      <c r="Q576" s="1337"/>
      <c r="R576" s="1337"/>
      <c r="T576" s="22"/>
      <c r="U576" t="s">
        <v>17</v>
      </c>
      <c r="Z576" s="1337" t="s">
        <v>2701</v>
      </c>
      <c r="AA576" s="1337"/>
      <c r="AB576" s="1337"/>
      <c r="AC576" s="1337"/>
      <c r="AD576" s="1337"/>
      <c r="AE576" s="1337"/>
      <c r="AF576" s="1337"/>
      <c r="AG576" s="1337"/>
      <c r="AH576" s="1337"/>
      <c r="AI576" s="1337"/>
      <c r="AJ576" s="1337"/>
      <c r="AK576" s="133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317</v>
      </c>
      <c r="G577" s="1486" t="s">
        <v>2725</v>
      </c>
      <c r="H577" s="1408"/>
      <c r="I577" s="1408"/>
      <c r="J577" s="1408"/>
      <c r="K577" s="1408"/>
      <c r="L577" s="1408"/>
      <c r="O577" s="33" t="s">
        <v>207</v>
      </c>
      <c r="P577" s="1436"/>
      <c r="Q577" s="1436"/>
      <c r="R577" s="1436"/>
      <c r="T577" s="22"/>
      <c r="U577" t="s">
        <v>317</v>
      </c>
      <c r="Z577" s="1486" t="s">
        <v>2725</v>
      </c>
      <c r="AA577" s="1408"/>
      <c r="AB577" s="1408"/>
      <c r="AC577" s="1408"/>
      <c r="AD577" s="1408"/>
      <c r="AE577" s="1408"/>
      <c r="AH577" s="33" t="s">
        <v>207</v>
      </c>
      <c r="AI577" s="1436"/>
      <c r="AJ577" s="1436"/>
      <c r="AK577" s="143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65" t="s">
        <v>2741</v>
      </c>
      <c r="I578" s="1365"/>
      <c r="J578" s="1365"/>
      <c r="K578" s="1365"/>
      <c r="L578" s="1365"/>
      <c r="M578" s="1365"/>
      <c r="N578" s="1365"/>
      <c r="O578" s="1365"/>
      <c r="P578" s="1365"/>
      <c r="Q578" s="1365"/>
      <c r="R578" s="1365"/>
      <c r="T578" s="22"/>
      <c r="U578" t="s">
        <v>18</v>
      </c>
      <c r="AA578" s="1365" t="s">
        <v>2741</v>
      </c>
      <c r="AB578" s="1365"/>
      <c r="AC578" s="1365"/>
      <c r="AD578" s="1365"/>
      <c r="AE578" s="1365"/>
      <c r="AF578" s="1365"/>
      <c r="AG578" s="1365"/>
      <c r="AH578" s="1365"/>
      <c r="AI578" s="1365"/>
      <c r="AJ578" s="1365"/>
      <c r="AK578" s="13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44" t="s">
        <v>554</v>
      </c>
      <c r="O579" s="1344"/>
      <c r="T579" s="22"/>
      <c r="U579" t="s">
        <v>20</v>
      </c>
      <c r="AG579" s="1344" t="s">
        <v>554</v>
      </c>
      <c r="AH579" s="13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787</v>
      </c>
      <c r="B581" t="s">
        <v>472</v>
      </c>
      <c r="G581" s="1485" t="str">
        <f>C554</f>
        <v>GP Capital - Acq reserves</v>
      </c>
      <c r="H581" s="1485"/>
      <c r="I581" s="1485"/>
      <c r="J581" s="1485"/>
      <c r="K581" s="1485"/>
      <c r="L581" s="1485"/>
      <c r="M581" s="1485"/>
      <c r="N581" s="1485"/>
      <c r="O581" s="1485"/>
      <c r="P581" s="1485"/>
      <c r="Q581" s="1485"/>
      <c r="R581" s="1485"/>
      <c r="T581" s="55" t="s">
        <v>593</v>
      </c>
      <c r="U581" t="s">
        <v>472</v>
      </c>
      <c r="Z581" s="1485" t="str">
        <f>C555</f>
        <v>Costs Deferred Until Conversion</v>
      </c>
      <c r="AA581" s="1485"/>
      <c r="AB581" s="1485"/>
      <c r="AC581" s="1485"/>
      <c r="AD581" s="1485"/>
      <c r="AE581" s="1485"/>
      <c r="AF581" s="1485"/>
      <c r="AG581" s="1485"/>
      <c r="AH581" s="1485"/>
      <c r="AI581" s="1485"/>
      <c r="AJ581" s="1485"/>
      <c r="AK581" s="14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65" t="s">
        <v>2635</v>
      </c>
      <c r="H582" s="1365"/>
      <c r="I582" s="1365"/>
      <c r="J582" s="1365"/>
      <c r="K582" s="1365"/>
      <c r="L582" s="1365"/>
      <c r="M582" s="1365"/>
      <c r="N582" s="1365"/>
      <c r="O582" s="1365"/>
      <c r="P582" s="1365"/>
      <c r="Q582" s="1365"/>
      <c r="R582" s="1365"/>
      <c r="T582" s="22"/>
      <c r="U582" t="s">
        <v>86</v>
      </c>
      <c r="Z582" s="1365" t="s">
        <v>2635</v>
      </c>
      <c r="AA582" s="1365"/>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589</v>
      </c>
      <c r="G583" s="1365" t="s">
        <v>2636</v>
      </c>
      <c r="H583" s="1365"/>
      <c r="I583" s="1365"/>
      <c r="J583" s="1365"/>
      <c r="K583" s="1365"/>
      <c r="L583" s="1365"/>
      <c r="M583" s="1365"/>
      <c r="N583" s="1365"/>
      <c r="O583" s="1365"/>
      <c r="P583" s="1365"/>
      <c r="Q583" s="1365"/>
      <c r="R583" s="1365"/>
      <c r="T583" s="22"/>
      <c r="U583" t="s">
        <v>589</v>
      </c>
      <c r="Z583" s="1337" t="s">
        <v>2636</v>
      </c>
      <c r="AA583" s="1337"/>
      <c r="AB583" s="1337"/>
      <c r="AC583" s="1337"/>
      <c r="AD583" s="1337"/>
      <c r="AE583" s="1337"/>
      <c r="AF583" s="1337"/>
      <c r="AG583" s="1337"/>
      <c r="AH583" s="1337"/>
      <c r="AI583" s="1337"/>
      <c r="AJ583" s="1337"/>
      <c r="AK583" s="133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65" t="s">
        <v>2701</v>
      </c>
      <c r="H584" s="1365"/>
      <c r="I584" s="1365"/>
      <c r="J584" s="1365"/>
      <c r="K584" s="1365"/>
      <c r="L584" s="1365"/>
      <c r="M584" s="1365"/>
      <c r="N584" s="1365"/>
      <c r="O584" s="1365"/>
      <c r="P584" s="1365"/>
      <c r="Q584" s="1365"/>
      <c r="R584" s="1365"/>
      <c r="T584" s="22"/>
      <c r="U584" t="s">
        <v>17</v>
      </c>
      <c r="Z584" s="1337" t="s">
        <v>2701</v>
      </c>
      <c r="AA584" s="1337"/>
      <c r="AB584" s="1337"/>
      <c r="AC584" s="1337"/>
      <c r="AD584" s="1337"/>
      <c r="AE584" s="1337"/>
      <c r="AF584" s="1337"/>
      <c r="AG584" s="1337"/>
      <c r="AH584" s="1337"/>
      <c r="AI584" s="1337"/>
      <c r="AJ584" s="1337"/>
      <c r="AK584" s="133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317</v>
      </c>
      <c r="G585" s="1408" t="s">
        <v>2725</v>
      </c>
      <c r="H585" s="1408"/>
      <c r="I585" s="1408"/>
      <c r="J585" s="1408"/>
      <c r="K585" s="1408"/>
      <c r="L585" s="1408"/>
      <c r="O585" s="33" t="s">
        <v>207</v>
      </c>
      <c r="P585" s="1436"/>
      <c r="Q585" s="1436"/>
      <c r="R585" s="1436"/>
      <c r="T585" s="22"/>
      <c r="U585" t="s">
        <v>317</v>
      </c>
      <c r="Z585" s="1408" t="s">
        <v>2725</v>
      </c>
      <c r="AA585" s="1408"/>
      <c r="AB585" s="1408"/>
      <c r="AC585" s="1408"/>
      <c r="AD585" s="1408"/>
      <c r="AE585" s="1408"/>
      <c r="AH585" s="33" t="s">
        <v>207</v>
      </c>
      <c r="AI585" s="1436"/>
      <c r="AJ585" s="1436"/>
      <c r="AK585" s="14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65" t="s">
        <v>2743</v>
      </c>
      <c r="I586" s="1365"/>
      <c r="J586" s="1365"/>
      <c r="K586" s="1365"/>
      <c r="L586" s="1365"/>
      <c r="M586" s="1365"/>
      <c r="N586" s="1365"/>
      <c r="O586" s="1365"/>
      <c r="P586" s="1365"/>
      <c r="Q586" s="1365"/>
      <c r="R586" s="1365"/>
      <c r="T586" s="22"/>
      <c r="U586" t="s">
        <v>18</v>
      </c>
      <c r="AA586" s="1365" t="s">
        <v>2744</v>
      </c>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44" t="s">
        <v>554</v>
      </c>
      <c r="O587" s="1344"/>
      <c r="T587" s="22"/>
      <c r="U587" t="s">
        <v>20</v>
      </c>
      <c r="AG587" s="1344" t="s">
        <v>554</v>
      </c>
      <c r="AH587" s="1344"/>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464</v>
      </c>
      <c r="B589" t="s">
        <v>472</v>
      </c>
      <c r="G589" s="1485" t="str">
        <f>C556</f>
        <v>Deferred Developer Fee</v>
      </c>
      <c r="H589" s="1485"/>
      <c r="I589" s="1485"/>
      <c r="J589" s="1485"/>
      <c r="K589" s="1485"/>
      <c r="L589" s="1485"/>
      <c r="M589" s="1485"/>
      <c r="N589" s="1485"/>
      <c r="O589" s="1485"/>
      <c r="P589" s="1485"/>
      <c r="Q589" s="1485"/>
      <c r="R589" s="1485"/>
      <c r="T589" s="55" t="s">
        <v>465</v>
      </c>
      <c r="U589" t="s">
        <v>472</v>
      </c>
      <c r="Z589" s="1485" t="str">
        <f>C557</f>
        <v>GP Capital - Sponsor</v>
      </c>
      <c r="AA589" s="1485"/>
      <c r="AB589" s="1485"/>
      <c r="AC589" s="1485"/>
      <c r="AD589" s="1485"/>
      <c r="AE589" s="1485"/>
      <c r="AF589" s="1485"/>
      <c r="AG589" s="1485"/>
      <c r="AH589" s="1485"/>
      <c r="AI589" s="1485"/>
      <c r="AJ589" s="1485"/>
      <c r="AK589" s="14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65" t="s">
        <v>2635</v>
      </c>
      <c r="H590" s="1365"/>
      <c r="I590" s="1365"/>
      <c r="J590" s="1365"/>
      <c r="K590" s="1365"/>
      <c r="L590" s="1365"/>
      <c r="M590" s="1365"/>
      <c r="N590" s="1365"/>
      <c r="O590" s="1365"/>
      <c r="P590" s="1365"/>
      <c r="Q590" s="1365"/>
      <c r="R590" s="1365"/>
      <c r="T590" s="22"/>
      <c r="U590" t="s">
        <v>86</v>
      </c>
      <c r="Z590" s="1365" t="s">
        <v>2635</v>
      </c>
      <c r="AA590" s="1365"/>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589</v>
      </c>
      <c r="G591" s="1365" t="s">
        <v>2636</v>
      </c>
      <c r="H591" s="1365"/>
      <c r="I591" s="1365"/>
      <c r="J591" s="1365"/>
      <c r="K591" s="1365"/>
      <c r="L591" s="1365"/>
      <c r="M591" s="1365"/>
      <c r="N591" s="1365"/>
      <c r="O591" s="1365"/>
      <c r="P591" s="1365"/>
      <c r="Q591" s="1365"/>
      <c r="R591" s="1365"/>
      <c r="T591" s="22"/>
      <c r="U591" t="s">
        <v>589</v>
      </c>
      <c r="Z591" s="1337" t="s">
        <v>2636</v>
      </c>
      <c r="AA591" s="1337"/>
      <c r="AB591" s="1337"/>
      <c r="AC591" s="1337"/>
      <c r="AD591" s="1337"/>
      <c r="AE591" s="1337"/>
      <c r="AF591" s="1337"/>
      <c r="AG591" s="1337"/>
      <c r="AH591" s="1337"/>
      <c r="AI591" s="1337"/>
      <c r="AJ591" s="1337"/>
      <c r="AK591" s="133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65" t="s">
        <v>2701</v>
      </c>
      <c r="H592" s="1365"/>
      <c r="I592" s="1365"/>
      <c r="J592" s="1365"/>
      <c r="K592" s="1365"/>
      <c r="L592" s="1365"/>
      <c r="M592" s="1365"/>
      <c r="N592" s="1365"/>
      <c r="O592" s="1365"/>
      <c r="P592" s="1365"/>
      <c r="Q592" s="1365"/>
      <c r="R592" s="1365"/>
      <c r="T592" s="22"/>
      <c r="U592" t="s">
        <v>17</v>
      </c>
      <c r="Z592" s="1337" t="s">
        <v>2701</v>
      </c>
      <c r="AA592" s="1337"/>
      <c r="AB592" s="1337"/>
      <c r="AC592" s="1337"/>
      <c r="AD592" s="1337"/>
      <c r="AE592" s="1337"/>
      <c r="AF592" s="1337"/>
      <c r="AG592" s="1337"/>
      <c r="AH592" s="1337"/>
      <c r="AI592" s="1337"/>
      <c r="AJ592" s="1337"/>
      <c r="AK592" s="133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317</v>
      </c>
      <c r="C593"/>
      <c r="D593"/>
      <c r="E593"/>
      <c r="F593"/>
      <c r="G593" s="1486" t="s">
        <v>2725</v>
      </c>
      <c r="H593" s="1408"/>
      <c r="I593" s="1408"/>
      <c r="J593" s="1408"/>
      <c r="K593" s="1408"/>
      <c r="L593" s="1408"/>
      <c r="M593"/>
      <c r="N593"/>
      <c r="O593" s="33" t="s">
        <v>207</v>
      </c>
      <c r="P593" s="1436"/>
      <c r="Q593" s="1436"/>
      <c r="R593" s="1436"/>
      <c r="S593"/>
      <c r="T593" s="22"/>
      <c r="U593" t="s">
        <v>317</v>
      </c>
      <c r="V593"/>
      <c r="W593"/>
      <c r="X593"/>
      <c r="Y593"/>
      <c r="Z593" s="1408" t="s">
        <v>2725</v>
      </c>
      <c r="AA593" s="1408"/>
      <c r="AB593" s="1408"/>
      <c r="AC593" s="1408"/>
      <c r="AD593" s="1408"/>
      <c r="AE593" s="1408"/>
      <c r="AF593"/>
      <c r="AG593"/>
      <c r="AH593" s="33" t="s">
        <v>207</v>
      </c>
      <c r="AI593" s="1436"/>
      <c r="AJ593" s="1436"/>
      <c r="AK593" s="143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65" t="s">
        <v>2745</v>
      </c>
      <c r="I594" s="1365"/>
      <c r="J594" s="1365"/>
      <c r="K594" s="1365"/>
      <c r="L594" s="1365"/>
      <c r="M594" s="1365"/>
      <c r="N594" s="1365"/>
      <c r="O594" s="1365"/>
      <c r="P594" s="1365"/>
      <c r="Q594" s="1365"/>
      <c r="R594" s="1365"/>
      <c r="S594"/>
      <c r="T594" s="22"/>
      <c r="U594" t="s">
        <v>18</v>
      </c>
      <c r="V594"/>
      <c r="W594"/>
      <c r="X594"/>
      <c r="Y594"/>
      <c r="Z594"/>
      <c r="AA594" s="1365" t="s">
        <v>2746</v>
      </c>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44" t="s">
        <v>554</v>
      </c>
      <c r="O595" s="1344"/>
      <c r="P595"/>
      <c r="Q595"/>
      <c r="R595"/>
      <c r="S595"/>
      <c r="T595" s="22"/>
      <c r="U595" t="s">
        <v>20</v>
      </c>
      <c r="V595"/>
      <c r="W595"/>
      <c r="X595"/>
      <c r="Y595"/>
      <c r="Z595"/>
      <c r="AA595"/>
      <c r="AB595"/>
      <c r="AC595"/>
      <c r="AD595"/>
      <c r="AE595"/>
      <c r="AF595"/>
      <c r="AG595" s="1344" t="s">
        <v>554</v>
      </c>
      <c r="AH595" s="1344"/>
      <c r="AI595"/>
      <c r="AJ595"/>
      <c r="AK595"/>
      <c r="AL595"/>
      <c r="AM595"/>
      <c r="AN595"/>
      <c r="AO595"/>
      <c r="AP595"/>
      <c r="AQ595"/>
      <c r="AR595"/>
      <c r="AS595"/>
      <c r="AT595"/>
      <c r="AU595"/>
      <c r="AV595"/>
      <c r="AW595"/>
      <c r="AX595"/>
      <c r="AY595"/>
      <c r="BA595" s="4" t="s">
        <v>325</v>
      </c>
      <c r="BB595" s="3"/>
      <c r="BC595" s="3"/>
      <c r="BD595" s="3"/>
      <c r="BE595" s="121" t="s">
        <v>483</v>
      </c>
      <c r="BF595" s="122"/>
      <c r="BG595" s="1469"/>
      <c r="BH595" s="1470"/>
      <c r="BI595" s="121" t="s">
        <v>484</v>
      </c>
      <c r="BJ595" s="122"/>
      <c r="BK595" s="1469"/>
      <c r="BL595" s="1470"/>
      <c r="BM595" s="3"/>
      <c r="BN595" s="1686" t="s">
        <v>642</v>
      </c>
      <c r="BO595" s="1687"/>
      <c r="BP595" s="1687"/>
      <c r="BQ595" s="1687"/>
      <c r="BR595" s="1688"/>
      <c r="BS595" s="1484" t="s">
        <v>326</v>
      </c>
      <c r="BT595" s="1484"/>
      <c r="BU595" s="1484"/>
      <c r="BV595" s="1484"/>
      <c r="BW595" s="1484"/>
      <c r="BX595" s="1484" t="s">
        <v>164</v>
      </c>
      <c r="BY595" s="1484"/>
      <c r="BZ595" s="1484"/>
      <c r="CA595" s="1484"/>
      <c r="CB595" s="1484"/>
      <c r="CC595" s="1484" t="s">
        <v>165</v>
      </c>
      <c r="CD595" s="1484"/>
      <c r="CE595" s="1484"/>
      <c r="CF595" s="1484"/>
      <c r="CG595" s="1484"/>
      <c r="CH595" s="1484" t="s">
        <v>469</v>
      </c>
      <c r="CI595" s="1484"/>
      <c r="CJ595" s="1484"/>
      <c r="CK595" s="1484"/>
      <c r="CL595" s="1484"/>
      <c r="CM595" s="1484" t="s">
        <v>30</v>
      </c>
      <c r="CN595" s="1484"/>
      <c r="CO595" s="1484"/>
      <c r="CP595" s="1484"/>
      <c r="CQ595" s="1484"/>
      <c r="CR595" s="89"/>
      <c r="CS595" s="1484" t="s">
        <v>642</v>
      </c>
      <c r="CT595" s="1484"/>
      <c r="CU595" s="1484"/>
      <c r="CV595" s="1484"/>
      <c r="CW595" s="1484"/>
      <c r="CX595" s="1484" t="s">
        <v>326</v>
      </c>
      <c r="CY595" s="1484"/>
      <c r="CZ595" s="1484"/>
      <c r="DA595" s="1484"/>
      <c r="DB595" s="1484"/>
      <c r="DC595" s="1484" t="s">
        <v>164</v>
      </c>
      <c r="DD595" s="1484"/>
      <c r="DE595" s="1484"/>
      <c r="DF595" s="1484"/>
      <c r="DG595" s="1484"/>
      <c r="DH595" s="1484" t="s">
        <v>165</v>
      </c>
      <c r="DI595" s="1484"/>
      <c r="DJ595" s="1484"/>
      <c r="DK595" s="1484"/>
      <c r="DL595" s="1484"/>
      <c r="DM595" s="1484" t="s">
        <v>469</v>
      </c>
      <c r="DN595" s="1484"/>
      <c r="DO595" s="1484"/>
      <c r="DP595" s="1484"/>
      <c r="DQ595" s="1484"/>
      <c r="DR595" s="1484" t="s">
        <v>30</v>
      </c>
      <c r="DS595" s="1484"/>
      <c r="DT595" s="1484"/>
      <c r="DU595" s="1484"/>
      <c r="DV595" s="1484"/>
      <c r="DX595" s="1484" t="s">
        <v>642</v>
      </c>
      <c r="DY595" s="1484"/>
      <c r="DZ595" s="1484"/>
      <c r="EA595" s="1484"/>
      <c r="EB595" s="1484"/>
      <c r="EC595" s="1484" t="s">
        <v>326</v>
      </c>
      <c r="ED595" s="1484"/>
      <c r="EE595" s="1484"/>
      <c r="EF595" s="1484"/>
      <c r="EG595" s="1484"/>
      <c r="EH595" s="1484" t="s">
        <v>164</v>
      </c>
      <c r="EI595" s="1484"/>
      <c r="EJ595" s="1484"/>
      <c r="EK595" s="1484"/>
      <c r="EL595" s="1484"/>
      <c r="EM595" s="1484" t="s">
        <v>165</v>
      </c>
      <c r="EN595" s="1484"/>
      <c r="EO595" s="1484"/>
      <c r="EP595" s="1484"/>
      <c r="EQ595" s="1484"/>
      <c r="ER595" s="1484" t="s">
        <v>469</v>
      </c>
      <c r="ES595" s="1484"/>
      <c r="ET595" s="1484"/>
      <c r="EU595" s="1484"/>
      <c r="EV595" s="1484"/>
      <c r="EW595" s="1484" t="s">
        <v>30</v>
      </c>
      <c r="EX595" s="1484"/>
      <c r="EY595" s="1484"/>
      <c r="EZ595" s="1484"/>
      <c r="FA595" s="1484"/>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391">
        <f t="shared" ref="BE596:BE620" si="1">IF(AND(AC714&lt;=0.5,AC714&gt;=0.36),1,0)</f>
        <v>0</v>
      </c>
      <c r="BF596" s="1392"/>
      <c r="BG596" s="1469">
        <f t="shared" ref="BG596:BG620" si="2">IF(BE596=1,G714,0)</f>
        <v>0</v>
      </c>
      <c r="BH596" s="1470"/>
      <c r="BI596" s="1391">
        <f t="shared" ref="BI596:BI620" si="3">IF(AND(AC714&lt;=0.35,AC714&gt;0),1,0)</f>
        <v>1</v>
      </c>
      <c r="BJ596" s="1392"/>
      <c r="BK596" s="1469">
        <f t="shared" ref="BK596:BK620" si="4">IF(BI596=1,G714,0)</f>
        <v>12</v>
      </c>
      <c r="BL596" s="1470"/>
      <c r="BM596" s="3"/>
      <c r="BN596" s="1480">
        <f t="shared" ref="BN596:BN620" si="5">IF(B714="SRO/Studio",G714,0)</f>
        <v>12</v>
      </c>
      <c r="BO596" s="1481"/>
      <c r="BP596" s="1481"/>
      <c r="BQ596" s="1481"/>
      <c r="BR596" s="1482"/>
      <c r="BS596" s="1366">
        <f t="shared" ref="BS596:BS620" si="6">IF(B714="1 Bedroom",G714,0)</f>
        <v>0</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6"/>
      <c r="CS596" s="1690">
        <f t="shared" ref="CS596:CS620" si="11">IF(AND(B714="SRO/Studio",AC714&lt;=0.3),G714,0)</f>
        <v>12</v>
      </c>
      <c r="CT596" s="1690"/>
      <c r="CU596" s="1690"/>
      <c r="CV596" s="1690"/>
      <c r="CW596" s="1690"/>
      <c r="CX596" s="1690">
        <f t="shared" ref="CX596:CX620" si="12">IF(AND(B714="1 Bedroom",AC714&lt;=0.3),G714,0)</f>
        <v>0</v>
      </c>
      <c r="CY596" s="1690"/>
      <c r="CZ596" s="1690"/>
      <c r="DA596" s="1690"/>
      <c r="DB596" s="1690"/>
      <c r="DC596" s="1690">
        <f t="shared" ref="DC596:DC620" si="13">IF(AND(B714="2 Bedrooms",AC714&lt;=0.3),G714,0)</f>
        <v>0</v>
      </c>
      <c r="DD596" s="1690"/>
      <c r="DE596" s="1690"/>
      <c r="DF596" s="1690"/>
      <c r="DG596" s="1690"/>
      <c r="DH596" s="1690">
        <f t="shared" ref="DH596:DH620" si="14">IF(AND(B714="3 Bedrooms",AC714&lt;=0.3),G714,0)</f>
        <v>0</v>
      </c>
      <c r="DI596" s="1690"/>
      <c r="DJ596" s="1690"/>
      <c r="DK596" s="1690"/>
      <c r="DL596" s="1690"/>
      <c r="DM596" s="1690">
        <f t="shared" ref="DM596:DM620" si="15">IF(AND(B714="4 Bedrooms",AC714&lt;=0.3),G714,0)</f>
        <v>0</v>
      </c>
      <c r="DN596" s="1690"/>
      <c r="DO596" s="1690"/>
      <c r="DP596" s="1690"/>
      <c r="DQ596" s="1690"/>
      <c r="DR596" s="1690">
        <f t="shared" ref="DR596:DR620" si="16">IF(AND(B714="5 Bedrooms",AC714&lt;=0.3),G714,0)</f>
        <v>0</v>
      </c>
      <c r="DS596" s="1690"/>
      <c r="DT596" s="1690"/>
      <c r="DU596" s="1690"/>
      <c r="DV596" s="1690"/>
      <c r="DX596" s="1391">
        <f t="shared" ref="DX596:DX620" si="17">IF(BN596&gt;0,O714," ")</f>
        <v>453</v>
      </c>
      <c r="DY596" s="1821"/>
      <c r="DZ596" s="1821"/>
      <c r="EA596" s="1821"/>
      <c r="EB596" s="1392"/>
      <c r="EC596" s="1391" t="str">
        <f t="shared" ref="EC596:EC620" si="18">IF(BS596&gt;0,O714," ")</f>
        <v xml:space="preserve"> </v>
      </c>
      <c r="ED596" s="1821"/>
      <c r="EE596" s="1821"/>
      <c r="EF596" s="1821"/>
      <c r="EG596" s="1392"/>
      <c r="EH596" s="1391" t="str">
        <f t="shared" ref="EH596:EH620" si="19">IF(BX596&gt;0,O714," ")</f>
        <v xml:space="preserve"> </v>
      </c>
      <c r="EI596" s="1821"/>
      <c r="EJ596" s="1821"/>
      <c r="EK596" s="1821"/>
      <c r="EL596" s="1392"/>
      <c r="EM596" s="1391" t="str">
        <f t="shared" ref="EM596:EM620" si="20">IF(CC596&gt;0,O714," ")</f>
        <v xml:space="preserve"> </v>
      </c>
      <c r="EN596" s="1821"/>
      <c r="EO596" s="1821"/>
      <c r="EP596" s="1821"/>
      <c r="EQ596" s="1392"/>
      <c r="ER596" s="1391" t="str">
        <f t="shared" ref="ER596:ER620" si="21">IF(CH596&gt;0,O714," ")</f>
        <v xml:space="preserve"> </v>
      </c>
      <c r="ES596" s="1821"/>
      <c r="ET596" s="1821"/>
      <c r="EU596" s="1821"/>
      <c r="EV596" s="1392"/>
      <c r="EW596" s="1391" t="str">
        <f t="shared" ref="EW596:EW620" si="22">IF(CM596&gt;0,O714," ")</f>
        <v xml:space="preserve"> </v>
      </c>
      <c r="EX596" s="1821"/>
      <c r="EY596" s="1821"/>
      <c r="EZ596" s="1821"/>
      <c r="FA596" s="1392"/>
    </row>
    <row r="597" spans="1:157" s="4" customFormat="1" ht="13.05" customHeight="1">
      <c r="A597" s="55" t="s">
        <v>470</v>
      </c>
      <c r="B597" t="s">
        <v>472</v>
      </c>
      <c r="C597"/>
      <c r="D597"/>
      <c r="E597"/>
      <c r="F597"/>
      <c r="G597" s="1485" t="str">
        <f>C558</f>
        <v>LIHTC Equity</v>
      </c>
      <c r="H597" s="1485"/>
      <c r="I597" s="1485"/>
      <c r="J597" s="1485"/>
      <c r="K597" s="1485"/>
      <c r="L597" s="1485"/>
      <c r="M597" s="1485"/>
      <c r="N597" s="1485"/>
      <c r="O597" s="1485"/>
      <c r="P597" s="1485"/>
      <c r="Q597" s="1485"/>
      <c r="R597" s="1485"/>
      <c r="S597"/>
      <c r="T597" s="55" t="s">
        <v>655</v>
      </c>
      <c r="U597" t="s">
        <v>472</v>
      </c>
      <c r="V597"/>
      <c r="W597"/>
      <c r="X597"/>
      <c r="Y597"/>
      <c r="Z597" s="1485">
        <f>C559</f>
        <v>0</v>
      </c>
      <c r="AA597" s="1485"/>
      <c r="AB597" s="1485"/>
      <c r="AC597" s="1485"/>
      <c r="AD597" s="1485"/>
      <c r="AE597" s="1485"/>
      <c r="AF597" s="1485"/>
      <c r="AG597" s="1485"/>
      <c r="AH597" s="1485"/>
      <c r="AI597" s="1485"/>
      <c r="AJ597" s="1485"/>
      <c r="AK597" s="1485"/>
      <c r="AL597"/>
      <c r="AM597"/>
      <c r="AN597"/>
      <c r="AO597"/>
      <c r="AP597"/>
      <c r="AQ597"/>
      <c r="AR597"/>
      <c r="AS597"/>
      <c r="AT597"/>
      <c r="AU597"/>
      <c r="AV597"/>
      <c r="AW597"/>
      <c r="AX597"/>
      <c r="AY597"/>
      <c r="BA597" s="4" t="s">
        <v>164</v>
      </c>
      <c r="BB597" s="3"/>
      <c r="BC597" s="3"/>
      <c r="BD597" s="3"/>
      <c r="BE597" s="1391">
        <f t="shared" si="1"/>
        <v>0</v>
      </c>
      <c r="BF597" s="1392"/>
      <c r="BG597" s="1469">
        <f t="shared" si="2"/>
        <v>0</v>
      </c>
      <c r="BH597" s="1470"/>
      <c r="BI597" s="1391">
        <f t="shared" si="3"/>
        <v>1</v>
      </c>
      <c r="BJ597" s="1392"/>
      <c r="BK597" s="1469">
        <f t="shared" si="4"/>
        <v>18</v>
      </c>
      <c r="BL597" s="1470"/>
      <c r="BM597" s="3"/>
      <c r="BN597" s="1480">
        <f t="shared" si="5"/>
        <v>0</v>
      </c>
      <c r="BO597" s="1481"/>
      <c r="BP597" s="1481"/>
      <c r="BQ597" s="1481"/>
      <c r="BR597" s="1482"/>
      <c r="BS597" s="1366">
        <f t="shared" si="6"/>
        <v>18</v>
      </c>
      <c r="BT597" s="1366"/>
      <c r="BU597" s="1366"/>
      <c r="BV597" s="1366"/>
      <c r="BW597" s="1366"/>
      <c r="BX597" s="1366">
        <f t="shared" si="7"/>
        <v>0</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6"/>
      <c r="CS597" s="1690">
        <f t="shared" si="11"/>
        <v>0</v>
      </c>
      <c r="CT597" s="1690"/>
      <c r="CU597" s="1690"/>
      <c r="CV597" s="1690"/>
      <c r="CW597" s="1690"/>
      <c r="CX597" s="1690">
        <f t="shared" si="12"/>
        <v>18</v>
      </c>
      <c r="CY597" s="1690"/>
      <c r="CZ597" s="1690"/>
      <c r="DA597" s="1690"/>
      <c r="DB597" s="1690"/>
      <c r="DC597" s="1690">
        <f t="shared" si="13"/>
        <v>0</v>
      </c>
      <c r="DD597" s="1690"/>
      <c r="DE597" s="1690"/>
      <c r="DF597" s="1690"/>
      <c r="DG597" s="1690"/>
      <c r="DH597" s="1690">
        <f t="shared" si="14"/>
        <v>0</v>
      </c>
      <c r="DI597" s="1690"/>
      <c r="DJ597" s="1690"/>
      <c r="DK597" s="1690"/>
      <c r="DL597" s="1690"/>
      <c r="DM597" s="1690">
        <f t="shared" si="15"/>
        <v>0</v>
      </c>
      <c r="DN597" s="1690"/>
      <c r="DO597" s="1690"/>
      <c r="DP597" s="1690"/>
      <c r="DQ597" s="1690"/>
      <c r="DR597" s="1690">
        <f t="shared" si="16"/>
        <v>0</v>
      </c>
      <c r="DS597" s="1690"/>
      <c r="DT597" s="1690"/>
      <c r="DU597" s="1690"/>
      <c r="DV597" s="1690"/>
      <c r="DX597" s="1391" t="str">
        <f t="shared" si="17"/>
        <v xml:space="preserve"> </v>
      </c>
      <c r="DY597" s="1821"/>
      <c r="DZ597" s="1821"/>
      <c r="EA597" s="1821"/>
      <c r="EB597" s="1392"/>
      <c r="EC597" s="1391">
        <f t="shared" si="18"/>
        <v>420</v>
      </c>
      <c r="ED597" s="1821"/>
      <c r="EE597" s="1821"/>
      <c r="EF597" s="1821"/>
      <c r="EG597" s="1392"/>
      <c r="EH597" s="1391" t="str">
        <f t="shared" si="19"/>
        <v xml:space="preserve"> </v>
      </c>
      <c r="EI597" s="1821"/>
      <c r="EJ597" s="1821"/>
      <c r="EK597" s="1821"/>
      <c r="EL597" s="1392"/>
      <c r="EM597" s="1391" t="str">
        <f t="shared" si="20"/>
        <v xml:space="preserve"> </v>
      </c>
      <c r="EN597" s="1821"/>
      <c r="EO597" s="1821"/>
      <c r="EP597" s="1821"/>
      <c r="EQ597" s="1392"/>
      <c r="ER597" s="1391" t="str">
        <f t="shared" si="21"/>
        <v xml:space="preserve"> </v>
      </c>
      <c r="ES597" s="1821"/>
      <c r="ET597" s="1821"/>
      <c r="EU597" s="1821"/>
      <c r="EV597" s="1392"/>
      <c r="EW597" s="1391" t="str">
        <f t="shared" si="22"/>
        <v xml:space="preserve"> </v>
      </c>
      <c r="EX597" s="1821"/>
      <c r="EY597" s="1821"/>
      <c r="EZ597" s="1821"/>
      <c r="FA597" s="1392"/>
    </row>
    <row r="598" spans="1:157" ht="13.05" customHeight="1">
      <c r="A598" s="22"/>
      <c r="B598" t="s">
        <v>86</v>
      </c>
      <c r="G598" s="1365" t="s">
        <v>2652</v>
      </c>
      <c r="H598" s="1365"/>
      <c r="I598" s="1365"/>
      <c r="J598" s="1365"/>
      <c r="K598" s="1365"/>
      <c r="L598" s="1365"/>
      <c r="M598" s="1365"/>
      <c r="N598" s="1365"/>
      <c r="O598" s="1365"/>
      <c r="P598" s="1365"/>
      <c r="Q598" s="1365"/>
      <c r="R598" s="1365"/>
      <c r="T598" s="22"/>
      <c r="U598" t="s">
        <v>86</v>
      </c>
      <c r="Z598" s="1365"/>
      <c r="AA598" s="1365"/>
      <c r="AB598" s="1365"/>
      <c r="AC598" s="1365"/>
      <c r="AD598" s="1365"/>
      <c r="AE598" s="1365"/>
      <c r="AF598" s="1365"/>
      <c r="AG598" s="1365"/>
      <c r="AH598" s="1365"/>
      <c r="AI598" s="1365"/>
      <c r="AJ598" s="1365"/>
      <c r="AK598" s="1365"/>
      <c r="BA598" s="4" t="s">
        <v>165</v>
      </c>
      <c r="BB598" s="3"/>
      <c r="BC598" s="3"/>
      <c r="BD598" s="3"/>
      <c r="BE598" s="1391">
        <f t="shared" si="1"/>
        <v>1</v>
      </c>
      <c r="BF598" s="1392"/>
      <c r="BG598" s="1469">
        <f t="shared" si="2"/>
        <v>8</v>
      </c>
      <c r="BH598" s="1470"/>
      <c r="BI598" s="1391">
        <f t="shared" si="3"/>
        <v>0</v>
      </c>
      <c r="BJ598" s="1392"/>
      <c r="BK598" s="1469">
        <f t="shared" si="4"/>
        <v>0</v>
      </c>
      <c r="BL598" s="1470"/>
      <c r="BM598" s="3"/>
      <c r="BN598" s="1480">
        <f t="shared" si="5"/>
        <v>0</v>
      </c>
      <c r="BO598" s="1481"/>
      <c r="BP598" s="1481"/>
      <c r="BQ598" s="1481"/>
      <c r="BR598" s="1482"/>
      <c r="BS598" s="1366">
        <f t="shared" si="6"/>
        <v>8</v>
      </c>
      <c r="BT598" s="1366"/>
      <c r="BU598" s="1366"/>
      <c r="BV598" s="1366"/>
      <c r="BW598" s="1366"/>
      <c r="BX598" s="1366">
        <f t="shared" si="7"/>
        <v>0</v>
      </c>
      <c r="BY598" s="1366"/>
      <c r="BZ598" s="1366"/>
      <c r="CA598" s="1366"/>
      <c r="CB598" s="1366"/>
      <c r="CC598" s="1366">
        <f t="shared" si="8"/>
        <v>0</v>
      </c>
      <c r="CD598" s="1366"/>
      <c r="CE598" s="1366"/>
      <c r="CF598" s="1366"/>
      <c r="CG598" s="1366"/>
      <c r="CH598" s="1366">
        <f t="shared" si="9"/>
        <v>0</v>
      </c>
      <c r="CI598" s="1366"/>
      <c r="CJ598" s="1366"/>
      <c r="CK598" s="1366"/>
      <c r="CL598" s="1366"/>
      <c r="CM598" s="1366">
        <f t="shared" si="10"/>
        <v>0</v>
      </c>
      <c r="CN598" s="1366"/>
      <c r="CO598" s="1366"/>
      <c r="CP598" s="1366"/>
      <c r="CQ598" s="1366"/>
      <c r="CR598" s="6"/>
      <c r="CS598" s="1690">
        <f t="shared" si="11"/>
        <v>0</v>
      </c>
      <c r="CT598" s="1690"/>
      <c r="CU598" s="1690"/>
      <c r="CV598" s="1690"/>
      <c r="CW598" s="1690"/>
      <c r="CX598" s="1690">
        <f t="shared" si="12"/>
        <v>0</v>
      </c>
      <c r="CY598" s="1690"/>
      <c r="CZ598" s="1690"/>
      <c r="DA598" s="1690"/>
      <c r="DB598" s="1690"/>
      <c r="DC598" s="1690">
        <f t="shared" si="13"/>
        <v>0</v>
      </c>
      <c r="DD598" s="1690"/>
      <c r="DE598" s="1690"/>
      <c r="DF598" s="1690"/>
      <c r="DG598" s="1690"/>
      <c r="DH598" s="1690">
        <f t="shared" si="14"/>
        <v>0</v>
      </c>
      <c r="DI598" s="1690"/>
      <c r="DJ598" s="1690"/>
      <c r="DK598" s="1690"/>
      <c r="DL598" s="1690"/>
      <c r="DM598" s="1690">
        <f t="shared" si="15"/>
        <v>0</v>
      </c>
      <c r="DN598" s="1690"/>
      <c r="DO598" s="1690"/>
      <c r="DP598" s="1690"/>
      <c r="DQ598" s="1690"/>
      <c r="DR598" s="1690">
        <f t="shared" si="16"/>
        <v>0</v>
      </c>
      <c r="DS598" s="1690"/>
      <c r="DT598" s="1690"/>
      <c r="DU598" s="1690"/>
      <c r="DV598" s="1690"/>
      <c r="DX598" s="1391" t="str">
        <f t="shared" si="17"/>
        <v xml:space="preserve"> </v>
      </c>
      <c r="DY598" s="1821"/>
      <c r="DZ598" s="1821"/>
      <c r="EA598" s="1821"/>
      <c r="EB598" s="1392"/>
      <c r="EC598" s="1391">
        <f t="shared" si="18"/>
        <v>560</v>
      </c>
      <c r="ED598" s="1821"/>
      <c r="EE598" s="1821"/>
      <c r="EF598" s="1821"/>
      <c r="EG598" s="1392"/>
      <c r="EH598" s="1391" t="str">
        <f t="shared" si="19"/>
        <v xml:space="preserve"> </v>
      </c>
      <c r="EI598" s="1821"/>
      <c r="EJ598" s="1821"/>
      <c r="EK598" s="1821"/>
      <c r="EL598" s="1392"/>
      <c r="EM598" s="1391" t="str">
        <f t="shared" si="20"/>
        <v xml:space="preserve"> </v>
      </c>
      <c r="EN598" s="1821"/>
      <c r="EO598" s="1821"/>
      <c r="EP598" s="1821"/>
      <c r="EQ598" s="1392"/>
      <c r="ER598" s="1391" t="str">
        <f t="shared" si="21"/>
        <v xml:space="preserve"> </v>
      </c>
      <c r="ES598" s="1821"/>
      <c r="ET598" s="1821"/>
      <c r="EU598" s="1821"/>
      <c r="EV598" s="1392"/>
      <c r="EW598" s="1391" t="str">
        <f t="shared" si="22"/>
        <v xml:space="preserve"> </v>
      </c>
      <c r="EX598" s="1821"/>
      <c r="EY598" s="1821"/>
      <c r="EZ598" s="1821"/>
      <c r="FA598" s="1392"/>
    </row>
    <row r="599" spans="1:157" ht="13.05" customHeight="1">
      <c r="A599" s="22"/>
      <c r="B599" t="s">
        <v>589</v>
      </c>
      <c r="G599" s="1365"/>
      <c r="H599" s="1365"/>
      <c r="I599" s="1365"/>
      <c r="J599" s="1365"/>
      <c r="K599" s="1365"/>
      <c r="L599" s="1365"/>
      <c r="M599" s="1365"/>
      <c r="N599" s="1365"/>
      <c r="O599" s="1365"/>
      <c r="P599" s="1365"/>
      <c r="Q599" s="1365"/>
      <c r="R599" s="1365"/>
      <c r="T599" s="22"/>
      <c r="U599" t="s">
        <v>589</v>
      </c>
      <c r="Z599" s="1337"/>
      <c r="AA599" s="1337"/>
      <c r="AB599" s="1337"/>
      <c r="AC599" s="1337"/>
      <c r="AD599" s="1337"/>
      <c r="AE599" s="1337"/>
      <c r="AF599" s="1337"/>
      <c r="AG599" s="1337"/>
      <c r="AH599" s="1337"/>
      <c r="AI599" s="1337"/>
      <c r="AJ599" s="1337"/>
      <c r="AK599" s="1337"/>
      <c r="BA599" s="4" t="s">
        <v>166</v>
      </c>
      <c r="BB599" s="3"/>
      <c r="BC599" s="3"/>
      <c r="BD599" s="3"/>
      <c r="BE599" s="1391">
        <f t="shared" si="1"/>
        <v>0</v>
      </c>
      <c r="BF599" s="1392"/>
      <c r="BG599" s="1469">
        <f t="shared" si="2"/>
        <v>0</v>
      </c>
      <c r="BH599" s="1470"/>
      <c r="BI599" s="1391">
        <f t="shared" si="3"/>
        <v>0</v>
      </c>
      <c r="BJ599" s="1392"/>
      <c r="BK599" s="1469">
        <f t="shared" si="4"/>
        <v>0</v>
      </c>
      <c r="BL599" s="1470"/>
      <c r="BM599" s="3"/>
      <c r="BN599" s="1480">
        <f t="shared" si="5"/>
        <v>47</v>
      </c>
      <c r="BO599" s="1481"/>
      <c r="BP599" s="1481"/>
      <c r="BQ599" s="1481"/>
      <c r="BR599" s="1482"/>
      <c r="BS599" s="1366">
        <f t="shared" si="6"/>
        <v>0</v>
      </c>
      <c r="BT599" s="1366"/>
      <c r="BU599" s="1366"/>
      <c r="BV599" s="1366"/>
      <c r="BW599" s="1366"/>
      <c r="BX599" s="1366">
        <f t="shared" si="7"/>
        <v>0</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6"/>
      <c r="CS599" s="1690">
        <f t="shared" si="11"/>
        <v>0</v>
      </c>
      <c r="CT599" s="1690"/>
      <c r="CU599" s="1690"/>
      <c r="CV599" s="1690"/>
      <c r="CW599" s="1690"/>
      <c r="CX599" s="1690">
        <f t="shared" si="12"/>
        <v>0</v>
      </c>
      <c r="CY599" s="1690"/>
      <c r="CZ599" s="1690"/>
      <c r="DA599" s="1690"/>
      <c r="DB599" s="1690"/>
      <c r="DC599" s="1690">
        <f t="shared" si="13"/>
        <v>0</v>
      </c>
      <c r="DD599" s="1690"/>
      <c r="DE599" s="1690"/>
      <c r="DF599" s="1690"/>
      <c r="DG599" s="1690"/>
      <c r="DH599" s="1690">
        <f t="shared" si="14"/>
        <v>0</v>
      </c>
      <c r="DI599" s="1690"/>
      <c r="DJ599" s="1690"/>
      <c r="DK599" s="1690"/>
      <c r="DL599" s="1690"/>
      <c r="DM599" s="1690">
        <f t="shared" si="15"/>
        <v>0</v>
      </c>
      <c r="DN599" s="1690"/>
      <c r="DO599" s="1690"/>
      <c r="DP599" s="1690"/>
      <c r="DQ599" s="1690"/>
      <c r="DR599" s="1690">
        <f t="shared" si="16"/>
        <v>0</v>
      </c>
      <c r="DS599" s="1690"/>
      <c r="DT599" s="1690"/>
      <c r="DU599" s="1690"/>
      <c r="DV599" s="1690"/>
      <c r="DX599" s="1391">
        <f t="shared" si="17"/>
        <v>1228</v>
      </c>
      <c r="DY599" s="1821"/>
      <c r="DZ599" s="1821"/>
      <c r="EA599" s="1821"/>
      <c r="EB599" s="1392"/>
      <c r="EC599" s="1391" t="str">
        <f t="shared" si="18"/>
        <v xml:space="preserve"> </v>
      </c>
      <c r="ED599" s="1821"/>
      <c r="EE599" s="1821"/>
      <c r="EF599" s="1821"/>
      <c r="EG599" s="1392"/>
      <c r="EH599" s="1391" t="str">
        <f t="shared" si="19"/>
        <v xml:space="preserve"> </v>
      </c>
      <c r="EI599" s="1821"/>
      <c r="EJ599" s="1821"/>
      <c r="EK599" s="1821"/>
      <c r="EL599" s="1392"/>
      <c r="EM599" s="1391" t="str">
        <f t="shared" si="20"/>
        <v xml:space="preserve"> </v>
      </c>
      <c r="EN599" s="1821"/>
      <c r="EO599" s="1821"/>
      <c r="EP599" s="1821"/>
      <c r="EQ599" s="1392"/>
      <c r="ER599" s="1391" t="str">
        <f t="shared" si="21"/>
        <v xml:space="preserve"> </v>
      </c>
      <c r="ES599" s="1821"/>
      <c r="ET599" s="1821"/>
      <c r="EU599" s="1821"/>
      <c r="EV599" s="1392"/>
      <c r="EW599" s="1391" t="str">
        <f t="shared" si="22"/>
        <v xml:space="preserve"> </v>
      </c>
      <c r="EX599" s="1821"/>
      <c r="EY599" s="1821"/>
      <c r="EZ599" s="1821"/>
      <c r="FA599" s="1392"/>
    </row>
    <row r="600" spans="1:157" ht="13.05" customHeight="1">
      <c r="A600" s="22"/>
      <c r="B600" t="s">
        <v>17</v>
      </c>
      <c r="G600" s="1365"/>
      <c r="H600" s="1365"/>
      <c r="I600" s="1365"/>
      <c r="J600" s="1365"/>
      <c r="K600" s="1365"/>
      <c r="L600" s="1365"/>
      <c r="M600" s="1365"/>
      <c r="N600" s="1365"/>
      <c r="O600" s="1365"/>
      <c r="P600" s="1365"/>
      <c r="Q600" s="1365"/>
      <c r="R600" s="1365"/>
      <c r="T600" s="22"/>
      <c r="U600" t="s">
        <v>17</v>
      </c>
      <c r="Z600" s="1337"/>
      <c r="AA600" s="1337"/>
      <c r="AB600" s="1337"/>
      <c r="AC600" s="1337"/>
      <c r="AD600" s="1337"/>
      <c r="AE600" s="1337"/>
      <c r="AF600" s="1337"/>
      <c r="AG600" s="1337"/>
      <c r="AH600" s="1337"/>
      <c r="AI600" s="1337"/>
      <c r="AJ600" s="1337"/>
      <c r="AK600" s="1337"/>
      <c r="BA600" s="4" t="s">
        <v>30</v>
      </c>
      <c r="BB600" s="3"/>
      <c r="BC600" s="3"/>
      <c r="BD600" s="3"/>
      <c r="BE600" s="1391">
        <f t="shared" si="1"/>
        <v>0</v>
      </c>
      <c r="BF600" s="1392"/>
      <c r="BG600" s="1469">
        <f t="shared" si="2"/>
        <v>0</v>
      </c>
      <c r="BH600" s="1470"/>
      <c r="BI600" s="1391">
        <f t="shared" si="3"/>
        <v>0</v>
      </c>
      <c r="BJ600" s="1392"/>
      <c r="BK600" s="1469">
        <f t="shared" si="4"/>
        <v>0</v>
      </c>
      <c r="BL600" s="1470"/>
      <c r="BM600" s="3"/>
      <c r="BN600" s="1480">
        <f t="shared" si="5"/>
        <v>0</v>
      </c>
      <c r="BO600" s="1481"/>
      <c r="BP600" s="1481"/>
      <c r="BQ600" s="1481"/>
      <c r="BR600" s="1482"/>
      <c r="BS600" s="1366">
        <f t="shared" si="6"/>
        <v>119</v>
      </c>
      <c r="BT600" s="1366"/>
      <c r="BU600" s="1366"/>
      <c r="BV600" s="1366"/>
      <c r="BW600" s="1366"/>
      <c r="BX600" s="1366">
        <f t="shared" si="7"/>
        <v>0</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6"/>
      <c r="CS600" s="1690">
        <f t="shared" si="11"/>
        <v>0</v>
      </c>
      <c r="CT600" s="1690"/>
      <c r="CU600" s="1690"/>
      <c r="CV600" s="1690"/>
      <c r="CW600" s="1690"/>
      <c r="CX600" s="1690">
        <f t="shared" si="12"/>
        <v>0</v>
      </c>
      <c r="CY600" s="1690"/>
      <c r="CZ600" s="1690"/>
      <c r="DA600" s="1690"/>
      <c r="DB600" s="1690"/>
      <c r="DC600" s="1690">
        <f t="shared" si="13"/>
        <v>0</v>
      </c>
      <c r="DD600" s="1690"/>
      <c r="DE600" s="1690"/>
      <c r="DF600" s="1690"/>
      <c r="DG600" s="1690"/>
      <c r="DH600" s="1690">
        <f t="shared" si="14"/>
        <v>0</v>
      </c>
      <c r="DI600" s="1690"/>
      <c r="DJ600" s="1690"/>
      <c r="DK600" s="1690"/>
      <c r="DL600" s="1690"/>
      <c r="DM600" s="1690">
        <f t="shared" si="15"/>
        <v>0</v>
      </c>
      <c r="DN600" s="1690"/>
      <c r="DO600" s="1690"/>
      <c r="DP600" s="1690"/>
      <c r="DQ600" s="1690"/>
      <c r="DR600" s="1690">
        <f t="shared" si="16"/>
        <v>0</v>
      </c>
      <c r="DS600" s="1690"/>
      <c r="DT600" s="1690"/>
      <c r="DU600" s="1690"/>
      <c r="DV600" s="1690"/>
      <c r="DX600" s="1391" t="str">
        <f t="shared" si="17"/>
        <v xml:space="preserve"> </v>
      </c>
      <c r="DY600" s="1821"/>
      <c r="DZ600" s="1821"/>
      <c r="EA600" s="1821"/>
      <c r="EB600" s="1392"/>
      <c r="EC600" s="1391">
        <f t="shared" si="18"/>
        <v>1084</v>
      </c>
      <c r="ED600" s="1821"/>
      <c r="EE600" s="1821"/>
      <c r="EF600" s="1821"/>
      <c r="EG600" s="1392"/>
      <c r="EH600" s="1391" t="str">
        <f t="shared" si="19"/>
        <v xml:space="preserve"> </v>
      </c>
      <c r="EI600" s="1821"/>
      <c r="EJ600" s="1821"/>
      <c r="EK600" s="1821"/>
      <c r="EL600" s="1392"/>
      <c r="EM600" s="1391" t="str">
        <f t="shared" si="20"/>
        <v xml:space="preserve"> </v>
      </c>
      <c r="EN600" s="1821"/>
      <c r="EO600" s="1821"/>
      <c r="EP600" s="1821"/>
      <c r="EQ600" s="1392"/>
      <c r="ER600" s="1391" t="str">
        <f t="shared" si="21"/>
        <v xml:space="preserve"> </v>
      </c>
      <c r="ES600" s="1821"/>
      <c r="ET600" s="1821"/>
      <c r="EU600" s="1821"/>
      <c r="EV600" s="1392"/>
      <c r="EW600" s="1391" t="str">
        <f t="shared" si="22"/>
        <v xml:space="preserve"> </v>
      </c>
      <c r="EX600" s="1821"/>
      <c r="EY600" s="1821"/>
      <c r="EZ600" s="1821"/>
      <c r="FA600" s="1392"/>
    </row>
    <row r="601" spans="1:157" ht="13.05" customHeight="1">
      <c r="A601" s="22"/>
      <c r="B601" t="s">
        <v>317</v>
      </c>
      <c r="G601" s="1408"/>
      <c r="H601" s="1408"/>
      <c r="I601" s="1408"/>
      <c r="J601" s="1408"/>
      <c r="K601" s="1408"/>
      <c r="L601" s="1408"/>
      <c r="O601" s="33" t="s">
        <v>207</v>
      </c>
      <c r="P601" s="1436"/>
      <c r="Q601" s="1436"/>
      <c r="R601" s="1436"/>
      <c r="T601" s="22"/>
      <c r="U601" t="s">
        <v>317</v>
      </c>
      <c r="Z601" s="1408"/>
      <c r="AA601" s="1408"/>
      <c r="AB601" s="1408"/>
      <c r="AC601" s="1408"/>
      <c r="AD601" s="1408"/>
      <c r="AE601" s="1408"/>
      <c r="AH601" s="33" t="s">
        <v>207</v>
      </c>
      <c r="AI601" s="1436"/>
      <c r="AJ601" s="1436"/>
      <c r="AK601" s="1436"/>
      <c r="AZ601" s="3"/>
      <c r="BA601" s="3"/>
      <c r="BB601" s="3"/>
      <c r="BC601" s="3"/>
      <c r="BD601" s="3"/>
      <c r="BE601" s="1391">
        <f t="shared" si="1"/>
        <v>0</v>
      </c>
      <c r="BF601" s="1392"/>
      <c r="BG601" s="1469">
        <f t="shared" si="2"/>
        <v>0</v>
      </c>
      <c r="BH601" s="1470"/>
      <c r="BI601" s="1391">
        <f t="shared" si="3"/>
        <v>0</v>
      </c>
      <c r="BJ601" s="1392"/>
      <c r="BK601" s="1469">
        <f t="shared" si="4"/>
        <v>0</v>
      </c>
      <c r="BL601" s="1470"/>
      <c r="BM601" s="3"/>
      <c r="BN601" s="1480">
        <f t="shared" si="5"/>
        <v>0</v>
      </c>
      <c r="BO601" s="1481"/>
      <c r="BP601" s="1481"/>
      <c r="BQ601" s="1481"/>
      <c r="BR601" s="1482"/>
      <c r="BS601" s="1366">
        <f t="shared" si="6"/>
        <v>0</v>
      </c>
      <c r="BT601" s="1366"/>
      <c r="BU601" s="1366"/>
      <c r="BV601" s="1366"/>
      <c r="BW601" s="1366"/>
      <c r="BX601" s="1366">
        <f t="shared" si="7"/>
        <v>0</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6"/>
      <c r="CS601" s="1690">
        <f t="shared" si="11"/>
        <v>0</v>
      </c>
      <c r="CT601" s="1690"/>
      <c r="CU601" s="1690"/>
      <c r="CV601" s="1690"/>
      <c r="CW601" s="1690"/>
      <c r="CX601" s="1690">
        <f t="shared" si="12"/>
        <v>0</v>
      </c>
      <c r="CY601" s="1690"/>
      <c r="CZ601" s="1690"/>
      <c r="DA601" s="1690"/>
      <c r="DB601" s="1690"/>
      <c r="DC601" s="1690">
        <f t="shared" si="13"/>
        <v>0</v>
      </c>
      <c r="DD601" s="1690"/>
      <c r="DE601" s="1690"/>
      <c r="DF601" s="1690"/>
      <c r="DG601" s="1690"/>
      <c r="DH601" s="1690">
        <f t="shared" si="14"/>
        <v>0</v>
      </c>
      <c r="DI601" s="1690"/>
      <c r="DJ601" s="1690"/>
      <c r="DK601" s="1690"/>
      <c r="DL601" s="1690"/>
      <c r="DM601" s="1690">
        <f t="shared" si="15"/>
        <v>0</v>
      </c>
      <c r="DN601" s="1690"/>
      <c r="DO601" s="1690"/>
      <c r="DP601" s="1690"/>
      <c r="DQ601" s="1690"/>
      <c r="DR601" s="1690">
        <f t="shared" si="16"/>
        <v>0</v>
      </c>
      <c r="DS601" s="1690"/>
      <c r="DT601" s="1690"/>
      <c r="DU601" s="1690"/>
      <c r="DV601" s="1690"/>
      <c r="DX601" s="1391" t="str">
        <f t="shared" si="17"/>
        <v xml:space="preserve"> </v>
      </c>
      <c r="DY601" s="1821"/>
      <c r="DZ601" s="1821"/>
      <c r="EA601" s="1821"/>
      <c r="EB601" s="1392"/>
      <c r="EC601" s="1391" t="str">
        <f t="shared" si="18"/>
        <v xml:space="preserve"> </v>
      </c>
      <c r="ED601" s="1821"/>
      <c r="EE601" s="1821"/>
      <c r="EF601" s="1821"/>
      <c r="EG601" s="1392"/>
      <c r="EH601" s="1391" t="str">
        <f t="shared" si="19"/>
        <v xml:space="preserve"> </v>
      </c>
      <c r="EI601" s="1821"/>
      <c r="EJ601" s="1821"/>
      <c r="EK601" s="1821"/>
      <c r="EL601" s="1392"/>
      <c r="EM601" s="1391" t="str">
        <f t="shared" si="20"/>
        <v xml:space="preserve"> </v>
      </c>
      <c r="EN601" s="1821"/>
      <c r="EO601" s="1821"/>
      <c r="EP601" s="1821"/>
      <c r="EQ601" s="1392"/>
      <c r="ER601" s="1391" t="str">
        <f t="shared" si="21"/>
        <v xml:space="preserve"> </v>
      </c>
      <c r="ES601" s="1821"/>
      <c r="ET601" s="1821"/>
      <c r="EU601" s="1821"/>
      <c r="EV601" s="1392"/>
      <c r="EW601" s="1391" t="str">
        <f t="shared" si="22"/>
        <v xml:space="preserve"> </v>
      </c>
      <c r="EX601" s="1821"/>
      <c r="EY601" s="1821"/>
      <c r="EZ601" s="1821"/>
      <c r="FA601" s="1392"/>
    </row>
    <row r="602" spans="1:157" ht="13.05" customHeight="1">
      <c r="A602" s="22"/>
      <c r="B602" t="s">
        <v>18</v>
      </c>
      <c r="H602" s="1365" t="s">
        <v>2742</v>
      </c>
      <c r="I602" s="1365"/>
      <c r="J602" s="1365"/>
      <c r="K602" s="1365"/>
      <c r="L602" s="1365"/>
      <c r="M602" s="1365"/>
      <c r="N602" s="1365"/>
      <c r="O602" s="1365"/>
      <c r="P602" s="1365"/>
      <c r="Q602" s="1365"/>
      <c r="R602" s="1365"/>
      <c r="T602" s="22"/>
      <c r="U602" t="s">
        <v>18</v>
      </c>
      <c r="AA602" s="1365"/>
      <c r="AB602" s="1365"/>
      <c r="AC602" s="1365"/>
      <c r="AD602" s="1365"/>
      <c r="AE602" s="1365"/>
      <c r="AF602" s="1365"/>
      <c r="AG602" s="1365"/>
      <c r="AH602" s="1365"/>
      <c r="AI602" s="1365"/>
      <c r="AJ602" s="1365"/>
      <c r="AK602" s="1365"/>
      <c r="AZ602" s="3"/>
      <c r="BA602" s="3"/>
      <c r="BB602" s="3"/>
      <c r="BC602" s="3"/>
      <c r="BD602" s="3"/>
      <c r="BE602" s="1391">
        <f t="shared" si="1"/>
        <v>0</v>
      </c>
      <c r="BF602" s="1392"/>
      <c r="BG602" s="1469">
        <f t="shared" si="2"/>
        <v>0</v>
      </c>
      <c r="BH602" s="1470"/>
      <c r="BI602" s="1391">
        <f t="shared" si="3"/>
        <v>0</v>
      </c>
      <c r="BJ602" s="1392"/>
      <c r="BK602" s="1469">
        <f t="shared" si="4"/>
        <v>0</v>
      </c>
      <c r="BL602" s="1470"/>
      <c r="BM602" s="3"/>
      <c r="BN602" s="1480">
        <f t="shared" si="5"/>
        <v>0</v>
      </c>
      <c r="BO602" s="1481"/>
      <c r="BP602" s="1481"/>
      <c r="BQ602" s="1481"/>
      <c r="BR602" s="1482"/>
      <c r="BS602" s="1366">
        <f t="shared" si="6"/>
        <v>0</v>
      </c>
      <c r="BT602" s="1366"/>
      <c r="BU602" s="1366"/>
      <c r="BV602" s="1366"/>
      <c r="BW602" s="1366"/>
      <c r="BX602" s="1366">
        <f t="shared" si="7"/>
        <v>0</v>
      </c>
      <c r="BY602" s="1366"/>
      <c r="BZ602" s="1366"/>
      <c r="CA602" s="1366"/>
      <c r="CB602" s="1366"/>
      <c r="CC602" s="1366">
        <f t="shared" si="8"/>
        <v>0</v>
      </c>
      <c r="CD602" s="1366"/>
      <c r="CE602" s="1366"/>
      <c r="CF602" s="1366"/>
      <c r="CG602" s="1366"/>
      <c r="CH602" s="1366">
        <f t="shared" si="9"/>
        <v>0</v>
      </c>
      <c r="CI602" s="1366"/>
      <c r="CJ602" s="1366"/>
      <c r="CK602" s="1366"/>
      <c r="CL602" s="1366"/>
      <c r="CM602" s="1366">
        <f t="shared" si="10"/>
        <v>0</v>
      </c>
      <c r="CN602" s="1366"/>
      <c r="CO602" s="1366"/>
      <c r="CP602" s="1366"/>
      <c r="CQ602" s="1366"/>
      <c r="CR602" s="6"/>
      <c r="CS602" s="1690">
        <f t="shared" si="11"/>
        <v>0</v>
      </c>
      <c r="CT602" s="1690"/>
      <c r="CU602" s="1690"/>
      <c r="CV602" s="1690"/>
      <c r="CW602" s="1690"/>
      <c r="CX602" s="1690">
        <f t="shared" si="12"/>
        <v>0</v>
      </c>
      <c r="CY602" s="1690"/>
      <c r="CZ602" s="1690"/>
      <c r="DA602" s="1690"/>
      <c r="DB602" s="1690"/>
      <c r="DC602" s="1690">
        <f t="shared" si="13"/>
        <v>0</v>
      </c>
      <c r="DD602" s="1690"/>
      <c r="DE602" s="1690"/>
      <c r="DF602" s="1690"/>
      <c r="DG602" s="1690"/>
      <c r="DH602" s="1690">
        <f t="shared" si="14"/>
        <v>0</v>
      </c>
      <c r="DI602" s="1690"/>
      <c r="DJ602" s="1690"/>
      <c r="DK602" s="1690"/>
      <c r="DL602" s="1690"/>
      <c r="DM602" s="1690">
        <f t="shared" si="15"/>
        <v>0</v>
      </c>
      <c r="DN602" s="1690"/>
      <c r="DO602" s="1690"/>
      <c r="DP602" s="1690"/>
      <c r="DQ602" s="1690"/>
      <c r="DR602" s="1690">
        <f t="shared" si="16"/>
        <v>0</v>
      </c>
      <c r="DS602" s="1690"/>
      <c r="DT602" s="1690"/>
      <c r="DU602" s="1690"/>
      <c r="DV602" s="1690"/>
      <c r="DX602" s="1391" t="str">
        <f t="shared" si="17"/>
        <v xml:space="preserve"> </v>
      </c>
      <c r="DY602" s="1821"/>
      <c r="DZ602" s="1821"/>
      <c r="EA602" s="1821"/>
      <c r="EB602" s="1392"/>
      <c r="EC602" s="1391" t="str">
        <f t="shared" si="18"/>
        <v xml:space="preserve"> </v>
      </c>
      <c r="ED602" s="1821"/>
      <c r="EE602" s="1821"/>
      <c r="EF602" s="1821"/>
      <c r="EG602" s="1392"/>
      <c r="EH602" s="1391" t="str">
        <f t="shared" si="19"/>
        <v xml:space="preserve"> </v>
      </c>
      <c r="EI602" s="1821"/>
      <c r="EJ602" s="1821"/>
      <c r="EK602" s="1821"/>
      <c r="EL602" s="1392"/>
      <c r="EM602" s="1391" t="str">
        <f t="shared" si="20"/>
        <v xml:space="preserve"> </v>
      </c>
      <c r="EN602" s="1821"/>
      <c r="EO602" s="1821"/>
      <c r="EP602" s="1821"/>
      <c r="EQ602" s="1392"/>
      <c r="ER602" s="1391" t="str">
        <f t="shared" si="21"/>
        <v xml:space="preserve"> </v>
      </c>
      <c r="ES602" s="1821"/>
      <c r="ET602" s="1821"/>
      <c r="EU602" s="1821"/>
      <c r="EV602" s="1392"/>
      <c r="EW602" s="1391" t="str">
        <f t="shared" si="22"/>
        <v xml:space="preserve"> </v>
      </c>
      <c r="EX602" s="1821"/>
      <c r="EY602" s="1821"/>
      <c r="EZ602" s="1821"/>
      <c r="FA602" s="1392"/>
    </row>
    <row r="603" spans="1:157" ht="13.05" customHeight="1">
      <c r="A603" s="22"/>
      <c r="B603" t="s">
        <v>20</v>
      </c>
      <c r="N603" s="1344" t="s">
        <v>678</v>
      </c>
      <c r="O603" s="1344"/>
      <c r="T603" s="22"/>
      <c r="U603" t="s">
        <v>20</v>
      </c>
      <c r="AG603" s="1344" t="s">
        <v>678</v>
      </c>
      <c r="AH603" s="1344"/>
      <c r="AZ603" s="3"/>
      <c r="BA603" s="3"/>
      <c r="BB603" s="3"/>
      <c r="BC603" s="3"/>
      <c r="BD603" s="3"/>
      <c r="BE603" s="1391">
        <f t="shared" si="1"/>
        <v>0</v>
      </c>
      <c r="BF603" s="1392"/>
      <c r="BG603" s="1469">
        <f t="shared" si="2"/>
        <v>0</v>
      </c>
      <c r="BH603" s="1470"/>
      <c r="BI603" s="1391">
        <f t="shared" si="3"/>
        <v>0</v>
      </c>
      <c r="BJ603" s="1392"/>
      <c r="BK603" s="1469">
        <f t="shared" si="4"/>
        <v>0</v>
      </c>
      <c r="BL603" s="1470"/>
      <c r="BM603" s="3"/>
      <c r="BN603" s="1480">
        <f t="shared" si="5"/>
        <v>0</v>
      </c>
      <c r="BO603" s="1481"/>
      <c r="BP603" s="1481"/>
      <c r="BQ603" s="1481"/>
      <c r="BR603" s="1482"/>
      <c r="BS603" s="1366">
        <f t="shared" si="6"/>
        <v>0</v>
      </c>
      <c r="BT603" s="1366"/>
      <c r="BU603" s="1366"/>
      <c r="BV603" s="1366"/>
      <c r="BW603" s="1366"/>
      <c r="BX603" s="1366">
        <f t="shared" si="7"/>
        <v>0</v>
      </c>
      <c r="BY603" s="1366"/>
      <c r="BZ603" s="1366"/>
      <c r="CA603" s="1366"/>
      <c r="CB603" s="1366"/>
      <c r="CC603" s="1366">
        <f t="shared" si="8"/>
        <v>0</v>
      </c>
      <c r="CD603" s="1366"/>
      <c r="CE603" s="1366"/>
      <c r="CF603" s="1366"/>
      <c r="CG603" s="1366"/>
      <c r="CH603" s="1366">
        <f t="shared" si="9"/>
        <v>0</v>
      </c>
      <c r="CI603" s="1366"/>
      <c r="CJ603" s="1366"/>
      <c r="CK603" s="1366"/>
      <c r="CL603" s="1366"/>
      <c r="CM603" s="1366">
        <f t="shared" si="10"/>
        <v>0</v>
      </c>
      <c r="CN603" s="1366"/>
      <c r="CO603" s="1366"/>
      <c r="CP603" s="1366"/>
      <c r="CQ603" s="1366"/>
      <c r="CR603" s="6"/>
      <c r="CS603" s="1690">
        <f t="shared" si="11"/>
        <v>0</v>
      </c>
      <c r="CT603" s="1690"/>
      <c r="CU603" s="1690"/>
      <c r="CV603" s="1690"/>
      <c r="CW603" s="1690"/>
      <c r="CX603" s="1690">
        <f t="shared" si="12"/>
        <v>0</v>
      </c>
      <c r="CY603" s="1690"/>
      <c r="CZ603" s="1690"/>
      <c r="DA603" s="1690"/>
      <c r="DB603" s="1690"/>
      <c r="DC603" s="1690">
        <f t="shared" si="13"/>
        <v>0</v>
      </c>
      <c r="DD603" s="1690"/>
      <c r="DE603" s="1690"/>
      <c r="DF603" s="1690"/>
      <c r="DG603" s="1690"/>
      <c r="DH603" s="1690">
        <f t="shared" si="14"/>
        <v>0</v>
      </c>
      <c r="DI603" s="1690"/>
      <c r="DJ603" s="1690"/>
      <c r="DK603" s="1690"/>
      <c r="DL603" s="1690"/>
      <c r="DM603" s="1690">
        <f t="shared" si="15"/>
        <v>0</v>
      </c>
      <c r="DN603" s="1690"/>
      <c r="DO603" s="1690"/>
      <c r="DP603" s="1690"/>
      <c r="DQ603" s="1690"/>
      <c r="DR603" s="1690">
        <f t="shared" si="16"/>
        <v>0</v>
      </c>
      <c r="DS603" s="1690"/>
      <c r="DT603" s="1690"/>
      <c r="DU603" s="1690"/>
      <c r="DV603" s="1690"/>
      <c r="DX603" s="1391" t="str">
        <f t="shared" si="17"/>
        <v xml:space="preserve"> </v>
      </c>
      <c r="DY603" s="1821"/>
      <c r="DZ603" s="1821"/>
      <c r="EA603" s="1821"/>
      <c r="EB603" s="1392"/>
      <c r="EC603" s="1391" t="str">
        <f t="shared" si="18"/>
        <v xml:space="preserve"> </v>
      </c>
      <c r="ED603" s="1821"/>
      <c r="EE603" s="1821"/>
      <c r="EF603" s="1821"/>
      <c r="EG603" s="1392"/>
      <c r="EH603" s="1391" t="str">
        <f t="shared" si="19"/>
        <v xml:space="preserve"> </v>
      </c>
      <c r="EI603" s="1821"/>
      <c r="EJ603" s="1821"/>
      <c r="EK603" s="1821"/>
      <c r="EL603" s="1392"/>
      <c r="EM603" s="1391" t="str">
        <f t="shared" si="20"/>
        <v xml:space="preserve"> </v>
      </c>
      <c r="EN603" s="1821"/>
      <c r="EO603" s="1821"/>
      <c r="EP603" s="1821"/>
      <c r="EQ603" s="1392"/>
      <c r="ER603" s="1391" t="str">
        <f t="shared" si="21"/>
        <v xml:space="preserve"> </v>
      </c>
      <c r="ES603" s="1821"/>
      <c r="ET603" s="1821"/>
      <c r="EU603" s="1821"/>
      <c r="EV603" s="1392"/>
      <c r="EW603" s="1391" t="str">
        <f t="shared" si="22"/>
        <v xml:space="preserve"> </v>
      </c>
      <c r="EX603" s="1821"/>
      <c r="EY603" s="1821"/>
      <c r="EZ603" s="1821"/>
      <c r="FA603" s="1392"/>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91">
        <f t="shared" si="1"/>
        <v>0</v>
      </c>
      <c r="BF604" s="1392"/>
      <c r="BG604" s="1469">
        <f t="shared" si="2"/>
        <v>0</v>
      </c>
      <c r="BH604" s="1470"/>
      <c r="BI604" s="1391">
        <f t="shared" si="3"/>
        <v>0</v>
      </c>
      <c r="BJ604" s="1392"/>
      <c r="BK604" s="1469">
        <f t="shared" si="4"/>
        <v>0</v>
      </c>
      <c r="BL604" s="1470"/>
      <c r="BM604" s="3"/>
      <c r="BN604" s="1480">
        <f t="shared" si="5"/>
        <v>0</v>
      </c>
      <c r="BO604" s="1481"/>
      <c r="BP604" s="1481"/>
      <c r="BQ604" s="1481"/>
      <c r="BR604" s="1482"/>
      <c r="BS604" s="1366">
        <f t="shared" si="6"/>
        <v>0</v>
      </c>
      <c r="BT604" s="1366"/>
      <c r="BU604" s="1366"/>
      <c r="BV604" s="1366"/>
      <c r="BW604" s="1366"/>
      <c r="BX604" s="1366">
        <f t="shared" si="7"/>
        <v>0</v>
      </c>
      <c r="BY604" s="1366"/>
      <c r="BZ604" s="1366"/>
      <c r="CA604" s="1366"/>
      <c r="CB604" s="1366"/>
      <c r="CC604" s="1366">
        <f t="shared" si="8"/>
        <v>0</v>
      </c>
      <c r="CD604" s="1366"/>
      <c r="CE604" s="1366"/>
      <c r="CF604" s="1366"/>
      <c r="CG604" s="1366"/>
      <c r="CH604" s="1366">
        <f t="shared" si="9"/>
        <v>0</v>
      </c>
      <c r="CI604" s="1366"/>
      <c r="CJ604" s="1366"/>
      <c r="CK604" s="1366"/>
      <c r="CL604" s="1366"/>
      <c r="CM604" s="1366">
        <f t="shared" si="10"/>
        <v>0</v>
      </c>
      <c r="CN604" s="1366"/>
      <c r="CO604" s="1366"/>
      <c r="CP604" s="1366"/>
      <c r="CQ604" s="1366"/>
      <c r="CR604" s="6"/>
      <c r="CS604" s="1690">
        <f t="shared" si="11"/>
        <v>0</v>
      </c>
      <c r="CT604" s="1690"/>
      <c r="CU604" s="1690"/>
      <c r="CV604" s="1690"/>
      <c r="CW604" s="1690"/>
      <c r="CX604" s="1690">
        <f t="shared" si="12"/>
        <v>0</v>
      </c>
      <c r="CY604" s="1690"/>
      <c r="CZ604" s="1690"/>
      <c r="DA604" s="1690"/>
      <c r="DB604" s="1690"/>
      <c r="DC604" s="1690">
        <f t="shared" si="13"/>
        <v>0</v>
      </c>
      <c r="DD604" s="1690"/>
      <c r="DE604" s="1690"/>
      <c r="DF604" s="1690"/>
      <c r="DG604" s="1690"/>
      <c r="DH604" s="1690">
        <f t="shared" si="14"/>
        <v>0</v>
      </c>
      <c r="DI604" s="1690"/>
      <c r="DJ604" s="1690"/>
      <c r="DK604" s="1690"/>
      <c r="DL604" s="1690"/>
      <c r="DM604" s="1690">
        <f t="shared" si="15"/>
        <v>0</v>
      </c>
      <c r="DN604" s="1690"/>
      <c r="DO604" s="1690"/>
      <c r="DP604" s="1690"/>
      <c r="DQ604" s="1690"/>
      <c r="DR604" s="1690">
        <f t="shared" si="16"/>
        <v>0</v>
      </c>
      <c r="DS604" s="1690"/>
      <c r="DT604" s="1690"/>
      <c r="DU604" s="1690"/>
      <c r="DV604" s="1690"/>
      <c r="DX604" s="1391" t="str">
        <f t="shared" si="17"/>
        <v xml:space="preserve"> </v>
      </c>
      <c r="DY604" s="1821"/>
      <c r="DZ604" s="1821"/>
      <c r="EA604" s="1821"/>
      <c r="EB604" s="1392"/>
      <c r="EC604" s="1391" t="str">
        <f t="shared" si="18"/>
        <v xml:space="preserve"> </v>
      </c>
      <c r="ED604" s="1821"/>
      <c r="EE604" s="1821"/>
      <c r="EF604" s="1821"/>
      <c r="EG604" s="1392"/>
      <c r="EH604" s="1391" t="str">
        <f t="shared" si="19"/>
        <v xml:space="preserve"> </v>
      </c>
      <c r="EI604" s="1821"/>
      <c r="EJ604" s="1821"/>
      <c r="EK604" s="1821"/>
      <c r="EL604" s="1392"/>
      <c r="EM604" s="1391" t="str">
        <f t="shared" si="20"/>
        <v xml:space="preserve"> </v>
      </c>
      <c r="EN604" s="1821"/>
      <c r="EO604" s="1821"/>
      <c r="EP604" s="1821"/>
      <c r="EQ604" s="1392"/>
      <c r="ER604" s="1391" t="str">
        <f t="shared" si="21"/>
        <v xml:space="preserve"> </v>
      </c>
      <c r="ES604" s="1821"/>
      <c r="ET604" s="1821"/>
      <c r="EU604" s="1821"/>
      <c r="EV604" s="1392"/>
      <c r="EW604" s="1391" t="str">
        <f t="shared" si="22"/>
        <v xml:space="preserve"> </v>
      </c>
      <c r="EX604" s="1821"/>
      <c r="EY604" s="1821"/>
      <c r="EZ604" s="1821"/>
      <c r="FA604" s="1392"/>
    </row>
    <row r="605" spans="1:157" s="4" customFormat="1" ht="13.05" customHeight="1">
      <c r="A605" s="55" t="s">
        <v>363</v>
      </c>
      <c r="B605" t="s">
        <v>472</v>
      </c>
      <c r="C605"/>
      <c r="D605"/>
      <c r="E605"/>
      <c r="F605"/>
      <c r="G605" s="1485">
        <f>C560</f>
        <v>0</v>
      </c>
      <c r="H605" s="1485"/>
      <c r="I605" s="1485"/>
      <c r="J605" s="1485"/>
      <c r="K605" s="1485"/>
      <c r="L605" s="1485"/>
      <c r="M605" s="1485"/>
      <c r="N605" s="1485"/>
      <c r="O605" s="1485"/>
      <c r="P605" s="1485"/>
      <c r="Q605" s="1485"/>
      <c r="R605" s="1485"/>
      <c r="S605"/>
      <c r="T605" s="55" t="s">
        <v>364</v>
      </c>
      <c r="U605" t="s">
        <v>472</v>
      </c>
      <c r="V605"/>
      <c r="W605"/>
      <c r="X605"/>
      <c r="Y605"/>
      <c r="Z605" s="1485">
        <f>C561</f>
        <v>0</v>
      </c>
      <c r="AA605" s="1485"/>
      <c r="AB605" s="1485"/>
      <c r="AC605" s="1485"/>
      <c r="AD605" s="1485"/>
      <c r="AE605" s="1485"/>
      <c r="AF605" s="1485"/>
      <c r="AG605" s="1485"/>
      <c r="AH605" s="1485"/>
      <c r="AI605" s="1485"/>
      <c r="AJ605" s="1485"/>
      <c r="AK605" s="1485"/>
      <c r="AL605"/>
      <c r="AM605"/>
      <c r="AN605"/>
      <c r="AO605"/>
      <c r="AP605"/>
      <c r="AQ605"/>
      <c r="AR605"/>
      <c r="AS605"/>
      <c r="AT605"/>
      <c r="AU605"/>
      <c r="AV605"/>
      <c r="AW605"/>
      <c r="AX605"/>
      <c r="AY605"/>
      <c r="AZ605" s="3"/>
      <c r="BA605" s="3"/>
      <c r="BB605" s="3"/>
      <c r="BC605" s="3"/>
      <c r="BD605" s="3"/>
      <c r="BE605" s="1391">
        <f t="shared" si="1"/>
        <v>0</v>
      </c>
      <c r="BF605" s="1392"/>
      <c r="BG605" s="1469">
        <f t="shared" si="2"/>
        <v>0</v>
      </c>
      <c r="BH605" s="1470"/>
      <c r="BI605" s="1391">
        <f t="shared" si="3"/>
        <v>0</v>
      </c>
      <c r="BJ605" s="1392"/>
      <c r="BK605" s="1469">
        <f t="shared" si="4"/>
        <v>0</v>
      </c>
      <c r="BL605" s="1470"/>
      <c r="BM605" s="3"/>
      <c r="BN605" s="1480">
        <f t="shared" si="5"/>
        <v>0</v>
      </c>
      <c r="BO605" s="1481"/>
      <c r="BP605" s="1481"/>
      <c r="BQ605" s="1481"/>
      <c r="BR605" s="1482"/>
      <c r="BS605" s="1366">
        <f t="shared" si="6"/>
        <v>0</v>
      </c>
      <c r="BT605" s="1366"/>
      <c r="BU605" s="1366"/>
      <c r="BV605" s="1366"/>
      <c r="BW605" s="1366"/>
      <c r="BX605" s="1366">
        <f t="shared" si="7"/>
        <v>0</v>
      </c>
      <c r="BY605" s="1366"/>
      <c r="BZ605" s="1366"/>
      <c r="CA605" s="1366"/>
      <c r="CB605" s="1366"/>
      <c r="CC605" s="1366">
        <f t="shared" si="8"/>
        <v>0</v>
      </c>
      <c r="CD605" s="1366"/>
      <c r="CE605" s="1366"/>
      <c r="CF605" s="1366"/>
      <c r="CG605" s="1366"/>
      <c r="CH605" s="1366">
        <f t="shared" si="9"/>
        <v>0</v>
      </c>
      <c r="CI605" s="1366"/>
      <c r="CJ605" s="1366"/>
      <c r="CK605" s="1366"/>
      <c r="CL605" s="1366"/>
      <c r="CM605" s="1366">
        <f t="shared" si="10"/>
        <v>0</v>
      </c>
      <c r="CN605" s="1366"/>
      <c r="CO605" s="1366"/>
      <c r="CP605" s="1366"/>
      <c r="CQ605" s="1366"/>
      <c r="CR605" s="6"/>
      <c r="CS605" s="1690">
        <f t="shared" si="11"/>
        <v>0</v>
      </c>
      <c r="CT605" s="1690"/>
      <c r="CU605" s="1690"/>
      <c r="CV605" s="1690"/>
      <c r="CW605" s="1690"/>
      <c r="CX605" s="1690">
        <f t="shared" si="12"/>
        <v>0</v>
      </c>
      <c r="CY605" s="1690"/>
      <c r="CZ605" s="1690"/>
      <c r="DA605" s="1690"/>
      <c r="DB605" s="1690"/>
      <c r="DC605" s="1690">
        <f t="shared" si="13"/>
        <v>0</v>
      </c>
      <c r="DD605" s="1690"/>
      <c r="DE605" s="1690"/>
      <c r="DF605" s="1690"/>
      <c r="DG605" s="1690"/>
      <c r="DH605" s="1690">
        <f t="shared" si="14"/>
        <v>0</v>
      </c>
      <c r="DI605" s="1690"/>
      <c r="DJ605" s="1690"/>
      <c r="DK605" s="1690"/>
      <c r="DL605" s="1690"/>
      <c r="DM605" s="1690">
        <f t="shared" si="15"/>
        <v>0</v>
      </c>
      <c r="DN605" s="1690"/>
      <c r="DO605" s="1690"/>
      <c r="DP605" s="1690"/>
      <c r="DQ605" s="1690"/>
      <c r="DR605" s="1690">
        <f t="shared" si="16"/>
        <v>0</v>
      </c>
      <c r="DS605" s="1690"/>
      <c r="DT605" s="1690"/>
      <c r="DU605" s="1690"/>
      <c r="DV605" s="1690"/>
      <c r="DX605" s="1391" t="str">
        <f t="shared" si="17"/>
        <v xml:space="preserve"> </v>
      </c>
      <c r="DY605" s="1821"/>
      <c r="DZ605" s="1821"/>
      <c r="EA605" s="1821"/>
      <c r="EB605" s="1392"/>
      <c r="EC605" s="1391" t="str">
        <f t="shared" si="18"/>
        <v xml:space="preserve"> </v>
      </c>
      <c r="ED605" s="1821"/>
      <c r="EE605" s="1821"/>
      <c r="EF605" s="1821"/>
      <c r="EG605" s="1392"/>
      <c r="EH605" s="1391" t="str">
        <f t="shared" si="19"/>
        <v xml:space="preserve"> </v>
      </c>
      <c r="EI605" s="1821"/>
      <c r="EJ605" s="1821"/>
      <c r="EK605" s="1821"/>
      <c r="EL605" s="1392"/>
      <c r="EM605" s="1391" t="str">
        <f t="shared" si="20"/>
        <v xml:space="preserve"> </v>
      </c>
      <c r="EN605" s="1821"/>
      <c r="EO605" s="1821"/>
      <c r="EP605" s="1821"/>
      <c r="EQ605" s="1392"/>
      <c r="ER605" s="1391" t="str">
        <f t="shared" si="21"/>
        <v xml:space="preserve"> </v>
      </c>
      <c r="ES605" s="1821"/>
      <c r="ET605" s="1821"/>
      <c r="EU605" s="1821"/>
      <c r="EV605" s="1392"/>
      <c r="EW605" s="1391" t="str">
        <f t="shared" si="22"/>
        <v xml:space="preserve"> </v>
      </c>
      <c r="EX605" s="1821"/>
      <c r="EY605" s="1821"/>
      <c r="EZ605" s="1821"/>
      <c r="FA605" s="1392"/>
    </row>
    <row r="606" spans="1:157" s="4" customFormat="1" ht="13.05" customHeight="1">
      <c r="A606"/>
      <c r="B606" t="s">
        <v>86</v>
      </c>
      <c r="C606"/>
      <c r="D606"/>
      <c r="E606"/>
      <c r="F606"/>
      <c r="G606" s="1365"/>
      <c r="H606" s="1365"/>
      <c r="I606" s="1365"/>
      <c r="J606" s="1365"/>
      <c r="K606" s="1365"/>
      <c r="L606" s="1365"/>
      <c r="M606" s="1365"/>
      <c r="N606" s="1365"/>
      <c r="O606" s="1365"/>
      <c r="P606" s="1365"/>
      <c r="Q606" s="1365"/>
      <c r="R606" s="1365"/>
      <c r="S606"/>
      <c r="T606"/>
      <c r="U606" t="s">
        <v>86</v>
      </c>
      <c r="V606"/>
      <c r="W606"/>
      <c r="X606"/>
      <c r="Y606"/>
      <c r="Z606" s="1365"/>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391">
        <f t="shared" si="1"/>
        <v>0</v>
      </c>
      <c r="BF606" s="1392"/>
      <c r="BG606" s="1469">
        <f t="shared" si="2"/>
        <v>0</v>
      </c>
      <c r="BH606" s="1470"/>
      <c r="BI606" s="1391">
        <f t="shared" si="3"/>
        <v>0</v>
      </c>
      <c r="BJ606" s="1392"/>
      <c r="BK606" s="1469">
        <f t="shared" si="4"/>
        <v>0</v>
      </c>
      <c r="BL606" s="1470"/>
      <c r="BM606" s="3"/>
      <c r="BN606" s="1480">
        <f t="shared" si="5"/>
        <v>0</v>
      </c>
      <c r="BO606" s="1481"/>
      <c r="BP606" s="1481"/>
      <c r="BQ606" s="1481"/>
      <c r="BR606" s="1482"/>
      <c r="BS606" s="1366">
        <f t="shared" si="6"/>
        <v>0</v>
      </c>
      <c r="BT606" s="1366"/>
      <c r="BU606" s="1366"/>
      <c r="BV606" s="1366"/>
      <c r="BW606" s="1366"/>
      <c r="BX606" s="1366">
        <f t="shared" si="7"/>
        <v>0</v>
      </c>
      <c r="BY606" s="1366"/>
      <c r="BZ606" s="1366"/>
      <c r="CA606" s="1366"/>
      <c r="CB606" s="1366"/>
      <c r="CC606" s="1366">
        <f t="shared" si="8"/>
        <v>0</v>
      </c>
      <c r="CD606" s="1366"/>
      <c r="CE606" s="1366"/>
      <c r="CF606" s="1366"/>
      <c r="CG606" s="1366"/>
      <c r="CH606" s="1366">
        <f t="shared" si="9"/>
        <v>0</v>
      </c>
      <c r="CI606" s="1366"/>
      <c r="CJ606" s="1366"/>
      <c r="CK606" s="1366"/>
      <c r="CL606" s="1366"/>
      <c r="CM606" s="1366">
        <f t="shared" si="10"/>
        <v>0</v>
      </c>
      <c r="CN606" s="1366"/>
      <c r="CO606" s="1366"/>
      <c r="CP606" s="1366"/>
      <c r="CQ606" s="1366"/>
      <c r="CR606" s="6"/>
      <c r="CS606" s="1690">
        <f t="shared" si="11"/>
        <v>0</v>
      </c>
      <c r="CT606" s="1690"/>
      <c r="CU606" s="1690"/>
      <c r="CV606" s="1690"/>
      <c r="CW606" s="1690"/>
      <c r="CX606" s="1690">
        <f t="shared" si="12"/>
        <v>0</v>
      </c>
      <c r="CY606" s="1690"/>
      <c r="CZ606" s="1690"/>
      <c r="DA606" s="1690"/>
      <c r="DB606" s="1690"/>
      <c r="DC606" s="1690">
        <f t="shared" si="13"/>
        <v>0</v>
      </c>
      <c r="DD606" s="1690"/>
      <c r="DE606" s="1690"/>
      <c r="DF606" s="1690"/>
      <c r="DG606" s="1690"/>
      <c r="DH606" s="1690">
        <f t="shared" si="14"/>
        <v>0</v>
      </c>
      <c r="DI606" s="1690"/>
      <c r="DJ606" s="1690"/>
      <c r="DK606" s="1690"/>
      <c r="DL606" s="1690"/>
      <c r="DM606" s="1690">
        <f t="shared" si="15"/>
        <v>0</v>
      </c>
      <c r="DN606" s="1690"/>
      <c r="DO606" s="1690"/>
      <c r="DP606" s="1690"/>
      <c r="DQ606" s="1690"/>
      <c r="DR606" s="1690">
        <f t="shared" si="16"/>
        <v>0</v>
      </c>
      <c r="DS606" s="1690"/>
      <c r="DT606" s="1690"/>
      <c r="DU606" s="1690"/>
      <c r="DV606" s="1690"/>
      <c r="DX606" s="1391" t="str">
        <f t="shared" si="17"/>
        <v xml:space="preserve"> </v>
      </c>
      <c r="DY606" s="1821"/>
      <c r="DZ606" s="1821"/>
      <c r="EA606" s="1821"/>
      <c r="EB606" s="1392"/>
      <c r="EC606" s="1391" t="str">
        <f t="shared" si="18"/>
        <v xml:space="preserve"> </v>
      </c>
      <c r="ED606" s="1821"/>
      <c r="EE606" s="1821"/>
      <c r="EF606" s="1821"/>
      <c r="EG606" s="1392"/>
      <c r="EH606" s="1391" t="str">
        <f t="shared" si="19"/>
        <v xml:space="preserve"> </v>
      </c>
      <c r="EI606" s="1821"/>
      <c r="EJ606" s="1821"/>
      <c r="EK606" s="1821"/>
      <c r="EL606" s="1392"/>
      <c r="EM606" s="1391" t="str">
        <f t="shared" si="20"/>
        <v xml:space="preserve"> </v>
      </c>
      <c r="EN606" s="1821"/>
      <c r="EO606" s="1821"/>
      <c r="EP606" s="1821"/>
      <c r="EQ606" s="1392"/>
      <c r="ER606" s="1391" t="str">
        <f t="shared" si="21"/>
        <v xml:space="preserve"> </v>
      </c>
      <c r="ES606" s="1821"/>
      <c r="ET606" s="1821"/>
      <c r="EU606" s="1821"/>
      <c r="EV606" s="1392"/>
      <c r="EW606" s="1391" t="str">
        <f t="shared" si="22"/>
        <v xml:space="preserve"> </v>
      </c>
      <c r="EX606" s="1821"/>
      <c r="EY606" s="1821"/>
      <c r="EZ606" s="1821"/>
      <c r="FA606" s="1392"/>
    </row>
    <row r="607" spans="1:157" ht="13.05" customHeight="1">
      <c r="B607" t="s">
        <v>589</v>
      </c>
      <c r="G607" s="1365"/>
      <c r="H607" s="1365"/>
      <c r="I607" s="1365"/>
      <c r="J607" s="1365"/>
      <c r="K607" s="1365"/>
      <c r="L607" s="1365"/>
      <c r="M607" s="1365"/>
      <c r="N607" s="1365"/>
      <c r="O607" s="1365"/>
      <c r="P607" s="1365"/>
      <c r="Q607" s="1365"/>
      <c r="R607" s="1365"/>
      <c r="U607" t="s">
        <v>589</v>
      </c>
      <c r="Z607" s="1337"/>
      <c r="AA607" s="1337"/>
      <c r="AB607" s="1337"/>
      <c r="AC607" s="1337"/>
      <c r="AD607" s="1337"/>
      <c r="AE607" s="1337"/>
      <c r="AF607" s="1337"/>
      <c r="AG607" s="1337"/>
      <c r="AH607" s="1337"/>
      <c r="AI607" s="1337"/>
      <c r="AJ607" s="1337"/>
      <c r="AK607" s="1337"/>
      <c r="AZ607" s="3"/>
      <c r="BA607" s="3"/>
      <c r="BB607" s="3"/>
      <c r="BC607" s="3"/>
      <c r="BD607" s="3"/>
      <c r="BE607" s="1391">
        <f t="shared" si="1"/>
        <v>0</v>
      </c>
      <c r="BF607" s="1392"/>
      <c r="BG607" s="1469">
        <f t="shared" si="2"/>
        <v>0</v>
      </c>
      <c r="BH607" s="1470"/>
      <c r="BI607" s="1391">
        <f t="shared" si="3"/>
        <v>0</v>
      </c>
      <c r="BJ607" s="1392"/>
      <c r="BK607" s="1469">
        <f t="shared" si="4"/>
        <v>0</v>
      </c>
      <c r="BL607" s="1470"/>
      <c r="BM607" s="3"/>
      <c r="BN607" s="1480">
        <f t="shared" si="5"/>
        <v>0</v>
      </c>
      <c r="BO607" s="1481"/>
      <c r="BP607" s="1481"/>
      <c r="BQ607" s="1481"/>
      <c r="BR607" s="1482"/>
      <c r="BS607" s="1366">
        <f t="shared" si="6"/>
        <v>0</v>
      </c>
      <c r="BT607" s="1366"/>
      <c r="BU607" s="1366"/>
      <c r="BV607" s="1366"/>
      <c r="BW607" s="1366"/>
      <c r="BX607" s="1366">
        <f t="shared" si="7"/>
        <v>0</v>
      </c>
      <c r="BY607" s="1366"/>
      <c r="BZ607" s="1366"/>
      <c r="CA607" s="1366"/>
      <c r="CB607" s="1366"/>
      <c r="CC607" s="1366">
        <f t="shared" si="8"/>
        <v>0</v>
      </c>
      <c r="CD607" s="1366"/>
      <c r="CE607" s="1366"/>
      <c r="CF607" s="1366"/>
      <c r="CG607" s="1366"/>
      <c r="CH607" s="1366">
        <f t="shared" si="9"/>
        <v>0</v>
      </c>
      <c r="CI607" s="1366"/>
      <c r="CJ607" s="1366"/>
      <c r="CK607" s="1366"/>
      <c r="CL607" s="1366"/>
      <c r="CM607" s="1366">
        <f t="shared" si="10"/>
        <v>0</v>
      </c>
      <c r="CN607" s="1366"/>
      <c r="CO607" s="1366"/>
      <c r="CP607" s="1366"/>
      <c r="CQ607" s="1366"/>
      <c r="CR607" s="6"/>
      <c r="CS607" s="1690">
        <f t="shared" si="11"/>
        <v>0</v>
      </c>
      <c r="CT607" s="1690"/>
      <c r="CU607" s="1690"/>
      <c r="CV607" s="1690"/>
      <c r="CW607" s="1690"/>
      <c r="CX607" s="1690">
        <f t="shared" si="12"/>
        <v>0</v>
      </c>
      <c r="CY607" s="1690"/>
      <c r="CZ607" s="1690"/>
      <c r="DA607" s="1690"/>
      <c r="DB607" s="1690"/>
      <c r="DC607" s="1690">
        <f t="shared" si="13"/>
        <v>0</v>
      </c>
      <c r="DD607" s="1690"/>
      <c r="DE607" s="1690"/>
      <c r="DF607" s="1690"/>
      <c r="DG607" s="1690"/>
      <c r="DH607" s="1690">
        <f t="shared" si="14"/>
        <v>0</v>
      </c>
      <c r="DI607" s="1690"/>
      <c r="DJ607" s="1690"/>
      <c r="DK607" s="1690"/>
      <c r="DL607" s="1690"/>
      <c r="DM607" s="1690">
        <f t="shared" si="15"/>
        <v>0</v>
      </c>
      <c r="DN607" s="1690"/>
      <c r="DO607" s="1690"/>
      <c r="DP607" s="1690"/>
      <c r="DQ607" s="1690"/>
      <c r="DR607" s="1690">
        <f t="shared" si="16"/>
        <v>0</v>
      </c>
      <c r="DS607" s="1690"/>
      <c r="DT607" s="1690"/>
      <c r="DU607" s="1690"/>
      <c r="DV607" s="1690"/>
      <c r="DX607" s="1391" t="str">
        <f t="shared" si="17"/>
        <v xml:space="preserve"> </v>
      </c>
      <c r="DY607" s="1821"/>
      <c r="DZ607" s="1821"/>
      <c r="EA607" s="1821"/>
      <c r="EB607" s="1392"/>
      <c r="EC607" s="1391" t="str">
        <f t="shared" si="18"/>
        <v xml:space="preserve"> </v>
      </c>
      <c r="ED607" s="1821"/>
      <c r="EE607" s="1821"/>
      <c r="EF607" s="1821"/>
      <c r="EG607" s="1392"/>
      <c r="EH607" s="1391" t="str">
        <f t="shared" si="19"/>
        <v xml:space="preserve"> </v>
      </c>
      <c r="EI607" s="1821"/>
      <c r="EJ607" s="1821"/>
      <c r="EK607" s="1821"/>
      <c r="EL607" s="1392"/>
      <c r="EM607" s="1391" t="str">
        <f t="shared" si="20"/>
        <v xml:space="preserve"> </v>
      </c>
      <c r="EN607" s="1821"/>
      <c r="EO607" s="1821"/>
      <c r="EP607" s="1821"/>
      <c r="EQ607" s="1392"/>
      <c r="ER607" s="1391" t="str">
        <f t="shared" si="21"/>
        <v xml:space="preserve"> </v>
      </c>
      <c r="ES607" s="1821"/>
      <c r="ET607" s="1821"/>
      <c r="EU607" s="1821"/>
      <c r="EV607" s="1392"/>
      <c r="EW607" s="1391" t="str">
        <f t="shared" si="22"/>
        <v xml:space="preserve"> </v>
      </c>
      <c r="EX607" s="1821"/>
      <c r="EY607" s="1821"/>
      <c r="EZ607" s="1821"/>
      <c r="FA607" s="1392"/>
    </row>
    <row r="608" spans="1:157" ht="13.05" customHeight="1">
      <c r="B608" t="s">
        <v>17</v>
      </c>
      <c r="G608" s="1365"/>
      <c r="H608" s="1365"/>
      <c r="I608" s="1365"/>
      <c r="J608" s="1365"/>
      <c r="K608" s="1365"/>
      <c r="L608" s="1365"/>
      <c r="M608" s="1365"/>
      <c r="N608" s="1365"/>
      <c r="O608" s="1365"/>
      <c r="P608" s="1365"/>
      <c r="Q608" s="1365"/>
      <c r="R608" s="1365"/>
      <c r="U608" t="s">
        <v>17</v>
      </c>
      <c r="Z608" s="1337"/>
      <c r="AA608" s="1337"/>
      <c r="AB608" s="1337"/>
      <c r="AC608" s="1337"/>
      <c r="AD608" s="1337"/>
      <c r="AE608" s="1337"/>
      <c r="AF608" s="1337"/>
      <c r="AG608" s="1337"/>
      <c r="AH608" s="1337"/>
      <c r="AI608" s="1337"/>
      <c r="AJ608" s="1337"/>
      <c r="AK608" s="1337"/>
      <c r="AZ608" s="3"/>
      <c r="BA608" s="3"/>
      <c r="BB608" s="3"/>
      <c r="BC608" s="3"/>
      <c r="BD608" s="3"/>
      <c r="BE608" s="1391">
        <f t="shared" si="1"/>
        <v>0</v>
      </c>
      <c r="BF608" s="1392"/>
      <c r="BG608" s="1469">
        <f t="shared" si="2"/>
        <v>0</v>
      </c>
      <c r="BH608" s="1470"/>
      <c r="BI608" s="1391">
        <f t="shared" si="3"/>
        <v>0</v>
      </c>
      <c r="BJ608" s="1392"/>
      <c r="BK608" s="1469">
        <f t="shared" si="4"/>
        <v>0</v>
      </c>
      <c r="BL608" s="1470"/>
      <c r="BM608" s="3"/>
      <c r="BN608" s="1480">
        <f t="shared" si="5"/>
        <v>0</v>
      </c>
      <c r="BO608" s="1481"/>
      <c r="BP608" s="1481"/>
      <c r="BQ608" s="1481"/>
      <c r="BR608" s="1482"/>
      <c r="BS608" s="1366">
        <f t="shared" si="6"/>
        <v>0</v>
      </c>
      <c r="BT608" s="1366"/>
      <c r="BU608" s="1366"/>
      <c r="BV608" s="1366"/>
      <c r="BW608" s="1366"/>
      <c r="BX608" s="1366">
        <f t="shared" si="7"/>
        <v>0</v>
      </c>
      <c r="BY608" s="1366"/>
      <c r="BZ608" s="1366"/>
      <c r="CA608" s="1366"/>
      <c r="CB608" s="1366"/>
      <c r="CC608" s="1366">
        <f t="shared" si="8"/>
        <v>0</v>
      </c>
      <c r="CD608" s="1366"/>
      <c r="CE608" s="1366"/>
      <c r="CF608" s="1366"/>
      <c r="CG608" s="1366"/>
      <c r="CH608" s="1366">
        <f t="shared" si="9"/>
        <v>0</v>
      </c>
      <c r="CI608" s="1366"/>
      <c r="CJ608" s="1366"/>
      <c r="CK608" s="1366"/>
      <c r="CL608" s="1366"/>
      <c r="CM608" s="1366">
        <f t="shared" si="10"/>
        <v>0</v>
      </c>
      <c r="CN608" s="1366"/>
      <c r="CO608" s="1366"/>
      <c r="CP608" s="1366"/>
      <c r="CQ608" s="1366"/>
      <c r="CR608" s="6"/>
      <c r="CS608" s="1690">
        <f t="shared" si="11"/>
        <v>0</v>
      </c>
      <c r="CT608" s="1690"/>
      <c r="CU608" s="1690"/>
      <c r="CV608" s="1690"/>
      <c r="CW608" s="1690"/>
      <c r="CX608" s="1690">
        <f t="shared" si="12"/>
        <v>0</v>
      </c>
      <c r="CY608" s="1690"/>
      <c r="CZ608" s="1690"/>
      <c r="DA608" s="1690"/>
      <c r="DB608" s="1690"/>
      <c r="DC608" s="1690">
        <f t="shared" si="13"/>
        <v>0</v>
      </c>
      <c r="DD608" s="1690"/>
      <c r="DE608" s="1690"/>
      <c r="DF608" s="1690"/>
      <c r="DG608" s="1690"/>
      <c r="DH608" s="1690">
        <f t="shared" si="14"/>
        <v>0</v>
      </c>
      <c r="DI608" s="1690"/>
      <c r="DJ608" s="1690"/>
      <c r="DK608" s="1690"/>
      <c r="DL608" s="1690"/>
      <c r="DM608" s="1690">
        <f t="shared" si="15"/>
        <v>0</v>
      </c>
      <c r="DN608" s="1690"/>
      <c r="DO608" s="1690"/>
      <c r="DP608" s="1690"/>
      <c r="DQ608" s="1690"/>
      <c r="DR608" s="1690">
        <f t="shared" si="16"/>
        <v>0</v>
      </c>
      <c r="DS608" s="1690"/>
      <c r="DT608" s="1690"/>
      <c r="DU608" s="1690"/>
      <c r="DV608" s="1690"/>
      <c r="DX608" s="1391" t="str">
        <f t="shared" si="17"/>
        <v xml:space="preserve"> </v>
      </c>
      <c r="DY608" s="1821"/>
      <c r="DZ608" s="1821"/>
      <c r="EA608" s="1821"/>
      <c r="EB608" s="1392"/>
      <c r="EC608" s="1391" t="str">
        <f t="shared" si="18"/>
        <v xml:space="preserve"> </v>
      </c>
      <c r="ED608" s="1821"/>
      <c r="EE608" s="1821"/>
      <c r="EF608" s="1821"/>
      <c r="EG608" s="1392"/>
      <c r="EH608" s="1391" t="str">
        <f t="shared" si="19"/>
        <v xml:space="preserve"> </v>
      </c>
      <c r="EI608" s="1821"/>
      <c r="EJ608" s="1821"/>
      <c r="EK608" s="1821"/>
      <c r="EL608" s="1392"/>
      <c r="EM608" s="1391" t="str">
        <f t="shared" si="20"/>
        <v xml:space="preserve"> </v>
      </c>
      <c r="EN608" s="1821"/>
      <c r="EO608" s="1821"/>
      <c r="EP608" s="1821"/>
      <c r="EQ608" s="1392"/>
      <c r="ER608" s="1391" t="str">
        <f t="shared" si="21"/>
        <v xml:space="preserve"> </v>
      </c>
      <c r="ES608" s="1821"/>
      <c r="ET608" s="1821"/>
      <c r="EU608" s="1821"/>
      <c r="EV608" s="1392"/>
      <c r="EW608" s="1391" t="str">
        <f t="shared" si="22"/>
        <v xml:space="preserve"> </v>
      </c>
      <c r="EX608" s="1821"/>
      <c r="EY608" s="1821"/>
      <c r="EZ608" s="1821"/>
      <c r="FA608" s="1392"/>
    </row>
    <row r="609" spans="1:157" ht="13.05" customHeight="1">
      <c r="B609" t="s">
        <v>317</v>
      </c>
      <c r="G609" s="1408"/>
      <c r="H609" s="1408"/>
      <c r="I609" s="1408"/>
      <c r="J609" s="1408"/>
      <c r="K609" s="1408"/>
      <c r="L609" s="1408"/>
      <c r="O609" s="33" t="s">
        <v>207</v>
      </c>
      <c r="P609" s="1436"/>
      <c r="Q609" s="1436"/>
      <c r="R609" s="1436"/>
      <c r="U609" t="s">
        <v>317</v>
      </c>
      <c r="Z609" s="1408"/>
      <c r="AA609" s="1408"/>
      <c r="AB609" s="1408"/>
      <c r="AC609" s="1408"/>
      <c r="AD609" s="1408"/>
      <c r="AE609" s="1408"/>
      <c r="AH609" s="33" t="s">
        <v>207</v>
      </c>
      <c r="AI609" s="1436"/>
      <c r="AJ609" s="1436"/>
      <c r="AK609" s="1436"/>
      <c r="AZ609" s="3"/>
      <c r="BA609" s="3"/>
      <c r="BB609" s="3"/>
      <c r="BC609" s="3"/>
      <c r="BD609" s="3"/>
      <c r="BE609" s="1391">
        <f t="shared" si="1"/>
        <v>0</v>
      </c>
      <c r="BF609" s="1392"/>
      <c r="BG609" s="1469">
        <f t="shared" si="2"/>
        <v>0</v>
      </c>
      <c r="BH609" s="1470"/>
      <c r="BI609" s="1391">
        <f t="shared" si="3"/>
        <v>0</v>
      </c>
      <c r="BJ609" s="1392"/>
      <c r="BK609" s="1469">
        <f t="shared" si="4"/>
        <v>0</v>
      </c>
      <c r="BL609" s="1470"/>
      <c r="BM609" s="3"/>
      <c r="BN609" s="1480">
        <f t="shared" si="5"/>
        <v>0</v>
      </c>
      <c r="BO609" s="1481"/>
      <c r="BP609" s="1481"/>
      <c r="BQ609" s="1481"/>
      <c r="BR609" s="1482"/>
      <c r="BS609" s="1366">
        <f t="shared" si="6"/>
        <v>0</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0</v>
      </c>
      <c r="CI609" s="1366"/>
      <c r="CJ609" s="1366"/>
      <c r="CK609" s="1366"/>
      <c r="CL609" s="1366"/>
      <c r="CM609" s="1366">
        <f t="shared" si="10"/>
        <v>0</v>
      </c>
      <c r="CN609" s="1366"/>
      <c r="CO609" s="1366"/>
      <c r="CP609" s="1366"/>
      <c r="CQ609" s="1366"/>
      <c r="CR609" s="6"/>
      <c r="CS609" s="1690">
        <f t="shared" si="11"/>
        <v>0</v>
      </c>
      <c r="CT609" s="1690"/>
      <c r="CU609" s="1690"/>
      <c r="CV609" s="1690"/>
      <c r="CW609" s="1690"/>
      <c r="CX609" s="1690">
        <f t="shared" si="12"/>
        <v>0</v>
      </c>
      <c r="CY609" s="1690"/>
      <c r="CZ609" s="1690"/>
      <c r="DA609" s="1690"/>
      <c r="DB609" s="1690"/>
      <c r="DC609" s="1690">
        <f t="shared" si="13"/>
        <v>0</v>
      </c>
      <c r="DD609" s="1690"/>
      <c r="DE609" s="1690"/>
      <c r="DF609" s="1690"/>
      <c r="DG609" s="1690"/>
      <c r="DH609" s="1690">
        <f t="shared" si="14"/>
        <v>0</v>
      </c>
      <c r="DI609" s="1690"/>
      <c r="DJ609" s="1690"/>
      <c r="DK609" s="1690"/>
      <c r="DL609" s="1690"/>
      <c r="DM609" s="1690">
        <f t="shared" si="15"/>
        <v>0</v>
      </c>
      <c r="DN609" s="1690"/>
      <c r="DO609" s="1690"/>
      <c r="DP609" s="1690"/>
      <c r="DQ609" s="1690"/>
      <c r="DR609" s="1690">
        <f t="shared" si="16"/>
        <v>0</v>
      </c>
      <c r="DS609" s="1690"/>
      <c r="DT609" s="1690"/>
      <c r="DU609" s="1690"/>
      <c r="DV609" s="1690"/>
      <c r="DX609" s="1391" t="str">
        <f t="shared" si="17"/>
        <v xml:space="preserve"> </v>
      </c>
      <c r="DY609" s="1821"/>
      <c r="DZ609" s="1821"/>
      <c r="EA609" s="1821"/>
      <c r="EB609" s="1392"/>
      <c r="EC609" s="1391" t="str">
        <f t="shared" si="18"/>
        <v xml:space="preserve"> </v>
      </c>
      <c r="ED609" s="1821"/>
      <c r="EE609" s="1821"/>
      <c r="EF609" s="1821"/>
      <c r="EG609" s="1392"/>
      <c r="EH609" s="1391" t="str">
        <f t="shared" si="19"/>
        <v xml:space="preserve"> </v>
      </c>
      <c r="EI609" s="1821"/>
      <c r="EJ609" s="1821"/>
      <c r="EK609" s="1821"/>
      <c r="EL609" s="1392"/>
      <c r="EM609" s="1391" t="str">
        <f t="shared" si="20"/>
        <v xml:space="preserve"> </v>
      </c>
      <c r="EN609" s="1821"/>
      <c r="EO609" s="1821"/>
      <c r="EP609" s="1821"/>
      <c r="EQ609" s="1392"/>
      <c r="ER609" s="1391" t="str">
        <f t="shared" si="21"/>
        <v xml:space="preserve"> </v>
      </c>
      <c r="ES609" s="1821"/>
      <c r="ET609" s="1821"/>
      <c r="EU609" s="1821"/>
      <c r="EV609" s="1392"/>
      <c r="EW609" s="1391" t="str">
        <f t="shared" si="22"/>
        <v xml:space="preserve"> </v>
      </c>
      <c r="EX609" s="1821"/>
      <c r="EY609" s="1821"/>
      <c r="EZ609" s="1821"/>
      <c r="FA609" s="1392"/>
    </row>
    <row r="610" spans="1:157" ht="13.05" customHeight="1">
      <c r="B610" t="s">
        <v>18</v>
      </c>
      <c r="H610" s="1365"/>
      <c r="I610" s="1365"/>
      <c r="J610" s="1365"/>
      <c r="K610" s="1365"/>
      <c r="L610" s="1365"/>
      <c r="M610" s="1365"/>
      <c r="N610" s="1365"/>
      <c r="O610" s="1365"/>
      <c r="P610" s="1365"/>
      <c r="Q610" s="1365"/>
      <c r="R610" s="1365"/>
      <c r="U610" t="s">
        <v>18</v>
      </c>
      <c r="AA610" s="1365"/>
      <c r="AB610" s="1365"/>
      <c r="AC610" s="1365"/>
      <c r="AD610" s="1365"/>
      <c r="AE610" s="1365"/>
      <c r="AF610" s="1365"/>
      <c r="AG610" s="1365"/>
      <c r="AH610" s="1365"/>
      <c r="AI610" s="1365"/>
      <c r="AJ610" s="1365"/>
      <c r="AK610" s="1365"/>
      <c r="AZ610" s="3"/>
      <c r="BA610" s="3"/>
      <c r="BB610" s="3"/>
      <c r="BC610" s="3"/>
      <c r="BD610" s="3"/>
      <c r="BE610" s="1391">
        <f t="shared" si="1"/>
        <v>0</v>
      </c>
      <c r="BF610" s="1392"/>
      <c r="BG610" s="1469">
        <f t="shared" si="2"/>
        <v>0</v>
      </c>
      <c r="BH610" s="1470"/>
      <c r="BI610" s="1391">
        <f t="shared" si="3"/>
        <v>0</v>
      </c>
      <c r="BJ610" s="1392"/>
      <c r="BK610" s="1469">
        <f t="shared" si="4"/>
        <v>0</v>
      </c>
      <c r="BL610" s="1470"/>
      <c r="BM610" s="3"/>
      <c r="BN610" s="1480">
        <f t="shared" si="5"/>
        <v>0</v>
      </c>
      <c r="BO610" s="1481"/>
      <c r="BP610" s="1481"/>
      <c r="BQ610" s="1481"/>
      <c r="BR610" s="1482"/>
      <c r="BS610" s="1366">
        <f t="shared" si="6"/>
        <v>0</v>
      </c>
      <c r="BT610" s="1366"/>
      <c r="BU610" s="1366"/>
      <c r="BV610" s="1366"/>
      <c r="BW610" s="1366"/>
      <c r="BX610" s="1366">
        <f t="shared" si="7"/>
        <v>0</v>
      </c>
      <c r="BY610" s="1366"/>
      <c r="BZ610" s="1366"/>
      <c r="CA610" s="1366"/>
      <c r="CB610" s="1366"/>
      <c r="CC610" s="1366">
        <f t="shared" si="8"/>
        <v>0</v>
      </c>
      <c r="CD610" s="1366"/>
      <c r="CE610" s="1366"/>
      <c r="CF610" s="1366"/>
      <c r="CG610" s="1366"/>
      <c r="CH610" s="1366">
        <f t="shared" si="9"/>
        <v>0</v>
      </c>
      <c r="CI610" s="1366"/>
      <c r="CJ610" s="1366"/>
      <c r="CK610" s="1366"/>
      <c r="CL610" s="1366"/>
      <c r="CM610" s="1366">
        <f t="shared" si="10"/>
        <v>0</v>
      </c>
      <c r="CN610" s="1366"/>
      <c r="CO610" s="1366"/>
      <c r="CP610" s="1366"/>
      <c r="CQ610" s="1366"/>
      <c r="CR610" s="6"/>
      <c r="CS610" s="1690">
        <f t="shared" si="11"/>
        <v>0</v>
      </c>
      <c r="CT610" s="1690"/>
      <c r="CU610" s="1690"/>
      <c r="CV610" s="1690"/>
      <c r="CW610" s="1690"/>
      <c r="CX610" s="1690">
        <f t="shared" si="12"/>
        <v>0</v>
      </c>
      <c r="CY610" s="1690"/>
      <c r="CZ610" s="1690"/>
      <c r="DA610" s="1690"/>
      <c r="DB610" s="1690"/>
      <c r="DC610" s="1690">
        <f t="shared" si="13"/>
        <v>0</v>
      </c>
      <c r="DD610" s="1690"/>
      <c r="DE610" s="1690"/>
      <c r="DF610" s="1690"/>
      <c r="DG610" s="1690"/>
      <c r="DH610" s="1690">
        <f t="shared" si="14"/>
        <v>0</v>
      </c>
      <c r="DI610" s="1690"/>
      <c r="DJ610" s="1690"/>
      <c r="DK610" s="1690"/>
      <c r="DL610" s="1690"/>
      <c r="DM610" s="1690">
        <f t="shared" si="15"/>
        <v>0</v>
      </c>
      <c r="DN610" s="1690"/>
      <c r="DO610" s="1690"/>
      <c r="DP610" s="1690"/>
      <c r="DQ610" s="1690"/>
      <c r="DR610" s="1690">
        <f t="shared" si="16"/>
        <v>0</v>
      </c>
      <c r="DS610" s="1690"/>
      <c r="DT610" s="1690"/>
      <c r="DU610" s="1690"/>
      <c r="DV610" s="1690"/>
      <c r="DX610" s="1391" t="str">
        <f t="shared" si="17"/>
        <v xml:space="preserve"> </v>
      </c>
      <c r="DY610" s="1821"/>
      <c r="DZ610" s="1821"/>
      <c r="EA610" s="1821"/>
      <c r="EB610" s="1392"/>
      <c r="EC610" s="1391" t="str">
        <f t="shared" si="18"/>
        <v xml:space="preserve"> </v>
      </c>
      <c r="ED610" s="1821"/>
      <c r="EE610" s="1821"/>
      <c r="EF610" s="1821"/>
      <c r="EG610" s="1392"/>
      <c r="EH610" s="1391" t="str">
        <f t="shared" si="19"/>
        <v xml:space="preserve"> </v>
      </c>
      <c r="EI610" s="1821"/>
      <c r="EJ610" s="1821"/>
      <c r="EK610" s="1821"/>
      <c r="EL610" s="1392"/>
      <c r="EM610" s="1391" t="str">
        <f t="shared" si="20"/>
        <v xml:space="preserve"> </v>
      </c>
      <c r="EN610" s="1821"/>
      <c r="EO610" s="1821"/>
      <c r="EP610" s="1821"/>
      <c r="EQ610" s="1392"/>
      <c r="ER610" s="1391" t="str">
        <f t="shared" si="21"/>
        <v xml:space="preserve"> </v>
      </c>
      <c r="ES610" s="1821"/>
      <c r="ET610" s="1821"/>
      <c r="EU610" s="1821"/>
      <c r="EV610" s="1392"/>
      <c r="EW610" s="1391" t="str">
        <f t="shared" si="22"/>
        <v xml:space="preserve"> </v>
      </c>
      <c r="EX610" s="1821"/>
      <c r="EY610" s="1821"/>
      <c r="EZ610" s="1821"/>
      <c r="FA610" s="1392"/>
    </row>
    <row r="611" spans="1:157" ht="13.05" customHeight="1">
      <c r="B611" t="s">
        <v>20</v>
      </c>
      <c r="N611" s="1344" t="s">
        <v>678</v>
      </c>
      <c r="O611" s="1344"/>
      <c r="U611" t="s">
        <v>20</v>
      </c>
      <c r="AG611" s="1344" t="s">
        <v>678</v>
      </c>
      <c r="AH611" s="1344"/>
      <c r="AZ611" s="3"/>
      <c r="BA611" s="3"/>
      <c r="BB611" s="3"/>
      <c r="BC611" s="3"/>
      <c r="BD611" s="3"/>
      <c r="BE611" s="1391">
        <f t="shared" si="1"/>
        <v>0</v>
      </c>
      <c r="BF611" s="1392"/>
      <c r="BG611" s="1469">
        <f t="shared" si="2"/>
        <v>0</v>
      </c>
      <c r="BH611" s="1470"/>
      <c r="BI611" s="1391">
        <f t="shared" si="3"/>
        <v>0</v>
      </c>
      <c r="BJ611" s="1392"/>
      <c r="BK611" s="1469">
        <f t="shared" si="4"/>
        <v>0</v>
      </c>
      <c r="BL611" s="1470"/>
      <c r="BM611" s="3"/>
      <c r="BN611" s="1480">
        <f t="shared" si="5"/>
        <v>0</v>
      </c>
      <c r="BO611" s="1481"/>
      <c r="BP611" s="1481"/>
      <c r="BQ611" s="1481"/>
      <c r="BR611" s="1482"/>
      <c r="BS611" s="1366">
        <f t="shared" si="6"/>
        <v>0</v>
      </c>
      <c r="BT611" s="1366"/>
      <c r="BU611" s="1366"/>
      <c r="BV611" s="1366"/>
      <c r="BW611" s="1366"/>
      <c r="BX611" s="1366">
        <f t="shared" si="7"/>
        <v>0</v>
      </c>
      <c r="BY611" s="1366"/>
      <c r="BZ611" s="1366"/>
      <c r="CA611" s="1366"/>
      <c r="CB611" s="1366"/>
      <c r="CC611" s="1366">
        <f t="shared" si="8"/>
        <v>0</v>
      </c>
      <c r="CD611" s="1366"/>
      <c r="CE611" s="1366"/>
      <c r="CF611" s="1366"/>
      <c r="CG611" s="1366"/>
      <c r="CH611" s="1366">
        <f t="shared" si="9"/>
        <v>0</v>
      </c>
      <c r="CI611" s="1366"/>
      <c r="CJ611" s="1366"/>
      <c r="CK611" s="1366"/>
      <c r="CL611" s="1366"/>
      <c r="CM611" s="1366">
        <f t="shared" si="10"/>
        <v>0</v>
      </c>
      <c r="CN611" s="1366"/>
      <c r="CO611" s="1366"/>
      <c r="CP611" s="1366"/>
      <c r="CQ611" s="1366"/>
      <c r="CR611" s="6"/>
      <c r="CS611" s="1690">
        <f t="shared" si="11"/>
        <v>0</v>
      </c>
      <c r="CT611" s="1690"/>
      <c r="CU611" s="1690"/>
      <c r="CV611" s="1690"/>
      <c r="CW611" s="1690"/>
      <c r="CX611" s="1690">
        <f t="shared" si="12"/>
        <v>0</v>
      </c>
      <c r="CY611" s="1690"/>
      <c r="CZ611" s="1690"/>
      <c r="DA611" s="1690"/>
      <c r="DB611" s="1690"/>
      <c r="DC611" s="1690">
        <f t="shared" si="13"/>
        <v>0</v>
      </c>
      <c r="DD611" s="1690"/>
      <c r="DE611" s="1690"/>
      <c r="DF611" s="1690"/>
      <c r="DG611" s="1690"/>
      <c r="DH611" s="1690">
        <f t="shared" si="14"/>
        <v>0</v>
      </c>
      <c r="DI611" s="1690"/>
      <c r="DJ611" s="1690"/>
      <c r="DK611" s="1690"/>
      <c r="DL611" s="1690"/>
      <c r="DM611" s="1690">
        <f t="shared" si="15"/>
        <v>0</v>
      </c>
      <c r="DN611" s="1690"/>
      <c r="DO611" s="1690"/>
      <c r="DP611" s="1690"/>
      <c r="DQ611" s="1690"/>
      <c r="DR611" s="1690">
        <f t="shared" si="16"/>
        <v>0</v>
      </c>
      <c r="DS611" s="1690"/>
      <c r="DT611" s="1690"/>
      <c r="DU611" s="1690"/>
      <c r="DV611" s="1690"/>
      <c r="DX611" s="1391" t="str">
        <f t="shared" si="17"/>
        <v xml:space="preserve"> </v>
      </c>
      <c r="DY611" s="1821"/>
      <c r="DZ611" s="1821"/>
      <c r="EA611" s="1821"/>
      <c r="EB611" s="1392"/>
      <c r="EC611" s="1391" t="str">
        <f t="shared" si="18"/>
        <v xml:space="preserve"> </v>
      </c>
      <c r="ED611" s="1821"/>
      <c r="EE611" s="1821"/>
      <c r="EF611" s="1821"/>
      <c r="EG611" s="1392"/>
      <c r="EH611" s="1391" t="str">
        <f t="shared" si="19"/>
        <v xml:space="preserve"> </v>
      </c>
      <c r="EI611" s="1821"/>
      <c r="EJ611" s="1821"/>
      <c r="EK611" s="1821"/>
      <c r="EL611" s="1392"/>
      <c r="EM611" s="1391" t="str">
        <f t="shared" si="20"/>
        <v xml:space="preserve"> </v>
      </c>
      <c r="EN611" s="1821"/>
      <c r="EO611" s="1821"/>
      <c r="EP611" s="1821"/>
      <c r="EQ611" s="1392"/>
      <c r="ER611" s="1391" t="str">
        <f t="shared" si="21"/>
        <v xml:space="preserve"> </v>
      </c>
      <c r="ES611" s="1821"/>
      <c r="ET611" s="1821"/>
      <c r="EU611" s="1821"/>
      <c r="EV611" s="1392"/>
      <c r="EW611" s="1391" t="str">
        <f t="shared" si="22"/>
        <v xml:space="preserve"> </v>
      </c>
      <c r="EX611" s="1821"/>
      <c r="EY611" s="1821"/>
      <c r="EZ611" s="1821"/>
      <c r="FA611" s="1392"/>
    </row>
    <row r="612" spans="1:157" ht="13.05" customHeight="1">
      <c r="AZ612" s="3"/>
      <c r="BA612" s="3"/>
      <c r="BB612" s="3"/>
      <c r="BC612" s="3"/>
      <c r="BD612" s="3"/>
      <c r="BE612" s="1391">
        <f t="shared" si="1"/>
        <v>0</v>
      </c>
      <c r="BF612" s="1392"/>
      <c r="BG612" s="1469">
        <f t="shared" si="2"/>
        <v>0</v>
      </c>
      <c r="BH612" s="1470"/>
      <c r="BI612" s="1391">
        <f t="shared" si="3"/>
        <v>0</v>
      </c>
      <c r="BJ612" s="1392"/>
      <c r="BK612" s="1469">
        <f t="shared" si="4"/>
        <v>0</v>
      </c>
      <c r="BL612" s="1470"/>
      <c r="BM612" s="3"/>
      <c r="BN612" s="1480">
        <f t="shared" si="5"/>
        <v>0</v>
      </c>
      <c r="BO612" s="1481"/>
      <c r="BP612" s="1481"/>
      <c r="BQ612" s="1481"/>
      <c r="BR612" s="1482"/>
      <c r="BS612" s="1366">
        <f t="shared" si="6"/>
        <v>0</v>
      </c>
      <c r="BT612" s="1366"/>
      <c r="BU612" s="1366"/>
      <c r="BV612" s="1366"/>
      <c r="BW612" s="1366"/>
      <c r="BX612" s="1366">
        <f t="shared" si="7"/>
        <v>0</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6"/>
      <c r="CS612" s="1690">
        <f t="shared" si="11"/>
        <v>0</v>
      </c>
      <c r="CT612" s="1690"/>
      <c r="CU612" s="1690"/>
      <c r="CV612" s="1690"/>
      <c r="CW612" s="1690"/>
      <c r="CX612" s="1690">
        <f t="shared" si="12"/>
        <v>0</v>
      </c>
      <c r="CY612" s="1690"/>
      <c r="CZ612" s="1690"/>
      <c r="DA612" s="1690"/>
      <c r="DB612" s="1690"/>
      <c r="DC612" s="1690">
        <f t="shared" si="13"/>
        <v>0</v>
      </c>
      <c r="DD612" s="1690"/>
      <c r="DE612" s="1690"/>
      <c r="DF612" s="1690"/>
      <c r="DG612" s="1690"/>
      <c r="DH612" s="1690">
        <f t="shared" si="14"/>
        <v>0</v>
      </c>
      <c r="DI612" s="1690"/>
      <c r="DJ612" s="1690"/>
      <c r="DK612" s="1690"/>
      <c r="DL612" s="1690"/>
      <c r="DM612" s="1690">
        <f t="shared" si="15"/>
        <v>0</v>
      </c>
      <c r="DN612" s="1690"/>
      <c r="DO612" s="1690"/>
      <c r="DP612" s="1690"/>
      <c r="DQ612" s="1690"/>
      <c r="DR612" s="1690">
        <f t="shared" si="16"/>
        <v>0</v>
      </c>
      <c r="DS612" s="1690"/>
      <c r="DT612" s="1690"/>
      <c r="DU612" s="1690"/>
      <c r="DV612" s="1690"/>
      <c r="DX612" s="1391" t="str">
        <f t="shared" si="17"/>
        <v xml:space="preserve"> </v>
      </c>
      <c r="DY612" s="1821"/>
      <c r="DZ612" s="1821"/>
      <c r="EA612" s="1821"/>
      <c r="EB612" s="1392"/>
      <c r="EC612" s="1391" t="str">
        <f t="shared" si="18"/>
        <v xml:space="preserve"> </v>
      </c>
      <c r="ED612" s="1821"/>
      <c r="EE612" s="1821"/>
      <c r="EF612" s="1821"/>
      <c r="EG612" s="1392"/>
      <c r="EH612" s="1391" t="str">
        <f t="shared" si="19"/>
        <v xml:space="preserve"> </v>
      </c>
      <c r="EI612" s="1821"/>
      <c r="EJ612" s="1821"/>
      <c r="EK612" s="1821"/>
      <c r="EL612" s="1392"/>
      <c r="EM612" s="1391" t="str">
        <f t="shared" si="20"/>
        <v xml:space="preserve"> </v>
      </c>
      <c r="EN612" s="1821"/>
      <c r="EO612" s="1821"/>
      <c r="EP612" s="1821"/>
      <c r="EQ612" s="1392"/>
      <c r="ER612" s="1391" t="str">
        <f t="shared" si="21"/>
        <v xml:space="preserve"> </v>
      </c>
      <c r="ES612" s="1821"/>
      <c r="ET612" s="1821"/>
      <c r="EU612" s="1821"/>
      <c r="EV612" s="1392"/>
      <c r="EW612" s="1391" t="str">
        <f t="shared" si="22"/>
        <v xml:space="preserve"> </v>
      </c>
      <c r="EX612" s="1821"/>
      <c r="EY612" s="1821"/>
      <c r="EZ612" s="1821"/>
      <c r="FA612" s="1392"/>
    </row>
    <row r="613" spans="1:157" ht="13.0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391">
        <f t="shared" si="1"/>
        <v>0</v>
      </c>
      <c r="BF613" s="1392"/>
      <c r="BG613" s="1469">
        <f t="shared" si="2"/>
        <v>0</v>
      </c>
      <c r="BH613" s="1470"/>
      <c r="BI613" s="1391">
        <f t="shared" si="3"/>
        <v>0</v>
      </c>
      <c r="BJ613" s="1392"/>
      <c r="BK613" s="1469">
        <f t="shared" si="4"/>
        <v>0</v>
      </c>
      <c r="BL613" s="1470"/>
      <c r="BM613" s="3"/>
      <c r="BN613" s="1480">
        <f t="shared" si="5"/>
        <v>0</v>
      </c>
      <c r="BO613" s="1481"/>
      <c r="BP613" s="1481"/>
      <c r="BQ613" s="1481"/>
      <c r="BR613" s="1482"/>
      <c r="BS613" s="1366">
        <f t="shared" si="6"/>
        <v>0</v>
      </c>
      <c r="BT613" s="1366"/>
      <c r="BU613" s="1366"/>
      <c r="BV613" s="1366"/>
      <c r="BW613" s="1366"/>
      <c r="BX613" s="1366">
        <f t="shared" si="7"/>
        <v>0</v>
      </c>
      <c r="BY613" s="1366"/>
      <c r="BZ613" s="1366"/>
      <c r="CA613" s="1366"/>
      <c r="CB613" s="1366"/>
      <c r="CC613" s="1366">
        <f t="shared" si="8"/>
        <v>0</v>
      </c>
      <c r="CD613" s="1366"/>
      <c r="CE613" s="1366"/>
      <c r="CF613" s="1366"/>
      <c r="CG613" s="1366"/>
      <c r="CH613" s="1366">
        <f t="shared" si="9"/>
        <v>0</v>
      </c>
      <c r="CI613" s="1366"/>
      <c r="CJ613" s="1366"/>
      <c r="CK613" s="1366"/>
      <c r="CL613" s="1366"/>
      <c r="CM613" s="1366">
        <f t="shared" si="10"/>
        <v>0</v>
      </c>
      <c r="CN613" s="1366"/>
      <c r="CO613" s="1366"/>
      <c r="CP613" s="1366"/>
      <c r="CQ613" s="1366"/>
      <c r="CR613" s="6"/>
      <c r="CS613" s="1690">
        <f t="shared" si="11"/>
        <v>0</v>
      </c>
      <c r="CT613" s="1690"/>
      <c r="CU613" s="1690"/>
      <c r="CV613" s="1690"/>
      <c r="CW613" s="1690"/>
      <c r="CX613" s="1690">
        <f t="shared" si="12"/>
        <v>0</v>
      </c>
      <c r="CY613" s="1690"/>
      <c r="CZ613" s="1690"/>
      <c r="DA613" s="1690"/>
      <c r="DB613" s="1690"/>
      <c r="DC613" s="1690">
        <f t="shared" si="13"/>
        <v>0</v>
      </c>
      <c r="DD613" s="1690"/>
      <c r="DE613" s="1690"/>
      <c r="DF613" s="1690"/>
      <c r="DG613" s="1690"/>
      <c r="DH613" s="1690">
        <f t="shared" si="14"/>
        <v>0</v>
      </c>
      <c r="DI613" s="1690"/>
      <c r="DJ613" s="1690"/>
      <c r="DK613" s="1690"/>
      <c r="DL613" s="1690"/>
      <c r="DM613" s="1690">
        <f t="shared" si="15"/>
        <v>0</v>
      </c>
      <c r="DN613" s="1690"/>
      <c r="DO613" s="1690"/>
      <c r="DP613" s="1690"/>
      <c r="DQ613" s="1690"/>
      <c r="DR613" s="1690">
        <f t="shared" si="16"/>
        <v>0</v>
      </c>
      <c r="DS613" s="1690"/>
      <c r="DT613" s="1690"/>
      <c r="DU613" s="1690"/>
      <c r="DV613" s="1690"/>
      <c r="DX613" s="1391" t="str">
        <f t="shared" si="17"/>
        <v xml:space="preserve"> </v>
      </c>
      <c r="DY613" s="1821"/>
      <c r="DZ613" s="1821"/>
      <c r="EA613" s="1821"/>
      <c r="EB613" s="1392"/>
      <c r="EC613" s="1391" t="str">
        <f t="shared" si="18"/>
        <v xml:space="preserve"> </v>
      </c>
      <c r="ED613" s="1821"/>
      <c r="EE613" s="1821"/>
      <c r="EF613" s="1821"/>
      <c r="EG613" s="1392"/>
      <c r="EH613" s="1391" t="str">
        <f t="shared" si="19"/>
        <v xml:space="preserve"> </v>
      </c>
      <c r="EI613" s="1821"/>
      <c r="EJ613" s="1821"/>
      <c r="EK613" s="1821"/>
      <c r="EL613" s="1392"/>
      <c r="EM613" s="1391" t="str">
        <f t="shared" si="20"/>
        <v xml:space="preserve"> </v>
      </c>
      <c r="EN613" s="1821"/>
      <c r="EO613" s="1821"/>
      <c r="EP613" s="1821"/>
      <c r="EQ613" s="1392"/>
      <c r="ER613" s="1391" t="str">
        <f t="shared" si="21"/>
        <v xml:space="preserve"> </v>
      </c>
      <c r="ES613" s="1821"/>
      <c r="ET613" s="1821"/>
      <c r="EU613" s="1821"/>
      <c r="EV613" s="1392"/>
      <c r="EW613" s="1391" t="str">
        <f t="shared" si="22"/>
        <v xml:space="preserve"> </v>
      </c>
      <c r="EX613" s="1821"/>
      <c r="EY613" s="1821"/>
      <c r="EZ613" s="1821"/>
      <c r="FA613" s="1392"/>
    </row>
    <row r="614" spans="1:157" ht="13.0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391">
        <f t="shared" si="1"/>
        <v>0</v>
      </c>
      <c r="BF614" s="1392"/>
      <c r="BG614" s="1469">
        <f t="shared" si="2"/>
        <v>0</v>
      </c>
      <c r="BH614" s="1470"/>
      <c r="BI614" s="1391">
        <f t="shared" si="3"/>
        <v>0</v>
      </c>
      <c r="BJ614" s="1392"/>
      <c r="BK614" s="1469">
        <f t="shared" si="4"/>
        <v>0</v>
      </c>
      <c r="BL614" s="1470"/>
      <c r="BM614" s="3"/>
      <c r="BN614" s="1480">
        <f t="shared" si="5"/>
        <v>0</v>
      </c>
      <c r="BO614" s="1481"/>
      <c r="BP614" s="1481"/>
      <c r="BQ614" s="1481"/>
      <c r="BR614" s="1482"/>
      <c r="BS614" s="1366">
        <f t="shared" si="6"/>
        <v>0</v>
      </c>
      <c r="BT614" s="1366"/>
      <c r="BU614" s="1366"/>
      <c r="BV614" s="1366"/>
      <c r="BW614" s="1366"/>
      <c r="BX614" s="1366">
        <f t="shared" si="7"/>
        <v>0</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6"/>
      <c r="CS614" s="1690">
        <f t="shared" si="11"/>
        <v>0</v>
      </c>
      <c r="CT614" s="1690"/>
      <c r="CU614" s="1690"/>
      <c r="CV614" s="1690"/>
      <c r="CW614" s="1690"/>
      <c r="CX614" s="1690">
        <f t="shared" si="12"/>
        <v>0</v>
      </c>
      <c r="CY614" s="1690"/>
      <c r="CZ614" s="1690"/>
      <c r="DA614" s="1690"/>
      <c r="DB614" s="1690"/>
      <c r="DC614" s="1690">
        <f t="shared" si="13"/>
        <v>0</v>
      </c>
      <c r="DD614" s="1690"/>
      <c r="DE614" s="1690"/>
      <c r="DF614" s="1690"/>
      <c r="DG614" s="1690"/>
      <c r="DH614" s="1690">
        <f t="shared" si="14"/>
        <v>0</v>
      </c>
      <c r="DI614" s="1690"/>
      <c r="DJ614" s="1690"/>
      <c r="DK614" s="1690"/>
      <c r="DL614" s="1690"/>
      <c r="DM614" s="1690">
        <f t="shared" si="15"/>
        <v>0</v>
      </c>
      <c r="DN614" s="1690"/>
      <c r="DO614" s="1690"/>
      <c r="DP614" s="1690"/>
      <c r="DQ614" s="1690"/>
      <c r="DR614" s="1690">
        <f t="shared" si="16"/>
        <v>0</v>
      </c>
      <c r="DS614" s="1690"/>
      <c r="DT614" s="1690"/>
      <c r="DU614" s="1690"/>
      <c r="DV614" s="1690"/>
      <c r="DX614" s="1391" t="str">
        <f t="shared" si="17"/>
        <v xml:space="preserve"> </v>
      </c>
      <c r="DY614" s="1821"/>
      <c r="DZ614" s="1821"/>
      <c r="EA614" s="1821"/>
      <c r="EB614" s="1392"/>
      <c r="EC614" s="1391" t="str">
        <f t="shared" si="18"/>
        <v xml:space="preserve"> </v>
      </c>
      <c r="ED614" s="1821"/>
      <c r="EE614" s="1821"/>
      <c r="EF614" s="1821"/>
      <c r="EG614" s="1392"/>
      <c r="EH614" s="1391" t="str">
        <f t="shared" si="19"/>
        <v xml:space="preserve"> </v>
      </c>
      <c r="EI614" s="1821"/>
      <c r="EJ614" s="1821"/>
      <c r="EK614" s="1821"/>
      <c r="EL614" s="1392"/>
      <c r="EM614" s="1391" t="str">
        <f t="shared" si="20"/>
        <v xml:space="preserve"> </v>
      </c>
      <c r="EN614" s="1821"/>
      <c r="EO614" s="1821"/>
      <c r="EP614" s="1821"/>
      <c r="EQ614" s="1392"/>
      <c r="ER614" s="1391" t="str">
        <f t="shared" si="21"/>
        <v xml:space="preserve"> </v>
      </c>
      <c r="ES614" s="1821"/>
      <c r="ET614" s="1821"/>
      <c r="EU614" s="1821"/>
      <c r="EV614" s="1392"/>
      <c r="EW614" s="1391" t="str">
        <f t="shared" si="22"/>
        <v xml:space="preserve"> </v>
      </c>
      <c r="EX614" s="1821"/>
      <c r="EY614" s="1821"/>
      <c r="EZ614" s="1821"/>
      <c r="FA614" s="1392"/>
    </row>
    <row r="615" spans="1:157" ht="13.05" customHeight="1">
      <c r="AZ615" s="3"/>
      <c r="BA615" s="3"/>
      <c r="BB615" s="3"/>
      <c r="BC615" s="3"/>
      <c r="BD615" s="3"/>
      <c r="BE615" s="1391">
        <f t="shared" si="1"/>
        <v>0</v>
      </c>
      <c r="BF615" s="1392"/>
      <c r="BG615" s="1469">
        <f t="shared" si="2"/>
        <v>0</v>
      </c>
      <c r="BH615" s="1470"/>
      <c r="BI615" s="1391">
        <f t="shared" si="3"/>
        <v>0</v>
      </c>
      <c r="BJ615" s="1392"/>
      <c r="BK615" s="1469">
        <f t="shared" si="4"/>
        <v>0</v>
      </c>
      <c r="BL615" s="1470"/>
      <c r="BM615" s="3"/>
      <c r="BN615" s="1480">
        <f t="shared" si="5"/>
        <v>0</v>
      </c>
      <c r="BO615" s="1481"/>
      <c r="BP615" s="1481"/>
      <c r="BQ615" s="1481"/>
      <c r="BR615" s="1482"/>
      <c r="BS615" s="1366">
        <f t="shared" si="6"/>
        <v>0</v>
      </c>
      <c r="BT615" s="1366"/>
      <c r="BU615" s="1366"/>
      <c r="BV615" s="1366"/>
      <c r="BW615" s="1366"/>
      <c r="BX615" s="1366">
        <f t="shared" si="7"/>
        <v>0</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6"/>
      <c r="CS615" s="1690">
        <f t="shared" si="11"/>
        <v>0</v>
      </c>
      <c r="CT615" s="1690"/>
      <c r="CU615" s="1690"/>
      <c r="CV615" s="1690"/>
      <c r="CW615" s="1690"/>
      <c r="CX615" s="1690">
        <f t="shared" si="12"/>
        <v>0</v>
      </c>
      <c r="CY615" s="1690"/>
      <c r="CZ615" s="1690"/>
      <c r="DA615" s="1690"/>
      <c r="DB615" s="1690"/>
      <c r="DC615" s="1690">
        <f t="shared" si="13"/>
        <v>0</v>
      </c>
      <c r="DD615" s="1690"/>
      <c r="DE615" s="1690"/>
      <c r="DF615" s="1690"/>
      <c r="DG615" s="1690"/>
      <c r="DH615" s="1690">
        <f t="shared" si="14"/>
        <v>0</v>
      </c>
      <c r="DI615" s="1690"/>
      <c r="DJ615" s="1690"/>
      <c r="DK615" s="1690"/>
      <c r="DL615" s="1690"/>
      <c r="DM615" s="1690">
        <f t="shared" si="15"/>
        <v>0</v>
      </c>
      <c r="DN615" s="1690"/>
      <c r="DO615" s="1690"/>
      <c r="DP615" s="1690"/>
      <c r="DQ615" s="1690"/>
      <c r="DR615" s="1690">
        <f t="shared" si="16"/>
        <v>0</v>
      </c>
      <c r="DS615" s="1690"/>
      <c r="DT615" s="1690"/>
      <c r="DU615" s="1690"/>
      <c r="DV615" s="1690"/>
      <c r="DX615" s="1391" t="str">
        <f t="shared" si="17"/>
        <v xml:space="preserve"> </v>
      </c>
      <c r="DY615" s="1821"/>
      <c r="DZ615" s="1821"/>
      <c r="EA615" s="1821"/>
      <c r="EB615" s="1392"/>
      <c r="EC615" s="1391" t="str">
        <f t="shared" si="18"/>
        <v xml:space="preserve"> </v>
      </c>
      <c r="ED615" s="1821"/>
      <c r="EE615" s="1821"/>
      <c r="EF615" s="1821"/>
      <c r="EG615" s="1392"/>
      <c r="EH615" s="1391" t="str">
        <f t="shared" si="19"/>
        <v xml:space="preserve"> </v>
      </c>
      <c r="EI615" s="1821"/>
      <c r="EJ615" s="1821"/>
      <c r="EK615" s="1821"/>
      <c r="EL615" s="1392"/>
      <c r="EM615" s="1391" t="str">
        <f t="shared" si="20"/>
        <v xml:space="preserve"> </v>
      </c>
      <c r="EN615" s="1821"/>
      <c r="EO615" s="1821"/>
      <c r="EP615" s="1821"/>
      <c r="EQ615" s="1392"/>
      <c r="ER615" s="1391" t="str">
        <f t="shared" si="21"/>
        <v xml:space="preserve"> </v>
      </c>
      <c r="ES615" s="1821"/>
      <c r="ET615" s="1821"/>
      <c r="EU615" s="1821"/>
      <c r="EV615" s="1392"/>
      <c r="EW615" s="1391" t="str">
        <f t="shared" si="22"/>
        <v xml:space="preserve"> </v>
      </c>
      <c r="EX615" s="1821"/>
      <c r="EY615" s="1821"/>
      <c r="EZ615" s="1821"/>
      <c r="FA615" s="1392"/>
    </row>
    <row r="616" spans="1:157" ht="13.05" customHeight="1">
      <c r="A616" s="2" t="s">
        <v>320</v>
      </c>
      <c r="B616" s="2"/>
      <c r="C616" s="2" t="s">
        <v>21</v>
      </c>
      <c r="AZ616" s="3"/>
      <c r="BA616" s="3"/>
      <c r="BB616" s="3"/>
      <c r="BC616" s="3"/>
      <c r="BD616" s="3"/>
      <c r="BE616" s="1391">
        <f t="shared" si="1"/>
        <v>0</v>
      </c>
      <c r="BF616" s="1392"/>
      <c r="BG616" s="1469">
        <f t="shared" si="2"/>
        <v>0</v>
      </c>
      <c r="BH616" s="1470"/>
      <c r="BI616" s="1391">
        <f t="shared" si="3"/>
        <v>0</v>
      </c>
      <c r="BJ616" s="1392"/>
      <c r="BK616" s="1469">
        <f t="shared" si="4"/>
        <v>0</v>
      </c>
      <c r="BL616" s="1470"/>
      <c r="BM616" s="3"/>
      <c r="BN616" s="1480">
        <f t="shared" si="5"/>
        <v>0</v>
      </c>
      <c r="BO616" s="1481"/>
      <c r="BP616" s="1481"/>
      <c r="BQ616" s="1481"/>
      <c r="BR616" s="1482"/>
      <c r="BS616" s="1366">
        <f t="shared" si="6"/>
        <v>0</v>
      </c>
      <c r="BT616" s="1366"/>
      <c r="BU616" s="1366"/>
      <c r="BV616" s="1366"/>
      <c r="BW616" s="1366"/>
      <c r="BX616" s="1366">
        <f t="shared" si="7"/>
        <v>0</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6"/>
      <c r="CS616" s="1690">
        <f t="shared" si="11"/>
        <v>0</v>
      </c>
      <c r="CT616" s="1690"/>
      <c r="CU616" s="1690"/>
      <c r="CV616" s="1690"/>
      <c r="CW616" s="1690"/>
      <c r="CX616" s="1690">
        <f t="shared" si="12"/>
        <v>0</v>
      </c>
      <c r="CY616" s="1690"/>
      <c r="CZ616" s="1690"/>
      <c r="DA616" s="1690"/>
      <c r="DB616" s="1690"/>
      <c r="DC616" s="1690">
        <f t="shared" si="13"/>
        <v>0</v>
      </c>
      <c r="DD616" s="1690"/>
      <c r="DE616" s="1690"/>
      <c r="DF616" s="1690"/>
      <c r="DG616" s="1690"/>
      <c r="DH616" s="1690">
        <f t="shared" si="14"/>
        <v>0</v>
      </c>
      <c r="DI616" s="1690"/>
      <c r="DJ616" s="1690"/>
      <c r="DK616" s="1690"/>
      <c r="DL616" s="1690"/>
      <c r="DM616" s="1690">
        <f t="shared" si="15"/>
        <v>0</v>
      </c>
      <c r="DN616" s="1690"/>
      <c r="DO616" s="1690"/>
      <c r="DP616" s="1690"/>
      <c r="DQ616" s="1690"/>
      <c r="DR616" s="1690">
        <f t="shared" si="16"/>
        <v>0</v>
      </c>
      <c r="DS616" s="1690"/>
      <c r="DT616" s="1690"/>
      <c r="DU616" s="1690"/>
      <c r="DV616" s="1690"/>
      <c r="DX616" s="1391" t="str">
        <f t="shared" si="17"/>
        <v xml:space="preserve"> </v>
      </c>
      <c r="DY616" s="1821"/>
      <c r="DZ616" s="1821"/>
      <c r="EA616" s="1821"/>
      <c r="EB616" s="1392"/>
      <c r="EC616" s="1391" t="str">
        <f t="shared" si="18"/>
        <v xml:space="preserve"> </v>
      </c>
      <c r="ED616" s="1821"/>
      <c r="EE616" s="1821"/>
      <c r="EF616" s="1821"/>
      <c r="EG616" s="1392"/>
      <c r="EH616" s="1391" t="str">
        <f t="shared" si="19"/>
        <v xml:space="preserve"> </v>
      </c>
      <c r="EI616" s="1821"/>
      <c r="EJ616" s="1821"/>
      <c r="EK616" s="1821"/>
      <c r="EL616" s="1392"/>
      <c r="EM616" s="1391" t="str">
        <f t="shared" si="20"/>
        <v xml:space="preserve"> </v>
      </c>
      <c r="EN616" s="1821"/>
      <c r="EO616" s="1821"/>
      <c r="EP616" s="1821"/>
      <c r="EQ616" s="1392"/>
      <c r="ER616" s="1391" t="str">
        <f t="shared" si="21"/>
        <v xml:space="preserve"> </v>
      </c>
      <c r="ES616" s="1821"/>
      <c r="ET616" s="1821"/>
      <c r="EU616" s="1821"/>
      <c r="EV616" s="1392"/>
      <c r="EW616" s="1391" t="str">
        <f t="shared" si="22"/>
        <v xml:space="preserve"> </v>
      </c>
      <c r="EX616" s="1821"/>
      <c r="EY616" s="1821"/>
      <c r="EZ616" s="1821"/>
      <c r="FA616" s="1392"/>
    </row>
    <row r="617" spans="1:157" ht="13.05" customHeight="1">
      <c r="A617" s="2"/>
      <c r="B617" s="2"/>
      <c r="C617" s="2"/>
      <c r="AZ617" s="3"/>
      <c r="BA617" s="3"/>
      <c r="BB617" s="3"/>
      <c r="BC617" s="3"/>
      <c r="BD617" s="3"/>
      <c r="BE617" s="1391">
        <f t="shared" si="1"/>
        <v>0</v>
      </c>
      <c r="BF617" s="1392"/>
      <c r="BG617" s="1469">
        <f t="shared" si="2"/>
        <v>0</v>
      </c>
      <c r="BH617" s="1470"/>
      <c r="BI617" s="1391">
        <f t="shared" si="3"/>
        <v>0</v>
      </c>
      <c r="BJ617" s="1392"/>
      <c r="BK617" s="1469">
        <f t="shared" si="4"/>
        <v>0</v>
      </c>
      <c r="BL617" s="1470"/>
      <c r="BM617" s="3"/>
      <c r="BN617" s="1480">
        <f t="shared" si="5"/>
        <v>0</v>
      </c>
      <c r="BO617" s="1481"/>
      <c r="BP617" s="1481"/>
      <c r="BQ617" s="1481"/>
      <c r="BR617" s="1482"/>
      <c r="BS617" s="1366">
        <f t="shared" si="6"/>
        <v>0</v>
      </c>
      <c r="BT617" s="1366"/>
      <c r="BU617" s="1366"/>
      <c r="BV617" s="1366"/>
      <c r="BW617" s="1366"/>
      <c r="BX617" s="1366">
        <f t="shared" si="7"/>
        <v>0</v>
      </c>
      <c r="BY617" s="1366"/>
      <c r="BZ617" s="1366"/>
      <c r="CA617" s="1366"/>
      <c r="CB617" s="1366"/>
      <c r="CC617" s="1366">
        <f t="shared" si="8"/>
        <v>0</v>
      </c>
      <c r="CD617" s="1366"/>
      <c r="CE617" s="1366"/>
      <c r="CF617" s="1366"/>
      <c r="CG617" s="1366"/>
      <c r="CH617" s="1366">
        <f t="shared" si="9"/>
        <v>0</v>
      </c>
      <c r="CI617" s="1366"/>
      <c r="CJ617" s="1366"/>
      <c r="CK617" s="1366"/>
      <c r="CL617" s="1366"/>
      <c r="CM617" s="1366">
        <f t="shared" si="10"/>
        <v>0</v>
      </c>
      <c r="CN617" s="1366"/>
      <c r="CO617" s="1366"/>
      <c r="CP617" s="1366"/>
      <c r="CQ617" s="1366"/>
      <c r="CR617" s="6"/>
      <c r="CS617" s="1690">
        <f t="shared" si="11"/>
        <v>0</v>
      </c>
      <c r="CT617" s="1690"/>
      <c r="CU617" s="1690"/>
      <c r="CV617" s="1690"/>
      <c r="CW617" s="1690"/>
      <c r="CX617" s="1690">
        <f t="shared" si="12"/>
        <v>0</v>
      </c>
      <c r="CY617" s="1690"/>
      <c r="CZ617" s="1690"/>
      <c r="DA617" s="1690"/>
      <c r="DB617" s="1690"/>
      <c r="DC617" s="1690">
        <f t="shared" si="13"/>
        <v>0</v>
      </c>
      <c r="DD617" s="1690"/>
      <c r="DE617" s="1690"/>
      <c r="DF617" s="1690"/>
      <c r="DG617" s="1690"/>
      <c r="DH617" s="1690">
        <f t="shared" si="14"/>
        <v>0</v>
      </c>
      <c r="DI617" s="1690"/>
      <c r="DJ617" s="1690"/>
      <c r="DK617" s="1690"/>
      <c r="DL617" s="1690"/>
      <c r="DM617" s="1690">
        <f t="shared" si="15"/>
        <v>0</v>
      </c>
      <c r="DN617" s="1690"/>
      <c r="DO617" s="1690"/>
      <c r="DP617" s="1690"/>
      <c r="DQ617" s="1690"/>
      <c r="DR617" s="1690">
        <f t="shared" si="16"/>
        <v>0</v>
      </c>
      <c r="DS617" s="1690"/>
      <c r="DT617" s="1690"/>
      <c r="DU617" s="1690"/>
      <c r="DV617" s="1690"/>
      <c r="DX617" s="1391" t="str">
        <f t="shared" si="17"/>
        <v xml:space="preserve"> </v>
      </c>
      <c r="DY617" s="1821"/>
      <c r="DZ617" s="1821"/>
      <c r="EA617" s="1821"/>
      <c r="EB617" s="1392"/>
      <c r="EC617" s="1391" t="str">
        <f t="shared" si="18"/>
        <v xml:space="preserve"> </v>
      </c>
      <c r="ED617" s="1821"/>
      <c r="EE617" s="1821"/>
      <c r="EF617" s="1821"/>
      <c r="EG617" s="1392"/>
      <c r="EH617" s="1391" t="str">
        <f t="shared" si="19"/>
        <v xml:space="preserve"> </v>
      </c>
      <c r="EI617" s="1821"/>
      <c r="EJ617" s="1821"/>
      <c r="EK617" s="1821"/>
      <c r="EL617" s="1392"/>
      <c r="EM617" s="1391" t="str">
        <f t="shared" si="20"/>
        <v xml:space="preserve"> </v>
      </c>
      <c r="EN617" s="1821"/>
      <c r="EO617" s="1821"/>
      <c r="EP617" s="1821"/>
      <c r="EQ617" s="1392"/>
      <c r="ER617" s="1391" t="str">
        <f t="shared" si="21"/>
        <v xml:space="preserve"> </v>
      </c>
      <c r="ES617" s="1821"/>
      <c r="ET617" s="1821"/>
      <c r="EU617" s="1821"/>
      <c r="EV617" s="1392"/>
      <c r="EW617" s="1391" t="str">
        <f t="shared" si="22"/>
        <v xml:space="preserve"> </v>
      </c>
      <c r="EX617" s="1821"/>
      <c r="EY617" s="1821"/>
      <c r="EZ617" s="1821"/>
      <c r="FA617" s="1392"/>
    </row>
    <row r="618" spans="1:157" ht="13.05" customHeight="1">
      <c r="C618" s="2" t="s">
        <v>2523</v>
      </c>
      <c r="AZ618" s="3"/>
      <c r="BA618" s="3"/>
      <c r="BB618" s="3"/>
      <c r="BC618" s="3"/>
      <c r="BD618" s="3"/>
      <c r="BE618" s="1391">
        <f t="shared" si="1"/>
        <v>0</v>
      </c>
      <c r="BF618" s="1392"/>
      <c r="BG618" s="1469">
        <f t="shared" si="2"/>
        <v>0</v>
      </c>
      <c r="BH618" s="1470"/>
      <c r="BI618" s="1391">
        <f t="shared" si="3"/>
        <v>0</v>
      </c>
      <c r="BJ618" s="1392"/>
      <c r="BK618" s="1469">
        <f t="shared" si="4"/>
        <v>0</v>
      </c>
      <c r="BL618" s="1470"/>
      <c r="BM618" s="3"/>
      <c r="BN618" s="1480">
        <f t="shared" si="5"/>
        <v>0</v>
      </c>
      <c r="BO618" s="1481"/>
      <c r="BP618" s="1481"/>
      <c r="BQ618" s="1481"/>
      <c r="BR618" s="1482"/>
      <c r="BS618" s="1366">
        <f t="shared" si="6"/>
        <v>0</v>
      </c>
      <c r="BT618" s="1366"/>
      <c r="BU618" s="1366"/>
      <c r="BV618" s="1366"/>
      <c r="BW618" s="1366"/>
      <c r="BX618" s="1366">
        <f t="shared" si="7"/>
        <v>0</v>
      </c>
      <c r="BY618" s="1366"/>
      <c r="BZ618" s="1366"/>
      <c r="CA618" s="1366"/>
      <c r="CB618" s="1366"/>
      <c r="CC618" s="1366">
        <f t="shared" si="8"/>
        <v>0</v>
      </c>
      <c r="CD618" s="1366"/>
      <c r="CE618" s="1366"/>
      <c r="CF618" s="1366"/>
      <c r="CG618" s="1366"/>
      <c r="CH618" s="1366">
        <f t="shared" si="9"/>
        <v>0</v>
      </c>
      <c r="CI618" s="1366"/>
      <c r="CJ618" s="1366"/>
      <c r="CK618" s="1366"/>
      <c r="CL618" s="1366"/>
      <c r="CM618" s="1366">
        <f t="shared" si="10"/>
        <v>0</v>
      </c>
      <c r="CN618" s="1366"/>
      <c r="CO618" s="1366"/>
      <c r="CP618" s="1366"/>
      <c r="CQ618" s="1366"/>
      <c r="CR618" s="6"/>
      <c r="CS618" s="1690">
        <f t="shared" si="11"/>
        <v>0</v>
      </c>
      <c r="CT618" s="1690"/>
      <c r="CU618" s="1690"/>
      <c r="CV618" s="1690"/>
      <c r="CW618" s="1690"/>
      <c r="CX618" s="1690">
        <f t="shared" si="12"/>
        <v>0</v>
      </c>
      <c r="CY618" s="1690"/>
      <c r="CZ618" s="1690"/>
      <c r="DA618" s="1690"/>
      <c r="DB618" s="1690"/>
      <c r="DC618" s="1690">
        <f t="shared" si="13"/>
        <v>0</v>
      </c>
      <c r="DD618" s="1690"/>
      <c r="DE618" s="1690"/>
      <c r="DF618" s="1690"/>
      <c r="DG618" s="1690"/>
      <c r="DH618" s="1690">
        <f t="shared" si="14"/>
        <v>0</v>
      </c>
      <c r="DI618" s="1690"/>
      <c r="DJ618" s="1690"/>
      <c r="DK618" s="1690"/>
      <c r="DL618" s="1690"/>
      <c r="DM618" s="1690">
        <f t="shared" si="15"/>
        <v>0</v>
      </c>
      <c r="DN618" s="1690"/>
      <c r="DO618" s="1690"/>
      <c r="DP618" s="1690"/>
      <c r="DQ618" s="1690"/>
      <c r="DR618" s="1690">
        <f t="shared" si="16"/>
        <v>0</v>
      </c>
      <c r="DS618" s="1690"/>
      <c r="DT618" s="1690"/>
      <c r="DU618" s="1690"/>
      <c r="DV618" s="1690"/>
      <c r="DX618" s="1391" t="str">
        <f t="shared" si="17"/>
        <v xml:space="preserve"> </v>
      </c>
      <c r="DY618" s="1821"/>
      <c r="DZ618" s="1821"/>
      <c r="EA618" s="1821"/>
      <c r="EB618" s="1392"/>
      <c r="EC618" s="1391" t="str">
        <f t="shared" si="18"/>
        <v xml:space="preserve"> </v>
      </c>
      <c r="ED618" s="1821"/>
      <c r="EE618" s="1821"/>
      <c r="EF618" s="1821"/>
      <c r="EG618" s="1392"/>
      <c r="EH618" s="1391" t="str">
        <f t="shared" si="19"/>
        <v xml:space="preserve"> </v>
      </c>
      <c r="EI618" s="1821"/>
      <c r="EJ618" s="1821"/>
      <c r="EK618" s="1821"/>
      <c r="EL618" s="1392"/>
      <c r="EM618" s="1391" t="str">
        <f t="shared" si="20"/>
        <v xml:space="preserve"> </v>
      </c>
      <c r="EN618" s="1821"/>
      <c r="EO618" s="1821"/>
      <c r="EP618" s="1821"/>
      <c r="EQ618" s="1392"/>
      <c r="ER618" s="1391" t="str">
        <f t="shared" si="21"/>
        <v xml:space="preserve"> </v>
      </c>
      <c r="ES618" s="1821"/>
      <c r="ET618" s="1821"/>
      <c r="EU618" s="1821"/>
      <c r="EV618" s="1392"/>
      <c r="EW618" s="1391" t="str">
        <f t="shared" si="22"/>
        <v xml:space="preserve"> </v>
      </c>
      <c r="EX618" s="1821"/>
      <c r="EY618" s="1821"/>
      <c r="EZ618" s="1821"/>
      <c r="FA618" s="1392"/>
    </row>
    <row r="619" spans="1:157" ht="13.05" customHeight="1">
      <c r="B619" s="547"/>
      <c r="C619" s="2"/>
      <c r="AZ619" s="3"/>
      <c r="BA619" s="3"/>
      <c r="BB619" s="3"/>
      <c r="BC619" s="3"/>
      <c r="BD619" s="3"/>
      <c r="BE619" s="1391">
        <f t="shared" si="1"/>
        <v>0</v>
      </c>
      <c r="BF619" s="1392"/>
      <c r="BG619" s="1469">
        <f t="shared" si="2"/>
        <v>0</v>
      </c>
      <c r="BH619" s="1470"/>
      <c r="BI619" s="1391">
        <f t="shared" si="3"/>
        <v>0</v>
      </c>
      <c r="BJ619" s="1392"/>
      <c r="BK619" s="1469">
        <f t="shared" si="4"/>
        <v>0</v>
      </c>
      <c r="BL619" s="1470"/>
      <c r="BM619" s="3"/>
      <c r="BN619" s="1480">
        <f t="shared" si="5"/>
        <v>0</v>
      </c>
      <c r="BO619" s="1481"/>
      <c r="BP619" s="1481"/>
      <c r="BQ619" s="1481"/>
      <c r="BR619" s="1482"/>
      <c r="BS619" s="1366">
        <f t="shared" si="6"/>
        <v>0</v>
      </c>
      <c r="BT619" s="1366"/>
      <c r="BU619" s="1366"/>
      <c r="BV619" s="1366"/>
      <c r="BW619" s="1366"/>
      <c r="BX619" s="1366">
        <f t="shared" si="7"/>
        <v>0</v>
      </c>
      <c r="BY619" s="1366"/>
      <c r="BZ619" s="1366"/>
      <c r="CA619" s="1366"/>
      <c r="CB619" s="1366"/>
      <c r="CC619" s="1366">
        <f t="shared" si="8"/>
        <v>0</v>
      </c>
      <c r="CD619" s="1366"/>
      <c r="CE619" s="1366"/>
      <c r="CF619" s="1366"/>
      <c r="CG619" s="1366"/>
      <c r="CH619" s="1366">
        <f t="shared" si="9"/>
        <v>0</v>
      </c>
      <c r="CI619" s="1366"/>
      <c r="CJ619" s="1366"/>
      <c r="CK619" s="1366"/>
      <c r="CL619" s="1366"/>
      <c r="CM619" s="1366">
        <f t="shared" si="10"/>
        <v>0</v>
      </c>
      <c r="CN619" s="1366"/>
      <c r="CO619" s="1366"/>
      <c r="CP619" s="1366"/>
      <c r="CQ619" s="1366"/>
      <c r="CR619" s="6"/>
      <c r="CS619" s="1690">
        <f t="shared" si="11"/>
        <v>0</v>
      </c>
      <c r="CT619" s="1690"/>
      <c r="CU619" s="1690"/>
      <c r="CV619" s="1690"/>
      <c r="CW619" s="1690"/>
      <c r="CX619" s="1690">
        <f t="shared" si="12"/>
        <v>0</v>
      </c>
      <c r="CY619" s="1690"/>
      <c r="CZ619" s="1690"/>
      <c r="DA619" s="1690"/>
      <c r="DB619" s="1690"/>
      <c r="DC619" s="1690">
        <f t="shared" si="13"/>
        <v>0</v>
      </c>
      <c r="DD619" s="1690"/>
      <c r="DE619" s="1690"/>
      <c r="DF619" s="1690"/>
      <c r="DG619" s="1690"/>
      <c r="DH619" s="1690">
        <f t="shared" si="14"/>
        <v>0</v>
      </c>
      <c r="DI619" s="1690"/>
      <c r="DJ619" s="1690"/>
      <c r="DK619" s="1690"/>
      <c r="DL619" s="1690"/>
      <c r="DM619" s="1690">
        <f t="shared" si="15"/>
        <v>0</v>
      </c>
      <c r="DN619" s="1690"/>
      <c r="DO619" s="1690"/>
      <c r="DP619" s="1690"/>
      <c r="DQ619" s="1690"/>
      <c r="DR619" s="1690">
        <f t="shared" si="16"/>
        <v>0</v>
      </c>
      <c r="DS619" s="1690"/>
      <c r="DT619" s="1690"/>
      <c r="DU619" s="1690"/>
      <c r="DV619" s="1690"/>
      <c r="DX619" s="1391" t="str">
        <f t="shared" si="17"/>
        <v xml:space="preserve"> </v>
      </c>
      <c r="DY619" s="1821"/>
      <c r="DZ619" s="1821"/>
      <c r="EA619" s="1821"/>
      <c r="EB619" s="1392"/>
      <c r="EC619" s="1391" t="str">
        <f t="shared" si="18"/>
        <v xml:space="preserve"> </v>
      </c>
      <c r="ED619" s="1821"/>
      <c r="EE619" s="1821"/>
      <c r="EF619" s="1821"/>
      <c r="EG619" s="1392"/>
      <c r="EH619" s="1391" t="str">
        <f t="shared" si="19"/>
        <v xml:space="preserve"> </v>
      </c>
      <c r="EI619" s="1821"/>
      <c r="EJ619" s="1821"/>
      <c r="EK619" s="1821"/>
      <c r="EL619" s="1392"/>
      <c r="EM619" s="1391" t="str">
        <f t="shared" si="20"/>
        <v xml:space="preserve"> </v>
      </c>
      <c r="EN619" s="1821"/>
      <c r="EO619" s="1821"/>
      <c r="EP619" s="1821"/>
      <c r="EQ619" s="1392"/>
      <c r="ER619" s="1391" t="str">
        <f t="shared" si="21"/>
        <v xml:space="preserve"> </v>
      </c>
      <c r="ES619" s="1821"/>
      <c r="ET619" s="1821"/>
      <c r="EU619" s="1821"/>
      <c r="EV619" s="1392"/>
      <c r="EW619" s="1391" t="str">
        <f t="shared" si="22"/>
        <v xml:space="preserve"> </v>
      </c>
      <c r="EX619" s="1821"/>
      <c r="EY619" s="1821"/>
      <c r="EZ619" s="1821"/>
      <c r="FA619" s="1392"/>
    </row>
    <row r="620" spans="1:157" ht="13.05" customHeight="1">
      <c r="B620" s="1828" t="s">
        <v>2525</v>
      </c>
      <c r="C620" s="1828"/>
      <c r="D620" s="1828"/>
      <c r="E620" s="1828"/>
      <c r="F620" s="1828"/>
      <c r="G620" s="1828"/>
      <c r="H620" s="1828"/>
      <c r="I620" s="1828"/>
      <c r="J620" s="1828"/>
      <c r="K620" s="1828"/>
      <c r="L620" s="1828"/>
      <c r="M620" s="1487" t="s">
        <v>2526</v>
      </c>
      <c r="N620" s="1487"/>
      <c r="O620" s="1487"/>
      <c r="P620" s="1487"/>
      <c r="Q620" s="1487" t="s">
        <v>2116</v>
      </c>
      <c r="R620" s="1487"/>
      <c r="S620" s="1487"/>
      <c r="T620" s="1487" t="s">
        <v>2114</v>
      </c>
      <c r="U620" s="1487"/>
      <c r="V620" s="1487"/>
      <c r="W620" s="1827" t="s">
        <v>462</v>
      </c>
      <c r="X620" s="1827"/>
      <c r="Y620" s="1827"/>
      <c r="Z620" s="1381" t="s">
        <v>2555</v>
      </c>
      <c r="AA620" s="1381"/>
      <c r="AB620" s="1382"/>
      <c r="AC620" s="1714" t="s">
        <v>1936</v>
      </c>
      <c r="AD620" s="1715"/>
      <c r="AE620" s="1716"/>
      <c r="AF620" s="1380" t="s">
        <v>2313</v>
      </c>
      <c r="AG620" s="1381"/>
      <c r="AH620" s="1381"/>
      <c r="AI620" s="1381"/>
      <c r="AJ620" s="1382"/>
      <c r="AK620" s="1704" t="s">
        <v>2314</v>
      </c>
      <c r="AL620" s="1705"/>
      <c r="AM620" s="1705"/>
      <c r="AN620" s="1706"/>
      <c r="AO620" s="1487" t="s">
        <v>463</v>
      </c>
      <c r="AP620" s="1487"/>
      <c r="AQ620" s="1487"/>
      <c r="AR620" s="1487"/>
      <c r="AS620" s="1487"/>
      <c r="AZ620" s="3"/>
      <c r="BA620" s="3"/>
      <c r="BB620" s="3"/>
      <c r="BC620" s="3"/>
      <c r="BD620" s="3"/>
      <c r="BE620" s="1391">
        <f t="shared" si="1"/>
        <v>0</v>
      </c>
      <c r="BF620" s="1392"/>
      <c r="BG620" s="1469">
        <f t="shared" si="2"/>
        <v>0</v>
      </c>
      <c r="BH620" s="1470"/>
      <c r="BI620" s="1391">
        <f t="shared" si="3"/>
        <v>0</v>
      </c>
      <c r="BJ620" s="1392"/>
      <c r="BK620" s="1469">
        <f t="shared" si="4"/>
        <v>0</v>
      </c>
      <c r="BL620" s="1470"/>
      <c r="BM620" s="3"/>
      <c r="BN620" s="1480">
        <f t="shared" si="5"/>
        <v>0</v>
      </c>
      <c r="BO620" s="1481"/>
      <c r="BP620" s="1481"/>
      <c r="BQ620" s="1481"/>
      <c r="BR620" s="1482"/>
      <c r="BS620" s="1366">
        <f t="shared" si="6"/>
        <v>0</v>
      </c>
      <c r="BT620" s="1366"/>
      <c r="BU620" s="1366"/>
      <c r="BV620" s="1366"/>
      <c r="BW620" s="1366"/>
      <c r="BX620" s="1366">
        <f t="shared" si="7"/>
        <v>0</v>
      </c>
      <c r="BY620" s="1366"/>
      <c r="BZ620" s="1366"/>
      <c r="CA620" s="1366"/>
      <c r="CB620" s="1366"/>
      <c r="CC620" s="1366">
        <f t="shared" si="8"/>
        <v>0</v>
      </c>
      <c r="CD620" s="1366"/>
      <c r="CE620" s="1366"/>
      <c r="CF620" s="1366"/>
      <c r="CG620" s="1366"/>
      <c r="CH620" s="1366">
        <f t="shared" si="9"/>
        <v>0</v>
      </c>
      <c r="CI620" s="1366"/>
      <c r="CJ620" s="1366"/>
      <c r="CK620" s="1366"/>
      <c r="CL620" s="1366"/>
      <c r="CM620" s="1366">
        <f t="shared" si="10"/>
        <v>0</v>
      </c>
      <c r="CN620" s="1366"/>
      <c r="CO620" s="1366"/>
      <c r="CP620" s="1366"/>
      <c r="CQ620" s="1366"/>
      <c r="CR620" s="6"/>
      <c r="CS620" s="1690">
        <f t="shared" si="11"/>
        <v>0</v>
      </c>
      <c r="CT620" s="1690"/>
      <c r="CU620" s="1690"/>
      <c r="CV620" s="1690"/>
      <c r="CW620" s="1690"/>
      <c r="CX620" s="1690">
        <f t="shared" si="12"/>
        <v>0</v>
      </c>
      <c r="CY620" s="1690"/>
      <c r="CZ620" s="1690"/>
      <c r="DA620" s="1690"/>
      <c r="DB620" s="1690"/>
      <c r="DC620" s="1690">
        <f t="shared" si="13"/>
        <v>0</v>
      </c>
      <c r="DD620" s="1690"/>
      <c r="DE620" s="1690"/>
      <c r="DF620" s="1690"/>
      <c r="DG620" s="1690"/>
      <c r="DH620" s="1690">
        <f t="shared" si="14"/>
        <v>0</v>
      </c>
      <c r="DI620" s="1690"/>
      <c r="DJ620" s="1690"/>
      <c r="DK620" s="1690"/>
      <c r="DL620" s="1690"/>
      <c r="DM620" s="1690">
        <f t="shared" si="15"/>
        <v>0</v>
      </c>
      <c r="DN620" s="1690"/>
      <c r="DO620" s="1690"/>
      <c r="DP620" s="1690"/>
      <c r="DQ620" s="1690"/>
      <c r="DR620" s="1690">
        <f t="shared" si="16"/>
        <v>0</v>
      </c>
      <c r="DS620" s="1690"/>
      <c r="DT620" s="1690"/>
      <c r="DU620" s="1690"/>
      <c r="DV620" s="1690"/>
      <c r="DX620" s="1391" t="str">
        <f t="shared" si="17"/>
        <v xml:space="preserve"> </v>
      </c>
      <c r="DY620" s="1821"/>
      <c r="DZ620" s="1821"/>
      <c r="EA620" s="1821"/>
      <c r="EB620" s="1392"/>
      <c r="EC620" s="1391" t="str">
        <f t="shared" si="18"/>
        <v xml:space="preserve"> </v>
      </c>
      <c r="ED620" s="1821"/>
      <c r="EE620" s="1821"/>
      <c r="EF620" s="1821"/>
      <c r="EG620" s="1392"/>
      <c r="EH620" s="1391" t="str">
        <f t="shared" si="19"/>
        <v xml:space="preserve"> </v>
      </c>
      <c r="EI620" s="1821"/>
      <c r="EJ620" s="1821"/>
      <c r="EK620" s="1821"/>
      <c r="EL620" s="1392"/>
      <c r="EM620" s="1391" t="str">
        <f t="shared" si="20"/>
        <v xml:space="preserve"> </v>
      </c>
      <c r="EN620" s="1821"/>
      <c r="EO620" s="1821"/>
      <c r="EP620" s="1821"/>
      <c r="EQ620" s="1392"/>
      <c r="ER620" s="1391" t="str">
        <f t="shared" si="21"/>
        <v xml:space="preserve"> </v>
      </c>
      <c r="ES620" s="1821"/>
      <c r="ET620" s="1821"/>
      <c r="EU620" s="1821"/>
      <c r="EV620" s="1392"/>
      <c r="EW620" s="1391" t="str">
        <f t="shared" si="22"/>
        <v xml:space="preserve"> </v>
      </c>
      <c r="EX620" s="1821"/>
      <c r="EY620" s="1821"/>
      <c r="EZ620" s="1821"/>
      <c r="FA620" s="1392"/>
    </row>
    <row r="621" spans="1:157" ht="13.05" customHeight="1">
      <c r="B621" s="1828"/>
      <c r="C621" s="1828"/>
      <c r="D621" s="1828"/>
      <c r="E621" s="1828"/>
      <c r="F621" s="1828"/>
      <c r="G621" s="1828"/>
      <c r="H621" s="1828"/>
      <c r="I621" s="1828"/>
      <c r="J621" s="1828"/>
      <c r="K621" s="1828"/>
      <c r="L621" s="1828"/>
      <c r="M621" s="1487"/>
      <c r="N621" s="1487"/>
      <c r="O621" s="1487"/>
      <c r="P621" s="1487"/>
      <c r="Q621" s="1487"/>
      <c r="R621" s="1487"/>
      <c r="S621" s="1487"/>
      <c r="T621" s="1487"/>
      <c r="U621" s="1487"/>
      <c r="V621" s="1487"/>
      <c r="W621" s="1827"/>
      <c r="X621" s="1827"/>
      <c r="Y621" s="1827"/>
      <c r="Z621" s="1384"/>
      <c r="AA621" s="1384"/>
      <c r="AB621" s="1385"/>
      <c r="AC621" s="1717"/>
      <c r="AD621" s="1718"/>
      <c r="AE621" s="1719"/>
      <c r="AF621" s="1383"/>
      <c r="AG621" s="1384"/>
      <c r="AH621" s="1384"/>
      <c r="AI621" s="1384"/>
      <c r="AJ621" s="1385"/>
      <c r="AK621" s="1707"/>
      <c r="AL621" s="1708"/>
      <c r="AM621" s="1708"/>
      <c r="AN621" s="1709"/>
      <c r="AO621" s="1487"/>
      <c r="AP621" s="1487"/>
      <c r="AQ621" s="1487"/>
      <c r="AR621" s="1487"/>
      <c r="AS621" s="1487"/>
      <c r="AZ621" s="3"/>
      <c r="BA621" s="3"/>
      <c r="BB621" s="3"/>
      <c r="BC621" s="3"/>
      <c r="BD621" s="3"/>
      <c r="BE621" s="3"/>
      <c r="BF621" s="3"/>
      <c r="BG621" s="1391">
        <f>SUM(BG596:BH620)</f>
        <v>8</v>
      </c>
      <c r="BH621" s="1392"/>
      <c r="BI621" s="3"/>
      <c r="BJ621" s="3"/>
      <c r="BK621" s="1391">
        <f>SUM(BK596:BL620)</f>
        <v>30</v>
      </c>
      <c r="BL621" s="1392"/>
      <c r="BM621" s="3"/>
      <c r="BN621" s="1391">
        <f>SUM(BN596:BR620)</f>
        <v>59</v>
      </c>
      <c r="BO621" s="1821"/>
      <c r="BP621" s="1821"/>
      <c r="BQ621" s="1821"/>
      <c r="BR621" s="1392"/>
      <c r="BS621" s="1662">
        <f>SUM(BS596:BW620)</f>
        <v>145</v>
      </c>
      <c r="BT621" s="1662"/>
      <c r="BU621" s="1662"/>
      <c r="BV621" s="1662"/>
      <c r="BW621" s="1662"/>
      <c r="BX621" s="1662">
        <f>SUM(BX596:CB620)</f>
        <v>0</v>
      </c>
      <c r="BY621" s="1662"/>
      <c r="BZ621" s="1662"/>
      <c r="CA621" s="1662"/>
      <c r="CB621" s="1662"/>
      <c r="CC621" s="1662">
        <f>SUM(CC596:CG620)</f>
        <v>0</v>
      </c>
      <c r="CD621" s="1662"/>
      <c r="CE621" s="1662"/>
      <c r="CF621" s="1662"/>
      <c r="CG621" s="1662"/>
      <c r="CH621" s="1662">
        <f>SUM(CH596:CL620)</f>
        <v>0</v>
      </c>
      <c r="CI621" s="1662"/>
      <c r="CJ621" s="1662"/>
      <c r="CK621" s="1662"/>
      <c r="CL621" s="1662"/>
      <c r="CM621" s="1662">
        <f>SUM(CM596:CQ620)</f>
        <v>0</v>
      </c>
      <c r="CN621" s="1662"/>
      <c r="CO621" s="1662"/>
      <c r="CP621" s="1662"/>
      <c r="CQ621" s="1662"/>
      <c r="CR621" s="386"/>
      <c r="CS621" s="1662">
        <f>SUM(CS596:CW620)</f>
        <v>12</v>
      </c>
      <c r="CT621" s="1662"/>
      <c r="CU621" s="1662"/>
      <c r="CV621" s="1662"/>
      <c r="CW621" s="1662"/>
      <c r="CX621" s="1662">
        <f>SUM(CX596:DB620)</f>
        <v>18</v>
      </c>
      <c r="CY621" s="1662"/>
      <c r="CZ621" s="1662"/>
      <c r="DA621" s="1662"/>
      <c r="DB621" s="1662"/>
      <c r="DC621" s="1662">
        <f>SUM(DC596:DG620)</f>
        <v>0</v>
      </c>
      <c r="DD621" s="1662"/>
      <c r="DE621" s="1662"/>
      <c r="DF621" s="1662"/>
      <c r="DG621" s="1662"/>
      <c r="DH621" s="1662">
        <f>SUM(DH596:DL620)</f>
        <v>0</v>
      </c>
      <c r="DI621" s="1662"/>
      <c r="DJ621" s="1662"/>
      <c r="DK621" s="1662"/>
      <c r="DL621" s="1662"/>
      <c r="DM621" s="1662">
        <f>SUM(DM596:DQ620)</f>
        <v>0</v>
      </c>
      <c r="DN621" s="1662"/>
      <c r="DO621" s="1662"/>
      <c r="DP621" s="1662"/>
      <c r="DQ621" s="1662"/>
      <c r="DR621" s="1662">
        <f>SUM(DR596:DV620)</f>
        <v>0</v>
      </c>
      <c r="DS621" s="1662"/>
      <c r="DT621" s="1662"/>
      <c r="DU621" s="1662"/>
      <c r="DV621" s="1662"/>
      <c r="DX621" s="1662">
        <f>SUM(DX596:EB620)</f>
        <v>1681</v>
      </c>
      <c r="DY621" s="1662"/>
      <c r="DZ621" s="1662"/>
      <c r="EA621" s="1662"/>
      <c r="EB621" s="1662"/>
      <c r="EC621" s="1662">
        <f>SUM(EC596:EG620)</f>
        <v>2064</v>
      </c>
      <c r="ED621" s="1662"/>
      <c r="EE621" s="1662"/>
      <c r="EF621" s="1662"/>
      <c r="EG621" s="1662"/>
      <c r="EH621" s="1662">
        <f>SUM(EH596:EL620)</f>
        <v>0</v>
      </c>
      <c r="EI621" s="1662"/>
      <c r="EJ621" s="1662"/>
      <c r="EK621" s="1662"/>
      <c r="EL621" s="1662"/>
      <c r="EM621" s="1662">
        <f>SUM(EM596:EQ620)</f>
        <v>0</v>
      </c>
      <c r="EN621" s="1662"/>
      <c r="EO621" s="1662"/>
      <c r="EP621" s="1662"/>
      <c r="EQ621" s="1662"/>
      <c r="ER621" s="1662">
        <f>SUM(ER596:EV620)</f>
        <v>0</v>
      </c>
      <c r="ES621" s="1662"/>
      <c r="ET621" s="1662"/>
      <c r="EU621" s="1662"/>
      <c r="EV621" s="1662"/>
      <c r="EW621" s="1662">
        <f>SUM(EW596:FA620)</f>
        <v>0</v>
      </c>
      <c r="EX621" s="1662"/>
      <c r="EY621" s="1662"/>
      <c r="EZ621" s="1662"/>
      <c r="FA621" s="1662"/>
    </row>
    <row r="622" spans="1:157" ht="13.05" customHeight="1">
      <c r="B622" s="1828"/>
      <c r="C622" s="1828"/>
      <c r="D622" s="1828"/>
      <c r="E622" s="1828"/>
      <c r="F622" s="1828"/>
      <c r="G622" s="1828"/>
      <c r="H622" s="1828"/>
      <c r="I622" s="1828"/>
      <c r="J622" s="1828"/>
      <c r="K622" s="1828"/>
      <c r="L622" s="1828"/>
      <c r="M622" s="1487"/>
      <c r="N622" s="1487"/>
      <c r="O622" s="1487"/>
      <c r="P622" s="1487"/>
      <c r="Q622" s="1487"/>
      <c r="R622" s="1487"/>
      <c r="S622" s="1487"/>
      <c r="T622" s="1487"/>
      <c r="U622" s="1487"/>
      <c r="V622" s="1487"/>
      <c r="W622" s="1827"/>
      <c r="X622" s="1827"/>
      <c r="Y622" s="1827"/>
      <c r="Z622" s="1387"/>
      <c r="AA622" s="1387"/>
      <c r="AB622" s="1388"/>
      <c r="AC622" s="1720"/>
      <c r="AD622" s="1721"/>
      <c r="AE622" s="1722"/>
      <c r="AF622" s="1386"/>
      <c r="AG622" s="1387"/>
      <c r="AH622" s="1387"/>
      <c r="AI622" s="1387"/>
      <c r="AJ622" s="1388"/>
      <c r="AK622" s="1710"/>
      <c r="AL622" s="1711"/>
      <c r="AM622" s="1711"/>
      <c r="AN622" s="1712"/>
      <c r="AO622" s="1487"/>
      <c r="AP622" s="1487"/>
      <c r="AQ622" s="1487"/>
      <c r="AR622" s="1487"/>
      <c r="AS622" s="148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391">
        <f>BN621+BS621+BX621+CC621+CH621+CM621</f>
        <v>204</v>
      </c>
      <c r="CN622" s="1821"/>
      <c r="CO622" s="1821"/>
      <c r="CP622" s="1821"/>
      <c r="CQ622" s="1392"/>
      <c r="CR622" s="386"/>
      <c r="CS622" s="3"/>
      <c r="CT622" s="3"/>
      <c r="CU622" s="3"/>
      <c r="CV622" s="3"/>
      <c r="CW622" s="3"/>
      <c r="CX622" s="3"/>
      <c r="CY622" s="3"/>
      <c r="CZ622" s="3"/>
      <c r="DA622" s="3"/>
      <c r="DB622" s="3"/>
      <c r="DC622" s="3"/>
      <c r="DD622" s="3"/>
      <c r="DE622" s="3"/>
      <c r="DF622" s="3"/>
    </row>
    <row r="623" spans="1:157" ht="12.45" customHeight="1">
      <c r="B623" s="51" t="s">
        <v>113</v>
      </c>
      <c r="C623" s="1681" t="s">
        <v>2687</v>
      </c>
      <c r="D623" s="1681"/>
      <c r="E623" s="1681"/>
      <c r="F623" s="1681"/>
      <c r="G623" s="1681"/>
      <c r="H623" s="1681"/>
      <c r="I623" s="1681"/>
      <c r="J623" s="1681"/>
      <c r="K623" s="1681"/>
      <c r="L623" s="1681"/>
      <c r="M623" s="1826" t="s">
        <v>2542</v>
      </c>
      <c r="N623" s="1826"/>
      <c r="O623" s="1826"/>
      <c r="P623" s="1826"/>
      <c r="Q623" s="1524">
        <f>18*12</f>
        <v>216</v>
      </c>
      <c r="R623" s="1524"/>
      <c r="S623" s="1725"/>
      <c r="T623" s="1724">
        <f>35*12</f>
        <v>420</v>
      </c>
      <c r="U623" s="1524"/>
      <c r="V623" s="1725"/>
      <c r="W623" s="1569">
        <v>6.336E-2</v>
      </c>
      <c r="X623" s="1570"/>
      <c r="Y623" s="1571"/>
      <c r="Z623" s="1683" t="s">
        <v>2554</v>
      </c>
      <c r="AA623" s="1684"/>
      <c r="AB623" s="1685"/>
      <c r="AC623" s="1400">
        <v>1</v>
      </c>
      <c r="AD623" s="1401"/>
      <c r="AE623" s="1402"/>
      <c r="AF623" s="1554">
        <v>823509</v>
      </c>
      <c r="AG623" s="1555"/>
      <c r="AH623" s="1555"/>
      <c r="AI623" s="1555"/>
      <c r="AJ623" s="1556"/>
      <c r="AK623" s="1572"/>
      <c r="AL623" s="1573"/>
      <c r="AM623" s="1573"/>
      <c r="AN623" s="1574"/>
      <c r="AO623" s="1595">
        <v>11574000</v>
      </c>
      <c r="AP623" s="1595"/>
      <c r="AQ623" s="1595"/>
      <c r="AR623" s="1595"/>
      <c r="AS623" s="1595"/>
      <c r="AT623" s="3"/>
      <c r="AU623" s="3"/>
      <c r="AV623" s="3"/>
      <c r="AW623" s="3"/>
      <c r="AX623" s="3"/>
      <c r="AY623" s="3"/>
      <c r="AZ623" s="3"/>
      <c r="BA623" s="3" t="s">
        <v>1327</v>
      </c>
      <c r="BB623" s="3"/>
      <c r="BC623" s="3"/>
      <c r="BD623" s="3"/>
      <c r="BE623" s="3"/>
      <c r="BF623" s="3"/>
      <c r="BG623" s="3"/>
      <c r="BH623" s="3"/>
      <c r="BI623" s="3"/>
      <c r="BJ623" s="3"/>
      <c r="BK623" s="3"/>
      <c r="BL623" s="3"/>
      <c r="BM623" s="3"/>
      <c r="BR623" s="897">
        <f>BN621*1</f>
        <v>59</v>
      </c>
      <c r="BS623" s="3"/>
      <c r="BT623" s="3"/>
      <c r="BU623" s="3"/>
      <c r="BV623" s="3"/>
      <c r="BW623" s="897">
        <f>BS621*1</f>
        <v>145</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204</v>
      </c>
      <c r="CT623" s="57" t="s">
        <v>2126</v>
      </c>
      <c r="CU623" s="3"/>
      <c r="CV623" s="3"/>
      <c r="CW623" s="3"/>
      <c r="CX623" s="3"/>
      <c r="CY623" s="3"/>
      <c r="CZ623" s="3"/>
      <c r="DA623" s="3"/>
      <c r="DB623" s="3"/>
      <c r="DC623" s="3"/>
      <c r="DD623" s="3"/>
      <c r="DE623" s="3"/>
      <c r="DF623" s="3"/>
    </row>
    <row r="624" spans="1:157" ht="13.05" customHeight="1">
      <c r="B624" s="52" t="s">
        <v>114</v>
      </c>
      <c r="C624" s="1681" t="s">
        <v>2690</v>
      </c>
      <c r="D624" s="1681"/>
      <c r="E624" s="1681"/>
      <c r="F624" s="1681"/>
      <c r="G624" s="1681"/>
      <c r="H624" s="1681"/>
      <c r="I624" s="1681"/>
      <c r="J624" s="1681"/>
      <c r="K624" s="1681"/>
      <c r="L624" s="1681"/>
      <c r="M624" s="1826" t="s">
        <v>2539</v>
      </c>
      <c r="N624" s="1826"/>
      <c r="O624" s="1826"/>
      <c r="P624" s="1826"/>
      <c r="Q624" s="1724">
        <f>T624</f>
        <v>660</v>
      </c>
      <c r="R624" s="1524"/>
      <c r="S624" s="1725"/>
      <c r="T624" s="1724">
        <f>55*12</f>
        <v>660</v>
      </c>
      <c r="U624" s="1524"/>
      <c r="V624" s="1725"/>
      <c r="W624" s="1569">
        <v>4.19E-2</v>
      </c>
      <c r="X624" s="1570"/>
      <c r="Y624" s="1571"/>
      <c r="Z624" s="1683" t="s">
        <v>466</v>
      </c>
      <c r="AA624" s="1684"/>
      <c r="AB624" s="1685"/>
      <c r="AC624" s="1400"/>
      <c r="AD624" s="1401"/>
      <c r="AE624" s="1402"/>
      <c r="AF624" s="1554"/>
      <c r="AG624" s="1555"/>
      <c r="AH624" s="1555"/>
      <c r="AI624" s="1555"/>
      <c r="AJ624" s="1556"/>
      <c r="AK624" s="1572"/>
      <c r="AL624" s="1573"/>
      <c r="AM624" s="1573"/>
      <c r="AN624" s="1574"/>
      <c r="AO624" s="1575">
        <f>AM552</f>
        <v>23000465</v>
      </c>
      <c r="AP624" s="1576"/>
      <c r="AQ624" s="1576"/>
      <c r="AR624" s="1576"/>
      <c r="AS624" s="1577"/>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25">
        <f t="shared" ref="DX624:DX648" si="23">DX596*(BN596/$BN$621)</f>
        <v>92.13559322033899</v>
      </c>
      <c r="DY624" s="1825"/>
      <c r="DZ624" s="1825"/>
      <c r="EA624" s="1825"/>
      <c r="EB624" s="1825"/>
      <c r="EC624" s="1825" t="e">
        <f t="shared" ref="EC624:EC648" si="24">EC596*(BS596/$BS$621)</f>
        <v>#VALUE!</v>
      </c>
      <c r="ED624" s="1825"/>
      <c r="EE624" s="1825"/>
      <c r="EF624" s="1825"/>
      <c r="EG624" s="1825"/>
      <c r="EH624" s="1825" t="e">
        <f t="shared" ref="EH624:EH648" si="25">EH596*(BX596/$BX$621)</f>
        <v>#VALUE!</v>
      </c>
      <c r="EI624" s="1825"/>
      <c r="EJ624" s="1825"/>
      <c r="EK624" s="1825"/>
      <c r="EL624" s="1825"/>
      <c r="EM624" s="1825" t="e">
        <f t="shared" ref="EM624:EM648" si="26">EM596*(CC596/$CC$621)</f>
        <v>#VALUE!</v>
      </c>
      <c r="EN624" s="1825"/>
      <c r="EO624" s="1825"/>
      <c r="EP624" s="1825"/>
      <c r="EQ624" s="1825"/>
      <c r="ER624" s="1825" t="e">
        <f t="shared" ref="ER624:ER648" si="27">ER596*(CH596/$CH$621)</f>
        <v>#VALUE!</v>
      </c>
      <c r="ES624" s="1825"/>
      <c r="ET624" s="1825"/>
      <c r="EU624" s="1825"/>
      <c r="EV624" s="1825"/>
      <c r="EW624" s="1825" t="e">
        <f t="shared" ref="EW624:EW648" si="28">EW596*(CM596/$CM$621)</f>
        <v>#VALUE!</v>
      </c>
      <c r="EX624" s="1825"/>
      <c r="EY624" s="1825"/>
      <c r="EZ624" s="1825"/>
      <c r="FA624" s="1825"/>
    </row>
    <row r="625" spans="1:157" ht="13.05" customHeight="1">
      <c r="B625" s="52" t="s">
        <v>120</v>
      </c>
      <c r="C625" s="1681" t="s">
        <v>2694</v>
      </c>
      <c r="D625" s="1681"/>
      <c r="E625" s="1681"/>
      <c r="F625" s="1681"/>
      <c r="G625" s="1681"/>
      <c r="H625" s="1681"/>
      <c r="I625" s="1681"/>
      <c r="J625" s="1681"/>
      <c r="K625" s="1681"/>
      <c r="L625" s="1681"/>
      <c r="M625" s="1826" t="s">
        <v>2536</v>
      </c>
      <c r="N625" s="1826"/>
      <c r="O625" s="1826"/>
      <c r="P625" s="1826"/>
      <c r="Q625" s="1724"/>
      <c r="R625" s="1524"/>
      <c r="S625" s="1725"/>
      <c r="T625" s="1724"/>
      <c r="U625" s="1524"/>
      <c r="V625" s="1725"/>
      <c r="W625" s="1569"/>
      <c r="X625" s="1570"/>
      <c r="Y625" s="1571"/>
      <c r="Z625" s="1683" t="s">
        <v>467</v>
      </c>
      <c r="AA625" s="1684"/>
      <c r="AB625" s="1685"/>
      <c r="AC625" s="1400"/>
      <c r="AD625" s="1401"/>
      <c r="AE625" s="1402"/>
      <c r="AF625" s="1554"/>
      <c r="AG625" s="1555"/>
      <c r="AH625" s="1555"/>
      <c r="AI625" s="1555"/>
      <c r="AJ625" s="1556"/>
      <c r="AK625" s="1572"/>
      <c r="AL625" s="1573"/>
      <c r="AM625" s="1573"/>
      <c r="AN625" s="1574"/>
      <c r="AO625" s="1575">
        <f>AM553</f>
        <v>1919839</v>
      </c>
      <c r="AP625" s="1576"/>
      <c r="AQ625" s="1576"/>
      <c r="AR625" s="1576"/>
      <c r="AS625" s="1577"/>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25" t="e">
        <f t="shared" si="23"/>
        <v>#VALUE!</v>
      </c>
      <c r="DY625" s="1825"/>
      <c r="DZ625" s="1825"/>
      <c r="EA625" s="1825"/>
      <c r="EB625" s="1825"/>
      <c r="EC625" s="1825">
        <f t="shared" si="24"/>
        <v>52.137931034482754</v>
      </c>
      <c r="ED625" s="1825"/>
      <c r="EE625" s="1825"/>
      <c r="EF625" s="1825"/>
      <c r="EG625" s="1825"/>
      <c r="EH625" s="1825" t="e">
        <f t="shared" si="25"/>
        <v>#VALUE!</v>
      </c>
      <c r="EI625" s="1825"/>
      <c r="EJ625" s="1825"/>
      <c r="EK625" s="1825"/>
      <c r="EL625" s="1825"/>
      <c r="EM625" s="1825" t="e">
        <f t="shared" si="26"/>
        <v>#VALUE!</v>
      </c>
      <c r="EN625" s="1825"/>
      <c r="EO625" s="1825"/>
      <c r="EP625" s="1825"/>
      <c r="EQ625" s="1825"/>
      <c r="ER625" s="1825" t="e">
        <f t="shared" si="27"/>
        <v>#VALUE!</v>
      </c>
      <c r="ES625" s="1825"/>
      <c r="ET625" s="1825"/>
      <c r="EU625" s="1825"/>
      <c r="EV625" s="1825"/>
      <c r="EW625" s="1825" t="e">
        <f t="shared" si="28"/>
        <v>#VALUE!</v>
      </c>
      <c r="EX625" s="1825"/>
      <c r="EY625" s="1825"/>
      <c r="EZ625" s="1825"/>
      <c r="FA625" s="1825"/>
    </row>
    <row r="626" spans="1:157" ht="13.05" customHeight="1">
      <c r="B626" s="52" t="s">
        <v>590</v>
      </c>
      <c r="C626" s="1681" t="str">
        <f>C554</f>
        <v>GP Capital - Acq reserves</v>
      </c>
      <c r="D626" s="1682"/>
      <c r="E626" s="1682"/>
      <c r="F626" s="1682"/>
      <c r="G626" s="1682"/>
      <c r="H626" s="1682"/>
      <c r="I626" s="1682"/>
      <c r="J626" s="1682"/>
      <c r="K626" s="1682"/>
      <c r="L626" s="1682"/>
      <c r="M626" s="1826" t="s">
        <v>2546</v>
      </c>
      <c r="N626" s="1826"/>
      <c r="O626" s="1826"/>
      <c r="P626" s="1826"/>
      <c r="Q626" s="1724"/>
      <c r="R626" s="1524"/>
      <c r="S626" s="1725"/>
      <c r="T626" s="1724"/>
      <c r="U626" s="1524"/>
      <c r="V626" s="1725"/>
      <c r="W626" s="1569"/>
      <c r="X626" s="1570"/>
      <c r="Y626" s="1571"/>
      <c r="Z626" s="1683" t="s">
        <v>301</v>
      </c>
      <c r="AA626" s="1684"/>
      <c r="AB626" s="1685"/>
      <c r="AC626" s="1400"/>
      <c r="AD626" s="1401"/>
      <c r="AE626" s="1402"/>
      <c r="AF626" s="1554"/>
      <c r="AG626" s="1555"/>
      <c r="AH626" s="1555"/>
      <c r="AI626" s="1555"/>
      <c r="AJ626" s="1556"/>
      <c r="AK626" s="1572"/>
      <c r="AL626" s="1573"/>
      <c r="AM626" s="1573"/>
      <c r="AN626" s="1574"/>
      <c r="AO626" s="1575">
        <f>AM554</f>
        <v>322105</v>
      </c>
      <c r="AP626" s="1576"/>
      <c r="AQ626" s="1576"/>
      <c r="AR626" s="1576"/>
      <c r="AS626" s="1577"/>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480">
        <f>IF(J758="SRO/Studio",O758,0)</f>
        <v>0</v>
      </c>
      <c r="BO626" s="1481"/>
      <c r="BP626" s="1481"/>
      <c r="BQ626" s="1481"/>
      <c r="BR626" s="1482"/>
      <c r="BS626" s="1366">
        <f>IF(J758="1 Bedroom",O758,0)</f>
        <v>1</v>
      </c>
      <c r="BT626" s="1366"/>
      <c r="BU626" s="1366"/>
      <c r="BV626" s="1366"/>
      <c r="BW626" s="1366"/>
      <c r="BX626" s="1366">
        <f>IF(J758="2 Bedrooms",O758,0)</f>
        <v>0</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6"/>
      <c r="CS626" s="3"/>
      <c r="CT626" s="3"/>
      <c r="CU626" s="3"/>
      <c r="CV626" s="3"/>
      <c r="CW626" s="3"/>
      <c r="CX626" s="3"/>
      <c r="CY626" s="3"/>
      <c r="CZ626" s="3"/>
      <c r="DA626" s="3"/>
      <c r="DB626" s="3"/>
      <c r="DC626" s="3"/>
      <c r="DD626" s="3"/>
      <c r="DE626" s="3"/>
      <c r="DF626" s="3"/>
      <c r="DX626" s="1825" t="e">
        <f t="shared" si="23"/>
        <v>#VALUE!</v>
      </c>
      <c r="DY626" s="1825"/>
      <c r="DZ626" s="1825"/>
      <c r="EA626" s="1825"/>
      <c r="EB626" s="1825"/>
      <c r="EC626" s="1825">
        <f t="shared" si="24"/>
        <v>30.896551724137929</v>
      </c>
      <c r="ED626" s="1825"/>
      <c r="EE626" s="1825"/>
      <c r="EF626" s="1825"/>
      <c r="EG626" s="1825"/>
      <c r="EH626" s="1825" t="e">
        <f t="shared" si="25"/>
        <v>#VALUE!</v>
      </c>
      <c r="EI626" s="1825"/>
      <c r="EJ626" s="1825"/>
      <c r="EK626" s="1825"/>
      <c r="EL626" s="1825"/>
      <c r="EM626" s="1825" t="e">
        <f t="shared" si="26"/>
        <v>#VALUE!</v>
      </c>
      <c r="EN626" s="1825"/>
      <c r="EO626" s="1825"/>
      <c r="EP626" s="1825"/>
      <c r="EQ626" s="1825"/>
      <c r="ER626" s="1825" t="e">
        <f t="shared" si="27"/>
        <v>#VALUE!</v>
      </c>
      <c r="ES626" s="1825"/>
      <c r="ET626" s="1825"/>
      <c r="EU626" s="1825"/>
      <c r="EV626" s="1825"/>
      <c r="EW626" s="1825" t="e">
        <f t="shared" si="28"/>
        <v>#VALUE!</v>
      </c>
      <c r="EX626" s="1825"/>
      <c r="EY626" s="1825"/>
      <c r="EZ626" s="1825"/>
      <c r="FA626" s="1825"/>
    </row>
    <row r="627" spans="1:157" ht="13.05" customHeight="1">
      <c r="B627" s="52" t="s">
        <v>787</v>
      </c>
      <c r="C627" s="1681" t="s">
        <v>2696</v>
      </c>
      <c r="D627" s="1682"/>
      <c r="E627" s="1682"/>
      <c r="F627" s="1682"/>
      <c r="G627" s="1682"/>
      <c r="H627" s="1682"/>
      <c r="I627" s="1682"/>
      <c r="J627" s="1682"/>
      <c r="K627" s="1682"/>
      <c r="L627" s="1682"/>
      <c r="M627" s="1826" t="s">
        <v>2544</v>
      </c>
      <c r="N627" s="1826"/>
      <c r="O627" s="1826"/>
      <c r="P627" s="1826"/>
      <c r="Q627" s="1724"/>
      <c r="R627" s="1524"/>
      <c r="S627" s="1725"/>
      <c r="T627" s="1724"/>
      <c r="U627" s="1524"/>
      <c r="V627" s="1725"/>
      <c r="W627" s="1569"/>
      <c r="X627" s="1570"/>
      <c r="Y627" s="1571"/>
      <c r="Z627" s="1683" t="s">
        <v>301</v>
      </c>
      <c r="AA627" s="1684"/>
      <c r="AB627" s="1685"/>
      <c r="AC627" s="1400"/>
      <c r="AD627" s="1401"/>
      <c r="AE627" s="1402"/>
      <c r="AF627" s="1554"/>
      <c r="AG627" s="1555"/>
      <c r="AH627" s="1555"/>
      <c r="AI627" s="1555"/>
      <c r="AJ627" s="1556"/>
      <c r="AK627" s="1572"/>
      <c r="AL627" s="1573"/>
      <c r="AM627" s="1573"/>
      <c r="AN627" s="1574"/>
      <c r="AO627" s="1575">
        <v>1295493</v>
      </c>
      <c r="AP627" s="1576"/>
      <c r="AQ627" s="1576"/>
      <c r="AR627" s="1576"/>
      <c r="AS627" s="1577"/>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80">
        <f>IF(J759="SRO/Studio",O759,0)</f>
        <v>0</v>
      </c>
      <c r="BO627" s="1481"/>
      <c r="BP627" s="1481"/>
      <c r="BQ627" s="1481"/>
      <c r="BR627" s="1482"/>
      <c r="BS627" s="1366">
        <f>IF(J759="1 Bedroom",O759,0)</f>
        <v>0</v>
      </c>
      <c r="BT627" s="1366"/>
      <c r="BU627" s="1366"/>
      <c r="BV627" s="1366"/>
      <c r="BW627" s="1366"/>
      <c r="BX627" s="1366">
        <f>IF(J759="2 Bedrooms",O759,0)</f>
        <v>1</v>
      </c>
      <c r="BY627" s="1366"/>
      <c r="BZ627" s="1366"/>
      <c r="CA627" s="1366"/>
      <c r="CB627" s="1366"/>
      <c r="CC627" s="1366">
        <f>IF(J759="3 Bedrooms",O759,0)</f>
        <v>0</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6"/>
      <c r="CS627" s="3"/>
      <c r="CT627" s="3"/>
      <c r="CU627" s="3"/>
      <c r="CV627" s="3"/>
      <c r="CW627" s="3"/>
      <c r="CX627" s="3"/>
      <c r="CY627" s="3"/>
      <c r="CZ627" s="3"/>
      <c r="DA627" s="3"/>
      <c r="DB627" s="3"/>
      <c r="DC627" s="3"/>
      <c r="DD627" s="3"/>
      <c r="DE627" s="3"/>
      <c r="DF627" s="3"/>
      <c r="DX627" s="1825">
        <f t="shared" si="23"/>
        <v>978.23728813559319</v>
      </c>
      <c r="DY627" s="1825"/>
      <c r="DZ627" s="1825"/>
      <c r="EA627" s="1825"/>
      <c r="EB627" s="1825"/>
      <c r="EC627" s="1825" t="e">
        <f t="shared" si="24"/>
        <v>#VALUE!</v>
      </c>
      <c r="ED627" s="1825"/>
      <c r="EE627" s="1825"/>
      <c r="EF627" s="1825"/>
      <c r="EG627" s="1825"/>
      <c r="EH627" s="1825" t="e">
        <f t="shared" si="25"/>
        <v>#VALUE!</v>
      </c>
      <c r="EI627" s="1825"/>
      <c r="EJ627" s="1825"/>
      <c r="EK627" s="1825"/>
      <c r="EL627" s="1825"/>
      <c r="EM627" s="1825" t="e">
        <f t="shared" si="26"/>
        <v>#VALUE!</v>
      </c>
      <c r="EN627" s="1825"/>
      <c r="EO627" s="1825"/>
      <c r="EP627" s="1825"/>
      <c r="EQ627" s="1825"/>
      <c r="ER627" s="1825" t="e">
        <f t="shared" si="27"/>
        <v>#VALUE!</v>
      </c>
      <c r="ES627" s="1825"/>
      <c r="ET627" s="1825"/>
      <c r="EU627" s="1825"/>
      <c r="EV627" s="1825"/>
      <c r="EW627" s="1825" t="e">
        <f t="shared" si="28"/>
        <v>#VALUE!</v>
      </c>
      <c r="EX627" s="1825"/>
      <c r="EY627" s="1825"/>
      <c r="EZ627" s="1825"/>
      <c r="FA627" s="1825"/>
    </row>
    <row r="628" spans="1:157" ht="13.05" customHeight="1">
      <c r="B628" s="52" t="s">
        <v>593</v>
      </c>
      <c r="C628" s="1681" t="s">
        <v>1922</v>
      </c>
      <c r="D628" s="1682"/>
      <c r="E628" s="1682"/>
      <c r="F628" s="1682"/>
      <c r="G628" s="1682"/>
      <c r="H628" s="1682"/>
      <c r="I628" s="1682"/>
      <c r="J628" s="1682"/>
      <c r="K628" s="1682"/>
      <c r="L628" s="1682"/>
      <c r="M628" s="1826" t="s">
        <v>2529</v>
      </c>
      <c r="N628" s="1826"/>
      <c r="O628" s="1826"/>
      <c r="P628" s="1826"/>
      <c r="Q628" s="1724"/>
      <c r="R628" s="1524"/>
      <c r="S628" s="1725"/>
      <c r="T628" s="1724"/>
      <c r="U628" s="1524"/>
      <c r="V628" s="1725"/>
      <c r="W628" s="1569"/>
      <c r="X628" s="1570"/>
      <c r="Y628" s="1571"/>
      <c r="Z628" s="1683" t="s">
        <v>466</v>
      </c>
      <c r="AA628" s="1684"/>
      <c r="AB628" s="1685"/>
      <c r="AC628" s="1400"/>
      <c r="AD628" s="1401"/>
      <c r="AE628" s="1402"/>
      <c r="AF628" s="1554"/>
      <c r="AG628" s="1555"/>
      <c r="AH628" s="1555"/>
      <c r="AI628" s="1555"/>
      <c r="AJ628" s="1556"/>
      <c r="AK628" s="1572"/>
      <c r="AL628" s="1573"/>
      <c r="AM628" s="1573"/>
      <c r="AN628" s="1574"/>
      <c r="AO628" s="1575">
        <f>AM556</f>
        <v>4197298</v>
      </c>
      <c r="AP628" s="1576"/>
      <c r="AQ628" s="1576"/>
      <c r="AR628" s="1576"/>
      <c r="AS628" s="157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80">
        <f>IF(J760="SRO/Studio",O760,0)</f>
        <v>0</v>
      </c>
      <c r="BO628" s="1481"/>
      <c r="BP628" s="1481"/>
      <c r="BQ628" s="1481"/>
      <c r="BR628" s="148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1049"/>
      <c r="CV628" s="3"/>
      <c r="CW628" s="3"/>
      <c r="CX628" s="3"/>
      <c r="CY628" s="3"/>
      <c r="CZ628" s="3"/>
      <c r="DA628" s="3"/>
      <c r="DB628" s="3"/>
      <c r="DC628" s="3"/>
      <c r="DD628" s="3"/>
      <c r="DE628" s="3"/>
      <c r="DF628" s="3"/>
      <c r="DX628" s="1825" t="e">
        <f t="shared" si="23"/>
        <v>#VALUE!</v>
      </c>
      <c r="DY628" s="1825"/>
      <c r="DZ628" s="1825"/>
      <c r="EA628" s="1825"/>
      <c r="EB628" s="1825"/>
      <c r="EC628" s="1825">
        <f t="shared" si="24"/>
        <v>889.62758620689658</v>
      </c>
      <c r="ED628" s="1825"/>
      <c r="EE628" s="1825"/>
      <c r="EF628" s="1825"/>
      <c r="EG628" s="1825"/>
      <c r="EH628" s="1825" t="e">
        <f t="shared" si="25"/>
        <v>#VALUE!</v>
      </c>
      <c r="EI628" s="1825"/>
      <c r="EJ628" s="1825"/>
      <c r="EK628" s="1825"/>
      <c r="EL628" s="1825"/>
      <c r="EM628" s="1825" t="e">
        <f t="shared" si="26"/>
        <v>#VALUE!</v>
      </c>
      <c r="EN628" s="1825"/>
      <c r="EO628" s="1825"/>
      <c r="EP628" s="1825"/>
      <c r="EQ628" s="1825"/>
      <c r="ER628" s="1825" t="e">
        <f t="shared" si="27"/>
        <v>#VALUE!</v>
      </c>
      <c r="ES628" s="1825"/>
      <c r="ET628" s="1825"/>
      <c r="EU628" s="1825"/>
      <c r="EV628" s="1825"/>
      <c r="EW628" s="1825" t="e">
        <f t="shared" si="28"/>
        <v>#VALUE!</v>
      </c>
      <c r="EX628" s="1825"/>
      <c r="EY628" s="1825"/>
      <c r="EZ628" s="1825"/>
      <c r="FA628" s="1825"/>
    </row>
    <row r="629" spans="1:157" ht="13.05" customHeight="1">
      <c r="B629" s="52" t="s">
        <v>464</v>
      </c>
      <c r="C629" s="1681" t="s">
        <v>2693</v>
      </c>
      <c r="D629" s="1682"/>
      <c r="E629" s="1682"/>
      <c r="F629" s="1682"/>
      <c r="G629" s="1682"/>
      <c r="H629" s="1682"/>
      <c r="I629" s="1682"/>
      <c r="J629" s="1682"/>
      <c r="K629" s="1682"/>
      <c r="L629" s="1682"/>
      <c r="M629" s="1826" t="s">
        <v>2532</v>
      </c>
      <c r="N629" s="1826"/>
      <c r="O629" s="1826"/>
      <c r="P629" s="1826"/>
      <c r="Q629" s="1724"/>
      <c r="R629" s="1524"/>
      <c r="S629" s="1725"/>
      <c r="T629" s="1724"/>
      <c r="U629" s="1524"/>
      <c r="V629" s="1725"/>
      <c r="W629" s="1569">
        <v>0</v>
      </c>
      <c r="X629" s="1570"/>
      <c r="Y629" s="1571"/>
      <c r="Z629" s="1683" t="s">
        <v>467</v>
      </c>
      <c r="AA629" s="1684"/>
      <c r="AB629" s="1685"/>
      <c r="AC629" s="1400"/>
      <c r="AD629" s="1401"/>
      <c r="AE629" s="1402"/>
      <c r="AF629" s="1554"/>
      <c r="AG629" s="1555"/>
      <c r="AH629" s="1555"/>
      <c r="AI629" s="1555"/>
      <c r="AJ629" s="1556"/>
      <c r="AK629" s="1572"/>
      <c r="AL629" s="1573"/>
      <c r="AM629" s="1573"/>
      <c r="AN629" s="1574"/>
      <c r="AO629" s="1575">
        <f>AM557</f>
        <v>100</v>
      </c>
      <c r="AP629" s="1576"/>
      <c r="AQ629" s="1576"/>
      <c r="AR629" s="1576"/>
      <c r="AS629" s="157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80">
        <f>IF(J761="SRO/Studio",O761,0)</f>
        <v>0</v>
      </c>
      <c r="BO629" s="1481"/>
      <c r="BP629" s="1481"/>
      <c r="BQ629" s="1481"/>
      <c r="BR629" s="148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3"/>
      <c r="CW629" s="3"/>
      <c r="CX629" s="3"/>
      <c r="CY629" s="3"/>
      <c r="CZ629" s="3"/>
      <c r="DA629" s="3"/>
      <c r="DB629" s="3"/>
      <c r="DC629" s="3"/>
      <c r="DD629" s="3"/>
      <c r="DE629" s="3"/>
      <c r="DF629" s="3"/>
      <c r="DX629" s="1825" t="e">
        <f t="shared" si="23"/>
        <v>#VALUE!</v>
      </c>
      <c r="DY629" s="1825"/>
      <c r="DZ629" s="1825"/>
      <c r="EA629" s="1825"/>
      <c r="EB629" s="1825"/>
      <c r="EC629" s="1825" t="e">
        <f t="shared" si="24"/>
        <v>#VALUE!</v>
      </c>
      <c r="ED629" s="1825"/>
      <c r="EE629" s="1825"/>
      <c r="EF629" s="1825"/>
      <c r="EG629" s="1825"/>
      <c r="EH629" s="1825" t="e">
        <f t="shared" si="25"/>
        <v>#VALUE!</v>
      </c>
      <c r="EI629" s="1825"/>
      <c r="EJ629" s="1825"/>
      <c r="EK629" s="1825"/>
      <c r="EL629" s="1825"/>
      <c r="EM629" s="1825" t="e">
        <f t="shared" si="26"/>
        <v>#VALUE!</v>
      </c>
      <c r="EN629" s="1825"/>
      <c r="EO629" s="1825"/>
      <c r="EP629" s="1825"/>
      <c r="EQ629" s="1825"/>
      <c r="ER629" s="1825" t="e">
        <f t="shared" si="27"/>
        <v>#VALUE!</v>
      </c>
      <c r="ES629" s="1825"/>
      <c r="ET629" s="1825"/>
      <c r="EU629" s="1825"/>
      <c r="EV629" s="1825"/>
      <c r="EW629" s="1825" t="e">
        <f t="shared" si="28"/>
        <v>#VALUE!</v>
      </c>
      <c r="EX629" s="1825"/>
      <c r="EY629" s="1825"/>
      <c r="EZ629" s="1825"/>
      <c r="FA629" s="1825"/>
    </row>
    <row r="630" spans="1:157" ht="13.05" customHeight="1">
      <c r="B630" s="52" t="s">
        <v>465</v>
      </c>
      <c r="C630" s="1681" t="s">
        <v>2695</v>
      </c>
      <c r="D630" s="1682"/>
      <c r="E630" s="1682"/>
      <c r="F630" s="1682"/>
      <c r="G630" s="1682"/>
      <c r="H630" s="1682"/>
      <c r="I630" s="1682"/>
      <c r="J630" s="1682"/>
      <c r="K630" s="1682"/>
      <c r="L630" s="1682"/>
      <c r="M630" s="1826" t="s">
        <v>2540</v>
      </c>
      <c r="N630" s="1826"/>
      <c r="O630" s="1826"/>
      <c r="P630" s="1826"/>
      <c r="Q630" s="1724">
        <v>660</v>
      </c>
      <c r="R630" s="1524"/>
      <c r="S630" s="1725"/>
      <c r="T630" s="1724">
        <v>660</v>
      </c>
      <c r="U630" s="1524"/>
      <c r="V630" s="1725"/>
      <c r="W630" s="1569"/>
      <c r="X630" s="1570"/>
      <c r="Y630" s="1571"/>
      <c r="Z630" s="1683" t="s">
        <v>466</v>
      </c>
      <c r="AA630" s="1684"/>
      <c r="AB630" s="1685"/>
      <c r="AC630" s="1400"/>
      <c r="AD630" s="1401"/>
      <c r="AE630" s="1402"/>
      <c r="AF630" s="1554"/>
      <c r="AG630" s="1555"/>
      <c r="AH630" s="1555"/>
      <c r="AI630" s="1555"/>
      <c r="AJ630" s="1556"/>
      <c r="AK630" s="1572"/>
      <c r="AL630" s="1573"/>
      <c r="AM630" s="1573"/>
      <c r="AN630" s="1574"/>
      <c r="AO630" s="1575">
        <v>3500000</v>
      </c>
      <c r="AP630" s="1576"/>
      <c r="AQ630" s="1576"/>
      <c r="AR630" s="1576"/>
      <c r="AS630" s="157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9">
        <f>SUM(BN626:BR629)</f>
        <v>0</v>
      </c>
      <c r="BO630" s="1483"/>
      <c r="BP630" s="1483"/>
      <c r="BQ630" s="1483"/>
      <c r="BR630" s="1470"/>
      <c r="BS630" s="1675">
        <f>SUM(BS626:BW629)</f>
        <v>1</v>
      </c>
      <c r="BT630" s="1676"/>
      <c r="BU630" s="1676"/>
      <c r="BV630" s="1676"/>
      <c r="BW630" s="1677"/>
      <c r="BX630" s="1675">
        <f>SUM(BX626:CB629)</f>
        <v>1</v>
      </c>
      <c r="BY630" s="1676"/>
      <c r="BZ630" s="1676"/>
      <c r="CA630" s="1676"/>
      <c r="CB630" s="1677"/>
      <c r="CC630" s="1675">
        <f>SUM(CC626:CG629)</f>
        <v>0</v>
      </c>
      <c r="CD630" s="1676"/>
      <c r="CE630" s="1676"/>
      <c r="CF630" s="1676"/>
      <c r="CG630" s="1677"/>
      <c r="CH630" s="1675">
        <f>SUM(CH626:CL629)</f>
        <v>0</v>
      </c>
      <c r="CI630" s="1676"/>
      <c r="CJ630" s="1676"/>
      <c r="CK630" s="1676"/>
      <c r="CL630" s="1677"/>
      <c r="CM630" s="1675">
        <f>SUM(CM626:CQ629)</f>
        <v>0</v>
      </c>
      <c r="CN630" s="1676"/>
      <c r="CO630" s="1676"/>
      <c r="CP630" s="1676"/>
      <c r="CQ630" s="1677"/>
      <c r="CS630" s="897">
        <f>BN630+BS630+BX630+CC630+CH630+CM630</f>
        <v>2</v>
      </c>
      <c r="CT630" s="57" t="s">
        <v>2123</v>
      </c>
      <c r="CU630" s="3"/>
      <c r="CV630" s="3"/>
      <c r="CW630" s="3"/>
      <c r="CX630" s="3"/>
      <c r="CY630" s="3"/>
      <c r="CZ630" s="3"/>
      <c r="DA630" s="3"/>
      <c r="DB630" s="3"/>
      <c r="DC630" s="3"/>
      <c r="DD630" s="3"/>
      <c r="DE630" s="3"/>
      <c r="DF630" s="3"/>
      <c r="DX630" s="1825" t="e">
        <f t="shared" si="23"/>
        <v>#VALUE!</v>
      </c>
      <c r="DY630" s="1825"/>
      <c r="DZ630" s="1825"/>
      <c r="EA630" s="1825"/>
      <c r="EB630" s="1825"/>
      <c r="EC630" s="1825" t="e">
        <f t="shared" si="24"/>
        <v>#VALUE!</v>
      </c>
      <c r="ED630" s="1825"/>
      <c r="EE630" s="1825"/>
      <c r="EF630" s="1825"/>
      <c r="EG630" s="1825"/>
      <c r="EH630" s="1825" t="e">
        <f t="shared" si="25"/>
        <v>#VALUE!</v>
      </c>
      <c r="EI630" s="1825"/>
      <c r="EJ630" s="1825"/>
      <c r="EK630" s="1825"/>
      <c r="EL630" s="1825"/>
      <c r="EM630" s="1825" t="e">
        <f t="shared" si="26"/>
        <v>#VALUE!</v>
      </c>
      <c r="EN630" s="1825"/>
      <c r="EO630" s="1825"/>
      <c r="EP630" s="1825"/>
      <c r="EQ630" s="1825"/>
      <c r="ER630" s="1825" t="e">
        <f t="shared" si="27"/>
        <v>#VALUE!</v>
      </c>
      <c r="ES630" s="1825"/>
      <c r="ET630" s="1825"/>
      <c r="EU630" s="1825"/>
      <c r="EV630" s="1825"/>
      <c r="EW630" s="1825" t="e">
        <f t="shared" si="28"/>
        <v>#VALUE!</v>
      </c>
      <c r="EX630" s="1825"/>
      <c r="EY630" s="1825"/>
      <c r="EZ630" s="1825"/>
      <c r="FA630" s="1825"/>
    </row>
    <row r="631" spans="1:157" ht="13.05" customHeight="1">
      <c r="B631" s="52" t="s">
        <v>470</v>
      </c>
      <c r="C631" s="1681"/>
      <c r="D631" s="1682"/>
      <c r="E631" s="1682"/>
      <c r="F631" s="1682"/>
      <c r="G631" s="1682"/>
      <c r="H631" s="1682"/>
      <c r="I631" s="1682"/>
      <c r="J631" s="1682"/>
      <c r="K631" s="1682"/>
      <c r="L631" s="1682"/>
      <c r="M631" s="1826"/>
      <c r="N631" s="1826"/>
      <c r="O631" s="1826"/>
      <c r="P631" s="1826"/>
      <c r="Q631" s="1724"/>
      <c r="R631" s="1524"/>
      <c r="S631" s="1725"/>
      <c r="T631" s="1724"/>
      <c r="U631" s="1524"/>
      <c r="V631" s="1725"/>
      <c r="W631" s="1569"/>
      <c r="X631" s="1570"/>
      <c r="Y631" s="1571"/>
      <c r="Z631" s="1683"/>
      <c r="AA631" s="1684"/>
      <c r="AB631" s="1685"/>
      <c r="AC631" s="1400"/>
      <c r="AD631" s="1401"/>
      <c r="AE631" s="1402"/>
      <c r="AF631" s="1554"/>
      <c r="AG631" s="1555"/>
      <c r="AH631" s="1555"/>
      <c r="AI631" s="1555"/>
      <c r="AJ631" s="1556"/>
      <c r="AK631" s="1572"/>
      <c r="AL631" s="1573"/>
      <c r="AM631" s="1573"/>
      <c r="AN631" s="1574"/>
      <c r="AO631" s="1575"/>
      <c r="AP631" s="1576"/>
      <c r="AQ631" s="1576"/>
      <c r="AR631" s="1576"/>
      <c r="AS631" s="157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25" t="e">
        <f t="shared" si="23"/>
        <v>#VALUE!</v>
      </c>
      <c r="DY631" s="1825"/>
      <c r="DZ631" s="1825"/>
      <c r="EA631" s="1825"/>
      <c r="EB631" s="1825"/>
      <c r="EC631" s="1825" t="e">
        <f t="shared" si="24"/>
        <v>#VALUE!</v>
      </c>
      <c r="ED631" s="1825"/>
      <c r="EE631" s="1825"/>
      <c r="EF631" s="1825"/>
      <c r="EG631" s="1825"/>
      <c r="EH631" s="1825" t="e">
        <f t="shared" si="25"/>
        <v>#VALUE!</v>
      </c>
      <c r="EI631" s="1825"/>
      <c r="EJ631" s="1825"/>
      <c r="EK631" s="1825"/>
      <c r="EL631" s="1825"/>
      <c r="EM631" s="1825" t="e">
        <f t="shared" si="26"/>
        <v>#VALUE!</v>
      </c>
      <c r="EN631" s="1825"/>
      <c r="EO631" s="1825"/>
      <c r="EP631" s="1825"/>
      <c r="EQ631" s="1825"/>
      <c r="ER631" s="1825" t="e">
        <f t="shared" si="27"/>
        <v>#VALUE!</v>
      </c>
      <c r="ES631" s="1825"/>
      <c r="ET631" s="1825"/>
      <c r="EU631" s="1825"/>
      <c r="EV631" s="1825"/>
      <c r="EW631" s="1825" t="e">
        <f t="shared" si="28"/>
        <v>#VALUE!</v>
      </c>
      <c r="EX631" s="1825"/>
      <c r="EY631" s="1825"/>
      <c r="EZ631" s="1825"/>
      <c r="FA631" s="1825"/>
    </row>
    <row r="632" spans="1:157" ht="13.05" customHeight="1">
      <c r="B632" s="52" t="s">
        <v>655</v>
      </c>
      <c r="C632" s="1681"/>
      <c r="D632" s="1682"/>
      <c r="E632" s="1682"/>
      <c r="F632" s="1682"/>
      <c r="G632" s="1682"/>
      <c r="H632" s="1682"/>
      <c r="I632" s="1682"/>
      <c r="J632" s="1682"/>
      <c r="K632" s="1682"/>
      <c r="L632" s="1682"/>
      <c r="M632" s="1826"/>
      <c r="N632" s="1826"/>
      <c r="O632" s="1826"/>
      <c r="P632" s="1826"/>
      <c r="Q632" s="1724"/>
      <c r="R632" s="1524"/>
      <c r="S632" s="1725"/>
      <c r="T632" s="1724"/>
      <c r="U632" s="1524"/>
      <c r="V632" s="1725"/>
      <c r="W632" s="1569"/>
      <c r="X632" s="1570"/>
      <c r="Y632" s="1571"/>
      <c r="Z632" s="1683"/>
      <c r="AA632" s="1684"/>
      <c r="AB632" s="1685"/>
      <c r="AC632" s="1400"/>
      <c r="AD632" s="1401"/>
      <c r="AE632" s="1402"/>
      <c r="AF632" s="1554"/>
      <c r="AG632" s="1555"/>
      <c r="AH632" s="1555"/>
      <c r="AI632" s="1555"/>
      <c r="AJ632" s="1556"/>
      <c r="AK632" s="1572"/>
      <c r="AL632" s="1573"/>
      <c r="AM632" s="1573"/>
      <c r="AN632" s="1574"/>
      <c r="AO632" s="1575"/>
      <c r="AP632" s="1576"/>
      <c r="AQ632" s="1576"/>
      <c r="AR632" s="1576"/>
      <c r="AS632" s="157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25" t="e">
        <f t="shared" si="23"/>
        <v>#VALUE!</v>
      </c>
      <c r="DY632" s="1825"/>
      <c r="DZ632" s="1825"/>
      <c r="EA632" s="1825"/>
      <c r="EB632" s="1825"/>
      <c r="EC632" s="1825" t="e">
        <f t="shared" si="24"/>
        <v>#VALUE!</v>
      </c>
      <c r="ED632" s="1825"/>
      <c r="EE632" s="1825"/>
      <c r="EF632" s="1825"/>
      <c r="EG632" s="1825"/>
      <c r="EH632" s="1825" t="e">
        <f t="shared" si="25"/>
        <v>#VALUE!</v>
      </c>
      <c r="EI632" s="1825"/>
      <c r="EJ632" s="1825"/>
      <c r="EK632" s="1825"/>
      <c r="EL632" s="1825"/>
      <c r="EM632" s="1825" t="e">
        <f t="shared" si="26"/>
        <v>#VALUE!</v>
      </c>
      <c r="EN632" s="1825"/>
      <c r="EO632" s="1825"/>
      <c r="EP632" s="1825"/>
      <c r="EQ632" s="1825"/>
      <c r="ER632" s="1825" t="e">
        <f t="shared" si="27"/>
        <v>#VALUE!</v>
      </c>
      <c r="ES632" s="1825"/>
      <c r="ET632" s="1825"/>
      <c r="EU632" s="1825"/>
      <c r="EV632" s="1825"/>
      <c r="EW632" s="1825" t="e">
        <f t="shared" si="28"/>
        <v>#VALUE!</v>
      </c>
      <c r="EX632" s="1825"/>
      <c r="EY632" s="1825"/>
      <c r="EZ632" s="1825"/>
      <c r="FA632" s="1825"/>
    </row>
    <row r="633" spans="1:157" ht="13.05" customHeight="1">
      <c r="B633" s="52" t="s">
        <v>363</v>
      </c>
      <c r="C633" s="1682"/>
      <c r="D633" s="1682"/>
      <c r="E633" s="1682"/>
      <c r="F633" s="1682"/>
      <c r="G633" s="1682"/>
      <c r="H633" s="1682"/>
      <c r="I633" s="1682"/>
      <c r="J633" s="1682"/>
      <c r="K633" s="1682"/>
      <c r="L633" s="1682"/>
      <c r="M633" s="1826" t="s">
        <v>1327</v>
      </c>
      <c r="N633" s="1826"/>
      <c r="O633" s="1826"/>
      <c r="P633" s="1826"/>
      <c r="Q633" s="1724"/>
      <c r="R633" s="1524"/>
      <c r="S633" s="1725"/>
      <c r="T633" s="1724"/>
      <c r="U633" s="1524"/>
      <c r="V633" s="1725"/>
      <c r="W633" s="1569"/>
      <c r="X633" s="1570"/>
      <c r="Y633" s="1571"/>
      <c r="Z633" s="1683" t="s">
        <v>1327</v>
      </c>
      <c r="AA633" s="1684"/>
      <c r="AB633" s="1685"/>
      <c r="AC633" s="1400"/>
      <c r="AD633" s="1401"/>
      <c r="AE633" s="1402"/>
      <c r="AF633" s="1554"/>
      <c r="AG633" s="1555"/>
      <c r="AH633" s="1555"/>
      <c r="AI633" s="1555"/>
      <c r="AJ633" s="1556"/>
      <c r="AK633" s="1572"/>
      <c r="AL633" s="1573"/>
      <c r="AM633" s="1573"/>
      <c r="AN633" s="1574"/>
      <c r="AO633" s="1575"/>
      <c r="AP633" s="1576"/>
      <c r="AQ633" s="1576"/>
      <c r="AR633" s="1576"/>
      <c r="AS633" s="157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25" t="e">
        <f t="shared" si="23"/>
        <v>#VALUE!</v>
      </c>
      <c r="DY633" s="1825"/>
      <c r="DZ633" s="1825"/>
      <c r="EA633" s="1825"/>
      <c r="EB633" s="1825"/>
      <c r="EC633" s="1825" t="e">
        <f t="shared" si="24"/>
        <v>#VALUE!</v>
      </c>
      <c r="ED633" s="1825"/>
      <c r="EE633" s="1825"/>
      <c r="EF633" s="1825"/>
      <c r="EG633" s="1825"/>
      <c r="EH633" s="1825" t="e">
        <f t="shared" si="25"/>
        <v>#VALUE!</v>
      </c>
      <c r="EI633" s="1825"/>
      <c r="EJ633" s="1825"/>
      <c r="EK633" s="1825"/>
      <c r="EL633" s="1825"/>
      <c r="EM633" s="1825" t="e">
        <f t="shared" si="26"/>
        <v>#VALUE!</v>
      </c>
      <c r="EN633" s="1825"/>
      <c r="EO633" s="1825"/>
      <c r="EP633" s="1825"/>
      <c r="EQ633" s="1825"/>
      <c r="ER633" s="1825" t="e">
        <f t="shared" si="27"/>
        <v>#VALUE!</v>
      </c>
      <c r="ES633" s="1825"/>
      <c r="ET633" s="1825"/>
      <c r="EU633" s="1825"/>
      <c r="EV633" s="1825"/>
      <c r="EW633" s="1825" t="e">
        <f t="shared" si="28"/>
        <v>#VALUE!</v>
      </c>
      <c r="EX633" s="1825"/>
      <c r="EY633" s="1825"/>
      <c r="EZ633" s="1825"/>
      <c r="FA633" s="1825"/>
    </row>
    <row r="634" spans="1:157" ht="13.05" customHeight="1">
      <c r="B634" s="52" t="s">
        <v>364</v>
      </c>
      <c r="C634" s="1682"/>
      <c r="D634" s="1682"/>
      <c r="E634" s="1682"/>
      <c r="F634" s="1682"/>
      <c r="G634" s="1682"/>
      <c r="H634" s="1682"/>
      <c r="I634" s="1682"/>
      <c r="J634" s="1682"/>
      <c r="K634" s="1682"/>
      <c r="L634" s="1682"/>
      <c r="M634" s="1826" t="s">
        <v>1327</v>
      </c>
      <c r="N634" s="1826"/>
      <c r="O634" s="1826"/>
      <c r="P634" s="1826"/>
      <c r="Q634" s="1724"/>
      <c r="R634" s="1524"/>
      <c r="S634" s="1725"/>
      <c r="T634" s="1724"/>
      <c r="U634" s="1524"/>
      <c r="V634" s="1725"/>
      <c r="W634" s="1569"/>
      <c r="X634" s="1570"/>
      <c r="Y634" s="1571"/>
      <c r="Z634" s="1683" t="s">
        <v>1327</v>
      </c>
      <c r="AA634" s="1684"/>
      <c r="AB634" s="1685"/>
      <c r="AC634" s="1400"/>
      <c r="AD634" s="1401"/>
      <c r="AE634" s="1402"/>
      <c r="AF634" s="1554"/>
      <c r="AG634" s="1555"/>
      <c r="AH634" s="1555"/>
      <c r="AI634" s="1555"/>
      <c r="AJ634" s="1556"/>
      <c r="AK634" s="1572"/>
      <c r="AL634" s="1573"/>
      <c r="AM634" s="1573"/>
      <c r="AN634" s="1574"/>
      <c r="AO634" s="1575"/>
      <c r="AP634" s="1576"/>
      <c r="AQ634" s="1576"/>
      <c r="AR634" s="1576"/>
      <c r="AS634" s="157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80">
        <f t="shared" ref="BN634:BN643" si="30">IF(J772="SRO/Studio",O772,0)</f>
        <v>0</v>
      </c>
      <c r="BO634" s="1481"/>
      <c r="BP634" s="1481"/>
      <c r="BQ634" s="1481"/>
      <c r="BR634" s="1482"/>
      <c r="BS634" s="1366">
        <f t="shared" ref="BS634:BS643" si="31">IF(J772="1 Bedroom",O772,0)</f>
        <v>0</v>
      </c>
      <c r="BT634" s="1366"/>
      <c r="BU634" s="1366"/>
      <c r="BV634" s="1366"/>
      <c r="BW634" s="1366"/>
      <c r="BX634" s="1366">
        <f t="shared" ref="BX634:BX643" si="32">IF(J772="2 Bedrooms",O772,0)</f>
        <v>0</v>
      </c>
      <c r="BY634" s="1366"/>
      <c r="BZ634" s="1366"/>
      <c r="CA634" s="1366"/>
      <c r="CB634" s="1366"/>
      <c r="CC634" s="1366">
        <f t="shared" ref="CC634:CC643" si="33">IF(J772="3 Bedrooms",O772,0)</f>
        <v>0</v>
      </c>
      <c r="CD634" s="1366"/>
      <c r="CE634" s="1366"/>
      <c r="CF634" s="1366"/>
      <c r="CG634" s="1366"/>
      <c r="CH634" s="1366">
        <f t="shared" ref="CH634:CH643" si="34">IF(J772="4 Bedrooms",O772,0)</f>
        <v>0</v>
      </c>
      <c r="CI634" s="1366"/>
      <c r="CJ634" s="1366"/>
      <c r="CK634" s="1366"/>
      <c r="CL634" s="1366"/>
      <c r="CM634" s="1366">
        <f t="shared" ref="CM634:CM643" si="35">IF(J772="5 Bedrooms",O772,0)</f>
        <v>0</v>
      </c>
      <c r="CN634" s="1366"/>
      <c r="CO634" s="1366"/>
      <c r="CP634" s="1366"/>
      <c r="CQ634" s="1366"/>
      <c r="CR634" s="6"/>
      <c r="CS634" s="1480">
        <f>IF(AND(BN634&gt;=1,AH772&gt;=0.1,AH772&lt;=1),O772,0)</f>
        <v>0</v>
      </c>
      <c r="CT634" s="1481"/>
      <c r="CU634" s="1481"/>
      <c r="CV634" s="1481"/>
      <c r="CW634" s="1482"/>
      <c r="CX634" s="1480">
        <f>IF(AND(BS634&gt;=1,AH772&gt;=0.1,AH772&lt;=1),O772,0)</f>
        <v>0</v>
      </c>
      <c r="CY634" s="1481"/>
      <c r="CZ634" s="1481"/>
      <c r="DA634" s="1481"/>
      <c r="DB634" s="1482"/>
      <c r="DC634" s="1480">
        <f>IF(AND(BX634&gt;=1,AH772&gt;=0.1,AH772&lt;=1),O772,0)</f>
        <v>0</v>
      </c>
      <c r="DD634" s="1481"/>
      <c r="DE634" s="1481"/>
      <c r="DF634" s="1481"/>
      <c r="DG634" s="1482"/>
      <c r="DH634" s="1480">
        <f>IF(AND(CC634&gt;=1,AH772&gt;=0.1,AH772&lt;=1),O772,0)</f>
        <v>0</v>
      </c>
      <c r="DI634" s="1481"/>
      <c r="DJ634" s="1481"/>
      <c r="DK634" s="1481"/>
      <c r="DL634" s="1482"/>
      <c r="DM634" s="1480">
        <f>IF(AND(CH634&gt;=1,AH772&gt;=0.1,AH772&lt;=1),O772,0)</f>
        <v>0</v>
      </c>
      <c r="DN634" s="1481"/>
      <c r="DO634" s="1481"/>
      <c r="DP634" s="1481"/>
      <c r="DQ634" s="1482"/>
      <c r="DR634" s="1480">
        <f>IF(AND(CM634&gt;=1,AH772&gt;=0.1,AH772&lt;=1),O772,0)</f>
        <v>0</v>
      </c>
      <c r="DS634" s="1481"/>
      <c r="DT634" s="1481"/>
      <c r="DU634" s="1481"/>
      <c r="DV634" s="1482"/>
      <c r="DX634" s="1825" t="e">
        <f t="shared" si="23"/>
        <v>#VALUE!</v>
      </c>
      <c r="DY634" s="1825"/>
      <c r="DZ634" s="1825"/>
      <c r="EA634" s="1825"/>
      <c r="EB634" s="1825"/>
      <c r="EC634" s="1825" t="e">
        <f t="shared" si="24"/>
        <v>#VALUE!</v>
      </c>
      <c r="ED634" s="1825"/>
      <c r="EE634" s="1825"/>
      <c r="EF634" s="1825"/>
      <c r="EG634" s="1825"/>
      <c r="EH634" s="1825" t="e">
        <f t="shared" si="25"/>
        <v>#VALUE!</v>
      </c>
      <c r="EI634" s="1825"/>
      <c r="EJ634" s="1825"/>
      <c r="EK634" s="1825"/>
      <c r="EL634" s="1825"/>
      <c r="EM634" s="1825" t="e">
        <f t="shared" si="26"/>
        <v>#VALUE!</v>
      </c>
      <c r="EN634" s="1825"/>
      <c r="EO634" s="1825"/>
      <c r="EP634" s="1825"/>
      <c r="EQ634" s="1825"/>
      <c r="ER634" s="1825" t="e">
        <f t="shared" si="27"/>
        <v>#VALUE!</v>
      </c>
      <c r="ES634" s="1825"/>
      <c r="ET634" s="1825"/>
      <c r="EU634" s="1825"/>
      <c r="EV634" s="1825"/>
      <c r="EW634" s="1825" t="e">
        <f t="shared" si="28"/>
        <v>#VALUE!</v>
      </c>
      <c r="EX634" s="1825"/>
      <c r="EY634" s="1825"/>
      <c r="EZ634" s="1825"/>
      <c r="FA634" s="1825"/>
    </row>
    <row r="635" spans="1:157" ht="13.05" customHeight="1">
      <c r="B635" s="1494" t="s">
        <v>129</v>
      </c>
      <c r="C635" s="1495"/>
      <c r="D635" s="1495"/>
      <c r="E635" s="1495"/>
      <c r="F635" s="1495"/>
      <c r="G635" s="1495"/>
      <c r="H635" s="1495"/>
      <c r="I635" s="1495"/>
      <c r="J635" s="1495"/>
      <c r="K635" s="1495"/>
      <c r="L635" s="1495"/>
      <c r="M635" s="1495"/>
      <c r="N635" s="1495"/>
      <c r="O635" s="1495"/>
      <c r="P635" s="1495"/>
      <c r="Q635" s="1495"/>
      <c r="R635" s="1495"/>
      <c r="S635" s="1495"/>
      <c r="T635" s="1495"/>
      <c r="U635" s="1495"/>
      <c r="V635" s="1495"/>
      <c r="W635" s="1495"/>
      <c r="X635" s="1495"/>
      <c r="Y635" s="1495"/>
      <c r="Z635" s="1495"/>
      <c r="AA635" s="1495"/>
      <c r="AB635" s="1495"/>
      <c r="AC635" s="1495"/>
      <c r="AD635" s="1495"/>
      <c r="AE635" s="1495"/>
      <c r="AF635" s="1495"/>
      <c r="AG635" s="1495"/>
      <c r="AH635" s="1495"/>
      <c r="AI635" s="1495"/>
      <c r="AJ635" s="1495"/>
      <c r="AK635" s="1495"/>
      <c r="AL635" s="1495"/>
      <c r="AM635" s="1495"/>
      <c r="AN635" s="1497"/>
      <c r="AO635" s="1491">
        <f>SUM(AO623:AR634)</f>
        <v>45809300</v>
      </c>
      <c r="AP635" s="1492"/>
      <c r="AQ635" s="1492"/>
      <c r="AR635" s="1492"/>
      <c r="AS635" s="1493"/>
      <c r="AZ635" s="3"/>
      <c r="BA635" s="3"/>
      <c r="BB635" s="3"/>
      <c r="BC635" s="3"/>
      <c r="BD635" s="3"/>
      <c r="BE635" s="3"/>
      <c r="BF635" s="3"/>
      <c r="BG635" s="3"/>
      <c r="BH635" s="3"/>
      <c r="BI635" s="3"/>
      <c r="BJ635" s="3"/>
      <c r="BK635" s="3"/>
      <c r="BL635" s="3"/>
      <c r="BM635" s="3"/>
      <c r="BN635" s="1480">
        <f t="shared" si="30"/>
        <v>0</v>
      </c>
      <c r="BO635" s="1481"/>
      <c r="BP635" s="1481"/>
      <c r="BQ635" s="1481"/>
      <c r="BR635" s="1482"/>
      <c r="BS635" s="1366">
        <f t="shared" si="31"/>
        <v>0</v>
      </c>
      <c r="BT635" s="1366"/>
      <c r="BU635" s="1366"/>
      <c r="BV635" s="1366"/>
      <c r="BW635" s="1366"/>
      <c r="BX635" s="1366">
        <f t="shared" si="32"/>
        <v>0</v>
      </c>
      <c r="BY635" s="1366"/>
      <c r="BZ635" s="1366"/>
      <c r="CA635" s="1366"/>
      <c r="CB635" s="1366"/>
      <c r="CC635" s="1366">
        <f t="shared" si="33"/>
        <v>0</v>
      </c>
      <c r="CD635" s="1366"/>
      <c r="CE635" s="1366"/>
      <c r="CF635" s="1366"/>
      <c r="CG635" s="1366"/>
      <c r="CH635" s="1366">
        <f t="shared" si="34"/>
        <v>0</v>
      </c>
      <c r="CI635" s="1366"/>
      <c r="CJ635" s="1366"/>
      <c r="CK635" s="1366"/>
      <c r="CL635" s="1366"/>
      <c r="CM635" s="1366">
        <f t="shared" si="35"/>
        <v>0</v>
      </c>
      <c r="CN635" s="1366"/>
      <c r="CO635" s="1366"/>
      <c r="CP635" s="1366"/>
      <c r="CQ635" s="1366"/>
      <c r="CR635" s="6"/>
      <c r="CS635" s="1480">
        <f t="shared" ref="CS635:CS643" si="36">IF(AND(BN635&gt;=1,AH773&gt;=0.1,AH773&lt;=1),O773,0)</f>
        <v>0</v>
      </c>
      <c r="CT635" s="1481"/>
      <c r="CU635" s="1481"/>
      <c r="CV635" s="1481"/>
      <c r="CW635" s="1482"/>
      <c r="CX635" s="1480">
        <f t="shared" ref="CX635:CX643" si="37">IF(AND(BS635&gt;=1,AH773&gt;=0.1,AH773&lt;=1),O773,0)</f>
        <v>0</v>
      </c>
      <c r="CY635" s="1481"/>
      <c r="CZ635" s="1481"/>
      <c r="DA635" s="1481"/>
      <c r="DB635" s="1482"/>
      <c r="DC635" s="1480">
        <f t="shared" ref="DC635:DC643" si="38">IF(AND(BX635&gt;=1,AH773&gt;=0.1,AH773&lt;=1),O773,0)</f>
        <v>0</v>
      </c>
      <c r="DD635" s="1481"/>
      <c r="DE635" s="1481"/>
      <c r="DF635" s="1481"/>
      <c r="DG635" s="1482"/>
      <c r="DH635" s="1480">
        <f t="shared" ref="DH635:DH643" si="39">IF(AND(CC635&gt;=1,AH773&gt;=0.1,AH773&lt;=1),O773,0)</f>
        <v>0</v>
      </c>
      <c r="DI635" s="1481"/>
      <c r="DJ635" s="1481"/>
      <c r="DK635" s="1481"/>
      <c r="DL635" s="1482"/>
      <c r="DM635" s="1480">
        <f t="shared" ref="DM635:DM643" si="40">IF(AND(CH635&gt;=1,AH773&gt;=0.1,AH773&lt;=1),O773,0)</f>
        <v>0</v>
      </c>
      <c r="DN635" s="1481"/>
      <c r="DO635" s="1481"/>
      <c r="DP635" s="1481"/>
      <c r="DQ635" s="1482"/>
      <c r="DR635" s="1480">
        <f t="shared" ref="DR635:DR643" si="41">IF(AND(CM635&gt;=1,AH773&gt;=0.1,AH773&lt;=1),O773,0)</f>
        <v>0</v>
      </c>
      <c r="DS635" s="1481"/>
      <c r="DT635" s="1481"/>
      <c r="DU635" s="1481"/>
      <c r="DV635" s="1482"/>
      <c r="DX635" s="1825" t="e">
        <f t="shared" si="23"/>
        <v>#VALUE!</v>
      </c>
      <c r="DY635" s="1825"/>
      <c r="DZ635" s="1825"/>
      <c r="EA635" s="1825"/>
      <c r="EB635" s="1825"/>
      <c r="EC635" s="1825" t="e">
        <f t="shared" si="24"/>
        <v>#VALUE!</v>
      </c>
      <c r="ED635" s="1825"/>
      <c r="EE635" s="1825"/>
      <c r="EF635" s="1825"/>
      <c r="EG635" s="1825"/>
      <c r="EH635" s="1825" t="e">
        <f t="shared" si="25"/>
        <v>#VALUE!</v>
      </c>
      <c r="EI635" s="1825"/>
      <c r="EJ635" s="1825"/>
      <c r="EK635" s="1825"/>
      <c r="EL635" s="1825"/>
      <c r="EM635" s="1825" t="e">
        <f t="shared" si="26"/>
        <v>#VALUE!</v>
      </c>
      <c r="EN635" s="1825"/>
      <c r="EO635" s="1825"/>
      <c r="EP635" s="1825"/>
      <c r="EQ635" s="1825"/>
      <c r="ER635" s="1825" t="e">
        <f t="shared" si="27"/>
        <v>#VALUE!</v>
      </c>
      <c r="ES635" s="1825"/>
      <c r="ET635" s="1825"/>
      <c r="EU635" s="1825"/>
      <c r="EV635" s="1825"/>
      <c r="EW635" s="1825" t="e">
        <f t="shared" si="28"/>
        <v>#VALUE!</v>
      </c>
      <c r="EX635" s="1825"/>
      <c r="EY635" s="1825"/>
      <c r="EZ635" s="1825"/>
      <c r="FA635" s="1825"/>
    </row>
    <row r="636" spans="1:157" ht="13.05" customHeight="1">
      <c r="B636" s="1494" t="s">
        <v>268</v>
      </c>
      <c r="C636" s="1495"/>
      <c r="D636" s="1495"/>
      <c r="E636" s="1495"/>
      <c r="F636" s="1495"/>
      <c r="G636" s="1495"/>
      <c r="H636" s="1495"/>
      <c r="I636" s="1495"/>
      <c r="J636" s="1495"/>
      <c r="K636" s="1495"/>
      <c r="L636" s="1495"/>
      <c r="M636" s="1495"/>
      <c r="N636" s="1495"/>
      <c r="O636" s="1495"/>
      <c r="P636" s="1495"/>
      <c r="Q636" s="1495"/>
      <c r="R636" s="1495"/>
      <c r="S636" s="1495"/>
      <c r="T636" s="1495"/>
      <c r="U636" s="1495"/>
      <c r="V636" s="1495"/>
      <c r="W636" s="1495"/>
      <c r="X636" s="1495"/>
      <c r="Y636" s="1495"/>
      <c r="Z636" s="1495"/>
      <c r="AA636" s="1495"/>
      <c r="AB636" s="1495"/>
      <c r="AC636" s="1495"/>
      <c r="AD636" s="1495"/>
      <c r="AE636" s="1495"/>
      <c r="AF636" s="1495"/>
      <c r="AG636" s="1495"/>
      <c r="AH636" s="1495"/>
      <c r="AI636" s="1495"/>
      <c r="AJ636" s="1495"/>
      <c r="AK636" s="1495"/>
      <c r="AL636" s="1495"/>
      <c r="AM636" s="1495"/>
      <c r="AN636" s="1497"/>
      <c r="AO636" s="1575">
        <v>28658871</v>
      </c>
      <c r="AP636" s="1576"/>
      <c r="AQ636" s="1576"/>
      <c r="AR636" s="1576"/>
      <c r="AS636" s="1577"/>
      <c r="AZ636" s="34"/>
      <c r="BA636" s="34"/>
      <c r="BB636" s="34"/>
      <c r="BC636" s="34"/>
      <c r="BD636" s="34"/>
      <c r="BE636" s="34"/>
      <c r="BF636" s="34"/>
      <c r="BG636" s="34"/>
      <c r="BH636" s="34"/>
      <c r="BI636" s="34"/>
      <c r="BJ636" s="34"/>
      <c r="BK636" s="34"/>
      <c r="BL636" s="34"/>
      <c r="BM636" s="34"/>
      <c r="BN636" s="1480">
        <f t="shared" si="30"/>
        <v>0</v>
      </c>
      <c r="BO636" s="1481"/>
      <c r="BP636" s="1481"/>
      <c r="BQ636" s="1481"/>
      <c r="BR636" s="1482"/>
      <c r="BS636" s="1366">
        <f t="shared" si="31"/>
        <v>0</v>
      </c>
      <c r="BT636" s="1366"/>
      <c r="BU636" s="1366"/>
      <c r="BV636" s="1366"/>
      <c r="BW636" s="1366"/>
      <c r="BX636" s="1366">
        <f t="shared" si="32"/>
        <v>0</v>
      </c>
      <c r="BY636" s="1366"/>
      <c r="BZ636" s="1366"/>
      <c r="CA636" s="1366"/>
      <c r="CB636" s="1366"/>
      <c r="CC636" s="1366">
        <f t="shared" si="33"/>
        <v>0</v>
      </c>
      <c r="CD636" s="1366"/>
      <c r="CE636" s="1366"/>
      <c r="CF636" s="1366"/>
      <c r="CG636" s="1366"/>
      <c r="CH636" s="1366">
        <f t="shared" si="34"/>
        <v>0</v>
      </c>
      <c r="CI636" s="1366"/>
      <c r="CJ636" s="1366"/>
      <c r="CK636" s="1366"/>
      <c r="CL636" s="1366"/>
      <c r="CM636" s="1366">
        <f t="shared" si="35"/>
        <v>0</v>
      </c>
      <c r="CN636" s="1366"/>
      <c r="CO636" s="1366"/>
      <c r="CP636" s="1366"/>
      <c r="CQ636" s="1366"/>
      <c r="CR636" s="6"/>
      <c r="CS636" s="1480">
        <f t="shared" si="36"/>
        <v>0</v>
      </c>
      <c r="CT636" s="1481"/>
      <c r="CU636" s="1481"/>
      <c r="CV636" s="1481"/>
      <c r="CW636" s="1482"/>
      <c r="CX636" s="1480">
        <f t="shared" si="37"/>
        <v>0</v>
      </c>
      <c r="CY636" s="1481"/>
      <c r="CZ636" s="1481"/>
      <c r="DA636" s="1481"/>
      <c r="DB636" s="1482"/>
      <c r="DC636" s="1480">
        <f t="shared" si="38"/>
        <v>0</v>
      </c>
      <c r="DD636" s="1481"/>
      <c r="DE636" s="1481"/>
      <c r="DF636" s="1481"/>
      <c r="DG636" s="1482"/>
      <c r="DH636" s="1480">
        <f t="shared" si="39"/>
        <v>0</v>
      </c>
      <c r="DI636" s="1481"/>
      <c r="DJ636" s="1481"/>
      <c r="DK636" s="1481"/>
      <c r="DL636" s="1482"/>
      <c r="DM636" s="1480">
        <f t="shared" si="40"/>
        <v>0</v>
      </c>
      <c r="DN636" s="1481"/>
      <c r="DO636" s="1481"/>
      <c r="DP636" s="1481"/>
      <c r="DQ636" s="1482"/>
      <c r="DR636" s="1480">
        <f t="shared" si="41"/>
        <v>0</v>
      </c>
      <c r="DS636" s="1481"/>
      <c r="DT636" s="1481"/>
      <c r="DU636" s="1481"/>
      <c r="DV636" s="1482"/>
      <c r="DX636" s="1825" t="e">
        <f t="shared" si="23"/>
        <v>#VALUE!</v>
      </c>
      <c r="DY636" s="1825"/>
      <c r="DZ636" s="1825"/>
      <c r="EA636" s="1825"/>
      <c r="EB636" s="1825"/>
      <c r="EC636" s="1825" t="e">
        <f t="shared" si="24"/>
        <v>#VALUE!</v>
      </c>
      <c r="ED636" s="1825"/>
      <c r="EE636" s="1825"/>
      <c r="EF636" s="1825"/>
      <c r="EG636" s="1825"/>
      <c r="EH636" s="1825" t="e">
        <f t="shared" si="25"/>
        <v>#VALUE!</v>
      </c>
      <c r="EI636" s="1825"/>
      <c r="EJ636" s="1825"/>
      <c r="EK636" s="1825"/>
      <c r="EL636" s="1825"/>
      <c r="EM636" s="1825" t="e">
        <f t="shared" si="26"/>
        <v>#VALUE!</v>
      </c>
      <c r="EN636" s="1825"/>
      <c r="EO636" s="1825"/>
      <c r="EP636" s="1825"/>
      <c r="EQ636" s="1825"/>
      <c r="ER636" s="1825" t="e">
        <f t="shared" si="27"/>
        <v>#VALUE!</v>
      </c>
      <c r="ES636" s="1825"/>
      <c r="ET636" s="1825"/>
      <c r="EU636" s="1825"/>
      <c r="EV636" s="1825"/>
      <c r="EW636" s="1825" t="e">
        <f t="shared" si="28"/>
        <v>#VALUE!</v>
      </c>
      <c r="EX636" s="1825"/>
      <c r="EY636" s="1825"/>
      <c r="EZ636" s="1825"/>
      <c r="FA636" s="1825"/>
    </row>
    <row r="637" spans="1:157" ht="13.05" customHeight="1">
      <c r="B637" s="1552" t="s">
        <v>269</v>
      </c>
      <c r="C637" s="1496"/>
      <c r="D637" s="1496"/>
      <c r="E637" s="1496"/>
      <c r="F637" s="1496"/>
      <c r="G637" s="1496"/>
      <c r="H637" s="1496"/>
      <c r="I637" s="1496"/>
      <c r="J637" s="1496"/>
      <c r="K637" s="1496"/>
      <c r="L637" s="1496"/>
      <c r="M637" s="1496"/>
      <c r="N637" s="1496"/>
      <c r="O637" s="1496"/>
      <c r="P637" s="1496"/>
      <c r="Q637" s="1496"/>
      <c r="R637" s="1496"/>
      <c r="S637" s="1496"/>
      <c r="T637" s="1496"/>
      <c r="U637" s="1496"/>
      <c r="V637" s="1496"/>
      <c r="W637" s="1496"/>
      <c r="X637" s="1496"/>
      <c r="Y637" s="1496"/>
      <c r="Z637" s="1496"/>
      <c r="AA637" s="1496"/>
      <c r="AB637" s="1496"/>
      <c r="AC637" s="1496"/>
      <c r="AD637" s="1496"/>
      <c r="AE637" s="1496"/>
      <c r="AF637" s="1496"/>
      <c r="AG637" s="1496"/>
      <c r="AH637" s="1496"/>
      <c r="AI637" s="1496"/>
      <c r="AJ637" s="1496"/>
      <c r="AK637" s="1496"/>
      <c r="AL637" s="1496"/>
      <c r="AM637" s="1496"/>
      <c r="AN637" s="1553"/>
      <c r="AO637" s="1491">
        <f>AO635+AO636</f>
        <v>74468171</v>
      </c>
      <c r="AP637" s="1492"/>
      <c r="AQ637" s="1492"/>
      <c r="AR637" s="1492"/>
      <c r="AS637" s="1493"/>
      <c r="AZ637" s="34"/>
      <c r="BA637" s="34"/>
      <c r="BB637" s="34"/>
      <c r="BC637" s="34"/>
      <c r="BD637" s="34"/>
      <c r="BE637" s="34"/>
      <c r="BF637" s="34"/>
      <c r="BG637" s="34"/>
      <c r="BH637" s="34"/>
      <c r="BI637" s="34"/>
      <c r="BJ637" s="34"/>
      <c r="BK637" s="34"/>
      <c r="BL637" s="34"/>
      <c r="BM637" s="34"/>
      <c r="BN637" s="1480">
        <f t="shared" si="30"/>
        <v>0</v>
      </c>
      <c r="BO637" s="1481"/>
      <c r="BP637" s="1481"/>
      <c r="BQ637" s="1481"/>
      <c r="BR637" s="1482"/>
      <c r="BS637" s="1366">
        <f t="shared" si="31"/>
        <v>0</v>
      </c>
      <c r="BT637" s="1366"/>
      <c r="BU637" s="1366"/>
      <c r="BV637" s="1366"/>
      <c r="BW637" s="1366"/>
      <c r="BX637" s="1366">
        <f t="shared" si="32"/>
        <v>0</v>
      </c>
      <c r="BY637" s="1366"/>
      <c r="BZ637" s="1366"/>
      <c r="CA637" s="1366"/>
      <c r="CB637" s="1366"/>
      <c r="CC637" s="1366">
        <f t="shared" si="33"/>
        <v>0</v>
      </c>
      <c r="CD637" s="1366"/>
      <c r="CE637" s="1366"/>
      <c r="CF637" s="1366"/>
      <c r="CG637" s="1366"/>
      <c r="CH637" s="1366">
        <f t="shared" si="34"/>
        <v>0</v>
      </c>
      <c r="CI637" s="1366"/>
      <c r="CJ637" s="1366"/>
      <c r="CK637" s="1366"/>
      <c r="CL637" s="1366"/>
      <c r="CM637" s="1366">
        <f t="shared" si="35"/>
        <v>0</v>
      </c>
      <c r="CN637" s="1366"/>
      <c r="CO637" s="1366"/>
      <c r="CP637" s="1366"/>
      <c r="CQ637" s="1366"/>
      <c r="CR637" s="6"/>
      <c r="CS637" s="1480">
        <f t="shared" si="36"/>
        <v>0</v>
      </c>
      <c r="CT637" s="1481"/>
      <c r="CU637" s="1481"/>
      <c r="CV637" s="1481"/>
      <c r="CW637" s="1482"/>
      <c r="CX637" s="1480">
        <f t="shared" si="37"/>
        <v>0</v>
      </c>
      <c r="CY637" s="1481"/>
      <c r="CZ637" s="1481"/>
      <c r="DA637" s="1481"/>
      <c r="DB637" s="1482"/>
      <c r="DC637" s="1480">
        <f t="shared" si="38"/>
        <v>0</v>
      </c>
      <c r="DD637" s="1481"/>
      <c r="DE637" s="1481"/>
      <c r="DF637" s="1481"/>
      <c r="DG637" s="1482"/>
      <c r="DH637" s="1480">
        <f t="shared" si="39"/>
        <v>0</v>
      </c>
      <c r="DI637" s="1481"/>
      <c r="DJ637" s="1481"/>
      <c r="DK637" s="1481"/>
      <c r="DL637" s="1482"/>
      <c r="DM637" s="1480">
        <f t="shared" si="40"/>
        <v>0</v>
      </c>
      <c r="DN637" s="1481"/>
      <c r="DO637" s="1481"/>
      <c r="DP637" s="1481"/>
      <c r="DQ637" s="1482"/>
      <c r="DR637" s="1480">
        <f t="shared" si="41"/>
        <v>0</v>
      </c>
      <c r="DS637" s="1481"/>
      <c r="DT637" s="1481"/>
      <c r="DU637" s="1481"/>
      <c r="DV637" s="1482"/>
      <c r="DX637" s="1825" t="e">
        <f t="shared" si="23"/>
        <v>#VALUE!</v>
      </c>
      <c r="DY637" s="1825"/>
      <c r="DZ637" s="1825"/>
      <c r="EA637" s="1825"/>
      <c r="EB637" s="1825"/>
      <c r="EC637" s="1825" t="e">
        <f t="shared" si="24"/>
        <v>#VALUE!</v>
      </c>
      <c r="ED637" s="1825"/>
      <c r="EE637" s="1825"/>
      <c r="EF637" s="1825"/>
      <c r="EG637" s="1825"/>
      <c r="EH637" s="1825" t="e">
        <f t="shared" si="25"/>
        <v>#VALUE!</v>
      </c>
      <c r="EI637" s="1825"/>
      <c r="EJ637" s="1825"/>
      <c r="EK637" s="1825"/>
      <c r="EL637" s="1825"/>
      <c r="EM637" s="1825" t="e">
        <f t="shared" si="26"/>
        <v>#VALUE!</v>
      </c>
      <c r="EN637" s="1825"/>
      <c r="EO637" s="1825"/>
      <c r="EP637" s="1825"/>
      <c r="EQ637" s="1825"/>
      <c r="ER637" s="1825" t="e">
        <f t="shared" si="27"/>
        <v>#VALUE!</v>
      </c>
      <c r="ES637" s="1825"/>
      <c r="ET637" s="1825"/>
      <c r="EU637" s="1825"/>
      <c r="EV637" s="1825"/>
      <c r="EW637" s="1825" t="e">
        <f t="shared" si="28"/>
        <v>#VALUE!</v>
      </c>
      <c r="EX637" s="1825"/>
      <c r="EY637" s="1825"/>
      <c r="EZ637" s="1825"/>
      <c r="FA637" s="1825"/>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80">
        <f t="shared" si="30"/>
        <v>0</v>
      </c>
      <c r="BO638" s="1481"/>
      <c r="BP638" s="1481"/>
      <c r="BQ638" s="1481"/>
      <c r="BR638" s="1482"/>
      <c r="BS638" s="1366">
        <f t="shared" si="31"/>
        <v>0</v>
      </c>
      <c r="BT638" s="1366"/>
      <c r="BU638" s="1366"/>
      <c r="BV638" s="1366"/>
      <c r="BW638" s="1366"/>
      <c r="BX638" s="1366">
        <f t="shared" si="32"/>
        <v>0</v>
      </c>
      <c r="BY638" s="1366"/>
      <c r="BZ638" s="1366"/>
      <c r="CA638" s="1366"/>
      <c r="CB638" s="1366"/>
      <c r="CC638" s="1366">
        <f t="shared" si="33"/>
        <v>0</v>
      </c>
      <c r="CD638" s="1366"/>
      <c r="CE638" s="1366"/>
      <c r="CF638" s="1366"/>
      <c r="CG638" s="1366"/>
      <c r="CH638" s="1366">
        <f t="shared" si="34"/>
        <v>0</v>
      </c>
      <c r="CI638" s="1366"/>
      <c r="CJ638" s="1366"/>
      <c r="CK638" s="1366"/>
      <c r="CL638" s="1366"/>
      <c r="CM638" s="1366">
        <f t="shared" si="35"/>
        <v>0</v>
      </c>
      <c r="CN638" s="1366"/>
      <c r="CO638" s="1366"/>
      <c r="CP638" s="1366"/>
      <c r="CQ638" s="1366"/>
      <c r="CR638" s="6"/>
      <c r="CS638" s="1480">
        <f t="shared" si="36"/>
        <v>0</v>
      </c>
      <c r="CT638" s="1481"/>
      <c r="CU638" s="1481"/>
      <c r="CV638" s="1481"/>
      <c r="CW638" s="1482"/>
      <c r="CX638" s="1480">
        <f t="shared" si="37"/>
        <v>0</v>
      </c>
      <c r="CY638" s="1481"/>
      <c r="CZ638" s="1481"/>
      <c r="DA638" s="1481"/>
      <c r="DB638" s="1482"/>
      <c r="DC638" s="1480">
        <f t="shared" si="38"/>
        <v>0</v>
      </c>
      <c r="DD638" s="1481"/>
      <c r="DE638" s="1481"/>
      <c r="DF638" s="1481"/>
      <c r="DG638" s="1482"/>
      <c r="DH638" s="1480">
        <f t="shared" si="39"/>
        <v>0</v>
      </c>
      <c r="DI638" s="1481"/>
      <c r="DJ638" s="1481"/>
      <c r="DK638" s="1481"/>
      <c r="DL638" s="1482"/>
      <c r="DM638" s="1480">
        <f t="shared" si="40"/>
        <v>0</v>
      </c>
      <c r="DN638" s="1481"/>
      <c r="DO638" s="1481"/>
      <c r="DP638" s="1481"/>
      <c r="DQ638" s="1482"/>
      <c r="DR638" s="1480">
        <f t="shared" si="41"/>
        <v>0</v>
      </c>
      <c r="DS638" s="1481"/>
      <c r="DT638" s="1481"/>
      <c r="DU638" s="1481"/>
      <c r="DV638" s="1482"/>
      <c r="DX638" s="1825" t="e">
        <f t="shared" si="23"/>
        <v>#VALUE!</v>
      </c>
      <c r="DY638" s="1825"/>
      <c r="DZ638" s="1825"/>
      <c r="EA638" s="1825"/>
      <c r="EB638" s="1825"/>
      <c r="EC638" s="1825" t="e">
        <f t="shared" si="24"/>
        <v>#VALUE!</v>
      </c>
      <c r="ED638" s="1825"/>
      <c r="EE638" s="1825"/>
      <c r="EF638" s="1825"/>
      <c r="EG638" s="1825"/>
      <c r="EH638" s="1825" t="e">
        <f t="shared" si="25"/>
        <v>#VALUE!</v>
      </c>
      <c r="EI638" s="1825"/>
      <c r="EJ638" s="1825"/>
      <c r="EK638" s="1825"/>
      <c r="EL638" s="1825"/>
      <c r="EM638" s="1825" t="e">
        <f t="shared" si="26"/>
        <v>#VALUE!</v>
      </c>
      <c r="EN638" s="1825"/>
      <c r="EO638" s="1825"/>
      <c r="EP638" s="1825"/>
      <c r="EQ638" s="1825"/>
      <c r="ER638" s="1825" t="e">
        <f t="shared" si="27"/>
        <v>#VALUE!</v>
      </c>
      <c r="ES638" s="1825"/>
      <c r="ET638" s="1825"/>
      <c r="EU638" s="1825"/>
      <c r="EV638" s="1825"/>
      <c r="EW638" s="1825" t="e">
        <f t="shared" si="28"/>
        <v>#VALUE!</v>
      </c>
      <c r="EX638" s="1825"/>
      <c r="EY638" s="1825"/>
      <c r="EZ638" s="1825"/>
      <c r="FA638" s="1825"/>
    </row>
    <row r="639" spans="1:157" ht="13.05" customHeight="1">
      <c r="A639" s="55" t="s">
        <v>113</v>
      </c>
      <c r="B639" t="s">
        <v>472</v>
      </c>
      <c r="G639" s="1485" t="str">
        <f>C623</f>
        <v>U.S Bank Tax Exempt Perm Loan</v>
      </c>
      <c r="H639" s="1485"/>
      <c r="I639" s="1485"/>
      <c r="J639" s="1485"/>
      <c r="K639" s="1485"/>
      <c r="L639" s="1485"/>
      <c r="M639" s="1485"/>
      <c r="N639" s="1485"/>
      <c r="O639" s="1485"/>
      <c r="P639" s="1485"/>
      <c r="Q639" s="1485"/>
      <c r="R639" s="1485"/>
      <c r="S639" s="8"/>
      <c r="T639" s="55" t="s">
        <v>114</v>
      </c>
      <c r="U639" t="s">
        <v>472</v>
      </c>
      <c r="Z639" s="1485" t="str">
        <f>C624</f>
        <v>Seller Carryback Loan</v>
      </c>
      <c r="AA639" s="1485"/>
      <c r="AB639" s="1485"/>
      <c r="AC639" s="1485"/>
      <c r="AD639" s="1485"/>
      <c r="AE639" s="1485"/>
      <c r="AF639" s="1485"/>
      <c r="AG639" s="1485"/>
      <c r="AH639" s="1485"/>
      <c r="AI639" s="1485"/>
      <c r="AJ639" s="1485"/>
      <c r="AK639" s="1485"/>
      <c r="AZ639" s="34"/>
      <c r="BA639" s="34"/>
      <c r="BB639" s="34"/>
      <c r="BC639" s="34"/>
      <c r="BD639" s="34"/>
      <c r="BE639" s="34"/>
      <c r="BF639" s="34"/>
      <c r="BG639" s="34"/>
      <c r="BH639" s="34"/>
      <c r="BI639" s="34"/>
      <c r="BJ639" s="34"/>
      <c r="BK639" s="34"/>
      <c r="BL639" s="34"/>
      <c r="BM639" s="34"/>
      <c r="BN639" s="1480">
        <f t="shared" si="30"/>
        <v>0</v>
      </c>
      <c r="BO639" s="1481"/>
      <c r="BP639" s="1481"/>
      <c r="BQ639" s="1481"/>
      <c r="BR639" s="1482"/>
      <c r="BS639" s="1366">
        <f t="shared" si="31"/>
        <v>0</v>
      </c>
      <c r="BT639" s="1366"/>
      <c r="BU639" s="1366"/>
      <c r="BV639" s="1366"/>
      <c r="BW639" s="1366"/>
      <c r="BX639" s="1366">
        <f t="shared" si="32"/>
        <v>0</v>
      </c>
      <c r="BY639" s="1366"/>
      <c r="BZ639" s="1366"/>
      <c r="CA639" s="1366"/>
      <c r="CB639" s="1366"/>
      <c r="CC639" s="1366">
        <f t="shared" si="33"/>
        <v>0</v>
      </c>
      <c r="CD639" s="1366"/>
      <c r="CE639" s="1366"/>
      <c r="CF639" s="1366"/>
      <c r="CG639" s="1366"/>
      <c r="CH639" s="1366">
        <f t="shared" si="34"/>
        <v>0</v>
      </c>
      <c r="CI639" s="1366"/>
      <c r="CJ639" s="1366"/>
      <c r="CK639" s="1366"/>
      <c r="CL639" s="1366"/>
      <c r="CM639" s="1366">
        <f t="shared" si="35"/>
        <v>0</v>
      </c>
      <c r="CN639" s="1366"/>
      <c r="CO639" s="1366"/>
      <c r="CP639" s="1366"/>
      <c r="CQ639" s="1366"/>
      <c r="CR639" s="6"/>
      <c r="CS639" s="1480">
        <f t="shared" si="36"/>
        <v>0</v>
      </c>
      <c r="CT639" s="1481"/>
      <c r="CU639" s="1481"/>
      <c r="CV639" s="1481"/>
      <c r="CW639" s="1482"/>
      <c r="CX639" s="1480">
        <f t="shared" si="37"/>
        <v>0</v>
      </c>
      <c r="CY639" s="1481"/>
      <c r="CZ639" s="1481"/>
      <c r="DA639" s="1481"/>
      <c r="DB639" s="1482"/>
      <c r="DC639" s="1480">
        <f t="shared" si="38"/>
        <v>0</v>
      </c>
      <c r="DD639" s="1481"/>
      <c r="DE639" s="1481"/>
      <c r="DF639" s="1481"/>
      <c r="DG639" s="1482"/>
      <c r="DH639" s="1480">
        <f t="shared" si="39"/>
        <v>0</v>
      </c>
      <c r="DI639" s="1481"/>
      <c r="DJ639" s="1481"/>
      <c r="DK639" s="1481"/>
      <c r="DL639" s="1482"/>
      <c r="DM639" s="1480">
        <f t="shared" si="40"/>
        <v>0</v>
      </c>
      <c r="DN639" s="1481"/>
      <c r="DO639" s="1481"/>
      <c r="DP639" s="1481"/>
      <c r="DQ639" s="1482"/>
      <c r="DR639" s="1480">
        <f t="shared" si="41"/>
        <v>0</v>
      </c>
      <c r="DS639" s="1481"/>
      <c r="DT639" s="1481"/>
      <c r="DU639" s="1481"/>
      <c r="DV639" s="1482"/>
      <c r="DX639" s="1825" t="e">
        <f t="shared" si="23"/>
        <v>#VALUE!</v>
      </c>
      <c r="DY639" s="1825"/>
      <c r="DZ639" s="1825"/>
      <c r="EA639" s="1825"/>
      <c r="EB639" s="1825"/>
      <c r="EC639" s="1825" t="e">
        <f t="shared" si="24"/>
        <v>#VALUE!</v>
      </c>
      <c r="ED639" s="1825"/>
      <c r="EE639" s="1825"/>
      <c r="EF639" s="1825"/>
      <c r="EG639" s="1825"/>
      <c r="EH639" s="1825" t="e">
        <f t="shared" si="25"/>
        <v>#VALUE!</v>
      </c>
      <c r="EI639" s="1825"/>
      <c r="EJ639" s="1825"/>
      <c r="EK639" s="1825"/>
      <c r="EL639" s="1825"/>
      <c r="EM639" s="1825" t="e">
        <f t="shared" si="26"/>
        <v>#VALUE!</v>
      </c>
      <c r="EN639" s="1825"/>
      <c r="EO639" s="1825"/>
      <c r="EP639" s="1825"/>
      <c r="EQ639" s="1825"/>
      <c r="ER639" s="1825" t="e">
        <f t="shared" si="27"/>
        <v>#VALUE!</v>
      </c>
      <c r="ES639" s="1825"/>
      <c r="ET639" s="1825"/>
      <c r="EU639" s="1825"/>
      <c r="EV639" s="1825"/>
      <c r="EW639" s="1825" t="e">
        <f t="shared" si="28"/>
        <v>#VALUE!</v>
      </c>
      <c r="EX639" s="1825"/>
      <c r="EY639" s="1825"/>
      <c r="EZ639" s="1825"/>
      <c r="FA639" s="1825"/>
    </row>
    <row r="640" spans="1:157" ht="13.05" customHeight="1">
      <c r="A640" s="22"/>
      <c r="B640" t="s">
        <v>86</v>
      </c>
      <c r="G640" s="1365" t="str">
        <f>G565</f>
        <v>300 Pringle, Ste 200</v>
      </c>
      <c r="H640" s="1365"/>
      <c r="I640" s="1365"/>
      <c r="J640" s="1365"/>
      <c r="K640" s="1365"/>
      <c r="L640" s="1365"/>
      <c r="M640" s="1365"/>
      <c r="N640" s="1365"/>
      <c r="O640" s="1365"/>
      <c r="P640" s="1365"/>
      <c r="Q640" s="1365"/>
      <c r="R640" s="1365"/>
      <c r="S640" s="8"/>
      <c r="T640" s="22"/>
      <c r="U640" t="s">
        <v>86</v>
      </c>
      <c r="Z640" s="1365" t="s">
        <v>2635</v>
      </c>
      <c r="AA640" s="1365"/>
      <c r="AB640" s="1365"/>
      <c r="AC640" s="1365"/>
      <c r="AD640" s="1365"/>
      <c r="AE640" s="1365"/>
      <c r="AF640" s="1365"/>
      <c r="AG640" s="1365"/>
      <c r="AH640" s="1365"/>
      <c r="AI640" s="1365"/>
      <c r="AJ640" s="1365"/>
      <c r="AK640" s="1365"/>
      <c r="AZ640" s="34"/>
      <c r="BA640" s="34"/>
      <c r="BB640" s="34"/>
      <c r="BC640" s="34"/>
      <c r="BD640" s="34"/>
      <c r="BE640" s="34"/>
      <c r="BF640" s="34"/>
      <c r="BG640" s="34"/>
      <c r="BH640" s="34"/>
      <c r="BI640" s="34"/>
      <c r="BJ640" s="34"/>
      <c r="BK640" s="34"/>
      <c r="BL640" s="34"/>
      <c r="BM640" s="34"/>
      <c r="BN640" s="1480">
        <f t="shared" si="30"/>
        <v>0</v>
      </c>
      <c r="BO640" s="1481"/>
      <c r="BP640" s="1481"/>
      <c r="BQ640" s="1481"/>
      <c r="BR640" s="1482"/>
      <c r="BS640" s="1366">
        <f t="shared" si="31"/>
        <v>0</v>
      </c>
      <c r="BT640" s="1366"/>
      <c r="BU640" s="1366"/>
      <c r="BV640" s="1366"/>
      <c r="BW640" s="1366"/>
      <c r="BX640" s="1366">
        <f t="shared" si="32"/>
        <v>0</v>
      </c>
      <c r="BY640" s="1366"/>
      <c r="BZ640" s="1366"/>
      <c r="CA640" s="1366"/>
      <c r="CB640" s="1366"/>
      <c r="CC640" s="1366">
        <f t="shared" si="33"/>
        <v>0</v>
      </c>
      <c r="CD640" s="1366"/>
      <c r="CE640" s="1366"/>
      <c r="CF640" s="1366"/>
      <c r="CG640" s="1366"/>
      <c r="CH640" s="1366">
        <f t="shared" si="34"/>
        <v>0</v>
      </c>
      <c r="CI640" s="1366"/>
      <c r="CJ640" s="1366"/>
      <c r="CK640" s="1366"/>
      <c r="CL640" s="1366"/>
      <c r="CM640" s="1366">
        <f t="shared" si="35"/>
        <v>0</v>
      </c>
      <c r="CN640" s="1366"/>
      <c r="CO640" s="1366"/>
      <c r="CP640" s="1366"/>
      <c r="CQ640" s="1366"/>
      <c r="CR640" s="6"/>
      <c r="CS640" s="1480">
        <f t="shared" si="36"/>
        <v>0</v>
      </c>
      <c r="CT640" s="1481"/>
      <c r="CU640" s="1481"/>
      <c r="CV640" s="1481"/>
      <c r="CW640" s="1482"/>
      <c r="CX640" s="1480">
        <f t="shared" si="37"/>
        <v>0</v>
      </c>
      <c r="CY640" s="1481"/>
      <c r="CZ640" s="1481"/>
      <c r="DA640" s="1481"/>
      <c r="DB640" s="1482"/>
      <c r="DC640" s="1480">
        <f t="shared" si="38"/>
        <v>0</v>
      </c>
      <c r="DD640" s="1481"/>
      <c r="DE640" s="1481"/>
      <c r="DF640" s="1481"/>
      <c r="DG640" s="1482"/>
      <c r="DH640" s="1480">
        <f t="shared" si="39"/>
        <v>0</v>
      </c>
      <c r="DI640" s="1481"/>
      <c r="DJ640" s="1481"/>
      <c r="DK640" s="1481"/>
      <c r="DL640" s="1482"/>
      <c r="DM640" s="1480">
        <f t="shared" si="40"/>
        <v>0</v>
      </c>
      <c r="DN640" s="1481"/>
      <c r="DO640" s="1481"/>
      <c r="DP640" s="1481"/>
      <c r="DQ640" s="1482"/>
      <c r="DR640" s="1480">
        <f t="shared" si="41"/>
        <v>0</v>
      </c>
      <c r="DS640" s="1481"/>
      <c r="DT640" s="1481"/>
      <c r="DU640" s="1481"/>
      <c r="DV640" s="1482"/>
      <c r="DX640" s="1825" t="e">
        <f t="shared" si="23"/>
        <v>#VALUE!</v>
      </c>
      <c r="DY640" s="1825"/>
      <c r="DZ640" s="1825"/>
      <c r="EA640" s="1825"/>
      <c r="EB640" s="1825"/>
      <c r="EC640" s="1825" t="e">
        <f t="shared" si="24"/>
        <v>#VALUE!</v>
      </c>
      <c r="ED640" s="1825"/>
      <c r="EE640" s="1825"/>
      <c r="EF640" s="1825"/>
      <c r="EG640" s="1825"/>
      <c r="EH640" s="1825" t="e">
        <f t="shared" si="25"/>
        <v>#VALUE!</v>
      </c>
      <c r="EI640" s="1825"/>
      <c r="EJ640" s="1825"/>
      <c r="EK640" s="1825"/>
      <c r="EL640" s="1825"/>
      <c r="EM640" s="1825" t="e">
        <f t="shared" si="26"/>
        <v>#VALUE!</v>
      </c>
      <c r="EN640" s="1825"/>
      <c r="EO640" s="1825"/>
      <c r="EP640" s="1825"/>
      <c r="EQ640" s="1825"/>
      <c r="ER640" s="1825" t="e">
        <f t="shared" si="27"/>
        <v>#VALUE!</v>
      </c>
      <c r="ES640" s="1825"/>
      <c r="ET640" s="1825"/>
      <c r="EU640" s="1825"/>
      <c r="EV640" s="1825"/>
      <c r="EW640" s="1825" t="e">
        <f t="shared" si="28"/>
        <v>#VALUE!</v>
      </c>
      <c r="EX640" s="1825"/>
      <c r="EY640" s="1825"/>
      <c r="EZ640" s="1825"/>
      <c r="FA640" s="1825"/>
    </row>
    <row r="641" spans="1:157" ht="13.05" customHeight="1">
      <c r="A641" s="22"/>
      <c r="B641" t="s">
        <v>589</v>
      </c>
      <c r="G641" s="1365" t="str">
        <f>G566</f>
        <v>Walnut Creek</v>
      </c>
      <c r="H641" s="1365"/>
      <c r="I641" s="1365"/>
      <c r="J641" s="1365"/>
      <c r="K641" s="1365"/>
      <c r="L641" s="1365"/>
      <c r="M641" s="1365"/>
      <c r="N641" s="1365"/>
      <c r="O641" s="1365"/>
      <c r="P641" s="1365"/>
      <c r="Q641" s="1365"/>
      <c r="R641" s="1365"/>
      <c r="T641" s="22"/>
      <c r="U641" t="s">
        <v>589</v>
      </c>
      <c r="Z641" s="1337" t="s">
        <v>2636</v>
      </c>
      <c r="AA641" s="1337"/>
      <c r="AB641" s="1337"/>
      <c r="AC641" s="1337"/>
      <c r="AD641" s="1337"/>
      <c r="AE641" s="1337"/>
      <c r="AF641" s="1337"/>
      <c r="AG641" s="1337"/>
      <c r="AH641" s="1337"/>
      <c r="AI641" s="1337"/>
      <c r="AJ641" s="1337"/>
      <c r="AK641" s="1337"/>
      <c r="AZ641" s="34"/>
      <c r="BA641" s="34"/>
      <c r="BB641" s="34"/>
      <c r="BC641" s="34"/>
      <c r="BD641" s="34"/>
      <c r="BE641" s="34"/>
      <c r="BF641" s="34"/>
      <c r="BG641" s="34"/>
      <c r="BH641" s="34"/>
      <c r="BI641" s="34"/>
      <c r="BJ641" s="34"/>
      <c r="BK641" s="34"/>
      <c r="BL641" s="34"/>
      <c r="BM641" s="34"/>
      <c r="BN641" s="1480">
        <f t="shared" si="30"/>
        <v>0</v>
      </c>
      <c r="BO641" s="1481"/>
      <c r="BP641" s="1481"/>
      <c r="BQ641" s="1481"/>
      <c r="BR641" s="1482"/>
      <c r="BS641" s="1366">
        <f t="shared" si="31"/>
        <v>0</v>
      </c>
      <c r="BT641" s="1366"/>
      <c r="BU641" s="1366"/>
      <c r="BV641" s="1366"/>
      <c r="BW641" s="1366"/>
      <c r="BX641" s="1366">
        <f t="shared" si="32"/>
        <v>0</v>
      </c>
      <c r="BY641" s="1366"/>
      <c r="BZ641" s="1366"/>
      <c r="CA641" s="1366"/>
      <c r="CB641" s="1366"/>
      <c r="CC641" s="1366">
        <f t="shared" si="33"/>
        <v>0</v>
      </c>
      <c r="CD641" s="1366"/>
      <c r="CE641" s="1366"/>
      <c r="CF641" s="1366"/>
      <c r="CG641" s="1366"/>
      <c r="CH641" s="1366">
        <f t="shared" si="34"/>
        <v>0</v>
      </c>
      <c r="CI641" s="1366"/>
      <c r="CJ641" s="1366"/>
      <c r="CK641" s="1366"/>
      <c r="CL641" s="1366"/>
      <c r="CM641" s="1366">
        <f t="shared" si="35"/>
        <v>0</v>
      </c>
      <c r="CN641" s="1366"/>
      <c r="CO641" s="1366"/>
      <c r="CP641" s="1366"/>
      <c r="CQ641" s="1366"/>
      <c r="CR641" s="6"/>
      <c r="CS641" s="1480">
        <f t="shared" si="36"/>
        <v>0</v>
      </c>
      <c r="CT641" s="1481"/>
      <c r="CU641" s="1481"/>
      <c r="CV641" s="1481"/>
      <c r="CW641" s="1482"/>
      <c r="CX641" s="1480">
        <f t="shared" si="37"/>
        <v>0</v>
      </c>
      <c r="CY641" s="1481"/>
      <c r="CZ641" s="1481"/>
      <c r="DA641" s="1481"/>
      <c r="DB641" s="1482"/>
      <c r="DC641" s="1480">
        <f t="shared" si="38"/>
        <v>0</v>
      </c>
      <c r="DD641" s="1481"/>
      <c r="DE641" s="1481"/>
      <c r="DF641" s="1481"/>
      <c r="DG641" s="1482"/>
      <c r="DH641" s="1480">
        <f t="shared" si="39"/>
        <v>0</v>
      </c>
      <c r="DI641" s="1481"/>
      <c r="DJ641" s="1481"/>
      <c r="DK641" s="1481"/>
      <c r="DL641" s="1482"/>
      <c r="DM641" s="1480">
        <f t="shared" si="40"/>
        <v>0</v>
      </c>
      <c r="DN641" s="1481"/>
      <c r="DO641" s="1481"/>
      <c r="DP641" s="1481"/>
      <c r="DQ641" s="1482"/>
      <c r="DR641" s="1480">
        <f t="shared" si="41"/>
        <v>0</v>
      </c>
      <c r="DS641" s="1481"/>
      <c r="DT641" s="1481"/>
      <c r="DU641" s="1481"/>
      <c r="DV641" s="1482"/>
      <c r="DX641" s="1825" t="e">
        <f t="shared" si="23"/>
        <v>#VALUE!</v>
      </c>
      <c r="DY641" s="1825"/>
      <c r="DZ641" s="1825"/>
      <c r="EA641" s="1825"/>
      <c r="EB641" s="1825"/>
      <c r="EC641" s="1825" t="e">
        <f t="shared" si="24"/>
        <v>#VALUE!</v>
      </c>
      <c r="ED641" s="1825"/>
      <c r="EE641" s="1825"/>
      <c r="EF641" s="1825"/>
      <c r="EG641" s="1825"/>
      <c r="EH641" s="1825" t="e">
        <f t="shared" si="25"/>
        <v>#VALUE!</v>
      </c>
      <c r="EI641" s="1825"/>
      <c r="EJ641" s="1825"/>
      <c r="EK641" s="1825"/>
      <c r="EL641" s="1825"/>
      <c r="EM641" s="1825" t="e">
        <f t="shared" si="26"/>
        <v>#VALUE!</v>
      </c>
      <c r="EN641" s="1825"/>
      <c r="EO641" s="1825"/>
      <c r="EP641" s="1825"/>
      <c r="EQ641" s="1825"/>
      <c r="ER641" s="1825" t="e">
        <f t="shared" si="27"/>
        <v>#VALUE!</v>
      </c>
      <c r="ES641" s="1825"/>
      <c r="ET641" s="1825"/>
      <c r="EU641" s="1825"/>
      <c r="EV641" s="1825"/>
      <c r="EW641" s="1825" t="e">
        <f t="shared" si="28"/>
        <v>#VALUE!</v>
      </c>
      <c r="EX641" s="1825"/>
      <c r="EY641" s="1825"/>
      <c r="EZ641" s="1825"/>
      <c r="FA641" s="1825"/>
    </row>
    <row r="642" spans="1:157" ht="13.05" customHeight="1">
      <c r="A642" s="22"/>
      <c r="B642" t="s">
        <v>17</v>
      </c>
      <c r="G642" s="1365" t="str">
        <f>G567</f>
        <v>Joshua Evju</v>
      </c>
      <c r="H642" s="1365"/>
      <c r="I642" s="1365"/>
      <c r="J642" s="1365"/>
      <c r="K642" s="1365"/>
      <c r="L642" s="1365"/>
      <c r="M642" s="1365"/>
      <c r="N642" s="1365"/>
      <c r="O642" s="1365"/>
      <c r="P642" s="1365"/>
      <c r="Q642" s="1365"/>
      <c r="R642" s="1365"/>
      <c r="S642" s="8"/>
      <c r="T642" s="22"/>
      <c r="U642" t="s">
        <v>17</v>
      </c>
      <c r="Z642" s="1337" t="s">
        <v>2701</v>
      </c>
      <c r="AA642" s="1337"/>
      <c r="AB642" s="1337"/>
      <c r="AC642" s="1337"/>
      <c r="AD642" s="1337"/>
      <c r="AE642" s="1337"/>
      <c r="AF642" s="1337"/>
      <c r="AG642" s="1337"/>
      <c r="AH642" s="1337"/>
      <c r="AI642" s="1337"/>
      <c r="AJ642" s="1337"/>
      <c r="AK642" s="1337"/>
      <c r="AZ642" s="34"/>
      <c r="BA642" s="34"/>
      <c r="BB642" s="34"/>
      <c r="BC642" s="34"/>
      <c r="BD642" s="34"/>
      <c r="BE642" s="34"/>
      <c r="BF642" s="34"/>
      <c r="BG642" s="34"/>
      <c r="BH642" s="34"/>
      <c r="BI642" s="34"/>
      <c r="BJ642" s="34"/>
      <c r="BK642" s="34"/>
      <c r="BL642" s="34"/>
      <c r="BM642" s="34"/>
      <c r="BN642" s="1480">
        <f t="shared" si="30"/>
        <v>0</v>
      </c>
      <c r="BO642" s="1481"/>
      <c r="BP642" s="1481"/>
      <c r="BQ642" s="1481"/>
      <c r="BR642" s="1482"/>
      <c r="BS642" s="1366">
        <f t="shared" si="31"/>
        <v>0</v>
      </c>
      <c r="BT642" s="1366"/>
      <c r="BU642" s="1366"/>
      <c r="BV642" s="1366"/>
      <c r="BW642" s="1366"/>
      <c r="BX642" s="1366">
        <f t="shared" si="32"/>
        <v>0</v>
      </c>
      <c r="BY642" s="1366"/>
      <c r="BZ642" s="1366"/>
      <c r="CA642" s="1366"/>
      <c r="CB642" s="1366"/>
      <c r="CC642" s="1366">
        <f t="shared" si="33"/>
        <v>0</v>
      </c>
      <c r="CD642" s="1366"/>
      <c r="CE642" s="1366"/>
      <c r="CF642" s="1366"/>
      <c r="CG642" s="1366"/>
      <c r="CH642" s="1366">
        <f t="shared" si="34"/>
        <v>0</v>
      </c>
      <c r="CI642" s="1366"/>
      <c r="CJ642" s="1366"/>
      <c r="CK642" s="1366"/>
      <c r="CL642" s="1366"/>
      <c r="CM642" s="1366">
        <f t="shared" si="35"/>
        <v>0</v>
      </c>
      <c r="CN642" s="1366"/>
      <c r="CO642" s="1366"/>
      <c r="CP642" s="1366"/>
      <c r="CQ642" s="1366"/>
      <c r="CR642" s="6"/>
      <c r="CS642" s="1480">
        <f t="shared" si="36"/>
        <v>0</v>
      </c>
      <c r="CT642" s="1481"/>
      <c r="CU642" s="1481"/>
      <c r="CV642" s="1481"/>
      <c r="CW642" s="1482"/>
      <c r="CX642" s="1480">
        <f t="shared" si="37"/>
        <v>0</v>
      </c>
      <c r="CY642" s="1481"/>
      <c r="CZ642" s="1481"/>
      <c r="DA642" s="1481"/>
      <c r="DB642" s="1482"/>
      <c r="DC642" s="1480">
        <f t="shared" si="38"/>
        <v>0</v>
      </c>
      <c r="DD642" s="1481"/>
      <c r="DE642" s="1481"/>
      <c r="DF642" s="1481"/>
      <c r="DG642" s="1482"/>
      <c r="DH642" s="1480">
        <f t="shared" si="39"/>
        <v>0</v>
      </c>
      <c r="DI642" s="1481"/>
      <c r="DJ642" s="1481"/>
      <c r="DK642" s="1481"/>
      <c r="DL642" s="1482"/>
      <c r="DM642" s="1480">
        <f t="shared" si="40"/>
        <v>0</v>
      </c>
      <c r="DN642" s="1481"/>
      <c r="DO642" s="1481"/>
      <c r="DP642" s="1481"/>
      <c r="DQ642" s="1482"/>
      <c r="DR642" s="1480">
        <f t="shared" si="41"/>
        <v>0</v>
      </c>
      <c r="DS642" s="1481"/>
      <c r="DT642" s="1481"/>
      <c r="DU642" s="1481"/>
      <c r="DV642" s="1482"/>
      <c r="DX642" s="1825" t="e">
        <f t="shared" si="23"/>
        <v>#VALUE!</v>
      </c>
      <c r="DY642" s="1825"/>
      <c r="DZ642" s="1825"/>
      <c r="EA642" s="1825"/>
      <c r="EB642" s="1825"/>
      <c r="EC642" s="1825" t="e">
        <f t="shared" si="24"/>
        <v>#VALUE!</v>
      </c>
      <c r="ED642" s="1825"/>
      <c r="EE642" s="1825"/>
      <c r="EF642" s="1825"/>
      <c r="EG642" s="1825"/>
      <c r="EH642" s="1825" t="e">
        <f t="shared" si="25"/>
        <v>#VALUE!</v>
      </c>
      <c r="EI642" s="1825"/>
      <c r="EJ642" s="1825"/>
      <c r="EK642" s="1825"/>
      <c r="EL642" s="1825"/>
      <c r="EM642" s="1825" t="e">
        <f t="shared" si="26"/>
        <v>#VALUE!</v>
      </c>
      <c r="EN642" s="1825"/>
      <c r="EO642" s="1825"/>
      <c r="EP642" s="1825"/>
      <c r="EQ642" s="1825"/>
      <c r="ER642" s="1825" t="e">
        <f t="shared" si="27"/>
        <v>#VALUE!</v>
      </c>
      <c r="ES642" s="1825"/>
      <c r="ET642" s="1825"/>
      <c r="EU642" s="1825"/>
      <c r="EV642" s="1825"/>
      <c r="EW642" s="1825" t="e">
        <f t="shared" si="28"/>
        <v>#VALUE!</v>
      </c>
      <c r="EX642" s="1825"/>
      <c r="EY642" s="1825"/>
      <c r="EZ642" s="1825"/>
      <c r="FA642" s="1825"/>
    </row>
    <row r="643" spans="1:157" ht="13.05" customHeight="1">
      <c r="A643" s="22"/>
      <c r="B643" t="s">
        <v>317</v>
      </c>
      <c r="G643" s="1408" t="str">
        <f>G568</f>
        <v>925.947.2491</v>
      </c>
      <c r="H643" s="1408"/>
      <c r="I643" s="1408"/>
      <c r="J643" s="1408"/>
      <c r="K643" s="1408"/>
      <c r="L643" s="1408"/>
      <c r="O643" s="33" t="s">
        <v>207</v>
      </c>
      <c r="P643" s="1436"/>
      <c r="Q643" s="1436"/>
      <c r="R643" s="1436"/>
      <c r="S643" s="10"/>
      <c r="T643" s="22"/>
      <c r="U643" t="s">
        <v>317</v>
      </c>
      <c r="Z643" s="1486" t="s">
        <v>2725</v>
      </c>
      <c r="AA643" s="1408"/>
      <c r="AB643" s="1408"/>
      <c r="AC643" s="1408"/>
      <c r="AD643" s="1408"/>
      <c r="AE643" s="1408"/>
      <c r="AH643" s="33" t="s">
        <v>207</v>
      </c>
      <c r="AI643" s="1436"/>
      <c r="AJ643" s="1436"/>
      <c r="AK643" s="1436"/>
      <c r="AZ643" s="34"/>
      <c r="BA643" s="34"/>
      <c r="BB643" s="34"/>
      <c r="BC643" s="34"/>
      <c r="BD643" s="34"/>
      <c r="BE643" s="34"/>
      <c r="BF643" s="34"/>
      <c r="BG643" s="34"/>
      <c r="BH643" s="34"/>
      <c r="BI643" s="34"/>
      <c r="BJ643" s="34"/>
      <c r="BK643" s="34"/>
      <c r="BL643" s="34"/>
      <c r="BM643" s="34"/>
      <c r="BN643" s="1480">
        <f t="shared" si="30"/>
        <v>0</v>
      </c>
      <c r="BO643" s="1481"/>
      <c r="BP643" s="1481"/>
      <c r="BQ643" s="1481"/>
      <c r="BR643" s="1482"/>
      <c r="BS643" s="1366">
        <f t="shared" si="31"/>
        <v>0</v>
      </c>
      <c r="BT643" s="1366"/>
      <c r="BU643" s="1366"/>
      <c r="BV643" s="1366"/>
      <c r="BW643" s="1366"/>
      <c r="BX643" s="1366">
        <f t="shared" si="32"/>
        <v>0</v>
      </c>
      <c r="BY643" s="1366"/>
      <c r="BZ643" s="1366"/>
      <c r="CA643" s="1366"/>
      <c r="CB643" s="1366"/>
      <c r="CC643" s="1366">
        <f t="shared" si="33"/>
        <v>0</v>
      </c>
      <c r="CD643" s="1366"/>
      <c r="CE643" s="1366"/>
      <c r="CF643" s="1366"/>
      <c r="CG643" s="1366"/>
      <c r="CH643" s="1366">
        <f t="shared" si="34"/>
        <v>0</v>
      </c>
      <c r="CI643" s="1366"/>
      <c r="CJ643" s="1366"/>
      <c r="CK643" s="1366"/>
      <c r="CL643" s="1366"/>
      <c r="CM643" s="1366">
        <f t="shared" si="35"/>
        <v>0</v>
      </c>
      <c r="CN643" s="1366"/>
      <c r="CO643" s="1366"/>
      <c r="CP643" s="1366"/>
      <c r="CQ643" s="1366"/>
      <c r="CR643" s="6"/>
      <c r="CS643" s="1480">
        <f t="shared" si="36"/>
        <v>0</v>
      </c>
      <c r="CT643" s="1481"/>
      <c r="CU643" s="1481"/>
      <c r="CV643" s="1481"/>
      <c r="CW643" s="1482"/>
      <c r="CX643" s="1480">
        <f t="shared" si="37"/>
        <v>0</v>
      </c>
      <c r="CY643" s="1481"/>
      <c r="CZ643" s="1481"/>
      <c r="DA643" s="1481"/>
      <c r="DB643" s="1482"/>
      <c r="DC643" s="1480">
        <f t="shared" si="38"/>
        <v>0</v>
      </c>
      <c r="DD643" s="1481"/>
      <c r="DE643" s="1481"/>
      <c r="DF643" s="1481"/>
      <c r="DG643" s="1482"/>
      <c r="DH643" s="1480">
        <f t="shared" si="39"/>
        <v>0</v>
      </c>
      <c r="DI643" s="1481"/>
      <c r="DJ643" s="1481"/>
      <c r="DK643" s="1481"/>
      <c r="DL643" s="1482"/>
      <c r="DM643" s="1480">
        <f t="shared" si="40"/>
        <v>0</v>
      </c>
      <c r="DN643" s="1481"/>
      <c r="DO643" s="1481"/>
      <c r="DP643" s="1481"/>
      <c r="DQ643" s="1482"/>
      <c r="DR643" s="1480">
        <f t="shared" si="41"/>
        <v>0</v>
      </c>
      <c r="DS643" s="1481"/>
      <c r="DT643" s="1481"/>
      <c r="DU643" s="1481"/>
      <c r="DV643" s="1482"/>
      <c r="DX643" s="1825" t="e">
        <f t="shared" si="23"/>
        <v>#VALUE!</v>
      </c>
      <c r="DY643" s="1825"/>
      <c r="DZ643" s="1825"/>
      <c r="EA643" s="1825"/>
      <c r="EB643" s="1825"/>
      <c r="EC643" s="1825" t="e">
        <f t="shared" si="24"/>
        <v>#VALUE!</v>
      </c>
      <c r="ED643" s="1825"/>
      <c r="EE643" s="1825"/>
      <c r="EF643" s="1825"/>
      <c r="EG643" s="1825"/>
      <c r="EH643" s="1825" t="e">
        <f t="shared" si="25"/>
        <v>#VALUE!</v>
      </c>
      <c r="EI643" s="1825"/>
      <c r="EJ643" s="1825"/>
      <c r="EK643" s="1825"/>
      <c r="EL643" s="1825"/>
      <c r="EM643" s="1825" t="e">
        <f t="shared" si="26"/>
        <v>#VALUE!</v>
      </c>
      <c r="EN643" s="1825"/>
      <c r="EO643" s="1825"/>
      <c r="EP643" s="1825"/>
      <c r="EQ643" s="1825"/>
      <c r="ER643" s="1825" t="e">
        <f t="shared" si="27"/>
        <v>#VALUE!</v>
      </c>
      <c r="ES643" s="1825"/>
      <c r="ET643" s="1825"/>
      <c r="EU643" s="1825"/>
      <c r="EV643" s="1825"/>
      <c r="EW643" s="1825" t="e">
        <f t="shared" si="28"/>
        <v>#VALUE!</v>
      </c>
      <c r="EX643" s="1825"/>
      <c r="EY643" s="1825"/>
      <c r="EZ643" s="1825"/>
      <c r="FA643" s="1825"/>
    </row>
    <row r="644" spans="1:157" ht="13.05" customHeight="1">
      <c r="A644" s="22"/>
      <c r="B644" t="s">
        <v>18</v>
      </c>
      <c r="H644" s="1365" t="s">
        <v>2756</v>
      </c>
      <c r="I644" s="1365"/>
      <c r="J644" s="1365"/>
      <c r="K644" s="1365"/>
      <c r="L644" s="1365"/>
      <c r="M644" s="1365"/>
      <c r="N644" s="1365"/>
      <c r="O644" s="1365"/>
      <c r="P644" s="1365"/>
      <c r="Q644" s="1365"/>
      <c r="R644" s="1365"/>
      <c r="S644" s="8"/>
      <c r="T644" s="22"/>
      <c r="U644" t="s">
        <v>18</v>
      </c>
      <c r="AA644" s="1365" t="s">
        <v>2741</v>
      </c>
      <c r="AB644" s="1365"/>
      <c r="AC644" s="1365"/>
      <c r="AD644" s="1365"/>
      <c r="AE644" s="1365"/>
      <c r="AF644" s="1365"/>
      <c r="AG644" s="1365"/>
      <c r="AH644" s="1365"/>
      <c r="AI644" s="1365"/>
      <c r="AJ644" s="1365"/>
      <c r="AK644" s="1365"/>
      <c r="AZ644" s="34"/>
      <c r="BA644" s="34"/>
      <c r="BB644" s="34"/>
      <c r="BC644" s="34"/>
      <c r="BD644" s="34"/>
      <c r="BE644" s="34"/>
      <c r="BF644" s="34"/>
      <c r="BG644" s="34"/>
      <c r="BH644" s="34"/>
      <c r="BI644" s="34"/>
      <c r="BJ644" s="34"/>
      <c r="BK644" s="34"/>
      <c r="BL644" s="34"/>
      <c r="BM644" s="34"/>
      <c r="BN644" s="1469">
        <f>SUM(BN634:BR643)</f>
        <v>0</v>
      </c>
      <c r="BO644" s="1483"/>
      <c r="BP644" s="1483"/>
      <c r="BQ644" s="1483"/>
      <c r="BR644" s="1470"/>
      <c r="BS644" s="1675">
        <f>SUM(BS634:BW643)</f>
        <v>0</v>
      </c>
      <c r="BT644" s="1676"/>
      <c r="BU644" s="1676"/>
      <c r="BV644" s="1676"/>
      <c r="BW644" s="1677"/>
      <c r="BX644" s="1675">
        <f>SUM(BX634:CB643)</f>
        <v>0</v>
      </c>
      <c r="BY644" s="1676"/>
      <c r="BZ644" s="1676"/>
      <c r="CA644" s="1676"/>
      <c r="CB644" s="1677"/>
      <c r="CC644" s="1675">
        <f>SUM(CC634:CG643)</f>
        <v>0</v>
      </c>
      <c r="CD644" s="1676"/>
      <c r="CE644" s="1676"/>
      <c r="CF644" s="1676"/>
      <c r="CG644" s="1677"/>
      <c r="CH644" s="1675">
        <f>SUM(CH634:CL643)</f>
        <v>0</v>
      </c>
      <c r="CI644" s="1676"/>
      <c r="CJ644" s="1676"/>
      <c r="CK644" s="1676"/>
      <c r="CL644" s="1677"/>
      <c r="CM644" s="1675">
        <f>SUM(CM634:CQ643)</f>
        <v>0</v>
      </c>
      <c r="CN644" s="1676"/>
      <c r="CO644" s="1676"/>
      <c r="CP644" s="1676"/>
      <c r="CQ644" s="1677"/>
      <c r="CR644" s="1049"/>
      <c r="CS644" s="1673">
        <f>SUM(CS634:CW643)</f>
        <v>0</v>
      </c>
      <c r="CT644" s="1673"/>
      <c r="CU644" s="1673"/>
      <c r="CV644" s="1673"/>
      <c r="CW644" s="1673"/>
      <c r="CX644" s="1673">
        <f>SUM(CX634:DB643)</f>
        <v>0</v>
      </c>
      <c r="CY644" s="1673"/>
      <c r="CZ644" s="1673"/>
      <c r="DA644" s="1673"/>
      <c r="DB644" s="1673"/>
      <c r="DC644" s="1673">
        <f>SUM(DC634:DG643)</f>
        <v>0</v>
      </c>
      <c r="DD644" s="1673"/>
      <c r="DE644" s="1673"/>
      <c r="DF644" s="1673"/>
      <c r="DG644" s="1673"/>
      <c r="DH644" s="1673">
        <f>SUM(DH634:DL643)</f>
        <v>0</v>
      </c>
      <c r="DI644" s="1673"/>
      <c r="DJ644" s="1673"/>
      <c r="DK644" s="1673"/>
      <c r="DL644" s="1673"/>
      <c r="DM644" s="1673">
        <f>SUM(DM634:DQ643)</f>
        <v>0</v>
      </c>
      <c r="DN644" s="1673"/>
      <c r="DO644" s="1673"/>
      <c r="DP644" s="1673"/>
      <c r="DQ644" s="1673"/>
      <c r="DR644" s="1673">
        <f>SUM(DR634:DV643)</f>
        <v>0</v>
      </c>
      <c r="DS644" s="1673"/>
      <c r="DT644" s="1673"/>
      <c r="DU644" s="1673"/>
      <c r="DV644" s="1673"/>
      <c r="DX644" s="1825" t="e">
        <f t="shared" si="23"/>
        <v>#VALUE!</v>
      </c>
      <c r="DY644" s="1825"/>
      <c r="DZ644" s="1825"/>
      <c r="EA644" s="1825"/>
      <c r="EB644" s="1825"/>
      <c r="EC644" s="1825" t="e">
        <f t="shared" si="24"/>
        <v>#VALUE!</v>
      </c>
      <c r="ED644" s="1825"/>
      <c r="EE644" s="1825"/>
      <c r="EF644" s="1825"/>
      <c r="EG644" s="1825"/>
      <c r="EH644" s="1825" t="e">
        <f t="shared" si="25"/>
        <v>#VALUE!</v>
      </c>
      <c r="EI644" s="1825"/>
      <c r="EJ644" s="1825"/>
      <c r="EK644" s="1825"/>
      <c r="EL644" s="1825"/>
      <c r="EM644" s="1825" t="e">
        <f t="shared" si="26"/>
        <v>#VALUE!</v>
      </c>
      <c r="EN644" s="1825"/>
      <c r="EO644" s="1825"/>
      <c r="EP644" s="1825"/>
      <c r="EQ644" s="1825"/>
      <c r="ER644" s="1825" t="e">
        <f t="shared" si="27"/>
        <v>#VALUE!</v>
      </c>
      <c r="ES644" s="1825"/>
      <c r="ET644" s="1825"/>
      <c r="EU644" s="1825"/>
      <c r="EV644" s="1825"/>
      <c r="EW644" s="1825" t="e">
        <f t="shared" si="28"/>
        <v>#VALUE!</v>
      </c>
      <c r="EX644" s="1825"/>
      <c r="EY644" s="1825"/>
      <c r="EZ644" s="1825"/>
      <c r="FA644" s="1825"/>
    </row>
    <row r="645" spans="1:157" ht="13.05" customHeight="1">
      <c r="A645" s="22"/>
      <c r="B645" t="s">
        <v>20</v>
      </c>
      <c r="N645" s="1344" t="s">
        <v>554</v>
      </c>
      <c r="O645" s="1344"/>
      <c r="T645" s="22"/>
      <c r="U645" t="s">
        <v>20</v>
      </c>
      <c r="AG645" s="1344" t="s">
        <v>554</v>
      </c>
      <c r="AH645" s="134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25" t="e">
        <f t="shared" si="23"/>
        <v>#VALUE!</v>
      </c>
      <c r="DY645" s="1825"/>
      <c r="DZ645" s="1825"/>
      <c r="EA645" s="1825"/>
      <c r="EB645" s="1825"/>
      <c r="EC645" s="1825" t="e">
        <f t="shared" si="24"/>
        <v>#VALUE!</v>
      </c>
      <c r="ED645" s="1825"/>
      <c r="EE645" s="1825"/>
      <c r="EF645" s="1825"/>
      <c r="EG645" s="1825"/>
      <c r="EH645" s="1825" t="e">
        <f t="shared" si="25"/>
        <v>#VALUE!</v>
      </c>
      <c r="EI645" s="1825"/>
      <c r="EJ645" s="1825"/>
      <c r="EK645" s="1825"/>
      <c r="EL645" s="1825"/>
      <c r="EM645" s="1825" t="e">
        <f t="shared" si="26"/>
        <v>#VALUE!</v>
      </c>
      <c r="EN645" s="1825"/>
      <c r="EO645" s="1825"/>
      <c r="EP645" s="1825"/>
      <c r="EQ645" s="1825"/>
      <c r="ER645" s="1825" t="e">
        <f t="shared" si="27"/>
        <v>#VALUE!</v>
      </c>
      <c r="ES645" s="1825"/>
      <c r="ET645" s="1825"/>
      <c r="EU645" s="1825"/>
      <c r="EV645" s="1825"/>
      <c r="EW645" s="1825" t="e">
        <f t="shared" si="28"/>
        <v>#VALUE!</v>
      </c>
      <c r="EX645" s="1825"/>
      <c r="EY645" s="1825"/>
      <c r="EZ645" s="1825"/>
      <c r="FA645" s="1825"/>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25">
        <f>SUM(CS644:DV644)</f>
        <v>0</v>
      </c>
      <c r="DS646" s="1825"/>
      <c r="DT646" s="1825"/>
      <c r="DU646" s="1825"/>
      <c r="DV646" s="1825"/>
      <c r="DX646" s="1825" t="e">
        <f t="shared" si="23"/>
        <v>#VALUE!</v>
      </c>
      <c r="DY646" s="1825"/>
      <c r="DZ646" s="1825"/>
      <c r="EA646" s="1825"/>
      <c r="EB646" s="1825"/>
      <c r="EC646" s="1825" t="e">
        <f t="shared" si="24"/>
        <v>#VALUE!</v>
      </c>
      <c r="ED646" s="1825"/>
      <c r="EE646" s="1825"/>
      <c r="EF646" s="1825"/>
      <c r="EG646" s="1825"/>
      <c r="EH646" s="1825" t="e">
        <f t="shared" si="25"/>
        <v>#VALUE!</v>
      </c>
      <c r="EI646" s="1825"/>
      <c r="EJ646" s="1825"/>
      <c r="EK646" s="1825"/>
      <c r="EL646" s="1825"/>
      <c r="EM646" s="1825" t="e">
        <f t="shared" si="26"/>
        <v>#VALUE!</v>
      </c>
      <c r="EN646" s="1825"/>
      <c r="EO646" s="1825"/>
      <c r="EP646" s="1825"/>
      <c r="EQ646" s="1825"/>
      <c r="ER646" s="1825" t="e">
        <f t="shared" si="27"/>
        <v>#VALUE!</v>
      </c>
      <c r="ES646" s="1825"/>
      <c r="ET646" s="1825"/>
      <c r="EU646" s="1825"/>
      <c r="EV646" s="1825"/>
      <c r="EW646" s="1825" t="e">
        <f t="shared" si="28"/>
        <v>#VALUE!</v>
      </c>
      <c r="EX646" s="1825"/>
      <c r="EY646" s="1825"/>
      <c r="EZ646" s="1825"/>
      <c r="FA646" s="1825"/>
    </row>
    <row r="647" spans="1:157" ht="13.05" customHeight="1">
      <c r="A647" s="55" t="s">
        <v>120</v>
      </c>
      <c r="B647" t="s">
        <v>472</v>
      </c>
      <c r="G647" s="1485" t="str">
        <f>C625</f>
        <v>Accrued Deferred Interest - Seller Carryback</v>
      </c>
      <c r="H647" s="1485"/>
      <c r="I647" s="1485"/>
      <c r="J647" s="1485"/>
      <c r="K647" s="1485"/>
      <c r="L647" s="1485"/>
      <c r="M647" s="1485"/>
      <c r="N647" s="1485"/>
      <c r="O647" s="1485"/>
      <c r="P647" s="1485"/>
      <c r="Q647" s="1485"/>
      <c r="R647" s="1485"/>
      <c r="T647" s="55" t="s">
        <v>590</v>
      </c>
      <c r="U647" t="s">
        <v>472</v>
      </c>
      <c r="Z647" s="1485" t="str">
        <f>C626</f>
        <v>GP Capital - Acq reserves</v>
      </c>
      <c r="AA647" s="1485"/>
      <c r="AB647" s="1485"/>
      <c r="AC647" s="1485"/>
      <c r="AD647" s="1485"/>
      <c r="AE647" s="1485"/>
      <c r="AF647" s="1485"/>
      <c r="AG647" s="1485"/>
      <c r="AH647" s="1485"/>
      <c r="AI647" s="1485"/>
      <c r="AJ647" s="1485"/>
      <c r="AK647" s="148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25" t="e">
        <f t="shared" si="23"/>
        <v>#VALUE!</v>
      </c>
      <c r="DY647" s="1825"/>
      <c r="DZ647" s="1825"/>
      <c r="EA647" s="1825"/>
      <c r="EB647" s="1825"/>
      <c r="EC647" s="1825" t="e">
        <f t="shared" si="24"/>
        <v>#VALUE!</v>
      </c>
      <c r="ED647" s="1825"/>
      <c r="EE647" s="1825"/>
      <c r="EF647" s="1825"/>
      <c r="EG647" s="1825"/>
      <c r="EH647" s="1825" t="e">
        <f t="shared" si="25"/>
        <v>#VALUE!</v>
      </c>
      <c r="EI647" s="1825"/>
      <c r="EJ647" s="1825"/>
      <c r="EK647" s="1825"/>
      <c r="EL647" s="1825"/>
      <c r="EM647" s="1825" t="e">
        <f t="shared" si="26"/>
        <v>#VALUE!</v>
      </c>
      <c r="EN647" s="1825"/>
      <c r="EO647" s="1825"/>
      <c r="EP647" s="1825"/>
      <c r="EQ647" s="1825"/>
      <c r="ER647" s="1825" t="e">
        <f t="shared" si="27"/>
        <v>#VALUE!</v>
      </c>
      <c r="ES647" s="1825"/>
      <c r="ET647" s="1825"/>
      <c r="EU647" s="1825"/>
      <c r="EV647" s="1825"/>
      <c r="EW647" s="1825" t="e">
        <f t="shared" si="28"/>
        <v>#VALUE!</v>
      </c>
      <c r="EX647" s="1825"/>
      <c r="EY647" s="1825"/>
      <c r="EZ647" s="1825"/>
      <c r="FA647" s="1825"/>
    </row>
    <row r="648" spans="1:157" ht="13.05" customHeight="1">
      <c r="A648" s="22"/>
      <c r="B648" t="s">
        <v>86</v>
      </c>
      <c r="G648" s="1365" t="s">
        <v>2635</v>
      </c>
      <c r="H648" s="1365"/>
      <c r="I648" s="1365"/>
      <c r="J648" s="1365"/>
      <c r="K648" s="1365"/>
      <c r="L648" s="1365"/>
      <c r="M648" s="1365"/>
      <c r="N648" s="1365"/>
      <c r="O648" s="1365"/>
      <c r="P648" s="1365"/>
      <c r="Q648" s="1365"/>
      <c r="R648" s="1365"/>
      <c r="T648" s="22"/>
      <c r="U648" t="s">
        <v>86</v>
      </c>
      <c r="Z648" s="1365" t="s">
        <v>2635</v>
      </c>
      <c r="AA648" s="1365"/>
      <c r="AB648" s="1365"/>
      <c r="AC648" s="1365"/>
      <c r="AD648" s="1365"/>
      <c r="AE648" s="1365"/>
      <c r="AF648" s="1365"/>
      <c r="AG648" s="1365"/>
      <c r="AH648" s="1365"/>
      <c r="AI648" s="1365"/>
      <c r="AJ648" s="1365"/>
      <c r="AK648" s="136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25" t="e">
        <f t="shared" si="23"/>
        <v>#VALUE!</v>
      </c>
      <c r="DY648" s="1825"/>
      <c r="DZ648" s="1825"/>
      <c r="EA648" s="1825"/>
      <c r="EB648" s="1825"/>
      <c r="EC648" s="1825" t="e">
        <f t="shared" si="24"/>
        <v>#VALUE!</v>
      </c>
      <c r="ED648" s="1825"/>
      <c r="EE648" s="1825"/>
      <c r="EF648" s="1825"/>
      <c r="EG648" s="1825"/>
      <c r="EH648" s="1825" t="e">
        <f t="shared" si="25"/>
        <v>#VALUE!</v>
      </c>
      <c r="EI648" s="1825"/>
      <c r="EJ648" s="1825"/>
      <c r="EK648" s="1825"/>
      <c r="EL648" s="1825"/>
      <c r="EM648" s="1825" t="e">
        <f t="shared" si="26"/>
        <v>#VALUE!</v>
      </c>
      <c r="EN648" s="1825"/>
      <c r="EO648" s="1825"/>
      <c r="EP648" s="1825"/>
      <c r="EQ648" s="1825"/>
      <c r="ER648" s="1825" t="e">
        <f t="shared" si="27"/>
        <v>#VALUE!</v>
      </c>
      <c r="ES648" s="1825"/>
      <c r="ET648" s="1825"/>
      <c r="EU648" s="1825"/>
      <c r="EV648" s="1825"/>
      <c r="EW648" s="1825" t="e">
        <f t="shared" si="28"/>
        <v>#VALUE!</v>
      </c>
      <c r="EX648" s="1825"/>
      <c r="EY648" s="1825"/>
      <c r="EZ648" s="1825"/>
      <c r="FA648" s="1825"/>
    </row>
    <row r="649" spans="1:157" ht="13.05" customHeight="1">
      <c r="A649" s="22"/>
      <c r="B649" t="s">
        <v>589</v>
      </c>
      <c r="G649" s="1337" t="s">
        <v>2636</v>
      </c>
      <c r="H649" s="1337"/>
      <c r="I649" s="1337"/>
      <c r="J649" s="1337"/>
      <c r="K649" s="1337"/>
      <c r="L649" s="1337"/>
      <c r="M649" s="1337"/>
      <c r="N649" s="1337"/>
      <c r="O649" s="1337"/>
      <c r="P649" s="1337"/>
      <c r="Q649" s="1337"/>
      <c r="R649" s="1337"/>
      <c r="T649" s="22"/>
      <c r="U649" t="s">
        <v>589</v>
      </c>
      <c r="Z649" s="1337" t="s">
        <v>2636</v>
      </c>
      <c r="AA649" s="1337"/>
      <c r="AB649" s="1337"/>
      <c r="AC649" s="1337"/>
      <c r="AD649" s="1337"/>
      <c r="AE649" s="1337"/>
      <c r="AF649" s="1337"/>
      <c r="AG649" s="1337"/>
      <c r="AH649" s="1337"/>
      <c r="AI649" s="1337"/>
      <c r="AJ649" s="1337"/>
      <c r="AK649" s="1337"/>
      <c r="AZ649" s="34"/>
      <c r="BA649" s="34"/>
      <c r="BB649" s="34"/>
      <c r="BC649" s="34"/>
      <c r="BD649" s="34"/>
      <c r="BE649" s="34"/>
      <c r="BF649" s="34"/>
      <c r="BG649" s="34"/>
      <c r="BH649" s="34"/>
      <c r="BI649" s="34"/>
      <c r="BJ649" s="34"/>
      <c r="BK649" s="34"/>
      <c r="BL649" s="34"/>
      <c r="BM649" s="34"/>
      <c r="BN649" s="1675">
        <f>BN621+BN630+BN644</f>
        <v>59</v>
      </c>
      <c r="BO649" s="1676"/>
      <c r="BP649" s="1676"/>
      <c r="BQ649" s="1676"/>
      <c r="BR649" s="1677"/>
      <c r="BS649" s="1675">
        <f>BS621+BS630+BS644</f>
        <v>146</v>
      </c>
      <c r="BT649" s="1676"/>
      <c r="BU649" s="1676"/>
      <c r="BV649" s="1676"/>
      <c r="BW649" s="1677"/>
      <c r="BX649" s="1675">
        <f>BX621+BX630+BX644</f>
        <v>1</v>
      </c>
      <c r="BY649" s="1676"/>
      <c r="BZ649" s="1676"/>
      <c r="CA649" s="1676"/>
      <c r="CB649" s="1677"/>
      <c r="CC649" s="1675">
        <f>CC621+CC630+CC644</f>
        <v>0</v>
      </c>
      <c r="CD649" s="1676"/>
      <c r="CE649" s="1676"/>
      <c r="CF649" s="1676"/>
      <c r="CG649" s="1677"/>
      <c r="CH649" s="1675">
        <f>CH621+CH630+CH644</f>
        <v>0</v>
      </c>
      <c r="CI649" s="1676"/>
      <c r="CJ649" s="1676"/>
      <c r="CK649" s="1676"/>
      <c r="CL649" s="1677"/>
      <c r="CM649" s="1391">
        <f>CM644+CM630+CM621</f>
        <v>0</v>
      </c>
      <c r="CN649" s="1821"/>
      <c r="CO649" s="1821"/>
      <c r="CP649" s="1821"/>
      <c r="CQ649" s="1392"/>
      <c r="CR649" s="3"/>
      <c r="CS649" s="897">
        <f>CS623+CS647</f>
        <v>204</v>
      </c>
      <c r="CT649" s="57" t="s">
        <v>2127</v>
      </c>
      <c r="CU649" s="3"/>
      <c r="CV649" s="3"/>
      <c r="CW649" s="3"/>
      <c r="CX649" s="3"/>
      <c r="CY649" s="3"/>
      <c r="CZ649" s="3"/>
      <c r="DA649" s="3"/>
      <c r="DB649" s="3"/>
      <c r="DC649" s="3"/>
      <c r="DD649" s="3"/>
      <c r="DE649" s="3"/>
      <c r="DF649" s="3"/>
      <c r="DX649" s="1825">
        <f>SUMIF(DX624:EB648,"&gt;0")</f>
        <v>1070.3728813559321</v>
      </c>
      <c r="DY649" s="1825"/>
      <c r="DZ649" s="1825"/>
      <c r="EA649" s="1825"/>
      <c r="EB649" s="1825"/>
      <c r="EC649" s="1825">
        <f>SUMIF(EC624:EG648,"&gt;0")</f>
        <v>972.66206896551728</v>
      </c>
      <c r="ED649" s="1825"/>
      <c r="EE649" s="1825"/>
      <c r="EF649" s="1825"/>
      <c r="EG649" s="1825"/>
      <c r="EH649" s="1825">
        <f>SUMIF(EH624:EL648,"&gt;0")</f>
        <v>0</v>
      </c>
      <c r="EI649" s="1825"/>
      <c r="EJ649" s="1825"/>
      <c r="EK649" s="1825"/>
      <c r="EL649" s="1825"/>
      <c r="EM649" s="1825">
        <f>SUMIF(EM624:EQ648,"&gt;0")</f>
        <v>0</v>
      </c>
      <c r="EN649" s="1825"/>
      <c r="EO649" s="1825"/>
      <c r="EP649" s="1825"/>
      <c r="EQ649" s="1825"/>
      <c r="ER649" s="1825">
        <f>SUMIF(ER624:EV648,"&gt;0")</f>
        <v>0</v>
      </c>
      <c r="ES649" s="1825"/>
      <c r="ET649" s="1825"/>
      <c r="EU649" s="1825"/>
      <c r="EV649" s="1825"/>
      <c r="EW649" s="1825">
        <f>SUMIF(EW624:FA648,"&gt;0")</f>
        <v>0</v>
      </c>
      <c r="EX649" s="1825"/>
      <c r="EY649" s="1825"/>
      <c r="EZ649" s="1825"/>
      <c r="FA649" s="1825"/>
    </row>
    <row r="650" spans="1:157" ht="13.05" customHeight="1">
      <c r="A650" s="22"/>
      <c r="B650" t="s">
        <v>17</v>
      </c>
      <c r="G650" s="1337" t="s">
        <v>2701</v>
      </c>
      <c r="H650" s="1337"/>
      <c r="I650" s="1337"/>
      <c r="J650" s="1337"/>
      <c r="K650" s="1337"/>
      <c r="L650" s="1337"/>
      <c r="M650" s="1337"/>
      <c r="N650" s="1337"/>
      <c r="O650" s="1337"/>
      <c r="P650" s="1337"/>
      <c r="Q650" s="1337"/>
      <c r="R650" s="1337"/>
      <c r="T650" s="22"/>
      <c r="U650" t="s">
        <v>17</v>
      </c>
      <c r="Z650" s="1337" t="s">
        <v>2701</v>
      </c>
      <c r="AA650" s="1337"/>
      <c r="AB650" s="1337"/>
      <c r="AC650" s="1337"/>
      <c r="AD650" s="1337"/>
      <c r="AE650" s="1337"/>
      <c r="AF650" s="1337"/>
      <c r="AG650" s="1337"/>
      <c r="AH650" s="1337"/>
      <c r="AI650" s="1337"/>
      <c r="AJ650" s="1337"/>
      <c r="AK650" s="133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317</v>
      </c>
      <c r="G651" s="1486" t="s">
        <v>2725</v>
      </c>
      <c r="H651" s="1408"/>
      <c r="I651" s="1408"/>
      <c r="J651" s="1408"/>
      <c r="K651" s="1408"/>
      <c r="L651" s="1408"/>
      <c r="O651" s="33" t="s">
        <v>207</v>
      </c>
      <c r="P651" s="1436"/>
      <c r="Q651" s="1436"/>
      <c r="R651" s="1436"/>
      <c r="T651" s="22"/>
      <c r="U651" t="s">
        <v>317</v>
      </c>
      <c r="Z651" s="1486" t="s">
        <v>2725</v>
      </c>
      <c r="AA651" s="1408"/>
      <c r="AB651" s="1408"/>
      <c r="AC651" s="1408"/>
      <c r="AD651" s="1408"/>
      <c r="AE651" s="1408"/>
      <c r="AH651" s="33" t="s">
        <v>207</v>
      </c>
      <c r="AI651" s="1436"/>
      <c r="AJ651" s="1436"/>
      <c r="AK651" s="143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65" t="str">
        <f>AA644</f>
        <v>Seller Financing</v>
      </c>
      <c r="I652" s="1365"/>
      <c r="J652" s="1365"/>
      <c r="K652" s="1365"/>
      <c r="L652" s="1365"/>
      <c r="M652" s="1365"/>
      <c r="N652" s="1365"/>
      <c r="O652" s="1365"/>
      <c r="P652" s="1365"/>
      <c r="Q652" s="1365"/>
      <c r="R652" s="1365"/>
      <c r="T652" s="22"/>
      <c r="U652" t="s">
        <v>18</v>
      </c>
      <c r="AA652" s="1365" t="s">
        <v>2743</v>
      </c>
      <c r="AB652" s="1365"/>
      <c r="AC652" s="1365"/>
      <c r="AD652" s="1365"/>
      <c r="AE652" s="1365"/>
      <c r="AF652" s="1365"/>
      <c r="AG652" s="1365"/>
      <c r="AH652" s="1365"/>
      <c r="AI652" s="1365"/>
      <c r="AJ652" s="1365"/>
      <c r="AK652" s="1365"/>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44" t="s">
        <v>554</v>
      </c>
      <c r="O653" s="1344"/>
      <c r="T653" s="22"/>
      <c r="U653" t="s">
        <v>20</v>
      </c>
      <c r="AG653" s="1344" t="s">
        <v>554</v>
      </c>
      <c r="AH653" s="134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787</v>
      </c>
      <c r="B655" t="s">
        <v>472</v>
      </c>
      <c r="G655" s="1485" t="str">
        <f>C627</f>
        <v>Income from Operations</v>
      </c>
      <c r="H655" s="1485"/>
      <c r="I655" s="1485"/>
      <c r="J655" s="1485"/>
      <c r="K655" s="1485"/>
      <c r="L655" s="1485"/>
      <c r="M655" s="1485"/>
      <c r="N655" s="1485"/>
      <c r="O655" s="1485"/>
      <c r="P655" s="1485"/>
      <c r="Q655" s="1485"/>
      <c r="R655" s="1485"/>
      <c r="T655" s="55" t="s">
        <v>593</v>
      </c>
      <c r="U655" t="s">
        <v>472</v>
      </c>
      <c r="Z655" s="1485" t="str">
        <f>C628</f>
        <v>Deferred Developer Fee</v>
      </c>
      <c r="AA655" s="1485"/>
      <c r="AB655" s="1485"/>
      <c r="AC655" s="1485"/>
      <c r="AD655" s="1485"/>
      <c r="AE655" s="1485"/>
      <c r="AF655" s="1485"/>
      <c r="AG655" s="1485"/>
      <c r="AH655" s="1485"/>
      <c r="AI655" s="1485"/>
      <c r="AJ655" s="1485"/>
      <c r="AK655" s="1485"/>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65" t="s">
        <v>2635</v>
      </c>
      <c r="H656" s="1365"/>
      <c r="I656" s="1365"/>
      <c r="J656" s="1365"/>
      <c r="K656" s="1365"/>
      <c r="L656" s="1365"/>
      <c r="M656" s="1365"/>
      <c r="N656" s="1365"/>
      <c r="O656" s="1365"/>
      <c r="P656" s="1365"/>
      <c r="Q656" s="1365"/>
      <c r="R656" s="1365"/>
      <c r="T656" s="22"/>
      <c r="U656" t="s">
        <v>86</v>
      </c>
      <c r="Z656" s="1365" t="s">
        <v>2635</v>
      </c>
      <c r="AA656" s="1365"/>
      <c r="AB656" s="1365"/>
      <c r="AC656" s="1365"/>
      <c r="AD656" s="1365"/>
      <c r="AE656" s="1365"/>
      <c r="AF656" s="1365"/>
      <c r="AG656" s="1365"/>
      <c r="AH656" s="1365"/>
      <c r="AI656" s="1365"/>
      <c r="AJ656" s="1365"/>
      <c r="AK656" s="1365"/>
      <c r="AZ656" s="3"/>
      <c r="BA656" s="118">
        <f t="shared" ref="BA656:BA680" si="42">IF($G714=0,"N/A",VLOOKUP($T$189,TC_Rent,(MATCH($B714,bedrooms,FALSE))))</f>
        <v>2202</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589</v>
      </c>
      <c r="G657" s="1365" t="s">
        <v>2636</v>
      </c>
      <c r="H657" s="1365"/>
      <c r="I657" s="1365"/>
      <c r="J657" s="1365"/>
      <c r="K657" s="1365"/>
      <c r="L657" s="1365"/>
      <c r="M657" s="1365"/>
      <c r="N657" s="1365"/>
      <c r="O657" s="1365"/>
      <c r="P657" s="1365"/>
      <c r="Q657" s="1365"/>
      <c r="R657" s="1365"/>
      <c r="T657" s="22"/>
      <c r="U657" t="s">
        <v>589</v>
      </c>
      <c r="Z657" s="1337" t="s">
        <v>2636</v>
      </c>
      <c r="AA657" s="1337"/>
      <c r="AB657" s="1337"/>
      <c r="AC657" s="1337"/>
      <c r="AD657" s="1337"/>
      <c r="AE657" s="1337"/>
      <c r="AF657" s="1337"/>
      <c r="AG657" s="1337"/>
      <c r="AH657" s="1337"/>
      <c r="AI657" s="1337"/>
      <c r="AJ657" s="1337"/>
      <c r="AK657" s="1337"/>
      <c r="AZ657" s="3"/>
      <c r="BA657" s="118">
        <f t="shared" si="42"/>
        <v>2360</v>
      </c>
      <c r="BB657" s="3"/>
      <c r="BC657" s="3"/>
      <c r="BD657" s="3"/>
      <c r="BE657" s="3"/>
      <c r="BF657" s="218"/>
      <c r="BG657" s="315">
        <f t="shared" ref="BG657:BG681" si="43">G714</f>
        <v>12</v>
      </c>
      <c r="BH657" s="319">
        <f>BG657/$BG$682</f>
        <v>5.8823529411764705E-2</v>
      </c>
      <c r="BI657" s="320">
        <f t="shared" ref="BI657:BI681" si="44">IF(BH657=0," ",BH657*AC714)</f>
        <v>1.7647058823529412E-2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65" t="s">
        <v>2701</v>
      </c>
      <c r="H658" s="1365"/>
      <c r="I658" s="1365"/>
      <c r="J658" s="1365"/>
      <c r="K658" s="1365"/>
      <c r="L658" s="1365"/>
      <c r="M658" s="1365"/>
      <c r="N658" s="1365"/>
      <c r="O658" s="1365"/>
      <c r="P658" s="1365"/>
      <c r="Q658" s="1365"/>
      <c r="R658" s="1365"/>
      <c r="T658" s="22"/>
      <c r="U658" t="s">
        <v>17</v>
      </c>
      <c r="Z658" s="1337" t="s">
        <v>2701</v>
      </c>
      <c r="AA658" s="1337"/>
      <c r="AB658" s="1337"/>
      <c r="AC658" s="1337"/>
      <c r="AD658" s="1337"/>
      <c r="AE658" s="1337"/>
      <c r="AF658" s="1337"/>
      <c r="AG658" s="1337"/>
      <c r="AH658" s="1337"/>
      <c r="AI658" s="1337"/>
      <c r="AJ658" s="1337"/>
      <c r="AK658" s="1337"/>
      <c r="AZ658" s="3"/>
      <c r="BA658" s="118">
        <f t="shared" si="42"/>
        <v>2360</v>
      </c>
      <c r="BB658" s="3"/>
      <c r="BC658" s="3"/>
      <c r="BD658" s="3"/>
      <c r="BE658" s="3"/>
      <c r="BF658" s="218"/>
      <c r="BG658" s="316">
        <f t="shared" si="43"/>
        <v>18</v>
      </c>
      <c r="BH658" s="319">
        <f t="shared" ref="BH658:BH681" si="45">BG658/$BG$682</f>
        <v>8.8235294117647065E-2</v>
      </c>
      <c r="BI658" s="320">
        <f t="shared" si="44"/>
        <v>2.6470588235294117E-2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317</v>
      </c>
      <c r="G659" s="1486" t="s">
        <v>2725</v>
      </c>
      <c r="H659" s="1408"/>
      <c r="I659" s="1408"/>
      <c r="J659" s="1408"/>
      <c r="K659" s="1408"/>
      <c r="L659" s="1408"/>
      <c r="O659" s="33" t="s">
        <v>207</v>
      </c>
      <c r="P659" s="1436"/>
      <c r="Q659" s="1436"/>
      <c r="R659" s="1436"/>
      <c r="T659" s="22"/>
      <c r="U659" t="s">
        <v>317</v>
      </c>
      <c r="Z659" s="1486" t="s">
        <v>2725</v>
      </c>
      <c r="AA659" s="1408"/>
      <c r="AB659" s="1408"/>
      <c r="AC659" s="1408"/>
      <c r="AD659" s="1408"/>
      <c r="AE659" s="1408"/>
      <c r="AH659" s="33" t="s">
        <v>207</v>
      </c>
      <c r="AI659" s="1436"/>
      <c r="AJ659" s="1436"/>
      <c r="AK659" s="1436"/>
      <c r="AZ659" s="3"/>
      <c r="BA659" s="118">
        <f t="shared" si="42"/>
        <v>2202</v>
      </c>
      <c r="BB659" s="3"/>
      <c r="BC659" s="3"/>
      <c r="BD659" s="3"/>
      <c r="BE659" s="3"/>
      <c r="BF659" s="218"/>
      <c r="BG659" s="316">
        <f t="shared" si="43"/>
        <v>8</v>
      </c>
      <c r="BH659" s="319">
        <f t="shared" si="45"/>
        <v>3.9215686274509803E-2</v>
      </c>
      <c r="BI659" s="320">
        <f t="shared" si="44"/>
        <v>1.9607843137254902E-2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65" t="s">
        <v>2696</v>
      </c>
      <c r="I660" s="1365"/>
      <c r="J660" s="1365"/>
      <c r="K660" s="1365"/>
      <c r="L660" s="1365"/>
      <c r="M660" s="1365"/>
      <c r="N660" s="1365"/>
      <c r="O660" s="1365"/>
      <c r="P660" s="1365"/>
      <c r="Q660" s="1365"/>
      <c r="R660" s="1365"/>
      <c r="T660" s="22"/>
      <c r="U660" t="s">
        <v>18</v>
      </c>
      <c r="AA660" s="1365" t="s">
        <v>2745</v>
      </c>
      <c r="AB660" s="1365"/>
      <c r="AC660" s="1365"/>
      <c r="AD660" s="1365"/>
      <c r="AE660" s="1365"/>
      <c r="AF660" s="1365"/>
      <c r="AG660" s="1365"/>
      <c r="AH660" s="1365"/>
      <c r="AI660" s="1365"/>
      <c r="AJ660" s="1365"/>
      <c r="AK660" s="1365"/>
      <c r="AZ660" s="3"/>
      <c r="BA660" s="118">
        <f t="shared" si="42"/>
        <v>2360</v>
      </c>
      <c r="BB660" s="3"/>
      <c r="BC660" s="3"/>
      <c r="BD660" s="3"/>
      <c r="BE660" s="3"/>
      <c r="BF660" s="218"/>
      <c r="BG660" s="316">
        <f t="shared" si="43"/>
        <v>47</v>
      </c>
      <c r="BH660" s="319">
        <f t="shared" si="45"/>
        <v>0.23039215686274508</v>
      </c>
      <c r="BI660" s="320">
        <f t="shared" si="44"/>
        <v>0.13823529411764704</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44" t="s">
        <v>554</v>
      </c>
      <c r="O661" s="1344"/>
      <c r="T661" s="22"/>
      <c r="U661" t="s">
        <v>20</v>
      </c>
      <c r="AG661" s="1344" t="s">
        <v>554</v>
      </c>
      <c r="AH661" s="1344"/>
      <c r="AZ661" s="3"/>
      <c r="BA661" s="118" t="str">
        <f t="shared" si="42"/>
        <v>N/A</v>
      </c>
      <c r="BB661" s="3"/>
      <c r="BC661" s="3"/>
      <c r="BD661" s="3"/>
      <c r="BE661" s="3"/>
      <c r="BF661" s="218"/>
      <c r="BG661" s="316">
        <f t="shared" si="43"/>
        <v>119</v>
      </c>
      <c r="BH661" s="319">
        <f t="shared" si="45"/>
        <v>0.58333333333333337</v>
      </c>
      <c r="BI661" s="320">
        <f t="shared" si="44"/>
        <v>0.35000000000000003</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464</v>
      </c>
      <c r="B663" t="s">
        <v>472</v>
      </c>
      <c r="G663" s="1485" t="str">
        <f>C629</f>
        <v>GP Capital - Sponsor</v>
      </c>
      <c r="H663" s="1485"/>
      <c r="I663" s="1485"/>
      <c r="J663" s="1485"/>
      <c r="K663" s="1485"/>
      <c r="L663" s="1485"/>
      <c r="M663" s="1485"/>
      <c r="N663" s="1485"/>
      <c r="O663" s="1485"/>
      <c r="P663" s="1485"/>
      <c r="Q663" s="1485"/>
      <c r="R663" s="1485"/>
      <c r="T663" s="55" t="s">
        <v>465</v>
      </c>
      <c r="U663" t="s">
        <v>472</v>
      </c>
      <c r="Z663" s="1485" t="str">
        <f>C630</f>
        <v>GP Perm Loan</v>
      </c>
      <c r="AA663" s="1485"/>
      <c r="AB663" s="1485"/>
      <c r="AC663" s="1485"/>
      <c r="AD663" s="1485"/>
      <c r="AE663" s="1485"/>
      <c r="AF663" s="1485"/>
      <c r="AG663" s="1485"/>
      <c r="AH663" s="1485"/>
      <c r="AI663" s="1485"/>
      <c r="AJ663" s="1485"/>
      <c r="AK663" s="1485"/>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65" t="s">
        <v>2635</v>
      </c>
      <c r="H664" s="1365"/>
      <c r="I664" s="1365"/>
      <c r="J664" s="1365"/>
      <c r="K664" s="1365"/>
      <c r="L664" s="1365"/>
      <c r="M664" s="1365"/>
      <c r="N664" s="1365"/>
      <c r="O664" s="1365"/>
      <c r="P664" s="1365"/>
      <c r="Q664" s="1365"/>
      <c r="R664" s="1365"/>
      <c r="T664" s="22"/>
      <c r="U664" t="s">
        <v>86</v>
      </c>
      <c r="Z664" s="1365" t="s">
        <v>2635</v>
      </c>
      <c r="AA664" s="1365"/>
      <c r="AB664" s="1365"/>
      <c r="AC664" s="1365"/>
      <c r="AD664" s="1365"/>
      <c r="AE664" s="1365"/>
      <c r="AF664" s="1365"/>
      <c r="AG664" s="1365"/>
      <c r="AH664" s="1365"/>
      <c r="AI664" s="1365"/>
      <c r="AJ664" s="1365"/>
      <c r="AK664" s="1365"/>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589</v>
      </c>
      <c r="G665" s="1365" t="s">
        <v>2636</v>
      </c>
      <c r="H665" s="1365"/>
      <c r="I665" s="1365"/>
      <c r="J665" s="1365"/>
      <c r="K665" s="1365"/>
      <c r="L665" s="1365"/>
      <c r="M665" s="1365"/>
      <c r="N665" s="1365"/>
      <c r="O665" s="1365"/>
      <c r="P665" s="1365"/>
      <c r="Q665" s="1365"/>
      <c r="R665" s="1365"/>
      <c r="T665" s="22"/>
      <c r="U665" t="s">
        <v>589</v>
      </c>
      <c r="Z665" s="1337" t="s">
        <v>2636</v>
      </c>
      <c r="AA665" s="1337"/>
      <c r="AB665" s="1337"/>
      <c r="AC665" s="1337"/>
      <c r="AD665" s="1337"/>
      <c r="AE665" s="1337"/>
      <c r="AF665" s="1337"/>
      <c r="AG665" s="1337"/>
      <c r="AH665" s="1337"/>
      <c r="AI665" s="1337"/>
      <c r="AJ665" s="1337"/>
      <c r="AK665" s="1337"/>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65" t="s">
        <v>2701</v>
      </c>
      <c r="H666" s="1365"/>
      <c r="I666" s="1365"/>
      <c r="J666" s="1365"/>
      <c r="K666" s="1365"/>
      <c r="L666" s="1365"/>
      <c r="M666" s="1365"/>
      <c r="N666" s="1365"/>
      <c r="O666" s="1365"/>
      <c r="P666" s="1365"/>
      <c r="Q666" s="1365"/>
      <c r="R666" s="1365"/>
      <c r="T666" s="22"/>
      <c r="U666" t="s">
        <v>17</v>
      </c>
      <c r="Z666" s="1337" t="s">
        <v>2701</v>
      </c>
      <c r="AA666" s="1337"/>
      <c r="AB666" s="1337"/>
      <c r="AC666" s="1337"/>
      <c r="AD666" s="1337"/>
      <c r="AE666" s="1337"/>
      <c r="AF666" s="1337"/>
      <c r="AG666" s="1337"/>
      <c r="AH666" s="1337"/>
      <c r="AI666" s="1337"/>
      <c r="AJ666" s="1337"/>
      <c r="AK666" s="133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317</v>
      </c>
      <c r="G667" s="1486" t="s">
        <v>2725</v>
      </c>
      <c r="H667" s="1408"/>
      <c r="I667" s="1408"/>
      <c r="J667" s="1408"/>
      <c r="K667" s="1408"/>
      <c r="L667" s="1408"/>
      <c r="O667" s="33" t="s">
        <v>207</v>
      </c>
      <c r="P667" s="1436"/>
      <c r="Q667" s="1436"/>
      <c r="R667" s="1436"/>
      <c r="T667" s="22"/>
      <c r="U667" t="s">
        <v>317</v>
      </c>
      <c r="Z667" s="1486" t="s">
        <v>2725</v>
      </c>
      <c r="AA667" s="1408"/>
      <c r="AB667" s="1408"/>
      <c r="AC667" s="1408"/>
      <c r="AD667" s="1408"/>
      <c r="AE667" s="1408"/>
      <c r="AH667" s="33" t="s">
        <v>207</v>
      </c>
      <c r="AI667" s="1436"/>
      <c r="AJ667" s="1436"/>
      <c r="AK667" s="1436"/>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65" t="s">
        <v>2746</v>
      </c>
      <c r="I668" s="1365"/>
      <c r="J668" s="1365"/>
      <c r="K668" s="1365"/>
      <c r="L668" s="1365"/>
      <c r="M668" s="1365"/>
      <c r="N668" s="1365"/>
      <c r="O668" s="1365"/>
      <c r="P668" s="1365"/>
      <c r="Q668" s="1365"/>
      <c r="R668" s="1365"/>
      <c r="T668" s="22"/>
      <c r="U668" t="s">
        <v>18</v>
      </c>
      <c r="AA668" s="1365" t="s">
        <v>2746</v>
      </c>
      <c r="AB668" s="1365"/>
      <c r="AC668" s="1365"/>
      <c r="AD668" s="1365"/>
      <c r="AE668" s="1365"/>
      <c r="AF668" s="1365"/>
      <c r="AG668" s="1365"/>
      <c r="AH668" s="1365"/>
      <c r="AI668" s="1365"/>
      <c r="AJ668" s="1365"/>
      <c r="AK668" s="136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44" t="s">
        <v>554</v>
      </c>
      <c r="O669" s="1344"/>
      <c r="T669" s="22"/>
      <c r="U669" t="s">
        <v>20</v>
      </c>
      <c r="AG669" s="1344" t="s">
        <v>554</v>
      </c>
      <c r="AH669" s="134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470</v>
      </c>
      <c r="B671" t="s">
        <v>472</v>
      </c>
      <c r="G671" s="1485">
        <f>C631</f>
        <v>0</v>
      </c>
      <c r="H671" s="1485"/>
      <c r="I671" s="1485"/>
      <c r="J671" s="1485"/>
      <c r="K671" s="1485"/>
      <c r="L671" s="1485"/>
      <c r="M671" s="1485"/>
      <c r="N671" s="1485"/>
      <c r="O671" s="1485"/>
      <c r="P671" s="1485"/>
      <c r="Q671" s="1485"/>
      <c r="R671" s="1485"/>
      <c r="T671" s="55" t="s">
        <v>655</v>
      </c>
      <c r="U671" t="s">
        <v>472</v>
      </c>
      <c r="Z671" s="1485">
        <f>C632</f>
        <v>0</v>
      </c>
      <c r="AA671" s="1485"/>
      <c r="AB671" s="1485"/>
      <c r="AC671" s="1485"/>
      <c r="AD671" s="1485"/>
      <c r="AE671" s="1485"/>
      <c r="AF671" s="1485"/>
      <c r="AG671" s="1485"/>
      <c r="AH671" s="1485"/>
      <c r="AI671" s="1485"/>
      <c r="AJ671" s="1485"/>
      <c r="AK671" s="148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65"/>
      <c r="H672" s="1365"/>
      <c r="I672" s="1365"/>
      <c r="J672" s="1365"/>
      <c r="K672" s="1365"/>
      <c r="L672" s="1365"/>
      <c r="M672" s="1365"/>
      <c r="N672" s="1365"/>
      <c r="O672" s="1365"/>
      <c r="P672" s="1365"/>
      <c r="Q672" s="1365"/>
      <c r="R672" s="1365"/>
      <c r="T672" s="22"/>
      <c r="U672" t="s">
        <v>86</v>
      </c>
      <c r="Z672" s="1365"/>
      <c r="AA672" s="1365"/>
      <c r="AB672" s="1365"/>
      <c r="AC672" s="1365"/>
      <c r="AD672" s="1365"/>
      <c r="AE672" s="1365"/>
      <c r="AF672" s="1365"/>
      <c r="AG672" s="1365"/>
      <c r="AH672" s="1365"/>
      <c r="AI672" s="1365"/>
      <c r="AJ672" s="1365"/>
      <c r="AK672" s="136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589</v>
      </c>
      <c r="G673" s="1365"/>
      <c r="H673" s="1365"/>
      <c r="I673" s="1365"/>
      <c r="J673" s="1365"/>
      <c r="K673" s="1365"/>
      <c r="L673" s="1365"/>
      <c r="M673" s="1365"/>
      <c r="N673" s="1365"/>
      <c r="O673" s="1365"/>
      <c r="P673" s="1365"/>
      <c r="Q673" s="1365"/>
      <c r="R673" s="1365"/>
      <c r="T673" s="22"/>
      <c r="U673" t="s">
        <v>589</v>
      </c>
      <c r="Z673" s="1337"/>
      <c r="AA673" s="1337"/>
      <c r="AB673" s="1337"/>
      <c r="AC673" s="1337"/>
      <c r="AD673" s="1337"/>
      <c r="AE673" s="1337"/>
      <c r="AF673" s="1337"/>
      <c r="AG673" s="1337"/>
      <c r="AH673" s="1337"/>
      <c r="AI673" s="1337"/>
      <c r="AJ673" s="1337"/>
      <c r="AK673" s="133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65"/>
      <c r="H674" s="1365"/>
      <c r="I674" s="1365"/>
      <c r="J674" s="1365"/>
      <c r="K674" s="1365"/>
      <c r="L674" s="1365"/>
      <c r="M674" s="1365"/>
      <c r="N674" s="1365"/>
      <c r="O674" s="1365"/>
      <c r="P674" s="1365"/>
      <c r="Q674" s="1365"/>
      <c r="R674" s="1365"/>
      <c r="T674" s="22"/>
      <c r="U674" t="s">
        <v>17</v>
      </c>
      <c r="Z674" s="1337"/>
      <c r="AA674" s="1337"/>
      <c r="AB674" s="1337"/>
      <c r="AC674" s="1337"/>
      <c r="AD674" s="1337"/>
      <c r="AE674" s="1337"/>
      <c r="AF674" s="1337"/>
      <c r="AG674" s="1337"/>
      <c r="AH674" s="1337"/>
      <c r="AI674" s="1337"/>
      <c r="AJ674" s="1337"/>
      <c r="AK674" s="133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317</v>
      </c>
      <c r="G675" s="1486"/>
      <c r="H675" s="1408"/>
      <c r="I675" s="1408"/>
      <c r="J675" s="1408"/>
      <c r="K675" s="1408"/>
      <c r="L675" s="1408"/>
      <c r="O675" s="33" t="s">
        <v>207</v>
      </c>
      <c r="P675" s="1436"/>
      <c r="Q675" s="1436"/>
      <c r="R675" s="1436"/>
      <c r="T675" s="22"/>
      <c r="U675" t="s">
        <v>317</v>
      </c>
      <c r="Z675" s="1408"/>
      <c r="AA675" s="1408"/>
      <c r="AB675" s="1408"/>
      <c r="AC675" s="1408"/>
      <c r="AD675" s="1408"/>
      <c r="AE675" s="1408"/>
      <c r="AH675" s="33" t="s">
        <v>207</v>
      </c>
      <c r="AI675" s="1436"/>
      <c r="AJ675" s="1436"/>
      <c r="AK675" s="1436"/>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65"/>
      <c r="I676" s="1365"/>
      <c r="J676" s="1365"/>
      <c r="K676" s="1365"/>
      <c r="L676" s="1365"/>
      <c r="M676" s="1365"/>
      <c r="N676" s="1365"/>
      <c r="O676" s="1365"/>
      <c r="P676" s="1365"/>
      <c r="Q676" s="1365"/>
      <c r="R676" s="1365"/>
      <c r="T676" s="22"/>
      <c r="U676" t="s">
        <v>18</v>
      </c>
      <c r="AA676" s="1365"/>
      <c r="AB676" s="1365"/>
      <c r="AC676" s="1365"/>
      <c r="AD676" s="1365"/>
      <c r="AE676" s="1365"/>
      <c r="AF676" s="1365"/>
      <c r="AG676" s="1365"/>
      <c r="AH676" s="1365"/>
      <c r="AI676" s="1365"/>
      <c r="AJ676" s="1365"/>
      <c r="AK676" s="136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44" t="s">
        <v>678</v>
      </c>
      <c r="O677" s="1344"/>
      <c r="T677" s="22"/>
      <c r="U677" t="s">
        <v>20</v>
      </c>
      <c r="AG677" s="1344" t="s">
        <v>678</v>
      </c>
      <c r="AH677" s="134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363</v>
      </c>
      <c r="B679" t="s">
        <v>472</v>
      </c>
      <c r="G679" s="1485">
        <f>C633</f>
        <v>0</v>
      </c>
      <c r="H679" s="1485"/>
      <c r="I679" s="1485"/>
      <c r="J679" s="1485"/>
      <c r="K679" s="1485"/>
      <c r="L679" s="1485"/>
      <c r="M679" s="1485"/>
      <c r="N679" s="1485"/>
      <c r="O679" s="1485"/>
      <c r="P679" s="1485"/>
      <c r="Q679" s="1485"/>
      <c r="R679" s="1485"/>
      <c r="T679" s="55" t="s">
        <v>364</v>
      </c>
      <c r="U679" t="s">
        <v>472</v>
      </c>
      <c r="Z679" s="1485">
        <f>C634</f>
        <v>0</v>
      </c>
      <c r="AA679" s="1485"/>
      <c r="AB679" s="1485"/>
      <c r="AC679" s="1485"/>
      <c r="AD679" s="1485"/>
      <c r="AE679" s="1485"/>
      <c r="AF679" s="1485"/>
      <c r="AG679" s="1485"/>
      <c r="AH679" s="1485"/>
      <c r="AI679" s="1485"/>
      <c r="AJ679" s="1485"/>
      <c r="AK679" s="148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65"/>
      <c r="H680" s="1365"/>
      <c r="I680" s="1365"/>
      <c r="J680" s="1365"/>
      <c r="K680" s="1365"/>
      <c r="L680" s="1365"/>
      <c r="M680" s="1365"/>
      <c r="N680" s="1365"/>
      <c r="O680" s="1365"/>
      <c r="P680" s="1365"/>
      <c r="Q680" s="1365"/>
      <c r="R680" s="1365"/>
      <c r="T680" s="22"/>
      <c r="U680" t="s">
        <v>86</v>
      </c>
      <c r="Z680" s="1365"/>
      <c r="AA680" s="1365"/>
      <c r="AB680" s="1365"/>
      <c r="AC680" s="1365"/>
      <c r="AD680" s="1365"/>
      <c r="AE680" s="1365"/>
      <c r="AF680" s="1365"/>
      <c r="AG680" s="1365"/>
      <c r="AH680" s="1365"/>
      <c r="AI680" s="1365"/>
      <c r="AJ680" s="1365"/>
      <c r="AK680" s="136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589</v>
      </c>
      <c r="G681" s="1365"/>
      <c r="H681" s="1365"/>
      <c r="I681" s="1365"/>
      <c r="J681" s="1365"/>
      <c r="K681" s="1365"/>
      <c r="L681" s="1365"/>
      <c r="M681" s="1365"/>
      <c r="N681" s="1365"/>
      <c r="O681" s="1365"/>
      <c r="P681" s="1365"/>
      <c r="Q681" s="1365"/>
      <c r="R681" s="1365"/>
      <c r="U681" t="s">
        <v>589</v>
      </c>
      <c r="Z681" s="1337"/>
      <c r="AA681" s="1337"/>
      <c r="AB681" s="1337"/>
      <c r="AC681" s="1337"/>
      <c r="AD681" s="1337"/>
      <c r="AE681" s="1337"/>
      <c r="AF681" s="1337"/>
      <c r="AG681" s="1337"/>
      <c r="AH681" s="1337"/>
      <c r="AI681" s="1337"/>
      <c r="AJ681" s="1337"/>
      <c r="AK681" s="1337"/>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65"/>
      <c r="H682" s="1365"/>
      <c r="I682" s="1365"/>
      <c r="J682" s="1365"/>
      <c r="K682" s="1365"/>
      <c r="L682" s="1365"/>
      <c r="M682" s="1365"/>
      <c r="N682" s="1365"/>
      <c r="O682" s="1365"/>
      <c r="P682" s="1365"/>
      <c r="Q682" s="1365"/>
      <c r="R682" s="1365"/>
      <c r="U682" t="s">
        <v>17</v>
      </c>
      <c r="Z682" s="1337"/>
      <c r="AA682" s="1337"/>
      <c r="AB682" s="1337"/>
      <c r="AC682" s="1337"/>
      <c r="AD682" s="1337"/>
      <c r="AE682" s="1337"/>
      <c r="AF682" s="1337"/>
      <c r="AG682" s="1337"/>
      <c r="AH682" s="1337"/>
      <c r="AI682" s="1337"/>
      <c r="AJ682" s="1337"/>
      <c r="AK682" s="1337"/>
      <c r="AZ682" s="3"/>
      <c r="BA682" s="3"/>
      <c r="BB682" s="3"/>
      <c r="BC682" s="3"/>
      <c r="BD682" s="3"/>
      <c r="BF682" s="312" t="s">
        <v>932</v>
      </c>
      <c r="BG682" s="321">
        <f>SUM(BG657:BG681)</f>
        <v>204</v>
      </c>
      <c r="BH682" s="322">
        <f>SUM(BH657:BH681)</f>
        <v>1</v>
      </c>
      <c r="BI682" s="322">
        <f>SUM(BI657:BI681)</f>
        <v>0.55196078431372553</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317</v>
      </c>
      <c r="G683" s="1408"/>
      <c r="H683" s="1408"/>
      <c r="I683" s="1408"/>
      <c r="J683" s="1408"/>
      <c r="K683" s="1408"/>
      <c r="L683" s="1408"/>
      <c r="O683" s="33" t="s">
        <v>207</v>
      </c>
      <c r="P683" s="1436"/>
      <c r="Q683" s="1436"/>
      <c r="R683" s="1436"/>
      <c r="U683" t="s">
        <v>317</v>
      </c>
      <c r="Z683" s="1408"/>
      <c r="AA683" s="1408"/>
      <c r="AB683" s="1408"/>
      <c r="AC683" s="1408"/>
      <c r="AD683" s="1408"/>
      <c r="AE683" s="1408"/>
      <c r="AH683" s="33" t="s">
        <v>207</v>
      </c>
      <c r="AI683" s="1436"/>
      <c r="AJ683" s="1436"/>
      <c r="AK683" s="1436"/>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65"/>
      <c r="I684" s="1365"/>
      <c r="J684" s="1365"/>
      <c r="K684" s="1365"/>
      <c r="L684" s="1365"/>
      <c r="M684" s="1365"/>
      <c r="N684" s="1365"/>
      <c r="O684" s="1365"/>
      <c r="P684" s="1365"/>
      <c r="Q684" s="1365"/>
      <c r="R684" s="1365"/>
      <c r="U684" t="s">
        <v>18</v>
      </c>
      <c r="AA684" s="1365"/>
      <c r="AB684" s="1365"/>
      <c r="AC684" s="1365"/>
      <c r="AD684" s="1365"/>
      <c r="AE684" s="1365"/>
      <c r="AF684" s="1365"/>
      <c r="AG684" s="1365"/>
      <c r="AH684" s="1365"/>
      <c r="AI684" s="1365"/>
      <c r="AJ684" s="1365"/>
      <c r="AK684" s="136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44" t="s">
        <v>678</v>
      </c>
      <c r="O685" s="1344"/>
      <c r="U685" t="s">
        <v>20</v>
      </c>
      <c r="AG685" s="1344" t="s">
        <v>678</v>
      </c>
      <c r="AH685" s="134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437</v>
      </c>
      <c r="F689" s="135"/>
      <c r="G689" s="135"/>
      <c r="H689" s="135"/>
      <c r="AE689" s="1344" t="s">
        <v>554</v>
      </c>
      <c r="AF689" s="1344"/>
      <c r="AZ689" s="34"/>
      <c r="BA689" s="34"/>
      <c r="BB689" s="34"/>
      <c r="BC689" s="34"/>
      <c r="BD689" s="34"/>
      <c r="BE689" s="34"/>
      <c r="BF689" s="34"/>
      <c r="BG689" s="315">
        <f t="shared" ref="BG689:BG713" si="46">G714</f>
        <v>12</v>
      </c>
      <c r="BH689" s="319">
        <f>BG689/$BG$714</f>
        <v>5.8823529411764705E-2</v>
      </c>
      <c r="BI689" s="320">
        <f t="shared" ref="BI689:BI713" si="47">IF(BH689=0," ",BH689*AH714)</f>
        <v>1.2822567719185766E-2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440</v>
      </c>
      <c r="E690" s="135"/>
      <c r="F690" s="135"/>
      <c r="G690" s="135"/>
      <c r="H690" s="135"/>
      <c r="AE690" s="1344" t="s">
        <v>678</v>
      </c>
      <c r="AF690" s="1344"/>
      <c r="AZ690" s="34"/>
      <c r="BA690" s="34"/>
      <c r="BB690" s="34"/>
      <c r="BC690" s="34"/>
      <c r="BD690" s="34"/>
      <c r="BE690" s="34"/>
      <c r="BF690" s="34"/>
      <c r="BG690" s="316">
        <f t="shared" si="46"/>
        <v>18</v>
      </c>
      <c r="BH690" s="319">
        <f t="shared" ref="BH690:BH713" si="48">BG690/$BG$714</f>
        <v>8.8235294117647065E-2</v>
      </c>
      <c r="BI690" s="320">
        <f t="shared" si="47"/>
        <v>1.6936689930209373E-2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959</v>
      </c>
      <c r="E691" s="135"/>
      <c r="F691" s="135"/>
      <c r="G691" s="135"/>
      <c r="H691" s="135"/>
      <c r="AE691" s="1515">
        <v>45175</v>
      </c>
      <c r="AF691" s="1515"/>
      <c r="AG691" s="1515"/>
      <c r="AH691" s="1515"/>
      <c r="AI691" s="1515"/>
      <c r="AZ691" s="34"/>
      <c r="BA691" s="34"/>
      <c r="BB691" s="34"/>
      <c r="BC691" s="34"/>
      <c r="BD691" s="34"/>
      <c r="BE691" s="3"/>
      <c r="BF691" s="3"/>
      <c r="BG691" s="316">
        <f t="shared" si="46"/>
        <v>8</v>
      </c>
      <c r="BH691" s="319">
        <f t="shared" si="48"/>
        <v>3.9215686274509803E-2</v>
      </c>
      <c r="BI691" s="320">
        <f t="shared" si="47"/>
        <v>9.853772017281489E-3</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1023</v>
      </c>
      <c r="E692" s="135"/>
      <c r="F692" s="135"/>
      <c r="G692" s="135"/>
      <c r="H692" s="135"/>
      <c r="AE692" s="1696">
        <v>45266</v>
      </c>
      <c r="AF692" s="1696"/>
      <c r="AG692" s="1696"/>
      <c r="AH692" s="1696"/>
      <c r="AI692" s="1696"/>
      <c r="AZ692" s="34"/>
      <c r="BA692" s="34"/>
      <c r="BB692" s="34"/>
      <c r="BC692" s="34"/>
      <c r="BD692" s="34"/>
      <c r="BE692" s="3"/>
      <c r="BF692" s="2"/>
      <c r="BG692" s="316">
        <f t="shared" si="46"/>
        <v>47</v>
      </c>
      <c r="BH692" s="319">
        <f t="shared" si="48"/>
        <v>0.23039215686274508</v>
      </c>
      <c r="BI692" s="320">
        <f t="shared" si="47"/>
        <v>0.13130888140905772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119</v>
      </c>
      <c r="BH693" s="319">
        <f t="shared" si="48"/>
        <v>0.58333333333333337</v>
      </c>
      <c r="BI693" s="320">
        <f t="shared" si="47"/>
        <v>0.2760946327683616</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842</v>
      </c>
      <c r="E694" s="135"/>
      <c r="F694" s="135"/>
      <c r="G694" s="135"/>
      <c r="H694" s="135"/>
      <c r="AE694" s="1515">
        <v>45444</v>
      </c>
      <c r="AF694" s="1515"/>
      <c r="AG694" s="1515"/>
      <c r="AH694" s="1515"/>
      <c r="AI694" s="1515"/>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438</v>
      </c>
      <c r="E695" s="135"/>
      <c r="F695" s="135"/>
      <c r="G695" s="135"/>
      <c r="H695" s="135"/>
      <c r="AE695" s="1674">
        <v>0.55000000000000004</v>
      </c>
      <c r="AF695" s="1674"/>
      <c r="AG695" s="1674"/>
      <c r="AH695" s="1674"/>
      <c r="AI695" s="1674"/>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439</v>
      </c>
      <c r="E696" s="135"/>
      <c r="F696" s="135"/>
      <c r="G696" s="135"/>
      <c r="H696" s="135"/>
      <c r="W696" s="1485" t="str">
        <f>H334</f>
        <v>California Municipal Finance Authority</v>
      </c>
      <c r="X696" s="1485"/>
      <c r="Y696" s="1485"/>
      <c r="Z696" s="1485"/>
      <c r="AA696" s="1485"/>
      <c r="AB696" s="1485"/>
      <c r="AC696" s="1485"/>
      <c r="AD696" s="1485"/>
      <c r="AE696" s="1485"/>
      <c r="AF696" s="1485"/>
      <c r="AG696" s="1485"/>
      <c r="AH696" s="1485"/>
      <c r="AI696" s="1485"/>
      <c r="AJ696" s="1485"/>
      <c r="AK696" s="148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441</v>
      </c>
      <c r="E698" s="135"/>
      <c r="F698" s="135"/>
      <c r="G698" s="135"/>
      <c r="H698" s="135"/>
      <c r="AE698" s="1344" t="s">
        <v>678</v>
      </c>
      <c r="AF698" s="134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445</v>
      </c>
      <c r="E699" s="135"/>
      <c r="F699" s="135"/>
      <c r="G699" s="135"/>
      <c r="H699" s="135"/>
      <c r="W699" s="1365"/>
      <c r="X699" s="1365"/>
      <c r="Y699" s="1365"/>
      <c r="Z699" s="1365"/>
      <c r="AA699" s="1365"/>
      <c r="AB699" s="1365"/>
      <c r="AC699" s="1365"/>
      <c r="AD699" s="1365"/>
      <c r="AE699" s="1365"/>
      <c r="AF699" s="1365"/>
      <c r="AG699" s="1365"/>
      <c r="AH699" s="1365"/>
      <c r="AI699" s="1365"/>
      <c r="AJ699" s="1365"/>
      <c r="AK699" s="136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65"/>
      <c r="K700" s="1365"/>
      <c r="L700" s="1365"/>
      <c r="M700" s="1365"/>
      <c r="N700" s="1365"/>
      <c r="O700" s="1365"/>
      <c r="P700" s="1365"/>
      <c r="Q700" s="1365"/>
      <c r="R700" s="1365"/>
      <c r="S700" s="1365"/>
      <c r="T700" s="1365"/>
      <c r="U700" s="1365"/>
      <c r="V700" s="1365"/>
      <c r="W700" s="1365"/>
      <c r="X700" s="136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08"/>
      <c r="K701" s="1408"/>
      <c r="L701" s="1408"/>
      <c r="M701" s="1408"/>
      <c r="N701" s="1408"/>
      <c r="O701" s="1408"/>
      <c r="P701" s="4" t="s">
        <v>207</v>
      </c>
      <c r="Q701" s="4"/>
      <c r="R701" s="1436"/>
      <c r="S701" s="1436"/>
      <c r="T701" s="1436"/>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446</v>
      </c>
      <c r="W702" s="1365" t="s">
        <v>308</v>
      </c>
      <c r="X702" s="1365"/>
      <c r="Y702" s="1365"/>
      <c r="Z702" s="1365"/>
      <c r="AA702" s="1365"/>
      <c r="AB702" s="1365"/>
      <c r="AC702" s="1365"/>
      <c r="AD702" s="1365"/>
      <c r="AE702" s="1365"/>
      <c r="AF702" s="1365"/>
      <c r="AG702" s="1365"/>
      <c r="AH702" s="1365"/>
      <c r="AI702" s="1365"/>
      <c r="AJ702" s="1365"/>
      <c r="AK702" s="136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65" t="s">
        <v>335</v>
      </c>
      <c r="F703" s="1365"/>
      <c r="G703" s="1365"/>
      <c r="H703" s="1365"/>
      <c r="I703" s="1365"/>
      <c r="J703" s="1365"/>
      <c r="K703" s="1365"/>
      <c r="L703" s="1365"/>
      <c r="M703" s="1365"/>
      <c r="N703" s="1365"/>
      <c r="O703" s="1365"/>
      <c r="P703" s="1365"/>
      <c r="Q703" s="1365"/>
      <c r="R703" s="1365"/>
      <c r="S703" s="1365"/>
      <c r="T703" s="1365"/>
      <c r="U703" s="1365"/>
      <c r="V703" s="1365"/>
      <c r="W703" s="1365"/>
      <c r="X703" s="1365"/>
      <c r="Y703" s="1365"/>
      <c r="Z703" s="1365"/>
      <c r="AA703" s="1365"/>
      <c r="AB703" s="1365"/>
      <c r="AC703" s="1365"/>
      <c r="AD703" s="1365"/>
      <c r="AE703" s="1365"/>
      <c r="AF703" s="1365"/>
      <c r="AG703" s="1365"/>
      <c r="AH703" s="1365"/>
      <c r="AI703" s="1365"/>
      <c r="AJ703" s="1365"/>
      <c r="AK703" s="136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56" t="s">
        <v>390</v>
      </c>
      <c r="C710" s="1457"/>
      <c r="D710" s="1457"/>
      <c r="E710" s="1457"/>
      <c r="F710" s="1458"/>
      <c r="G710" s="1456" t="s">
        <v>286</v>
      </c>
      <c r="H710" s="1457"/>
      <c r="I710" s="1457"/>
      <c r="J710" s="1458"/>
      <c r="K710" s="1471" t="s">
        <v>1939</v>
      </c>
      <c r="L710" s="1472"/>
      <c r="M710" s="1472"/>
      <c r="N710" s="1473"/>
      <c r="O710" s="1456" t="s">
        <v>456</v>
      </c>
      <c r="P710" s="1457"/>
      <c r="Q710" s="1457"/>
      <c r="R710" s="1457"/>
      <c r="S710" s="1458"/>
      <c r="T710" s="1548" t="s">
        <v>2334</v>
      </c>
      <c r="U710" s="1457"/>
      <c r="V710" s="1457"/>
      <c r="W710" s="1458"/>
      <c r="X710" s="1548" t="s">
        <v>2336</v>
      </c>
      <c r="Y710" s="1457"/>
      <c r="Z710" s="1457"/>
      <c r="AA710" s="1457"/>
      <c r="AB710" s="1458"/>
      <c r="AC710" s="1548" t="s">
        <v>2335</v>
      </c>
      <c r="AD710" s="1457"/>
      <c r="AE710" s="1457"/>
      <c r="AF710" s="1457"/>
      <c r="AG710" s="1458"/>
      <c r="AH710" s="1548" t="s">
        <v>2337</v>
      </c>
      <c r="AI710" s="1457"/>
      <c r="AJ710" s="1458"/>
      <c r="AK710" s="1548" t="s">
        <v>2371</v>
      </c>
      <c r="AL710" s="1457"/>
      <c r="AM710" s="1457"/>
      <c r="AN710" s="1457"/>
      <c r="AO710" s="145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59"/>
      <c r="C711" s="1460"/>
      <c r="D711" s="1460"/>
      <c r="E711" s="1460"/>
      <c r="F711" s="1461"/>
      <c r="G711" s="1459"/>
      <c r="H711" s="1460"/>
      <c r="I711" s="1460"/>
      <c r="J711" s="1461"/>
      <c r="K711" s="1474"/>
      <c r="L711" s="1475"/>
      <c r="M711" s="1475"/>
      <c r="N711" s="1476"/>
      <c r="O711" s="1459"/>
      <c r="P711" s="1460"/>
      <c r="Q711" s="1460"/>
      <c r="R711" s="1460"/>
      <c r="S711" s="1461"/>
      <c r="T711" s="1459"/>
      <c r="U711" s="1460"/>
      <c r="V711" s="1460"/>
      <c r="W711" s="1461"/>
      <c r="X711" s="1459"/>
      <c r="Y711" s="1460"/>
      <c r="Z711" s="1460"/>
      <c r="AA711" s="1460"/>
      <c r="AB711" s="1461"/>
      <c r="AC711" s="1459"/>
      <c r="AD711" s="1460"/>
      <c r="AE711" s="1460"/>
      <c r="AF711" s="1460"/>
      <c r="AG711" s="1461"/>
      <c r="AH711" s="1459"/>
      <c r="AI711" s="1460"/>
      <c r="AJ711" s="1461"/>
      <c r="AK711" s="1459"/>
      <c r="AL711" s="1460"/>
      <c r="AM711" s="1460"/>
      <c r="AN711" s="1460"/>
      <c r="AO711" s="146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59"/>
      <c r="C712" s="1460"/>
      <c r="D712" s="1460"/>
      <c r="E712" s="1460"/>
      <c r="F712" s="1461"/>
      <c r="G712" s="1459"/>
      <c r="H712" s="1460"/>
      <c r="I712" s="1460"/>
      <c r="J712" s="1461"/>
      <c r="K712" s="1474"/>
      <c r="L712" s="1475"/>
      <c r="M712" s="1475"/>
      <c r="N712" s="1476"/>
      <c r="O712" s="1459"/>
      <c r="P712" s="1460"/>
      <c r="Q712" s="1460"/>
      <c r="R712" s="1460"/>
      <c r="S712" s="1461"/>
      <c r="T712" s="1459"/>
      <c r="U712" s="1460"/>
      <c r="V712" s="1460"/>
      <c r="W712" s="1461"/>
      <c r="X712" s="1459"/>
      <c r="Y712" s="1460"/>
      <c r="Z712" s="1460"/>
      <c r="AA712" s="1460"/>
      <c r="AB712" s="1461"/>
      <c r="AC712" s="1459"/>
      <c r="AD712" s="1460"/>
      <c r="AE712" s="1460"/>
      <c r="AF712" s="1460"/>
      <c r="AG712" s="1461"/>
      <c r="AH712" s="1459"/>
      <c r="AI712" s="1460"/>
      <c r="AJ712" s="1461"/>
      <c r="AK712" s="1459"/>
      <c r="AL712" s="1460"/>
      <c r="AM712" s="1460"/>
      <c r="AN712" s="1460"/>
      <c r="AO712" s="146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62"/>
      <c r="C713" s="1463"/>
      <c r="D713" s="1463"/>
      <c r="E713" s="1463"/>
      <c r="F713" s="1464"/>
      <c r="G713" s="1462"/>
      <c r="H713" s="1463"/>
      <c r="I713" s="1463"/>
      <c r="J713" s="1464"/>
      <c r="K713" s="1474"/>
      <c r="L713" s="1475"/>
      <c r="M713" s="1475"/>
      <c r="N713" s="1476"/>
      <c r="O713" s="1462"/>
      <c r="P713" s="1463"/>
      <c r="Q713" s="1463"/>
      <c r="R713" s="1463"/>
      <c r="S713" s="1464"/>
      <c r="T713" s="1462"/>
      <c r="U713" s="1463"/>
      <c r="V713" s="1463"/>
      <c r="W713" s="1464"/>
      <c r="X713" s="1462"/>
      <c r="Y713" s="1463"/>
      <c r="Z713" s="1463"/>
      <c r="AA713" s="1463"/>
      <c r="AB713" s="1464"/>
      <c r="AC713" s="1462"/>
      <c r="AD713" s="1463"/>
      <c r="AE713" s="1463"/>
      <c r="AF713" s="1463"/>
      <c r="AG713" s="1464"/>
      <c r="AH713" s="1462"/>
      <c r="AI713" s="1463"/>
      <c r="AJ713" s="1464"/>
      <c r="AK713" s="1462"/>
      <c r="AL713" s="1463"/>
      <c r="AM713" s="1463"/>
      <c r="AN713" s="1463"/>
      <c r="AO713" s="146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350" t="s">
        <v>325</v>
      </c>
      <c r="C714" s="1351"/>
      <c r="D714" s="1351"/>
      <c r="E714" s="1351"/>
      <c r="F714" s="1352"/>
      <c r="G714" s="1453">
        <v>12</v>
      </c>
      <c r="H714" s="1454"/>
      <c r="I714" s="1454"/>
      <c r="J714" s="1455"/>
      <c r="K714" s="1450">
        <v>530</v>
      </c>
      <c r="L714" s="1451"/>
      <c r="M714" s="1451"/>
      <c r="N714" s="1452"/>
      <c r="O714" s="1447">
        <v>453</v>
      </c>
      <c r="P714" s="1448"/>
      <c r="Q714" s="1448"/>
      <c r="R714" s="1448"/>
      <c r="S714" s="1449"/>
      <c r="T714" s="1447">
        <v>27</v>
      </c>
      <c r="U714" s="1448"/>
      <c r="V714" s="1448"/>
      <c r="W714" s="1449"/>
      <c r="X714" s="1465">
        <f t="shared" ref="X714:X738" si="49">O714+T714</f>
        <v>480</v>
      </c>
      <c r="Y714" s="1466"/>
      <c r="Z714" s="1466"/>
      <c r="AA714" s="1466"/>
      <c r="AB714" s="1467"/>
      <c r="AC714" s="1549">
        <v>0.3</v>
      </c>
      <c r="AD714" s="1550"/>
      <c r="AE714" s="1550"/>
      <c r="AF714" s="1550"/>
      <c r="AG714" s="1551"/>
      <c r="AH714" s="1545">
        <f t="shared" ref="AH714:AH738" si="50">IF($AC714&gt;0,($X714/$BA656), " ")</f>
        <v>0.21798365122615804</v>
      </c>
      <c r="AI714" s="1546"/>
      <c r="AJ714" s="1547"/>
      <c r="AK714" s="1350" t="s">
        <v>600</v>
      </c>
      <c r="AL714" s="1351"/>
      <c r="AM714" s="1351"/>
      <c r="AN714" s="1351"/>
      <c r="AO714" s="1352"/>
      <c r="AP714" s="3"/>
      <c r="AQ714" s="3"/>
      <c r="AR714" s="3"/>
      <c r="AS714" s="3"/>
      <c r="AY714" s="1134"/>
      <c r="AZ714" s="1134"/>
      <c r="BA714" s="1134"/>
      <c r="BB714" s="1134"/>
      <c r="BC714" s="1134"/>
      <c r="BD714" s="3"/>
      <c r="BE714" s="3"/>
      <c r="BF714" s="3"/>
      <c r="BG714" s="895">
        <f>SUM(BG689:BG713)</f>
        <v>204</v>
      </c>
      <c r="BH714" s="322">
        <f>SUM(BH689:BH713)</f>
        <v>1</v>
      </c>
      <c r="BI714" s="322">
        <f>SUM(BI689:BI713)</f>
        <v>0.44701654384409595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350" t="s">
        <v>326</v>
      </c>
      <c r="C715" s="1351"/>
      <c r="D715" s="1351"/>
      <c r="E715" s="1351"/>
      <c r="F715" s="1352"/>
      <c r="G715" s="1453">
        <v>18</v>
      </c>
      <c r="H715" s="1454"/>
      <c r="I715" s="1454"/>
      <c r="J715" s="1455"/>
      <c r="K715" s="1450">
        <v>646</v>
      </c>
      <c r="L715" s="1451"/>
      <c r="M715" s="1451"/>
      <c r="N715" s="1452"/>
      <c r="O715" s="1447">
        <v>420</v>
      </c>
      <c r="P715" s="1448"/>
      <c r="Q715" s="1448"/>
      <c r="R715" s="1448"/>
      <c r="S715" s="1449"/>
      <c r="T715" s="1447">
        <v>33</v>
      </c>
      <c r="U715" s="1448"/>
      <c r="V715" s="1448"/>
      <c r="W715" s="1449"/>
      <c r="X715" s="1465">
        <f t="shared" si="49"/>
        <v>453</v>
      </c>
      <c r="Y715" s="1466"/>
      <c r="Z715" s="1466"/>
      <c r="AA715" s="1466"/>
      <c r="AB715" s="1467"/>
      <c r="AC715" s="1549">
        <v>0.3</v>
      </c>
      <c r="AD715" s="1550"/>
      <c r="AE715" s="1550"/>
      <c r="AF715" s="1550"/>
      <c r="AG715" s="1551"/>
      <c r="AH715" s="1545">
        <f t="shared" si="50"/>
        <v>0.19194915254237288</v>
      </c>
      <c r="AI715" s="1546"/>
      <c r="AJ715" s="1547"/>
      <c r="AK715" s="1350" t="s">
        <v>600</v>
      </c>
      <c r="AL715" s="1351"/>
      <c r="AM715" s="1351"/>
      <c r="AN715" s="1351"/>
      <c r="AO715" s="135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50" t="s">
        <v>326</v>
      </c>
      <c r="C716" s="1351"/>
      <c r="D716" s="1351"/>
      <c r="E716" s="1351"/>
      <c r="F716" s="1352"/>
      <c r="G716" s="1453">
        <v>8</v>
      </c>
      <c r="H716" s="1454"/>
      <c r="I716" s="1454"/>
      <c r="J716" s="1455"/>
      <c r="K716" s="1450">
        <v>646</v>
      </c>
      <c r="L716" s="1451"/>
      <c r="M716" s="1451"/>
      <c r="N716" s="1452"/>
      <c r="O716" s="1447">
        <v>560</v>
      </c>
      <c r="P716" s="1448"/>
      <c r="Q716" s="1448"/>
      <c r="R716" s="1448"/>
      <c r="S716" s="1449"/>
      <c r="T716" s="1447">
        <v>33</v>
      </c>
      <c r="U716" s="1448"/>
      <c r="V716" s="1448"/>
      <c r="W716" s="1449"/>
      <c r="X716" s="1465">
        <f t="shared" si="49"/>
        <v>593</v>
      </c>
      <c r="Y716" s="1466"/>
      <c r="Z716" s="1466"/>
      <c r="AA716" s="1466"/>
      <c r="AB716" s="1467"/>
      <c r="AC716" s="1549">
        <v>0.5</v>
      </c>
      <c r="AD716" s="1550"/>
      <c r="AE716" s="1550"/>
      <c r="AF716" s="1550"/>
      <c r="AG716" s="1551"/>
      <c r="AH716" s="1545">
        <f t="shared" si="50"/>
        <v>0.25127118644067797</v>
      </c>
      <c r="AI716" s="1546"/>
      <c r="AJ716" s="1547"/>
      <c r="AK716" s="1350" t="s">
        <v>600</v>
      </c>
      <c r="AL716" s="1351"/>
      <c r="AM716" s="1351"/>
      <c r="AN716" s="1351"/>
      <c r="AO716" s="135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350" t="s">
        <v>325</v>
      </c>
      <c r="C717" s="1351"/>
      <c r="D717" s="1351"/>
      <c r="E717" s="1351"/>
      <c r="F717" s="1352"/>
      <c r="G717" s="1453">
        <v>47</v>
      </c>
      <c r="H717" s="1454"/>
      <c r="I717" s="1454"/>
      <c r="J717" s="1455"/>
      <c r="K717" s="1450">
        <v>530</v>
      </c>
      <c r="L717" s="1451"/>
      <c r="M717" s="1451"/>
      <c r="N717" s="1452"/>
      <c r="O717" s="1447">
        <v>1228</v>
      </c>
      <c r="P717" s="1448"/>
      <c r="Q717" s="1448"/>
      <c r="R717" s="1448"/>
      <c r="S717" s="1449"/>
      <c r="T717" s="1447">
        <v>27</v>
      </c>
      <c r="U717" s="1448"/>
      <c r="V717" s="1448"/>
      <c r="W717" s="1449"/>
      <c r="X717" s="1465">
        <f t="shared" si="49"/>
        <v>1255</v>
      </c>
      <c r="Y717" s="1466"/>
      <c r="Z717" s="1466"/>
      <c r="AA717" s="1466"/>
      <c r="AB717" s="1467"/>
      <c r="AC717" s="1549">
        <v>0.6</v>
      </c>
      <c r="AD717" s="1550"/>
      <c r="AE717" s="1550"/>
      <c r="AF717" s="1550"/>
      <c r="AG717" s="1551"/>
      <c r="AH717" s="1545">
        <f t="shared" si="50"/>
        <v>0.56993642143505907</v>
      </c>
      <c r="AI717" s="1546"/>
      <c r="AJ717" s="1547"/>
      <c r="AK717" s="1350" t="s">
        <v>600</v>
      </c>
      <c r="AL717" s="1351"/>
      <c r="AM717" s="1351"/>
      <c r="AN717" s="1351"/>
      <c r="AO717" s="135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50" t="s">
        <v>326</v>
      </c>
      <c r="C718" s="1351"/>
      <c r="D718" s="1351"/>
      <c r="E718" s="1351"/>
      <c r="F718" s="1352"/>
      <c r="G718" s="1453">
        <v>119</v>
      </c>
      <c r="H718" s="1454"/>
      <c r="I718" s="1454"/>
      <c r="J718" s="1455"/>
      <c r="K718" s="1450">
        <v>646</v>
      </c>
      <c r="L718" s="1451"/>
      <c r="M718" s="1451"/>
      <c r="N718" s="1452"/>
      <c r="O718" s="1447">
        <v>1084</v>
      </c>
      <c r="P718" s="1448"/>
      <c r="Q718" s="1448"/>
      <c r="R718" s="1448"/>
      <c r="S718" s="1449"/>
      <c r="T718" s="1447">
        <v>33</v>
      </c>
      <c r="U718" s="1448"/>
      <c r="V718" s="1448"/>
      <c r="W718" s="1449"/>
      <c r="X718" s="1465">
        <f t="shared" si="49"/>
        <v>1117</v>
      </c>
      <c r="Y718" s="1466"/>
      <c r="Z718" s="1466"/>
      <c r="AA718" s="1466"/>
      <c r="AB718" s="1467"/>
      <c r="AC718" s="1549">
        <v>0.6</v>
      </c>
      <c r="AD718" s="1550"/>
      <c r="AE718" s="1550"/>
      <c r="AF718" s="1550"/>
      <c r="AG718" s="1551"/>
      <c r="AH718" s="1545">
        <f t="shared" si="50"/>
        <v>0.47330508474576272</v>
      </c>
      <c r="AI718" s="1546"/>
      <c r="AJ718" s="1547"/>
      <c r="AK718" s="1350" t="s">
        <v>600</v>
      </c>
      <c r="AL718" s="1351"/>
      <c r="AM718" s="1351"/>
      <c r="AN718" s="1351"/>
      <c r="AO718" s="135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50"/>
      <c r="C719" s="1351"/>
      <c r="D719" s="1351"/>
      <c r="E719" s="1351"/>
      <c r="F719" s="1352"/>
      <c r="G719" s="1453"/>
      <c r="H719" s="1454"/>
      <c r="I719" s="1454"/>
      <c r="J719" s="1455"/>
      <c r="K719" s="1450"/>
      <c r="L719" s="1451"/>
      <c r="M719" s="1451"/>
      <c r="N719" s="1452"/>
      <c r="O719" s="1447"/>
      <c r="P719" s="1448"/>
      <c r="Q719" s="1448"/>
      <c r="R719" s="1448"/>
      <c r="S719" s="1449"/>
      <c r="T719" s="1447"/>
      <c r="U719" s="1448"/>
      <c r="V719" s="1448"/>
      <c r="W719" s="1449"/>
      <c r="X719" s="1465">
        <f t="shared" si="49"/>
        <v>0</v>
      </c>
      <c r="Y719" s="1466"/>
      <c r="Z719" s="1466"/>
      <c r="AA719" s="1466"/>
      <c r="AB719" s="1467"/>
      <c r="AC719" s="1549"/>
      <c r="AD719" s="1550"/>
      <c r="AE719" s="1550"/>
      <c r="AF719" s="1550"/>
      <c r="AG719" s="1551"/>
      <c r="AH719" s="1545" t="str">
        <f t="shared" si="50"/>
        <v xml:space="preserve"> </v>
      </c>
      <c r="AI719" s="1546"/>
      <c r="AJ719" s="1547"/>
      <c r="AK719" s="1350" t="s">
        <v>600</v>
      </c>
      <c r="AL719" s="1351"/>
      <c r="AM719" s="1351"/>
      <c r="AN719" s="1351"/>
      <c r="AO719" s="135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50"/>
      <c r="C720" s="1351"/>
      <c r="D720" s="1351"/>
      <c r="E720" s="1351"/>
      <c r="F720" s="1352"/>
      <c r="G720" s="1453"/>
      <c r="H720" s="1454"/>
      <c r="I720" s="1454"/>
      <c r="J720" s="1455"/>
      <c r="K720" s="1450"/>
      <c r="L720" s="1451"/>
      <c r="M720" s="1451"/>
      <c r="N720" s="1452"/>
      <c r="O720" s="1447"/>
      <c r="P720" s="1448"/>
      <c r="Q720" s="1448"/>
      <c r="R720" s="1448"/>
      <c r="S720" s="1449"/>
      <c r="T720" s="1447"/>
      <c r="U720" s="1448"/>
      <c r="V720" s="1448"/>
      <c r="W720" s="1449"/>
      <c r="X720" s="1465">
        <f t="shared" si="49"/>
        <v>0</v>
      </c>
      <c r="Y720" s="1466"/>
      <c r="Z720" s="1466"/>
      <c r="AA720" s="1466"/>
      <c r="AB720" s="1467"/>
      <c r="AC720" s="1549"/>
      <c r="AD720" s="1550"/>
      <c r="AE720" s="1550"/>
      <c r="AF720" s="1550"/>
      <c r="AG720" s="1551"/>
      <c r="AH720" s="1545" t="str">
        <f t="shared" si="50"/>
        <v xml:space="preserve"> </v>
      </c>
      <c r="AI720" s="1546"/>
      <c r="AJ720" s="1547"/>
      <c r="AK720" s="1350" t="s">
        <v>600</v>
      </c>
      <c r="AL720" s="1351"/>
      <c r="AM720" s="1351"/>
      <c r="AN720" s="1351"/>
      <c r="AO720" s="135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0"/>
      <c r="C721" s="1351"/>
      <c r="D721" s="1351"/>
      <c r="E721" s="1351"/>
      <c r="F721" s="1352"/>
      <c r="G721" s="1453"/>
      <c r="H721" s="1454"/>
      <c r="I721" s="1454"/>
      <c r="J721" s="1455"/>
      <c r="K721" s="1450"/>
      <c r="L721" s="1451"/>
      <c r="M721" s="1451"/>
      <c r="N721" s="1452"/>
      <c r="O721" s="1447"/>
      <c r="P721" s="1448"/>
      <c r="Q721" s="1448"/>
      <c r="R721" s="1448"/>
      <c r="S721" s="1449"/>
      <c r="T721" s="1447"/>
      <c r="U721" s="1448"/>
      <c r="V721" s="1448"/>
      <c r="W721" s="1449"/>
      <c r="X721" s="1465">
        <f t="shared" si="49"/>
        <v>0</v>
      </c>
      <c r="Y721" s="1466"/>
      <c r="Z721" s="1466"/>
      <c r="AA721" s="1466"/>
      <c r="AB721" s="1467"/>
      <c r="AC721" s="1549"/>
      <c r="AD721" s="1550"/>
      <c r="AE721" s="1550"/>
      <c r="AF721" s="1550"/>
      <c r="AG721" s="1551"/>
      <c r="AH721" s="1545" t="str">
        <f t="shared" si="50"/>
        <v xml:space="preserve"> </v>
      </c>
      <c r="AI721" s="1546"/>
      <c r="AJ721" s="1547"/>
      <c r="AK721" s="1350" t="s">
        <v>600</v>
      </c>
      <c r="AL721" s="1351"/>
      <c r="AM721" s="1351"/>
      <c r="AN721" s="1351"/>
      <c r="AO721" s="135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0"/>
      <c r="C722" s="1351"/>
      <c r="D722" s="1351"/>
      <c r="E722" s="1351"/>
      <c r="F722" s="1352"/>
      <c r="G722" s="1453"/>
      <c r="H722" s="1454"/>
      <c r="I722" s="1454"/>
      <c r="J722" s="1455"/>
      <c r="K722" s="1450"/>
      <c r="L722" s="1451"/>
      <c r="M722" s="1451"/>
      <c r="N722" s="1452"/>
      <c r="O722" s="1447"/>
      <c r="P722" s="1448"/>
      <c r="Q722" s="1448"/>
      <c r="R722" s="1448"/>
      <c r="S722" s="1449"/>
      <c r="T722" s="1447"/>
      <c r="U722" s="1448"/>
      <c r="V722" s="1448"/>
      <c r="W722" s="1449"/>
      <c r="X722" s="1465">
        <f t="shared" si="49"/>
        <v>0</v>
      </c>
      <c r="Y722" s="1466"/>
      <c r="Z722" s="1466"/>
      <c r="AA722" s="1466"/>
      <c r="AB722" s="1467"/>
      <c r="AC722" s="1549"/>
      <c r="AD722" s="1550"/>
      <c r="AE722" s="1550"/>
      <c r="AF722" s="1550"/>
      <c r="AG722" s="1551"/>
      <c r="AH722" s="1545" t="str">
        <f t="shared" si="50"/>
        <v xml:space="preserve"> </v>
      </c>
      <c r="AI722" s="1546"/>
      <c r="AJ722" s="1547"/>
      <c r="AK722" s="1350" t="s">
        <v>600</v>
      </c>
      <c r="AL722" s="1351"/>
      <c r="AM722" s="1351"/>
      <c r="AN722" s="1351"/>
      <c r="AO722" s="135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50"/>
      <c r="C723" s="1351"/>
      <c r="D723" s="1351"/>
      <c r="E723" s="1351"/>
      <c r="F723" s="1352"/>
      <c r="G723" s="1453"/>
      <c r="H723" s="1454"/>
      <c r="I723" s="1454"/>
      <c r="J723" s="1455"/>
      <c r="K723" s="1450"/>
      <c r="L723" s="1451"/>
      <c r="M723" s="1451"/>
      <c r="N723" s="1452"/>
      <c r="O723" s="1447"/>
      <c r="P723" s="1448"/>
      <c r="Q723" s="1448"/>
      <c r="R723" s="1448"/>
      <c r="S723" s="1449"/>
      <c r="T723" s="1447"/>
      <c r="U723" s="1448"/>
      <c r="V723" s="1448"/>
      <c r="W723" s="1449"/>
      <c r="X723" s="1465">
        <f t="shared" si="49"/>
        <v>0</v>
      </c>
      <c r="Y723" s="1466"/>
      <c r="Z723" s="1466"/>
      <c r="AA723" s="1466"/>
      <c r="AB723" s="1467"/>
      <c r="AC723" s="1549"/>
      <c r="AD723" s="1550"/>
      <c r="AE723" s="1550"/>
      <c r="AF723" s="1550"/>
      <c r="AG723" s="1551"/>
      <c r="AH723" s="1545" t="str">
        <f t="shared" si="50"/>
        <v xml:space="preserve"> </v>
      </c>
      <c r="AI723" s="1546"/>
      <c r="AJ723" s="1547"/>
      <c r="AK723" s="1350" t="s">
        <v>600</v>
      </c>
      <c r="AL723" s="1351"/>
      <c r="AM723" s="1351"/>
      <c r="AN723" s="1351"/>
      <c r="AO723" s="135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50"/>
      <c r="C724" s="1351"/>
      <c r="D724" s="1351"/>
      <c r="E724" s="1351"/>
      <c r="F724" s="1352"/>
      <c r="G724" s="1453"/>
      <c r="H724" s="1454"/>
      <c r="I724" s="1454"/>
      <c r="J724" s="1455"/>
      <c r="K724" s="1450"/>
      <c r="L724" s="1451"/>
      <c r="M724" s="1451"/>
      <c r="N724" s="1452"/>
      <c r="O724" s="1447"/>
      <c r="P724" s="1448"/>
      <c r="Q724" s="1448"/>
      <c r="R724" s="1448"/>
      <c r="S724" s="1449"/>
      <c r="T724" s="1447"/>
      <c r="U724" s="1448"/>
      <c r="V724" s="1448"/>
      <c r="W724" s="1449"/>
      <c r="X724" s="1465">
        <f t="shared" si="49"/>
        <v>0</v>
      </c>
      <c r="Y724" s="1466"/>
      <c r="Z724" s="1466"/>
      <c r="AA724" s="1466"/>
      <c r="AB724" s="1467"/>
      <c r="AC724" s="1549"/>
      <c r="AD724" s="1550"/>
      <c r="AE724" s="1550"/>
      <c r="AF724" s="1550"/>
      <c r="AG724" s="1551"/>
      <c r="AH724" s="1545" t="str">
        <f t="shared" si="50"/>
        <v xml:space="preserve"> </v>
      </c>
      <c r="AI724" s="1546"/>
      <c r="AJ724" s="1547"/>
      <c r="AK724" s="1350" t="s">
        <v>600</v>
      </c>
      <c r="AL724" s="1351"/>
      <c r="AM724" s="1351"/>
      <c r="AN724" s="1351"/>
      <c r="AO724" s="135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50"/>
      <c r="C725" s="1351"/>
      <c r="D725" s="1351"/>
      <c r="E725" s="1351"/>
      <c r="F725" s="1352"/>
      <c r="G725" s="1453"/>
      <c r="H725" s="1454"/>
      <c r="I725" s="1454"/>
      <c r="J725" s="1455"/>
      <c r="K725" s="1450"/>
      <c r="L725" s="1451"/>
      <c r="M725" s="1451"/>
      <c r="N725" s="1452"/>
      <c r="O725" s="1447"/>
      <c r="P725" s="1448"/>
      <c r="Q725" s="1448"/>
      <c r="R725" s="1448"/>
      <c r="S725" s="1449"/>
      <c r="T725" s="1447"/>
      <c r="U725" s="1448"/>
      <c r="V725" s="1448"/>
      <c r="W725" s="1449"/>
      <c r="X725" s="1465">
        <f t="shared" si="49"/>
        <v>0</v>
      </c>
      <c r="Y725" s="1466"/>
      <c r="Z725" s="1466"/>
      <c r="AA725" s="1466"/>
      <c r="AB725" s="1467"/>
      <c r="AC725" s="1549"/>
      <c r="AD725" s="1550"/>
      <c r="AE725" s="1550"/>
      <c r="AF725" s="1550"/>
      <c r="AG725" s="1551"/>
      <c r="AH725" s="1545" t="str">
        <f t="shared" si="50"/>
        <v xml:space="preserve"> </v>
      </c>
      <c r="AI725" s="1546"/>
      <c r="AJ725" s="1547"/>
      <c r="AK725" s="1350" t="s">
        <v>600</v>
      </c>
      <c r="AL725" s="1351"/>
      <c r="AM725" s="1351"/>
      <c r="AN725" s="1351"/>
      <c r="AO725" s="135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0"/>
      <c r="C726" s="1351"/>
      <c r="D726" s="1351"/>
      <c r="E726" s="1351"/>
      <c r="F726" s="1352"/>
      <c r="G726" s="1453"/>
      <c r="H726" s="1454"/>
      <c r="I726" s="1454"/>
      <c r="J726" s="1455"/>
      <c r="K726" s="1450"/>
      <c r="L726" s="1451"/>
      <c r="M726" s="1451"/>
      <c r="N726" s="1452"/>
      <c r="O726" s="1447"/>
      <c r="P726" s="1448"/>
      <c r="Q726" s="1448"/>
      <c r="R726" s="1448"/>
      <c r="S726" s="1449"/>
      <c r="T726" s="1447"/>
      <c r="U726" s="1448"/>
      <c r="V726" s="1448"/>
      <c r="W726" s="1449"/>
      <c r="X726" s="1465">
        <f t="shared" si="49"/>
        <v>0</v>
      </c>
      <c r="Y726" s="1466"/>
      <c r="Z726" s="1466"/>
      <c r="AA726" s="1466"/>
      <c r="AB726" s="1467"/>
      <c r="AC726" s="1549"/>
      <c r="AD726" s="1550"/>
      <c r="AE726" s="1550"/>
      <c r="AF726" s="1550"/>
      <c r="AG726" s="1551"/>
      <c r="AH726" s="1545" t="str">
        <f t="shared" si="50"/>
        <v xml:space="preserve"> </v>
      </c>
      <c r="AI726" s="1546"/>
      <c r="AJ726" s="1547"/>
      <c r="AK726" s="1350" t="s">
        <v>600</v>
      </c>
      <c r="AL726" s="1351"/>
      <c r="AM726" s="1351"/>
      <c r="AN726" s="1351"/>
      <c r="AO726" s="135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50"/>
      <c r="C727" s="1351"/>
      <c r="D727" s="1351"/>
      <c r="E727" s="1351"/>
      <c r="F727" s="1352"/>
      <c r="G727" s="1453"/>
      <c r="H727" s="1454"/>
      <c r="I727" s="1454"/>
      <c r="J727" s="1455"/>
      <c r="K727" s="1450"/>
      <c r="L727" s="1451"/>
      <c r="M727" s="1451"/>
      <c r="N727" s="1452"/>
      <c r="O727" s="1447"/>
      <c r="P727" s="1448"/>
      <c r="Q727" s="1448"/>
      <c r="R727" s="1448"/>
      <c r="S727" s="1449"/>
      <c r="T727" s="1447"/>
      <c r="U727" s="1448"/>
      <c r="V727" s="1448"/>
      <c r="W727" s="1449"/>
      <c r="X727" s="1465">
        <f t="shared" si="49"/>
        <v>0</v>
      </c>
      <c r="Y727" s="1466"/>
      <c r="Z727" s="1466"/>
      <c r="AA727" s="1466"/>
      <c r="AB727" s="1467"/>
      <c r="AC727" s="1549">
        <v>0</v>
      </c>
      <c r="AD727" s="1550"/>
      <c r="AE727" s="1550"/>
      <c r="AF727" s="1550"/>
      <c r="AG727" s="1551"/>
      <c r="AH727" s="1545" t="str">
        <f t="shared" si="50"/>
        <v xml:space="preserve"> </v>
      </c>
      <c r="AI727" s="1546"/>
      <c r="AJ727" s="1547"/>
      <c r="AK727" s="1350" t="s">
        <v>600</v>
      </c>
      <c r="AL727" s="1351"/>
      <c r="AM727" s="1351"/>
      <c r="AN727" s="1351"/>
      <c r="AO727" s="135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50"/>
      <c r="C728" s="1351"/>
      <c r="D728" s="1351"/>
      <c r="E728" s="1351"/>
      <c r="F728" s="1352"/>
      <c r="G728" s="1453"/>
      <c r="H728" s="1454"/>
      <c r="I728" s="1454"/>
      <c r="J728" s="1455"/>
      <c r="K728" s="1450"/>
      <c r="L728" s="1451"/>
      <c r="M728" s="1451"/>
      <c r="N728" s="1452"/>
      <c r="O728" s="1447"/>
      <c r="P728" s="1448"/>
      <c r="Q728" s="1448"/>
      <c r="R728" s="1448"/>
      <c r="S728" s="1449"/>
      <c r="T728" s="1447"/>
      <c r="U728" s="1448"/>
      <c r="V728" s="1448"/>
      <c r="W728" s="1449"/>
      <c r="X728" s="1465">
        <f t="shared" si="49"/>
        <v>0</v>
      </c>
      <c r="Y728" s="1466"/>
      <c r="Z728" s="1466"/>
      <c r="AA728" s="1466"/>
      <c r="AB728" s="1467"/>
      <c r="AC728" s="1549">
        <v>0</v>
      </c>
      <c r="AD728" s="1550"/>
      <c r="AE728" s="1550"/>
      <c r="AF728" s="1550"/>
      <c r="AG728" s="1551"/>
      <c r="AH728" s="1545" t="str">
        <f t="shared" si="50"/>
        <v xml:space="preserve"> </v>
      </c>
      <c r="AI728" s="1546"/>
      <c r="AJ728" s="1547"/>
      <c r="AK728" s="1350" t="s">
        <v>600</v>
      </c>
      <c r="AL728" s="1351"/>
      <c r="AM728" s="1351"/>
      <c r="AN728" s="1351"/>
      <c r="AO728" s="135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50"/>
      <c r="C729" s="1351"/>
      <c r="D729" s="1351"/>
      <c r="E729" s="1351"/>
      <c r="F729" s="1352"/>
      <c r="G729" s="1453"/>
      <c r="H729" s="1454"/>
      <c r="I729" s="1454"/>
      <c r="J729" s="1455"/>
      <c r="K729" s="1450"/>
      <c r="L729" s="1451"/>
      <c r="M729" s="1451"/>
      <c r="N729" s="1452"/>
      <c r="O729" s="1447"/>
      <c r="P729" s="1448"/>
      <c r="Q729" s="1448"/>
      <c r="R729" s="1448"/>
      <c r="S729" s="1449"/>
      <c r="T729" s="1447"/>
      <c r="U729" s="1448"/>
      <c r="V729" s="1448"/>
      <c r="W729" s="1449"/>
      <c r="X729" s="1465">
        <f t="shared" si="49"/>
        <v>0</v>
      </c>
      <c r="Y729" s="1466"/>
      <c r="Z729" s="1466"/>
      <c r="AA729" s="1466"/>
      <c r="AB729" s="1467"/>
      <c r="AC729" s="1549">
        <v>0</v>
      </c>
      <c r="AD729" s="1550"/>
      <c r="AE729" s="1550"/>
      <c r="AF729" s="1550"/>
      <c r="AG729" s="1551"/>
      <c r="AH729" s="1545" t="str">
        <f t="shared" si="50"/>
        <v xml:space="preserve"> </v>
      </c>
      <c r="AI729" s="1546"/>
      <c r="AJ729" s="1547"/>
      <c r="AK729" s="1350" t="s">
        <v>600</v>
      </c>
      <c r="AL729" s="1351"/>
      <c r="AM729" s="1351"/>
      <c r="AN729" s="1351"/>
      <c r="AO729" s="135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0"/>
      <c r="C730" s="1351"/>
      <c r="D730" s="1351"/>
      <c r="E730" s="1351"/>
      <c r="F730" s="1352"/>
      <c r="G730" s="1453"/>
      <c r="H730" s="1454"/>
      <c r="I730" s="1454"/>
      <c r="J730" s="1455"/>
      <c r="K730" s="1450"/>
      <c r="L730" s="1451"/>
      <c r="M730" s="1451"/>
      <c r="N730" s="1452"/>
      <c r="O730" s="1447"/>
      <c r="P730" s="1448"/>
      <c r="Q730" s="1448"/>
      <c r="R730" s="1448"/>
      <c r="S730" s="1449"/>
      <c r="T730" s="1447"/>
      <c r="U730" s="1448"/>
      <c r="V730" s="1448"/>
      <c r="W730" s="1449"/>
      <c r="X730" s="1465">
        <f t="shared" si="49"/>
        <v>0</v>
      </c>
      <c r="Y730" s="1466"/>
      <c r="Z730" s="1466"/>
      <c r="AA730" s="1466"/>
      <c r="AB730" s="1467"/>
      <c r="AC730" s="1549">
        <v>0</v>
      </c>
      <c r="AD730" s="1550"/>
      <c r="AE730" s="1550"/>
      <c r="AF730" s="1550"/>
      <c r="AG730" s="1551"/>
      <c r="AH730" s="1545" t="str">
        <f t="shared" si="50"/>
        <v xml:space="preserve"> </v>
      </c>
      <c r="AI730" s="1546"/>
      <c r="AJ730" s="1547"/>
      <c r="AK730" s="1350" t="s">
        <v>600</v>
      </c>
      <c r="AL730" s="1351"/>
      <c r="AM730" s="1351"/>
      <c r="AN730" s="1351"/>
      <c r="AO730" s="135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0"/>
      <c r="C731" s="1351"/>
      <c r="D731" s="1351"/>
      <c r="E731" s="1351"/>
      <c r="F731" s="1352"/>
      <c r="G731" s="1453"/>
      <c r="H731" s="1454"/>
      <c r="I731" s="1454"/>
      <c r="J731" s="1455"/>
      <c r="K731" s="1450"/>
      <c r="L731" s="1451"/>
      <c r="M731" s="1451"/>
      <c r="N731" s="1452"/>
      <c r="O731" s="1447"/>
      <c r="P731" s="1448"/>
      <c r="Q731" s="1448"/>
      <c r="R731" s="1448"/>
      <c r="S731" s="1449"/>
      <c r="T731" s="1447"/>
      <c r="U731" s="1448"/>
      <c r="V731" s="1448"/>
      <c r="W731" s="1449"/>
      <c r="X731" s="1465">
        <f t="shared" si="49"/>
        <v>0</v>
      </c>
      <c r="Y731" s="1466"/>
      <c r="Z731" s="1466"/>
      <c r="AA731" s="1466"/>
      <c r="AB731" s="1467"/>
      <c r="AC731" s="1549">
        <v>0</v>
      </c>
      <c r="AD731" s="1550"/>
      <c r="AE731" s="1550"/>
      <c r="AF731" s="1550"/>
      <c r="AG731" s="1551"/>
      <c r="AH731" s="1545" t="str">
        <f t="shared" si="50"/>
        <v xml:space="preserve"> </v>
      </c>
      <c r="AI731" s="1546"/>
      <c r="AJ731" s="1547"/>
      <c r="AK731" s="1350" t="s">
        <v>600</v>
      </c>
      <c r="AL731" s="1351"/>
      <c r="AM731" s="1351"/>
      <c r="AN731" s="1351"/>
      <c r="AO731" s="135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0"/>
      <c r="C732" s="1351"/>
      <c r="D732" s="1351"/>
      <c r="E732" s="1351"/>
      <c r="F732" s="1352"/>
      <c r="G732" s="1453"/>
      <c r="H732" s="1454"/>
      <c r="I732" s="1454"/>
      <c r="J732" s="1455"/>
      <c r="K732" s="1450"/>
      <c r="L732" s="1451"/>
      <c r="M732" s="1451"/>
      <c r="N732" s="1452"/>
      <c r="O732" s="1447"/>
      <c r="P732" s="1448"/>
      <c r="Q732" s="1448"/>
      <c r="R732" s="1448"/>
      <c r="S732" s="1449"/>
      <c r="T732" s="1447"/>
      <c r="U732" s="1448"/>
      <c r="V732" s="1448"/>
      <c r="W732" s="1449"/>
      <c r="X732" s="1465">
        <f t="shared" si="49"/>
        <v>0</v>
      </c>
      <c r="Y732" s="1466"/>
      <c r="Z732" s="1466"/>
      <c r="AA732" s="1466"/>
      <c r="AB732" s="1467"/>
      <c r="AC732" s="1549">
        <v>0</v>
      </c>
      <c r="AD732" s="1550"/>
      <c r="AE732" s="1550"/>
      <c r="AF732" s="1550"/>
      <c r="AG732" s="1551"/>
      <c r="AH732" s="1545" t="str">
        <f t="shared" si="50"/>
        <v xml:space="preserve"> </v>
      </c>
      <c r="AI732" s="1546"/>
      <c r="AJ732" s="1547"/>
      <c r="AK732" s="1350" t="s">
        <v>600</v>
      </c>
      <c r="AL732" s="1351"/>
      <c r="AM732" s="1351"/>
      <c r="AN732" s="1351"/>
      <c r="AO732" s="135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0"/>
      <c r="C733" s="1351"/>
      <c r="D733" s="1351"/>
      <c r="E733" s="1351"/>
      <c r="F733" s="1352"/>
      <c r="G733" s="1453"/>
      <c r="H733" s="1454"/>
      <c r="I733" s="1454"/>
      <c r="J733" s="1455"/>
      <c r="K733" s="1450"/>
      <c r="L733" s="1451"/>
      <c r="M733" s="1451"/>
      <c r="N733" s="1452"/>
      <c r="O733" s="1447"/>
      <c r="P733" s="1448"/>
      <c r="Q733" s="1448"/>
      <c r="R733" s="1448"/>
      <c r="S733" s="1449"/>
      <c r="T733" s="1447"/>
      <c r="U733" s="1448"/>
      <c r="V733" s="1448"/>
      <c r="W733" s="1449"/>
      <c r="X733" s="1465">
        <f t="shared" si="49"/>
        <v>0</v>
      </c>
      <c r="Y733" s="1466"/>
      <c r="Z733" s="1466"/>
      <c r="AA733" s="1466"/>
      <c r="AB733" s="1467"/>
      <c r="AC733" s="1549">
        <v>0</v>
      </c>
      <c r="AD733" s="1550"/>
      <c r="AE733" s="1550"/>
      <c r="AF733" s="1550"/>
      <c r="AG733" s="1551"/>
      <c r="AH733" s="1545" t="str">
        <f t="shared" si="50"/>
        <v xml:space="preserve"> </v>
      </c>
      <c r="AI733" s="1546"/>
      <c r="AJ733" s="1547"/>
      <c r="AK733" s="1350" t="s">
        <v>600</v>
      </c>
      <c r="AL733" s="1351"/>
      <c r="AM733" s="1351"/>
      <c r="AN733" s="1351"/>
      <c r="AO733" s="135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0"/>
      <c r="C734" s="1351"/>
      <c r="D734" s="1351"/>
      <c r="E734" s="1351"/>
      <c r="F734" s="1352"/>
      <c r="G734" s="1453"/>
      <c r="H734" s="1454"/>
      <c r="I734" s="1454"/>
      <c r="J734" s="1455"/>
      <c r="K734" s="1450"/>
      <c r="L734" s="1451"/>
      <c r="M734" s="1451"/>
      <c r="N734" s="1452"/>
      <c r="O734" s="1447"/>
      <c r="P734" s="1448"/>
      <c r="Q734" s="1448"/>
      <c r="R734" s="1448"/>
      <c r="S734" s="1449"/>
      <c r="T734" s="1447"/>
      <c r="U734" s="1448"/>
      <c r="V734" s="1448"/>
      <c r="W734" s="1449"/>
      <c r="X734" s="1465">
        <f t="shared" si="49"/>
        <v>0</v>
      </c>
      <c r="Y734" s="1466"/>
      <c r="Z734" s="1466"/>
      <c r="AA734" s="1466"/>
      <c r="AB734" s="1467"/>
      <c r="AC734" s="1549">
        <v>0</v>
      </c>
      <c r="AD734" s="1550"/>
      <c r="AE734" s="1550"/>
      <c r="AF734" s="1550"/>
      <c r="AG734" s="1551"/>
      <c r="AH734" s="1545" t="str">
        <f t="shared" si="50"/>
        <v xml:space="preserve"> </v>
      </c>
      <c r="AI734" s="1546"/>
      <c r="AJ734" s="1547"/>
      <c r="AK734" s="1350" t="s">
        <v>600</v>
      </c>
      <c r="AL734" s="1351"/>
      <c r="AM734" s="1351"/>
      <c r="AN734" s="1351"/>
      <c r="AO734" s="135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0"/>
      <c r="C735" s="1351"/>
      <c r="D735" s="1351"/>
      <c r="E735" s="1351"/>
      <c r="F735" s="1352"/>
      <c r="G735" s="1453"/>
      <c r="H735" s="1454"/>
      <c r="I735" s="1454"/>
      <c r="J735" s="1455"/>
      <c r="K735" s="1450"/>
      <c r="L735" s="1451"/>
      <c r="M735" s="1451"/>
      <c r="N735" s="1452"/>
      <c r="O735" s="1447"/>
      <c r="P735" s="1448"/>
      <c r="Q735" s="1448"/>
      <c r="R735" s="1448"/>
      <c r="S735" s="1449"/>
      <c r="T735" s="1447"/>
      <c r="U735" s="1448"/>
      <c r="V735" s="1448"/>
      <c r="W735" s="1449"/>
      <c r="X735" s="1465">
        <f t="shared" si="49"/>
        <v>0</v>
      </c>
      <c r="Y735" s="1466"/>
      <c r="Z735" s="1466"/>
      <c r="AA735" s="1466"/>
      <c r="AB735" s="1467"/>
      <c r="AC735" s="1549">
        <v>0</v>
      </c>
      <c r="AD735" s="1550"/>
      <c r="AE735" s="1550"/>
      <c r="AF735" s="1550"/>
      <c r="AG735" s="1551"/>
      <c r="AH735" s="1545" t="str">
        <f t="shared" si="50"/>
        <v xml:space="preserve"> </v>
      </c>
      <c r="AI735" s="1546"/>
      <c r="AJ735" s="1547"/>
      <c r="AK735" s="1350" t="s">
        <v>600</v>
      </c>
      <c r="AL735" s="1351"/>
      <c r="AM735" s="1351"/>
      <c r="AN735" s="1351"/>
      <c r="AO735" s="135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0"/>
      <c r="C736" s="1351"/>
      <c r="D736" s="1351"/>
      <c r="E736" s="1351"/>
      <c r="F736" s="1352"/>
      <c r="G736" s="1453"/>
      <c r="H736" s="1454"/>
      <c r="I736" s="1454"/>
      <c r="J736" s="1455"/>
      <c r="K736" s="1450"/>
      <c r="L736" s="1451"/>
      <c r="M736" s="1451"/>
      <c r="N736" s="1452"/>
      <c r="O736" s="1447"/>
      <c r="P736" s="1448"/>
      <c r="Q736" s="1448"/>
      <c r="R736" s="1448"/>
      <c r="S736" s="1449"/>
      <c r="T736" s="1447"/>
      <c r="U736" s="1448"/>
      <c r="V736" s="1448"/>
      <c r="W736" s="1449"/>
      <c r="X736" s="1465">
        <f t="shared" si="49"/>
        <v>0</v>
      </c>
      <c r="Y736" s="1466"/>
      <c r="Z736" s="1466"/>
      <c r="AA736" s="1466"/>
      <c r="AB736" s="1467"/>
      <c r="AC736" s="1549">
        <v>0</v>
      </c>
      <c r="AD736" s="1550"/>
      <c r="AE736" s="1550"/>
      <c r="AF736" s="1550"/>
      <c r="AG736" s="1551"/>
      <c r="AH736" s="1545" t="str">
        <f t="shared" si="50"/>
        <v xml:space="preserve"> </v>
      </c>
      <c r="AI736" s="1546"/>
      <c r="AJ736" s="1547"/>
      <c r="AK736" s="1350" t="s">
        <v>600</v>
      </c>
      <c r="AL736" s="1351"/>
      <c r="AM736" s="1351"/>
      <c r="AN736" s="1351"/>
      <c r="AO736" s="135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0"/>
      <c r="C737" s="1351"/>
      <c r="D737" s="1351"/>
      <c r="E737" s="1351"/>
      <c r="F737" s="1352"/>
      <c r="G737" s="1453"/>
      <c r="H737" s="1454"/>
      <c r="I737" s="1454"/>
      <c r="J737" s="1455"/>
      <c r="K737" s="1450"/>
      <c r="L737" s="1451"/>
      <c r="M737" s="1451"/>
      <c r="N737" s="1452"/>
      <c r="O737" s="1447"/>
      <c r="P737" s="1448"/>
      <c r="Q737" s="1448"/>
      <c r="R737" s="1448"/>
      <c r="S737" s="1449"/>
      <c r="T737" s="1447"/>
      <c r="U737" s="1448"/>
      <c r="V737" s="1448"/>
      <c r="W737" s="1449"/>
      <c r="X737" s="1465">
        <f t="shared" si="49"/>
        <v>0</v>
      </c>
      <c r="Y737" s="1466"/>
      <c r="Z737" s="1466"/>
      <c r="AA737" s="1466"/>
      <c r="AB737" s="1467"/>
      <c r="AC737" s="1549">
        <v>0</v>
      </c>
      <c r="AD737" s="1550"/>
      <c r="AE737" s="1550"/>
      <c r="AF737" s="1550"/>
      <c r="AG737" s="1551"/>
      <c r="AH737" s="1545" t="str">
        <f t="shared" si="50"/>
        <v xml:space="preserve"> </v>
      </c>
      <c r="AI737" s="1546"/>
      <c r="AJ737" s="1547"/>
      <c r="AK737" s="1350" t="s">
        <v>600</v>
      </c>
      <c r="AL737" s="1351"/>
      <c r="AM737" s="1351"/>
      <c r="AN737" s="1351"/>
      <c r="AO737" s="135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0"/>
      <c r="C738" s="1351"/>
      <c r="D738" s="1351"/>
      <c r="E738" s="1351"/>
      <c r="F738" s="1352"/>
      <c r="G738" s="1453"/>
      <c r="H738" s="1454"/>
      <c r="I738" s="1454"/>
      <c r="J738" s="1455"/>
      <c r="K738" s="1450"/>
      <c r="L738" s="1451"/>
      <c r="M738" s="1451"/>
      <c r="N738" s="1452"/>
      <c r="O738" s="1447"/>
      <c r="P738" s="1448"/>
      <c r="Q738" s="1448"/>
      <c r="R738" s="1448"/>
      <c r="S738" s="1449"/>
      <c r="T738" s="1447"/>
      <c r="U738" s="1448"/>
      <c r="V738" s="1448"/>
      <c r="W738" s="1449"/>
      <c r="X738" s="1465">
        <f t="shared" si="49"/>
        <v>0</v>
      </c>
      <c r="Y738" s="1466"/>
      <c r="Z738" s="1466"/>
      <c r="AA738" s="1466"/>
      <c r="AB738" s="1467"/>
      <c r="AC738" s="1549">
        <v>0</v>
      </c>
      <c r="AD738" s="1550"/>
      <c r="AE738" s="1550"/>
      <c r="AF738" s="1550"/>
      <c r="AG738" s="1551"/>
      <c r="AH738" s="1545" t="str">
        <f t="shared" si="50"/>
        <v xml:space="preserve"> </v>
      </c>
      <c r="AI738" s="1546"/>
      <c r="AJ738" s="1547"/>
      <c r="AK738" s="1350" t="s">
        <v>600</v>
      </c>
      <c r="AL738" s="1351"/>
      <c r="AM738" s="1351"/>
      <c r="AN738" s="1351"/>
      <c r="AO738" s="135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494" t="s">
        <v>126</v>
      </c>
      <c r="C739" s="1495"/>
      <c r="D739" s="1495"/>
      <c r="E739" s="1495"/>
      <c r="F739" s="1497"/>
      <c r="G739" s="1726">
        <f>SUM(G714:J738)</f>
        <v>204</v>
      </c>
      <c r="H739" s="1727"/>
      <c r="I739" s="1727"/>
      <c r="J739" s="1728"/>
      <c r="K739" s="939" t="s">
        <v>125</v>
      </c>
      <c r="L739" s="5"/>
      <c r="M739" s="5"/>
      <c r="N739" s="46"/>
      <c r="O739" s="1465">
        <f>SUMPRODUCT(G714:G738,O714:O738)</f>
        <v>204188</v>
      </c>
      <c r="P739" s="1466"/>
      <c r="Q739" s="1466"/>
      <c r="R739" s="1466"/>
      <c r="S739" s="1467"/>
      <c r="X739" s="941" t="s">
        <v>933</v>
      </c>
      <c r="Y739" s="940"/>
      <c r="Z739" s="940"/>
      <c r="AA739" s="940"/>
      <c r="AB739" s="942"/>
      <c r="AC739" s="1670">
        <f>BI682</f>
        <v>0.55196078431372553</v>
      </c>
      <c r="AD739" s="1671"/>
      <c r="AE739" s="1671"/>
      <c r="AF739" s="1671"/>
      <c r="AG739" s="1672"/>
      <c r="AH739" s="1670">
        <f>BI714</f>
        <v>0.44701654384409595</v>
      </c>
      <c r="AI739" s="1671"/>
      <c r="AJ739" s="167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468" t="s">
        <v>2258</v>
      </c>
      <c r="C740" s="1468"/>
      <c r="D740" s="1468"/>
      <c r="E740" s="1468"/>
      <c r="F740" s="1468"/>
      <c r="G740" s="1468"/>
      <c r="H740" s="1468"/>
      <c r="I740" s="1468"/>
      <c r="J740" s="1468"/>
      <c r="K740" s="1468"/>
      <c r="L740" s="1468"/>
      <c r="M740" s="1468"/>
      <c r="N740" s="1468"/>
      <c r="O740" s="1468"/>
      <c r="P740" s="1468"/>
      <c r="Q740" s="1468"/>
      <c r="R740" s="1468"/>
      <c r="S740" s="1468"/>
      <c r="T740" s="1468"/>
      <c r="U740" s="1468"/>
      <c r="V740" s="1468"/>
      <c r="W740" s="1468"/>
      <c r="X740" s="1468"/>
      <c r="Y740" s="1468"/>
      <c r="Z740" s="1468"/>
      <c r="AA740" s="1468"/>
      <c r="AB740" s="1468"/>
      <c r="AC740" s="1468"/>
      <c r="AD740" s="1468"/>
      <c r="AE740" s="1468"/>
      <c r="AF740" s="1468"/>
      <c r="AG740" s="1468"/>
      <c r="AH740" s="146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468"/>
      <c r="C741" s="1468"/>
      <c r="D741" s="1468"/>
      <c r="E741" s="1468"/>
      <c r="F741" s="1468"/>
      <c r="G741" s="1468"/>
      <c r="H741" s="1468"/>
      <c r="I741" s="1468"/>
      <c r="J741" s="1468"/>
      <c r="K741" s="1468"/>
      <c r="L741" s="1468"/>
      <c r="M741" s="1468"/>
      <c r="N741" s="1468"/>
      <c r="O741" s="1468"/>
      <c r="P741" s="1468"/>
      <c r="Q741" s="1468"/>
      <c r="R741" s="1468"/>
      <c r="S741" s="1468"/>
      <c r="T741" s="1468"/>
      <c r="U741" s="1468"/>
      <c r="V741" s="1468"/>
      <c r="W741" s="1468"/>
      <c r="X741" s="1468"/>
      <c r="Y741" s="1468"/>
      <c r="Z741" s="1468"/>
      <c r="AA741" s="1468"/>
      <c r="AB741" s="1468"/>
      <c r="AC741" s="1468"/>
      <c r="AD741" s="1468"/>
      <c r="AE741" s="1468"/>
      <c r="AF741" s="1468"/>
      <c r="AG741" s="1468"/>
      <c r="AH741" s="146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2256</v>
      </c>
      <c r="D742" s="1076"/>
      <c r="E742" s="1076"/>
      <c r="F742" s="1076"/>
      <c r="G742" s="1077"/>
      <c r="H742" s="1077"/>
      <c r="I742" s="1077"/>
      <c r="J742" s="1077"/>
      <c r="K742" s="1076"/>
      <c r="L742" s="1076"/>
      <c r="M742" s="1076"/>
      <c r="N742" s="1076"/>
      <c r="O742" s="1662">
        <f>CS623</f>
        <v>204</v>
      </c>
      <c r="P742" s="1662"/>
      <c r="Q742" s="1662"/>
      <c r="R742" s="1662"/>
      <c r="S742" s="1006"/>
      <c r="T742" s="1006"/>
      <c r="U742" s="118" t="s">
        <v>2257</v>
      </c>
      <c r="V742" s="1076"/>
      <c r="W742" s="1076"/>
      <c r="X742" s="1076"/>
      <c r="Y742" s="1077"/>
      <c r="Z742" s="1077"/>
      <c r="AA742" s="1077"/>
      <c r="AB742" s="1077"/>
      <c r="AC742" s="1076"/>
      <c r="AD742" s="1076"/>
      <c r="AE742" s="1076"/>
      <c r="AF742" s="1076"/>
      <c r="AG742" s="1663"/>
      <c r="AH742" s="1663"/>
      <c r="AI742" s="1663"/>
      <c r="AJ742" s="1663"/>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44" t="s">
        <v>600</v>
      </c>
      <c r="AE744" s="1544"/>
      <c r="AF744" s="15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0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0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0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0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0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05" customHeight="1">
      <c r="J754" s="1456" t="s">
        <v>390</v>
      </c>
      <c r="K754" s="1457"/>
      <c r="L754" s="1457"/>
      <c r="M754" s="1457"/>
      <c r="N754" s="1458"/>
      <c r="O754" s="1661" t="s">
        <v>286</v>
      </c>
      <c r="P754" s="1661"/>
      <c r="Q754" s="1661"/>
      <c r="R754" s="1661"/>
      <c r="S754" s="1661"/>
      <c r="T754" s="1471" t="s">
        <v>1939</v>
      </c>
      <c r="U754" s="1472"/>
      <c r="V754" s="1472"/>
      <c r="W754" s="1473"/>
      <c r="X754" s="1456" t="s">
        <v>456</v>
      </c>
      <c r="Y754" s="1457"/>
      <c r="Z754" s="1457"/>
      <c r="AA754" s="1457"/>
      <c r="AB754" s="1458"/>
      <c r="AC754" s="1456" t="s">
        <v>287</v>
      </c>
      <c r="AD754" s="1457"/>
      <c r="AE754" s="1457"/>
      <c r="AF754" s="1457"/>
      <c r="AG754" s="145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59"/>
      <c r="K755" s="1460"/>
      <c r="L755" s="1460"/>
      <c r="M755" s="1460"/>
      <c r="N755" s="1461"/>
      <c r="O755" s="1661"/>
      <c r="P755" s="1661"/>
      <c r="Q755" s="1661"/>
      <c r="R755" s="1661"/>
      <c r="S755" s="1661"/>
      <c r="T755" s="1474"/>
      <c r="U755" s="1475"/>
      <c r="V755" s="1475"/>
      <c r="W755" s="1476"/>
      <c r="X755" s="1459"/>
      <c r="Y755" s="1460"/>
      <c r="Z755" s="1460"/>
      <c r="AA755" s="1460"/>
      <c r="AB755" s="1461"/>
      <c r="AC755" s="1459"/>
      <c r="AD755" s="1460"/>
      <c r="AE755" s="1460"/>
      <c r="AF755" s="1460"/>
      <c r="AG755" s="146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59"/>
      <c r="K756" s="1460"/>
      <c r="L756" s="1460"/>
      <c r="M756" s="1460"/>
      <c r="N756" s="1461"/>
      <c r="O756" s="1661"/>
      <c r="P756" s="1661"/>
      <c r="Q756" s="1661"/>
      <c r="R756" s="1661"/>
      <c r="S756" s="1661"/>
      <c r="T756" s="1474"/>
      <c r="U756" s="1475"/>
      <c r="V756" s="1475"/>
      <c r="W756" s="1476"/>
      <c r="X756" s="1459"/>
      <c r="Y756" s="1460"/>
      <c r="Z756" s="1460"/>
      <c r="AA756" s="1460"/>
      <c r="AB756" s="1461"/>
      <c r="AC756" s="1459"/>
      <c r="AD756" s="1460"/>
      <c r="AE756" s="1460"/>
      <c r="AF756" s="1460"/>
      <c r="AG756" s="146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62"/>
      <c r="K757" s="1463"/>
      <c r="L757" s="1463"/>
      <c r="M757" s="1463"/>
      <c r="N757" s="1464"/>
      <c r="O757" s="1661"/>
      <c r="P757" s="1661"/>
      <c r="Q757" s="1661"/>
      <c r="R757" s="1661"/>
      <c r="S757" s="1661"/>
      <c r="T757" s="1477"/>
      <c r="U757" s="1478"/>
      <c r="V757" s="1478"/>
      <c r="W757" s="1479"/>
      <c r="X757" s="1462"/>
      <c r="Y757" s="1463"/>
      <c r="Z757" s="1463"/>
      <c r="AA757" s="1463"/>
      <c r="AB757" s="1464"/>
      <c r="AC757" s="1462"/>
      <c r="AD757" s="1463"/>
      <c r="AE757" s="1463"/>
      <c r="AF757" s="1463"/>
      <c r="AG757" s="146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50" t="s">
        <v>326</v>
      </c>
      <c r="K758" s="1351"/>
      <c r="L758" s="1351"/>
      <c r="M758" s="1351"/>
      <c r="N758" s="1352"/>
      <c r="O758" s="1343">
        <v>1</v>
      </c>
      <c r="P758" s="1343"/>
      <c r="Q758" s="1343"/>
      <c r="R758" s="1343"/>
      <c r="S758" s="1343"/>
      <c r="T758" s="1450">
        <v>646</v>
      </c>
      <c r="U758" s="1451"/>
      <c r="V758" s="1451"/>
      <c r="W758" s="1452"/>
      <c r="X758" s="1447">
        <v>0</v>
      </c>
      <c r="Y758" s="1448"/>
      <c r="Z758" s="1448"/>
      <c r="AA758" s="1448"/>
      <c r="AB758" s="1449"/>
      <c r="AC758" s="1465">
        <f>X758*O758</f>
        <v>0</v>
      </c>
      <c r="AD758" s="1466"/>
      <c r="AE758" s="1466"/>
      <c r="AF758" s="1466"/>
      <c r="AG758" s="146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50" t="s">
        <v>164</v>
      </c>
      <c r="K759" s="1351"/>
      <c r="L759" s="1351"/>
      <c r="M759" s="1351"/>
      <c r="N759" s="1352"/>
      <c r="O759" s="1343">
        <v>1</v>
      </c>
      <c r="P759" s="1343"/>
      <c r="Q759" s="1343"/>
      <c r="R759" s="1343"/>
      <c r="S759" s="1343"/>
      <c r="T759" s="1450">
        <v>853</v>
      </c>
      <c r="U759" s="1451"/>
      <c r="V759" s="1451"/>
      <c r="W759" s="1452"/>
      <c r="X759" s="1447">
        <v>0</v>
      </c>
      <c r="Y759" s="1448"/>
      <c r="Z759" s="1448"/>
      <c r="AA759" s="1448"/>
      <c r="AB759" s="1449"/>
      <c r="AC759" s="1465">
        <f>X759*O759</f>
        <v>0</v>
      </c>
      <c r="AD759" s="1466"/>
      <c r="AE759" s="1466"/>
      <c r="AF759" s="1466"/>
      <c r="AG759" s="146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50"/>
      <c r="K760" s="1351"/>
      <c r="L760" s="1351"/>
      <c r="M760" s="1351"/>
      <c r="N760" s="1352"/>
      <c r="O760" s="1343"/>
      <c r="P760" s="1343"/>
      <c r="Q760" s="1343"/>
      <c r="R760" s="1343"/>
      <c r="S760" s="1343"/>
      <c r="T760" s="1450"/>
      <c r="U760" s="1451"/>
      <c r="V760" s="1451"/>
      <c r="W760" s="1452"/>
      <c r="X760" s="1447"/>
      <c r="Y760" s="1448"/>
      <c r="Z760" s="1448"/>
      <c r="AA760" s="1448"/>
      <c r="AB760" s="1449"/>
      <c r="AC760" s="1465">
        <f>X760*O760</f>
        <v>0</v>
      </c>
      <c r="AD760" s="1466"/>
      <c r="AE760" s="1466"/>
      <c r="AF760" s="1466"/>
      <c r="AG760" s="146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50"/>
      <c r="K761" s="1351"/>
      <c r="L761" s="1351"/>
      <c r="M761" s="1351"/>
      <c r="N761" s="1352"/>
      <c r="O761" s="1343"/>
      <c r="P761" s="1343"/>
      <c r="Q761" s="1343"/>
      <c r="R761" s="1343"/>
      <c r="S761" s="1343"/>
      <c r="T761" s="1450"/>
      <c r="U761" s="1451"/>
      <c r="V761" s="1451"/>
      <c r="W761" s="1452"/>
      <c r="X761" s="1447"/>
      <c r="Y761" s="1448"/>
      <c r="Z761" s="1448"/>
      <c r="AA761" s="1448"/>
      <c r="AB761" s="1449"/>
      <c r="AC761" s="1465">
        <f>X761*O761</f>
        <v>0</v>
      </c>
      <c r="AD761" s="1466"/>
      <c r="AE761" s="1466"/>
      <c r="AF761" s="1466"/>
      <c r="AG761" s="146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494" t="s">
        <v>126</v>
      </c>
      <c r="K762" s="1495"/>
      <c r="L762" s="1495"/>
      <c r="M762" s="1495"/>
      <c r="N762" s="1497"/>
      <c r="O762" s="1469">
        <f>SUM(O758:S761)</f>
        <v>2</v>
      </c>
      <c r="P762" s="1483"/>
      <c r="Q762" s="1483"/>
      <c r="R762" s="1483"/>
      <c r="S762" s="1470"/>
      <c r="X762" s="1494" t="s">
        <v>125</v>
      </c>
      <c r="Y762" s="1495"/>
      <c r="Z762" s="1495"/>
      <c r="AA762" s="1495"/>
      <c r="AB762" s="1497"/>
      <c r="AC762" s="1465">
        <f>SUM(AC758:AG761)</f>
        <v>0</v>
      </c>
      <c r="AD762" s="1466"/>
      <c r="AE762" s="1466"/>
      <c r="AF762" s="1466"/>
      <c r="AG762" s="146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49" t="s">
        <v>678</v>
      </c>
      <c r="K764" s="134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56" t="s">
        <v>390</v>
      </c>
      <c r="K768" s="1457"/>
      <c r="L768" s="1457"/>
      <c r="M768" s="1457"/>
      <c r="N768" s="1458"/>
      <c r="O768" s="1661" t="s">
        <v>286</v>
      </c>
      <c r="P768" s="1661"/>
      <c r="Q768" s="1661"/>
      <c r="R768" s="1661"/>
      <c r="S768" s="1661"/>
      <c r="T768" s="1471" t="s">
        <v>1939</v>
      </c>
      <c r="U768" s="1472"/>
      <c r="V768" s="1472"/>
      <c r="W768" s="1473"/>
      <c r="X768" s="1456" t="s">
        <v>456</v>
      </c>
      <c r="Y768" s="1457"/>
      <c r="Z768" s="1457"/>
      <c r="AA768" s="1457"/>
      <c r="AB768" s="1458"/>
      <c r="AC768" s="1456" t="s">
        <v>287</v>
      </c>
      <c r="AD768" s="1457"/>
      <c r="AE768" s="1457"/>
      <c r="AF768" s="1457"/>
      <c r="AG768" s="1458"/>
      <c r="AH768" s="1581" t="s">
        <v>2132</v>
      </c>
      <c r="AI768" s="1582"/>
      <c r="AJ768" s="1582"/>
      <c r="AK768" s="1582"/>
      <c r="AL768" s="158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59"/>
      <c r="K769" s="1460"/>
      <c r="L769" s="1460"/>
      <c r="M769" s="1460"/>
      <c r="N769" s="1461"/>
      <c r="O769" s="1661"/>
      <c r="P769" s="1661"/>
      <c r="Q769" s="1661"/>
      <c r="R769" s="1661"/>
      <c r="S769" s="1661"/>
      <c r="T769" s="1474"/>
      <c r="U769" s="1475"/>
      <c r="V769" s="1475"/>
      <c r="W769" s="1476"/>
      <c r="X769" s="1459"/>
      <c r="Y769" s="1460"/>
      <c r="Z769" s="1460"/>
      <c r="AA769" s="1460"/>
      <c r="AB769" s="1461"/>
      <c r="AC769" s="1459"/>
      <c r="AD769" s="1460"/>
      <c r="AE769" s="1460"/>
      <c r="AF769" s="1460"/>
      <c r="AG769" s="1461"/>
      <c r="AH769" s="1581"/>
      <c r="AI769" s="1582"/>
      <c r="AJ769" s="1582"/>
      <c r="AK769" s="1582"/>
      <c r="AL769" s="158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59"/>
      <c r="K770" s="1460"/>
      <c r="L770" s="1460"/>
      <c r="M770" s="1460"/>
      <c r="N770" s="1461"/>
      <c r="O770" s="1661"/>
      <c r="P770" s="1661"/>
      <c r="Q770" s="1661"/>
      <c r="R770" s="1661"/>
      <c r="S770" s="1661"/>
      <c r="T770" s="1474"/>
      <c r="U770" s="1475"/>
      <c r="V770" s="1475"/>
      <c r="W770" s="1476"/>
      <c r="X770" s="1459"/>
      <c r="Y770" s="1460"/>
      <c r="Z770" s="1460"/>
      <c r="AA770" s="1460"/>
      <c r="AB770" s="1461"/>
      <c r="AC770" s="1459"/>
      <c r="AD770" s="1460"/>
      <c r="AE770" s="1460"/>
      <c r="AF770" s="1460"/>
      <c r="AG770" s="1461"/>
      <c r="AH770" s="1581"/>
      <c r="AI770" s="1582"/>
      <c r="AJ770" s="1582"/>
      <c r="AK770" s="1582"/>
      <c r="AL770" s="158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62"/>
      <c r="K771" s="1463"/>
      <c r="L771" s="1463"/>
      <c r="M771" s="1463"/>
      <c r="N771" s="1464"/>
      <c r="O771" s="1661"/>
      <c r="P771" s="1661"/>
      <c r="Q771" s="1661"/>
      <c r="R771" s="1661"/>
      <c r="S771" s="1661"/>
      <c r="T771" s="1477"/>
      <c r="U771" s="1478"/>
      <c r="V771" s="1478"/>
      <c r="W771" s="1479"/>
      <c r="X771" s="1462"/>
      <c r="Y771" s="1463"/>
      <c r="Z771" s="1463"/>
      <c r="AA771" s="1463"/>
      <c r="AB771" s="1464"/>
      <c r="AC771" s="1462"/>
      <c r="AD771" s="1463"/>
      <c r="AE771" s="1463"/>
      <c r="AF771" s="1463"/>
      <c r="AG771" s="1464"/>
      <c r="AH771" s="1581"/>
      <c r="AI771" s="1582"/>
      <c r="AJ771" s="1582"/>
      <c r="AK771" s="1582"/>
      <c r="AL771" s="158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50"/>
      <c r="K772" s="1351"/>
      <c r="L772" s="1351"/>
      <c r="M772" s="1351"/>
      <c r="N772" s="1352"/>
      <c r="O772" s="1343"/>
      <c r="P772" s="1343"/>
      <c r="Q772" s="1343"/>
      <c r="R772" s="1343"/>
      <c r="S772" s="1343"/>
      <c r="T772" s="1450"/>
      <c r="U772" s="1451"/>
      <c r="V772" s="1451"/>
      <c r="W772" s="1452"/>
      <c r="X772" s="1447"/>
      <c r="Y772" s="1448"/>
      <c r="Z772" s="1448"/>
      <c r="AA772" s="1448"/>
      <c r="AB772" s="1449"/>
      <c r="AC772" s="1465">
        <f t="shared" ref="AC772:AC781" si="51">X772*O772</f>
        <v>0</v>
      </c>
      <c r="AD772" s="1466"/>
      <c r="AE772" s="1466"/>
      <c r="AF772" s="1466"/>
      <c r="AG772" s="1467"/>
      <c r="AH772" s="1583"/>
      <c r="AI772" s="1584"/>
      <c r="AJ772" s="1584"/>
      <c r="AK772" s="1584"/>
      <c r="AL772" s="158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50"/>
      <c r="K773" s="1351"/>
      <c r="L773" s="1351"/>
      <c r="M773" s="1351"/>
      <c r="N773" s="1352"/>
      <c r="O773" s="1343"/>
      <c r="P773" s="1343"/>
      <c r="Q773" s="1343"/>
      <c r="R773" s="1343"/>
      <c r="S773" s="1343"/>
      <c r="T773" s="1450"/>
      <c r="U773" s="1451"/>
      <c r="V773" s="1451"/>
      <c r="W773" s="1452"/>
      <c r="X773" s="1447"/>
      <c r="Y773" s="1448"/>
      <c r="Z773" s="1448"/>
      <c r="AA773" s="1448"/>
      <c r="AB773" s="1449"/>
      <c r="AC773" s="1465">
        <f t="shared" si="51"/>
        <v>0</v>
      </c>
      <c r="AD773" s="1466"/>
      <c r="AE773" s="1466"/>
      <c r="AF773" s="1466"/>
      <c r="AG773" s="1467"/>
      <c r="AH773" s="1583"/>
      <c r="AI773" s="1584"/>
      <c r="AJ773" s="1584"/>
      <c r="AK773" s="1584"/>
      <c r="AL773" s="158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50"/>
      <c r="K774" s="1351"/>
      <c r="L774" s="1351"/>
      <c r="M774" s="1351"/>
      <c r="N774" s="1352"/>
      <c r="O774" s="1343"/>
      <c r="P774" s="1343"/>
      <c r="Q774" s="1343"/>
      <c r="R774" s="1343"/>
      <c r="S774" s="1343"/>
      <c r="T774" s="1450"/>
      <c r="U774" s="1451"/>
      <c r="V774" s="1451"/>
      <c r="W774" s="1452"/>
      <c r="X774" s="1447"/>
      <c r="Y774" s="1448"/>
      <c r="Z774" s="1448"/>
      <c r="AA774" s="1448"/>
      <c r="AB774" s="1449"/>
      <c r="AC774" s="1465">
        <f t="shared" si="51"/>
        <v>0</v>
      </c>
      <c r="AD774" s="1466"/>
      <c r="AE774" s="1466"/>
      <c r="AF774" s="1466"/>
      <c r="AG774" s="1467"/>
      <c r="AH774" s="1583"/>
      <c r="AI774" s="1584"/>
      <c r="AJ774" s="1584"/>
      <c r="AK774" s="1584"/>
      <c r="AL774" s="158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50"/>
      <c r="K775" s="1351"/>
      <c r="L775" s="1351"/>
      <c r="M775" s="1351"/>
      <c r="N775" s="1352"/>
      <c r="O775" s="1343"/>
      <c r="P775" s="1343"/>
      <c r="Q775" s="1343"/>
      <c r="R775" s="1343"/>
      <c r="S775" s="1343"/>
      <c r="T775" s="1450"/>
      <c r="U775" s="1451"/>
      <c r="V775" s="1451"/>
      <c r="W775" s="1452"/>
      <c r="X775" s="1447"/>
      <c r="Y775" s="1448"/>
      <c r="Z775" s="1448"/>
      <c r="AA775" s="1448"/>
      <c r="AB775" s="1449"/>
      <c r="AC775" s="1465">
        <f t="shared" si="51"/>
        <v>0</v>
      </c>
      <c r="AD775" s="1466"/>
      <c r="AE775" s="1466"/>
      <c r="AF775" s="1466"/>
      <c r="AG775" s="1467"/>
      <c r="AH775" s="1583"/>
      <c r="AI775" s="1584"/>
      <c r="AJ775" s="1584"/>
      <c r="AK775" s="1584"/>
      <c r="AL775" s="158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50"/>
      <c r="K776" s="1351"/>
      <c r="L776" s="1351"/>
      <c r="M776" s="1351"/>
      <c r="N776" s="1352"/>
      <c r="O776" s="1343"/>
      <c r="P776" s="1343"/>
      <c r="Q776" s="1343"/>
      <c r="R776" s="1343"/>
      <c r="S776" s="1343"/>
      <c r="T776" s="1450"/>
      <c r="U776" s="1451"/>
      <c r="V776" s="1451"/>
      <c r="W776" s="1452"/>
      <c r="X776" s="1447"/>
      <c r="Y776" s="1448"/>
      <c r="Z776" s="1448"/>
      <c r="AA776" s="1448"/>
      <c r="AB776" s="1449"/>
      <c r="AC776" s="1465">
        <f t="shared" si="51"/>
        <v>0</v>
      </c>
      <c r="AD776" s="1466"/>
      <c r="AE776" s="1466"/>
      <c r="AF776" s="1466"/>
      <c r="AG776" s="1467"/>
      <c r="AH776" s="1583"/>
      <c r="AI776" s="1584"/>
      <c r="AJ776" s="1584"/>
      <c r="AK776" s="1584"/>
      <c r="AL776" s="158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50"/>
      <c r="K777" s="1351"/>
      <c r="L777" s="1351"/>
      <c r="M777" s="1351"/>
      <c r="N777" s="1352"/>
      <c r="O777" s="1343"/>
      <c r="P777" s="1343"/>
      <c r="Q777" s="1343"/>
      <c r="R777" s="1343"/>
      <c r="S777" s="1343"/>
      <c r="T777" s="1450"/>
      <c r="U777" s="1451"/>
      <c r="V777" s="1451"/>
      <c r="W777" s="1452"/>
      <c r="X777" s="1447"/>
      <c r="Y777" s="1448"/>
      <c r="Z777" s="1448"/>
      <c r="AA777" s="1448"/>
      <c r="AB777" s="1449"/>
      <c r="AC777" s="1465">
        <f t="shared" si="51"/>
        <v>0</v>
      </c>
      <c r="AD777" s="1466"/>
      <c r="AE777" s="1466"/>
      <c r="AF777" s="1466"/>
      <c r="AG777" s="1467"/>
      <c r="AH777" s="1583"/>
      <c r="AI777" s="1584"/>
      <c r="AJ777" s="1584"/>
      <c r="AK777" s="1584"/>
      <c r="AL777" s="158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50"/>
      <c r="K778" s="1351"/>
      <c r="L778" s="1351"/>
      <c r="M778" s="1351"/>
      <c r="N778" s="1352"/>
      <c r="O778" s="1343"/>
      <c r="P778" s="1343"/>
      <c r="Q778" s="1343"/>
      <c r="R778" s="1343"/>
      <c r="S778" s="1343"/>
      <c r="T778" s="1450"/>
      <c r="U778" s="1451"/>
      <c r="V778" s="1451"/>
      <c r="W778" s="1452"/>
      <c r="X778" s="1447"/>
      <c r="Y778" s="1448"/>
      <c r="Z778" s="1448"/>
      <c r="AA778" s="1448"/>
      <c r="AB778" s="1449"/>
      <c r="AC778" s="1465">
        <f t="shared" si="51"/>
        <v>0</v>
      </c>
      <c r="AD778" s="1466"/>
      <c r="AE778" s="1466"/>
      <c r="AF778" s="1466"/>
      <c r="AG778" s="1467"/>
      <c r="AH778" s="1583"/>
      <c r="AI778" s="1584"/>
      <c r="AJ778" s="1584"/>
      <c r="AK778" s="1584"/>
      <c r="AL778" s="158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50"/>
      <c r="K779" s="1351"/>
      <c r="L779" s="1351"/>
      <c r="M779" s="1351"/>
      <c r="N779" s="1352"/>
      <c r="O779" s="1343"/>
      <c r="P779" s="1343"/>
      <c r="Q779" s="1343"/>
      <c r="R779" s="1343"/>
      <c r="S779" s="1343"/>
      <c r="T779" s="1450"/>
      <c r="U779" s="1451"/>
      <c r="V779" s="1451"/>
      <c r="W779" s="1452"/>
      <c r="X779" s="1447"/>
      <c r="Y779" s="1448"/>
      <c r="Z779" s="1448"/>
      <c r="AA779" s="1448"/>
      <c r="AB779" s="1449"/>
      <c r="AC779" s="1465">
        <f t="shared" si="51"/>
        <v>0</v>
      </c>
      <c r="AD779" s="1466"/>
      <c r="AE779" s="1466"/>
      <c r="AF779" s="1466"/>
      <c r="AG779" s="1467"/>
      <c r="AH779" s="1583"/>
      <c r="AI779" s="1584"/>
      <c r="AJ779" s="1584"/>
      <c r="AK779" s="1584"/>
      <c r="AL779" s="158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50"/>
      <c r="K780" s="1351"/>
      <c r="L780" s="1351"/>
      <c r="M780" s="1351"/>
      <c r="N780" s="1352"/>
      <c r="O780" s="1343"/>
      <c r="P780" s="1343"/>
      <c r="Q780" s="1343"/>
      <c r="R780" s="1343"/>
      <c r="S780" s="1343"/>
      <c r="T780" s="1450"/>
      <c r="U780" s="1451"/>
      <c r="V780" s="1451"/>
      <c r="W780" s="1452"/>
      <c r="X780" s="1447"/>
      <c r="Y780" s="1448"/>
      <c r="Z780" s="1448"/>
      <c r="AA780" s="1448"/>
      <c r="AB780" s="1449"/>
      <c r="AC780" s="1465">
        <f t="shared" si="51"/>
        <v>0</v>
      </c>
      <c r="AD780" s="1466"/>
      <c r="AE780" s="1466"/>
      <c r="AF780" s="1466"/>
      <c r="AG780" s="1467"/>
      <c r="AH780" s="1583"/>
      <c r="AI780" s="1584"/>
      <c r="AJ780" s="1584"/>
      <c r="AK780" s="1584"/>
      <c r="AL780" s="158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50"/>
      <c r="K781" s="1351"/>
      <c r="L781" s="1351"/>
      <c r="M781" s="1351"/>
      <c r="N781" s="1352"/>
      <c r="O781" s="1343"/>
      <c r="P781" s="1343"/>
      <c r="Q781" s="1343"/>
      <c r="R781" s="1343"/>
      <c r="S781" s="1343"/>
      <c r="T781" s="1450"/>
      <c r="U781" s="1451"/>
      <c r="V781" s="1451"/>
      <c r="W781" s="1452"/>
      <c r="X781" s="1447"/>
      <c r="Y781" s="1448"/>
      <c r="Z781" s="1448"/>
      <c r="AA781" s="1448"/>
      <c r="AB781" s="1449"/>
      <c r="AC781" s="1465">
        <f t="shared" si="51"/>
        <v>0</v>
      </c>
      <c r="AD781" s="1466"/>
      <c r="AE781" s="1466"/>
      <c r="AF781" s="1466"/>
      <c r="AG781" s="1467"/>
      <c r="AH781" s="1583"/>
      <c r="AI781" s="1584"/>
      <c r="AJ781" s="1584"/>
      <c r="AK781" s="1584"/>
      <c r="AL781" s="158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494" t="s">
        <v>126</v>
      </c>
      <c r="K782" s="1495"/>
      <c r="L782" s="1495"/>
      <c r="M782" s="1495"/>
      <c r="N782" s="1497"/>
      <c r="O782" s="1673">
        <f>SUM(O772:S781)</f>
        <v>0</v>
      </c>
      <c r="P782" s="1673"/>
      <c r="Q782" s="1673"/>
      <c r="R782" s="1673"/>
      <c r="S782" s="1673"/>
      <c r="X782" s="939" t="s">
        <v>125</v>
      </c>
      <c r="Y782" s="11"/>
      <c r="Z782" s="11"/>
      <c r="AA782" s="11"/>
      <c r="AB782" s="946"/>
      <c r="AC782" s="1465">
        <f>SUM(AC772:AG781)</f>
        <v>0</v>
      </c>
      <c r="AD782" s="1466"/>
      <c r="AE782" s="1466"/>
      <c r="AF782" s="1466"/>
      <c r="AG782" s="146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11">
        <f>O739+AC762+AC782</f>
        <v>204188</v>
      </c>
      <c r="Z784" s="1611"/>
      <c r="AA784" s="1611"/>
      <c r="AB784" s="1611"/>
      <c r="AC784" s="161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11">
        <f>(O739+AC762+AC782)*12</f>
        <v>2450256</v>
      </c>
      <c r="Z785" s="1611"/>
      <c r="AA785" s="1611"/>
      <c r="AB785" s="1611"/>
      <c r="AC785" s="1611"/>
      <c r="AZ785" s="3"/>
      <c r="BA785" s="14" t="s">
        <v>641</v>
      </c>
      <c r="BB785" s="14"/>
      <c r="BC785" s="14"/>
      <c r="BD785" s="14"/>
      <c r="BE785" s="14"/>
      <c r="BF785" s="14"/>
      <c r="BG785" s="14"/>
      <c r="BH785" s="14"/>
      <c r="BI785" s="14"/>
      <c r="BJ785" s="14"/>
      <c r="BK785" s="14"/>
      <c r="BL785" s="14"/>
      <c r="BM785" s="14"/>
      <c r="BN785" s="1668" t="s">
        <v>478</v>
      </c>
      <c r="BO785" s="1669"/>
      <c r="BP785" s="3"/>
      <c r="BQ785" s="3"/>
      <c r="BR785" s="3"/>
      <c r="BS785" s="14" t="s">
        <v>643</v>
      </c>
      <c r="BT785" s="14"/>
      <c r="BU785" s="14"/>
      <c r="BV785" s="14"/>
      <c r="BW785" s="14"/>
      <c r="BX785" s="14"/>
      <c r="BY785" s="14"/>
      <c r="BZ785" s="14"/>
      <c r="CA785" s="14"/>
      <c r="CB785" s="1665" t="str">
        <f>T189</f>
        <v>Sonoma</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0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41">
        <v>38</v>
      </c>
      <c r="AA790" s="1605"/>
      <c r="AB790" s="1605"/>
      <c r="AC790" s="1605"/>
      <c r="AD790" s="1605"/>
      <c r="AE790" s="160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04">
        <v>20</v>
      </c>
      <c r="AA791" s="1605"/>
      <c r="AB791" s="1605"/>
      <c r="AC791" s="1605"/>
      <c r="AD791" s="1605"/>
      <c r="AE791" s="160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586">
        <v>51288</v>
      </c>
      <c r="AA792" s="1564"/>
      <c r="AB792" s="1564"/>
      <c r="AC792" s="1564"/>
      <c r="AD792" s="1564"/>
      <c r="AE792" s="158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491">
        <f>'Subsidy Contract Calculation'!J30</f>
        <v>530472</v>
      </c>
      <c r="AA793" s="1492"/>
      <c r="AB793" s="1492"/>
      <c r="AC793" s="1492"/>
      <c r="AD793" s="1492"/>
      <c r="AE793" s="14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75">
        <v>12915</v>
      </c>
      <c r="AA797" s="1576"/>
      <c r="AB797" s="1576"/>
      <c r="AC797" s="1576"/>
      <c r="AD797" s="1576"/>
      <c r="AE797" s="157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75"/>
      <c r="AA798" s="1576"/>
      <c r="AB798" s="1576"/>
      <c r="AC798" s="1576"/>
      <c r="AD798" s="1576"/>
      <c r="AE798" s="157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75"/>
      <c r="AA799" s="1576"/>
      <c r="AB799" s="1576"/>
      <c r="AC799" s="1576"/>
      <c r="AD799" s="1576"/>
      <c r="AE799" s="157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578" t="s">
        <v>335</v>
      </c>
      <c r="Q800" s="1579"/>
      <c r="R800" s="1579"/>
      <c r="S800" s="1579"/>
      <c r="T800" s="1579"/>
      <c r="U800" s="1579"/>
      <c r="V800" s="1579"/>
      <c r="W800" s="1579"/>
      <c r="X800" s="1579"/>
      <c r="Y800" s="1580"/>
      <c r="Z800" s="1575"/>
      <c r="AA800" s="1576"/>
      <c r="AB800" s="1576"/>
      <c r="AC800" s="1576"/>
      <c r="AD800" s="1576"/>
      <c r="AE800" s="157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491">
        <f>SUM(Z797:AE800)</f>
        <v>12915</v>
      </c>
      <c r="AA801" s="1492"/>
      <c r="AB801" s="1492"/>
      <c r="AC801" s="1492"/>
      <c r="AD801" s="1492"/>
      <c r="AE801" s="14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491">
        <f>Z801+Y785+Z793</f>
        <v>2993643</v>
      </c>
      <c r="AA802" s="1492"/>
      <c r="AB802" s="1492"/>
      <c r="AC802" s="1492"/>
      <c r="AD802" s="1492"/>
      <c r="AE802" s="14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58" t="s">
        <v>127</v>
      </c>
      <c r="N807" s="1558"/>
      <c r="O807" s="1558"/>
      <c r="P807" s="1559"/>
      <c r="Q807" s="1585" t="s">
        <v>291</v>
      </c>
      <c r="R807" s="1585"/>
      <c r="S807" s="1585"/>
      <c r="T807" s="1585"/>
      <c r="U807" s="1585" t="s">
        <v>292</v>
      </c>
      <c r="V807" s="1585"/>
      <c r="W807" s="1585"/>
      <c r="X807" s="1585"/>
      <c r="Y807" s="1585" t="s">
        <v>293</v>
      </c>
      <c r="Z807" s="1585"/>
      <c r="AA807" s="1585"/>
      <c r="AB807" s="1585"/>
      <c r="AC807" s="1585" t="s">
        <v>362</v>
      </c>
      <c r="AD807" s="1585"/>
      <c r="AE807" s="1585"/>
      <c r="AF807" s="1585"/>
      <c r="AG807" s="1599" t="s">
        <v>336</v>
      </c>
      <c r="AH807" s="1599"/>
      <c r="AI807" s="1599"/>
      <c r="AJ807" s="159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60"/>
      <c r="N808" s="1560"/>
      <c r="O808" s="1560"/>
      <c r="P808" s="1561"/>
      <c r="Q808" s="1585"/>
      <c r="R808" s="1585"/>
      <c r="S808" s="1585"/>
      <c r="T808" s="1585"/>
      <c r="U808" s="1585"/>
      <c r="V808" s="1585"/>
      <c r="W808" s="1585"/>
      <c r="X808" s="1585"/>
      <c r="Y808" s="1585"/>
      <c r="Z808" s="1585"/>
      <c r="AA808" s="1585"/>
      <c r="AB808" s="1585"/>
      <c r="AC808" s="1585"/>
      <c r="AD808" s="1585"/>
      <c r="AE808" s="1585"/>
      <c r="AF808" s="1585"/>
      <c r="AG808" s="1599"/>
      <c r="AH808" s="1599"/>
      <c r="AI808" s="1599"/>
      <c r="AJ808" s="159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562" t="s">
        <v>40</v>
      </c>
      <c r="D809" s="1485"/>
      <c r="E809" s="1485"/>
      <c r="F809" s="1485"/>
      <c r="G809" s="1485"/>
      <c r="H809" s="1485"/>
      <c r="I809" s="48"/>
      <c r="J809" s="48"/>
      <c r="K809" s="48"/>
      <c r="L809" s="49"/>
      <c r="M809" s="1557"/>
      <c r="N809" s="1557"/>
      <c r="O809" s="1557"/>
      <c r="P809" s="1557"/>
      <c r="Q809" s="1557"/>
      <c r="R809" s="1557"/>
      <c r="S809" s="1557"/>
      <c r="T809" s="1557"/>
      <c r="U809" s="1557"/>
      <c r="V809" s="1557"/>
      <c r="W809" s="1557"/>
      <c r="X809" s="1557"/>
      <c r="Y809" s="1557"/>
      <c r="Z809" s="1557"/>
      <c r="AA809" s="1557"/>
      <c r="AB809" s="1557"/>
      <c r="AC809" s="1554"/>
      <c r="AD809" s="1555"/>
      <c r="AE809" s="1555"/>
      <c r="AF809" s="1556"/>
      <c r="AG809" s="1554"/>
      <c r="AH809" s="1555"/>
      <c r="AI809" s="1555"/>
      <c r="AJ809" s="155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394" t="s">
        <v>41</v>
      </c>
      <c r="D810" s="1395"/>
      <c r="E810" s="1395"/>
      <c r="F810" s="1395"/>
      <c r="G810" s="1395"/>
      <c r="H810" s="1395"/>
      <c r="I810" s="5"/>
      <c r="J810" s="5"/>
      <c r="K810" s="5"/>
      <c r="L810" s="46"/>
      <c r="M810" s="1557"/>
      <c r="N810" s="1557"/>
      <c r="O810" s="1557"/>
      <c r="P810" s="1557"/>
      <c r="Q810" s="1557"/>
      <c r="R810" s="1557"/>
      <c r="S810" s="1557"/>
      <c r="T810" s="1557"/>
      <c r="U810" s="1557"/>
      <c r="V810" s="1557"/>
      <c r="W810" s="1557"/>
      <c r="X810" s="1557"/>
      <c r="Y810" s="1557"/>
      <c r="Z810" s="1557"/>
      <c r="AA810" s="1557"/>
      <c r="AB810" s="1557"/>
      <c r="AC810" s="1554"/>
      <c r="AD810" s="1555"/>
      <c r="AE810" s="1555"/>
      <c r="AF810" s="1556"/>
      <c r="AG810" s="1554"/>
      <c r="AH810" s="1555"/>
      <c r="AI810" s="1555"/>
      <c r="AJ810" s="155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394" t="s">
        <v>42</v>
      </c>
      <c r="D811" s="1395"/>
      <c r="E811" s="1395"/>
      <c r="F811" s="1395"/>
      <c r="G811" s="1395"/>
      <c r="H811" s="1395"/>
      <c r="I811" s="60"/>
      <c r="J811" s="60"/>
      <c r="K811" s="60"/>
      <c r="L811" s="61"/>
      <c r="M811" s="1557"/>
      <c r="N811" s="1557"/>
      <c r="O811" s="1557"/>
      <c r="P811" s="1557"/>
      <c r="Q811" s="1557"/>
      <c r="R811" s="1557"/>
      <c r="S811" s="1557"/>
      <c r="T811" s="1557"/>
      <c r="U811" s="1557"/>
      <c r="V811" s="1557"/>
      <c r="W811" s="1557"/>
      <c r="X811" s="1557"/>
      <c r="Y811" s="1557"/>
      <c r="Z811" s="1557"/>
      <c r="AA811" s="1557"/>
      <c r="AB811" s="1557"/>
      <c r="AC811" s="1554"/>
      <c r="AD811" s="1555"/>
      <c r="AE811" s="1555"/>
      <c r="AF811" s="1556"/>
      <c r="AG811" s="1554"/>
      <c r="AH811" s="1555"/>
      <c r="AI811" s="1555"/>
      <c r="AJ811" s="155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394" t="s">
        <v>786</v>
      </c>
      <c r="D812" s="1395"/>
      <c r="E812" s="1395"/>
      <c r="F812" s="1395"/>
      <c r="G812" s="1395"/>
      <c r="H812" s="1395"/>
      <c r="I812" s="60"/>
      <c r="J812" s="60"/>
      <c r="K812" s="60"/>
      <c r="L812" s="61"/>
      <c r="M812" s="1557"/>
      <c r="N812" s="1557"/>
      <c r="O812" s="1557"/>
      <c r="P812" s="1557"/>
      <c r="Q812" s="1557"/>
      <c r="R812" s="1557"/>
      <c r="S812" s="1557"/>
      <c r="T812" s="1557"/>
      <c r="U812" s="1557"/>
      <c r="V812" s="1557"/>
      <c r="W812" s="1557"/>
      <c r="X812" s="1557"/>
      <c r="Y812" s="1557"/>
      <c r="Z812" s="1557"/>
      <c r="AA812" s="1557"/>
      <c r="AB812" s="1557"/>
      <c r="AC812" s="1554"/>
      <c r="AD812" s="1555"/>
      <c r="AE812" s="1555"/>
      <c r="AF812" s="1556"/>
      <c r="AG812" s="1554"/>
      <c r="AH812" s="1555"/>
      <c r="AI812" s="1555"/>
      <c r="AJ812" s="155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394" t="s">
        <v>468</v>
      </c>
      <c r="D813" s="1395"/>
      <c r="E813" s="1395"/>
      <c r="F813" s="1395"/>
      <c r="G813" s="1395"/>
      <c r="H813" s="1395"/>
      <c r="I813" s="60"/>
      <c r="J813" s="60"/>
      <c r="K813" s="60"/>
      <c r="L813" s="61"/>
      <c r="M813" s="1557">
        <v>27</v>
      </c>
      <c r="N813" s="1557"/>
      <c r="O813" s="1557"/>
      <c r="P813" s="1557"/>
      <c r="Q813" s="1557">
        <v>33</v>
      </c>
      <c r="R813" s="1557"/>
      <c r="S813" s="1557"/>
      <c r="T813" s="1557"/>
      <c r="U813" s="1557"/>
      <c r="V813" s="1557"/>
      <c r="W813" s="1557"/>
      <c r="X813" s="1557"/>
      <c r="Y813" s="1557"/>
      <c r="Z813" s="1557"/>
      <c r="AA813" s="1557"/>
      <c r="AB813" s="1557"/>
      <c r="AC813" s="1554"/>
      <c r="AD813" s="1555"/>
      <c r="AE813" s="1555"/>
      <c r="AF813" s="1556"/>
      <c r="AG813" s="1554"/>
      <c r="AH813" s="1555"/>
      <c r="AI813" s="1555"/>
      <c r="AJ813" s="155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603" t="s">
        <v>807</v>
      </c>
      <c r="D814" s="1395"/>
      <c r="E814" s="1395"/>
      <c r="F814" s="1395"/>
      <c r="G814" s="1395"/>
      <c r="H814" s="1395"/>
      <c r="I814" s="60"/>
      <c r="J814" s="60"/>
      <c r="K814" s="60"/>
      <c r="L814" s="61"/>
      <c r="M814" s="1557"/>
      <c r="N814" s="1557"/>
      <c r="O814" s="1557"/>
      <c r="P814" s="1557"/>
      <c r="Q814" s="1557"/>
      <c r="R814" s="1557"/>
      <c r="S814" s="1557"/>
      <c r="T814" s="1557"/>
      <c r="U814" s="1557"/>
      <c r="V814" s="1557"/>
      <c r="W814" s="1557"/>
      <c r="X814" s="1557"/>
      <c r="Y814" s="1557"/>
      <c r="Z814" s="1557"/>
      <c r="AA814" s="1557"/>
      <c r="AB814" s="1557"/>
      <c r="AC814" s="1554"/>
      <c r="AD814" s="1555"/>
      <c r="AE814" s="1555"/>
      <c r="AF814" s="1556"/>
      <c r="AG814" s="1554"/>
      <c r="AH814" s="1555"/>
      <c r="AI814" s="1555"/>
      <c r="AJ814" s="155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294</v>
      </c>
      <c r="D815" s="60"/>
      <c r="E815" s="60"/>
      <c r="F815" s="1578" t="s">
        <v>335</v>
      </c>
      <c r="G815" s="1579"/>
      <c r="H815" s="1579"/>
      <c r="I815" s="1579"/>
      <c r="J815" s="1579"/>
      <c r="K815" s="1579"/>
      <c r="L815" s="1579"/>
      <c r="M815" s="1557"/>
      <c r="N815" s="1557"/>
      <c r="O815" s="1557"/>
      <c r="P815" s="1557"/>
      <c r="Q815" s="1557"/>
      <c r="R815" s="1557"/>
      <c r="S815" s="1557"/>
      <c r="T815" s="1557"/>
      <c r="U815" s="1557"/>
      <c r="V815" s="1557"/>
      <c r="W815" s="1557"/>
      <c r="X815" s="1557"/>
      <c r="Y815" s="1557"/>
      <c r="Z815" s="1557"/>
      <c r="AA815" s="1557"/>
      <c r="AB815" s="1557"/>
      <c r="AC815" s="1554"/>
      <c r="AD815" s="1555"/>
      <c r="AE815" s="1555"/>
      <c r="AF815" s="1556"/>
      <c r="AG815" s="1554"/>
      <c r="AH815" s="1555"/>
      <c r="AI815" s="1555"/>
      <c r="AJ815" s="155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494" t="s">
        <v>125</v>
      </c>
      <c r="D816" s="1495"/>
      <c r="E816" s="1495"/>
      <c r="F816" s="1495"/>
      <c r="G816" s="1495"/>
      <c r="H816" s="1495"/>
      <c r="I816" s="1495"/>
      <c r="J816" s="1495"/>
      <c r="K816" s="1495"/>
      <c r="L816" s="1497"/>
      <c r="M816" s="1591">
        <f>SUM(M809:P815)</f>
        <v>27</v>
      </c>
      <c r="N816" s="1591"/>
      <c r="O816" s="1591"/>
      <c r="P816" s="1591"/>
      <c r="Q816" s="1591">
        <f>SUM(Q809:T815)</f>
        <v>33</v>
      </c>
      <c r="R816" s="1591"/>
      <c r="S816" s="1591"/>
      <c r="T816" s="1591"/>
      <c r="U816" s="1591">
        <f>SUM(U809:X815)</f>
        <v>0</v>
      </c>
      <c r="V816" s="1591"/>
      <c r="W816" s="1591"/>
      <c r="X816" s="1591"/>
      <c r="Y816" s="1591">
        <f>SUM(Y809:AB815)</f>
        <v>0</v>
      </c>
      <c r="Z816" s="1591"/>
      <c r="AA816" s="1591"/>
      <c r="AB816" s="1591"/>
      <c r="AC816" s="1591">
        <f>SUM(AC809:AF815)</f>
        <v>0</v>
      </c>
      <c r="AD816" s="1591"/>
      <c r="AE816" s="1591"/>
      <c r="AF816" s="1591"/>
      <c r="AG816" s="1591">
        <f>SUM(AG809:AJ815)</f>
        <v>0</v>
      </c>
      <c r="AH816" s="1591"/>
      <c r="AI816" s="1591"/>
      <c r="AJ816" s="159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48" t="s">
        <v>2747</v>
      </c>
      <c r="D821" s="1649"/>
      <c r="E821" s="1649"/>
      <c r="F821" s="1649"/>
      <c r="G821" s="1649"/>
      <c r="H821" s="1649"/>
      <c r="I821" s="1649"/>
      <c r="J821" s="1649"/>
      <c r="K821" s="1649"/>
      <c r="L821" s="1649"/>
      <c r="M821" s="1649"/>
      <c r="N821" s="1649"/>
      <c r="O821" s="1649"/>
      <c r="P821" s="1649"/>
      <c r="Q821" s="1649"/>
      <c r="R821" s="1649"/>
      <c r="S821" s="1649"/>
      <c r="T821" s="1649"/>
      <c r="U821" s="1649"/>
      <c r="V821" s="1649"/>
      <c r="W821" s="1649"/>
      <c r="X821" s="1649"/>
      <c r="Y821" s="1649"/>
      <c r="Z821" s="1649"/>
      <c r="AA821" s="1649"/>
      <c r="AB821" s="1649"/>
      <c r="AC821" s="1649"/>
      <c r="AD821" s="1649"/>
      <c r="AE821" s="1649"/>
      <c r="AF821" s="1649"/>
      <c r="AG821" s="1649"/>
      <c r="AH821" s="1649"/>
      <c r="AI821" s="1649"/>
      <c r="AJ821" s="165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344</v>
      </c>
      <c r="D826"/>
      <c r="E826"/>
      <c r="F826"/>
      <c r="G826"/>
      <c r="H826"/>
      <c r="I826"/>
      <c r="J826" s="45" t="s">
        <v>357</v>
      </c>
      <c r="K826" s="5"/>
      <c r="L826" s="5"/>
      <c r="M826" s="5"/>
      <c r="N826" s="5"/>
      <c r="O826" s="5"/>
      <c r="P826" s="5"/>
      <c r="Q826" s="5"/>
      <c r="R826" s="5"/>
      <c r="S826" s="5"/>
      <c r="T826" s="5"/>
      <c r="U826" s="5"/>
      <c r="V826" s="46"/>
      <c r="W826" s="1595">
        <v>40709</v>
      </c>
      <c r="X826" s="1595"/>
      <c r="Y826" s="1595"/>
      <c r="Z826" s="1595"/>
      <c r="AA826" s="1595"/>
      <c r="AB826" s="1595"/>
      <c r="AC826" s="159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356</v>
      </c>
      <c r="K827" s="5"/>
      <c r="L827" s="5"/>
      <c r="M827" s="5"/>
      <c r="N827" s="5"/>
      <c r="O827" s="5"/>
      <c r="P827" s="5"/>
      <c r="Q827" s="5"/>
      <c r="R827" s="5"/>
      <c r="S827" s="5"/>
      <c r="T827" s="5"/>
      <c r="U827" s="5"/>
      <c r="V827" s="46"/>
      <c r="W827" s="1595">
        <v>35858</v>
      </c>
      <c r="X827" s="1595"/>
      <c r="Y827" s="1595"/>
      <c r="Z827" s="1595"/>
      <c r="AA827" s="1595"/>
      <c r="AB827" s="1595"/>
      <c r="AC827" s="159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355</v>
      </c>
      <c r="K828" s="5"/>
      <c r="L828" s="5"/>
      <c r="M828" s="5"/>
      <c r="N828" s="5"/>
      <c r="O828" s="5"/>
      <c r="P828" s="5"/>
      <c r="Q828" s="5"/>
      <c r="R828" s="5"/>
      <c r="S828" s="5"/>
      <c r="T828" s="5"/>
      <c r="U828" s="5"/>
      <c r="V828" s="46"/>
      <c r="W828" s="1595">
        <v>45604</v>
      </c>
      <c r="X828" s="1595"/>
      <c r="Y828" s="1595"/>
      <c r="Z828" s="1595"/>
      <c r="AA828" s="1595"/>
      <c r="AB828" s="1595"/>
      <c r="AC828" s="159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354</v>
      </c>
      <c r="K829" s="5"/>
      <c r="L829" s="5"/>
      <c r="M829" s="5"/>
      <c r="N829" s="5"/>
      <c r="O829" s="5"/>
      <c r="P829" s="5"/>
      <c r="Q829" s="5"/>
      <c r="R829" s="5"/>
      <c r="S829" s="5"/>
      <c r="T829" s="5"/>
      <c r="U829" s="5"/>
      <c r="V829" s="46"/>
      <c r="W829" s="1595">
        <v>39386</v>
      </c>
      <c r="X829" s="1595"/>
      <c r="Y829" s="1595"/>
      <c r="Z829" s="1595"/>
      <c r="AA829" s="1595"/>
      <c r="AB829" s="1595"/>
      <c r="AC829" s="159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170</v>
      </c>
      <c r="K830" s="5"/>
      <c r="L830" s="5"/>
      <c r="M830" s="1578" t="s">
        <v>2688</v>
      </c>
      <c r="N830" s="1579"/>
      <c r="O830" s="1579"/>
      <c r="P830" s="1579"/>
      <c r="Q830" s="1579"/>
      <c r="R830" s="1579"/>
      <c r="S830" s="1579"/>
      <c r="T830" s="1579"/>
      <c r="U830" s="1579"/>
      <c r="V830" s="1580"/>
      <c r="W830" s="1595">
        <v>71518</v>
      </c>
      <c r="X830" s="1595"/>
      <c r="Y830" s="1595"/>
      <c r="Z830" s="1595"/>
      <c r="AA830" s="1595"/>
      <c r="AB830" s="1595"/>
      <c r="AC830" s="1595"/>
      <c r="AD830"/>
      <c r="AE830"/>
      <c r="AF830"/>
      <c r="AG830"/>
      <c r="AH830"/>
      <c r="AI830"/>
      <c r="AJ830"/>
      <c r="AK830"/>
      <c r="AL830"/>
      <c r="AM830"/>
      <c r="AN830"/>
      <c r="AO830"/>
      <c r="AP830"/>
      <c r="AQ830"/>
      <c r="AR830"/>
      <c r="AS830"/>
      <c r="AT830"/>
      <c r="AU830"/>
      <c r="AV830"/>
      <c r="AW830"/>
      <c r="AX830"/>
      <c r="AY830"/>
      <c r="BI830" s="1610">
        <f>ROUNDDOWN(BC918*2,2)</f>
        <v>0</v>
      </c>
      <c r="BJ830" s="1610"/>
      <c r="BK830" s="1610"/>
      <c r="BL830" s="161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343</v>
      </c>
      <c r="W831" s="1491">
        <f>SUM(W826:AC830)</f>
        <v>233075</v>
      </c>
      <c r="X831" s="1492"/>
      <c r="Y831" s="1492"/>
      <c r="Z831" s="1492"/>
      <c r="AA831" s="1492"/>
      <c r="AB831" s="1492"/>
      <c r="AC831" s="149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345</v>
      </c>
      <c r="D833"/>
      <c r="E833"/>
      <c r="F833"/>
      <c r="G833"/>
      <c r="H833"/>
      <c r="I833"/>
      <c r="J833" s="1494" t="s">
        <v>346</v>
      </c>
      <c r="K833" s="1495"/>
      <c r="L833" s="1495"/>
      <c r="M833" s="1495"/>
      <c r="N833" s="1495"/>
      <c r="O833" s="1495"/>
      <c r="P833" s="1495"/>
      <c r="Q833" s="1495"/>
      <c r="R833" s="1495"/>
      <c r="S833" s="1495"/>
      <c r="T833" s="1495"/>
      <c r="U833" s="1495"/>
      <c r="V833" s="1497"/>
      <c r="W833" s="1575">
        <v>183993</v>
      </c>
      <c r="X833" s="1576"/>
      <c r="Y833" s="1576"/>
      <c r="Z833" s="1576"/>
      <c r="AA833" s="1576"/>
      <c r="AB833" s="1576"/>
      <c r="AC833" s="1577"/>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570</v>
      </c>
      <c r="D835"/>
      <c r="E835"/>
      <c r="F835"/>
      <c r="G835"/>
      <c r="H835"/>
      <c r="I835"/>
      <c r="J835" s="45" t="s">
        <v>353</v>
      </c>
      <c r="K835" s="5"/>
      <c r="L835" s="5"/>
      <c r="M835" s="5"/>
      <c r="N835" s="5"/>
      <c r="O835" s="5"/>
      <c r="P835" s="5"/>
      <c r="Q835" s="5"/>
      <c r="R835" s="5"/>
      <c r="S835" s="5"/>
      <c r="T835" s="5"/>
      <c r="U835" s="5"/>
      <c r="V835" s="46"/>
      <c r="W835" s="1592">
        <v>0</v>
      </c>
      <c r="X835" s="1592"/>
      <c r="Y835" s="1592"/>
      <c r="Z835" s="1592"/>
      <c r="AA835" s="1592"/>
      <c r="AB835" s="1592"/>
      <c r="AC835" s="1592"/>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352</v>
      </c>
      <c r="K836" s="5"/>
      <c r="L836" s="5"/>
      <c r="M836" s="5"/>
      <c r="N836" s="5"/>
      <c r="O836" s="5"/>
      <c r="P836" s="5"/>
      <c r="Q836" s="5"/>
      <c r="R836" s="5"/>
      <c r="S836" s="5"/>
      <c r="T836" s="5"/>
      <c r="U836" s="5"/>
      <c r="V836" s="46"/>
      <c r="W836" s="1592">
        <v>87245</v>
      </c>
      <c r="X836" s="1592"/>
      <c r="Y836" s="1592"/>
      <c r="Z836" s="1592"/>
      <c r="AA836" s="1592"/>
      <c r="AB836" s="1592"/>
      <c r="AC836" s="159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468</v>
      </c>
      <c r="K837" s="5"/>
      <c r="L837" s="5"/>
      <c r="M837" s="5"/>
      <c r="N837" s="5"/>
      <c r="O837" s="5"/>
      <c r="P837" s="5"/>
      <c r="Q837" s="5"/>
      <c r="R837" s="5"/>
      <c r="S837" s="5"/>
      <c r="T837" s="5"/>
      <c r="U837" s="5"/>
      <c r="V837" s="46"/>
      <c r="W837" s="1592">
        <v>8262</v>
      </c>
      <c r="X837" s="1592"/>
      <c r="Y837" s="1592"/>
      <c r="Z837" s="1592"/>
      <c r="AA837" s="1592"/>
      <c r="AB837" s="1592"/>
      <c r="AC837" s="1592"/>
      <c r="AD837"/>
      <c r="AE837"/>
      <c r="AF837"/>
      <c r="AG837"/>
      <c r="AH837"/>
      <c r="AI837"/>
      <c r="AJ837"/>
      <c r="AK837"/>
      <c r="AL837"/>
      <c r="AM837"/>
      <c r="AN837"/>
      <c r="AO837"/>
      <c r="AP837"/>
      <c r="AQ837"/>
      <c r="AR837"/>
      <c r="AS837"/>
      <c r="AT837"/>
      <c r="AU837"/>
      <c r="AV837"/>
      <c r="AW837"/>
      <c r="AX837"/>
      <c r="AY837"/>
      <c r="AZ837" s="30"/>
      <c r="BA837" s="30"/>
      <c r="BG837" s="1590"/>
      <c r="BH837" s="1590"/>
      <c r="BI837" s="1590"/>
      <c r="BJ837" s="1590"/>
      <c r="BK837" s="1590"/>
      <c r="BL837" s="159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629</v>
      </c>
      <c r="K838" s="5"/>
      <c r="L838" s="5"/>
      <c r="M838" s="5"/>
      <c r="N838" s="5"/>
      <c r="O838" s="5"/>
      <c r="P838" s="5"/>
      <c r="Q838" s="5"/>
      <c r="R838" s="5"/>
      <c r="S838" s="5"/>
      <c r="T838" s="5"/>
      <c r="U838" s="5"/>
      <c r="V838" s="46"/>
      <c r="W838" s="1592">
        <v>179157</v>
      </c>
      <c r="X838" s="1592"/>
      <c r="Y838" s="1592"/>
      <c r="Z838" s="1592"/>
      <c r="AA838" s="1592"/>
      <c r="AB838" s="1592"/>
      <c r="AC838" s="159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273</v>
      </c>
      <c r="W839" s="1616">
        <f>SUM(W835:AC838)</f>
        <v>274664</v>
      </c>
      <c r="X839" s="1616"/>
      <c r="Y839" s="1616"/>
      <c r="Z839" s="1616"/>
      <c r="AA839" s="1616"/>
      <c r="AB839" s="1616"/>
      <c r="AC839" s="161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12">
        <f>SUM(AZ807:AZ835)</f>
        <v>0</v>
      </c>
      <c r="BA840" s="1612"/>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347</v>
      </c>
      <c r="D841"/>
      <c r="E841"/>
      <c r="F841"/>
      <c r="G841"/>
      <c r="H841"/>
      <c r="I841"/>
      <c r="J841" s="45" t="s">
        <v>628</v>
      </c>
      <c r="K841" s="5"/>
      <c r="L841" s="5"/>
      <c r="M841" s="5"/>
      <c r="N841" s="5"/>
      <c r="O841" s="5"/>
      <c r="P841" s="5"/>
      <c r="Q841" s="5"/>
      <c r="R841" s="5"/>
      <c r="S841" s="5"/>
      <c r="T841" s="5"/>
      <c r="U841" s="5"/>
      <c r="V841" s="46"/>
      <c r="W841" s="1600">
        <v>208212</v>
      </c>
      <c r="X841" s="1601"/>
      <c r="Y841" s="1601"/>
      <c r="Z841" s="1601"/>
      <c r="AA841" s="1601"/>
      <c r="AB841" s="1601"/>
      <c r="AC841" s="160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348</v>
      </c>
      <c r="D842"/>
      <c r="E842"/>
      <c r="F842"/>
      <c r="G842"/>
      <c r="H842"/>
      <c r="I842"/>
      <c r="J842" s="121" t="s">
        <v>1836</v>
      </c>
      <c r="K842" s="5"/>
      <c r="L842" s="5"/>
      <c r="M842" s="5"/>
      <c r="N842" s="5"/>
      <c r="O842" s="5"/>
      <c r="P842" s="5"/>
      <c r="Q842" s="5"/>
      <c r="R842" s="5"/>
      <c r="S842" s="5"/>
      <c r="T842" s="1655"/>
      <c r="U842" s="1505"/>
      <c r="V842" s="165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627</v>
      </c>
      <c r="K843" s="5"/>
      <c r="L843" s="5"/>
      <c r="M843" s="5"/>
      <c r="N843" s="5"/>
      <c r="O843" s="5"/>
      <c r="P843" s="5"/>
      <c r="Q843" s="5"/>
      <c r="R843" s="5"/>
      <c r="S843" s="5"/>
      <c r="T843" s="5"/>
      <c r="U843" s="5"/>
      <c r="V843" s="46"/>
      <c r="W843" s="1600">
        <v>163960</v>
      </c>
      <c r="X843" s="1601"/>
      <c r="Y843" s="1601"/>
      <c r="Z843" s="1601"/>
      <c r="AA843" s="1601"/>
      <c r="AB843" s="1601"/>
      <c r="AC843" s="160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1837</v>
      </c>
      <c r="K844" s="5"/>
      <c r="L844" s="5"/>
      <c r="M844" s="5"/>
      <c r="N844" s="5"/>
      <c r="O844" s="5"/>
      <c r="P844" s="5"/>
      <c r="Q844" s="5"/>
      <c r="R844" s="5"/>
      <c r="S844" s="5"/>
      <c r="T844" s="1655"/>
      <c r="U844" s="1505"/>
      <c r="V844" s="165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170</v>
      </c>
      <c r="K845" s="5"/>
      <c r="L845" s="5"/>
      <c r="M845" s="1578" t="s">
        <v>2689</v>
      </c>
      <c r="N845" s="1579"/>
      <c r="O845" s="1579"/>
      <c r="P845" s="1579"/>
      <c r="Q845" s="1579"/>
      <c r="R845" s="1579"/>
      <c r="S845" s="1579"/>
      <c r="T845" s="1579"/>
      <c r="U845" s="1579"/>
      <c r="V845" s="1580"/>
      <c r="W845" s="1600">
        <v>123196</v>
      </c>
      <c r="X845" s="1601"/>
      <c r="Y845" s="1601"/>
      <c r="Z845" s="1601"/>
      <c r="AA845" s="1601"/>
      <c r="AB845" s="1601"/>
      <c r="AC845" s="160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274</v>
      </c>
      <c r="W846" s="1613">
        <f>SUM(W841:AC845)</f>
        <v>495368</v>
      </c>
      <c r="X846" s="1614"/>
      <c r="Y846" s="1614"/>
      <c r="Z846" s="1614"/>
      <c r="AA846" s="1614"/>
      <c r="AB846" s="1614"/>
      <c r="AC846" s="161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275</v>
      </c>
      <c r="W847" s="1600">
        <v>98135</v>
      </c>
      <c r="X847" s="1601"/>
      <c r="Y847" s="1601"/>
      <c r="Z847" s="1601"/>
      <c r="AA847" s="1601"/>
      <c r="AB847" s="1601"/>
      <c r="AC847" s="160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391</v>
      </c>
      <c r="J849" s="45" t="s">
        <v>626</v>
      </c>
      <c r="K849" s="5"/>
      <c r="L849" s="5"/>
      <c r="M849" s="5"/>
      <c r="N849" s="5"/>
      <c r="O849" s="5"/>
      <c r="P849" s="5"/>
      <c r="Q849" s="5"/>
      <c r="R849" s="5"/>
      <c r="S849" s="5"/>
      <c r="T849" s="5"/>
      <c r="U849" s="5"/>
      <c r="V849" s="46"/>
      <c r="W849" s="1595">
        <v>16425</v>
      </c>
      <c r="X849" s="1595"/>
      <c r="Y849" s="1595"/>
      <c r="Z849" s="1595"/>
      <c r="AA849" s="1595"/>
      <c r="AB849" s="1595"/>
      <c r="AC849" s="159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531</v>
      </c>
      <c r="K850" s="5"/>
      <c r="L850" s="5"/>
      <c r="M850" s="5"/>
      <c r="N850" s="5"/>
      <c r="O850" s="5"/>
      <c r="P850" s="5"/>
      <c r="Q850" s="5"/>
      <c r="R850" s="5"/>
      <c r="S850" s="5"/>
      <c r="T850" s="5"/>
      <c r="U850" s="5"/>
      <c r="V850" s="46"/>
      <c r="W850" s="1595">
        <v>137693</v>
      </c>
      <c r="X850" s="1595"/>
      <c r="Y850" s="1595"/>
      <c r="Z850" s="1595"/>
      <c r="AA850" s="1595"/>
      <c r="AB850" s="1595"/>
      <c r="AC850" s="159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530</v>
      </c>
      <c r="K851" s="5"/>
      <c r="L851" s="5"/>
      <c r="M851" s="5"/>
      <c r="N851" s="5"/>
      <c r="O851" s="5"/>
      <c r="P851" s="5"/>
      <c r="Q851" s="5"/>
      <c r="R851" s="5"/>
      <c r="S851" s="5"/>
      <c r="T851" s="5"/>
      <c r="U851" s="5"/>
      <c r="V851" s="46"/>
      <c r="W851" s="1595">
        <v>147677</v>
      </c>
      <c r="X851" s="1595"/>
      <c r="Y851" s="1595"/>
      <c r="Z851" s="1595"/>
      <c r="AA851" s="1595"/>
      <c r="AB851" s="1595"/>
      <c r="AC851" s="159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529</v>
      </c>
      <c r="K852" s="5"/>
      <c r="L852" s="5"/>
      <c r="M852" s="5"/>
      <c r="N852" s="5"/>
      <c r="O852" s="5"/>
      <c r="P852" s="5"/>
      <c r="Q852" s="5"/>
      <c r="R852" s="5"/>
      <c r="S852" s="5"/>
      <c r="T852" s="5"/>
      <c r="U852" s="5"/>
      <c r="V852" s="46"/>
      <c r="W852" s="1595">
        <v>22279</v>
      </c>
      <c r="X852" s="1595"/>
      <c r="Y852" s="1595"/>
      <c r="Z852" s="1595"/>
      <c r="AA852" s="1595"/>
      <c r="AB852" s="1595"/>
      <c r="AC852" s="159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528</v>
      </c>
      <c r="K853" s="5"/>
      <c r="L853" s="5"/>
      <c r="M853" s="5"/>
      <c r="N853" s="5"/>
      <c r="O853" s="5"/>
      <c r="P853" s="5"/>
      <c r="Q853" s="5"/>
      <c r="R853" s="5"/>
      <c r="S853" s="5"/>
      <c r="T853" s="5"/>
      <c r="U853" s="5"/>
      <c r="V853" s="46"/>
      <c r="W853" s="1595">
        <v>73626</v>
      </c>
      <c r="X853" s="1595"/>
      <c r="Y853" s="1595"/>
      <c r="Z853" s="1595"/>
      <c r="AA853" s="1595"/>
      <c r="AB853" s="1595"/>
      <c r="AC853" s="159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527</v>
      </c>
      <c r="K854" s="5"/>
      <c r="L854" s="5"/>
      <c r="M854" s="5"/>
      <c r="N854" s="5"/>
      <c r="O854" s="5"/>
      <c r="P854" s="5"/>
      <c r="Q854" s="5"/>
      <c r="R854" s="5"/>
      <c r="S854" s="5"/>
      <c r="T854" s="5"/>
      <c r="U854" s="5"/>
      <c r="V854" s="46"/>
      <c r="W854" s="1595"/>
      <c r="X854" s="1595"/>
      <c r="Y854" s="1595"/>
      <c r="Z854" s="1595"/>
      <c r="AA854" s="1595"/>
      <c r="AB854" s="1595"/>
      <c r="AC854" s="159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170</v>
      </c>
      <c r="K855" s="5"/>
      <c r="L855" s="5"/>
      <c r="M855" s="1578" t="s">
        <v>335</v>
      </c>
      <c r="N855" s="1579"/>
      <c r="O855" s="1579"/>
      <c r="P855" s="1579"/>
      <c r="Q855" s="1579"/>
      <c r="R855" s="1579"/>
      <c r="S855" s="1579"/>
      <c r="T855" s="1579"/>
      <c r="U855" s="1579"/>
      <c r="V855" s="1580"/>
      <c r="W855" s="1595"/>
      <c r="X855" s="1595"/>
      <c r="Y855" s="1595"/>
      <c r="Z855" s="1595"/>
      <c r="AA855" s="1595"/>
      <c r="AB855" s="1595"/>
      <c r="AC855" s="159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276</v>
      </c>
      <c r="W856" s="1611">
        <f>SUM(W849:AC855)</f>
        <v>397700</v>
      </c>
      <c r="X856" s="1611"/>
      <c r="Y856" s="1611"/>
      <c r="Z856" s="1611"/>
      <c r="AA856" s="1611"/>
      <c r="AB856" s="1611"/>
      <c r="AC856" s="161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1391</v>
      </c>
      <c r="J858" s="45" t="s">
        <v>170</v>
      </c>
      <c r="K858" s="5"/>
      <c r="L858" s="5"/>
      <c r="M858" s="1578" t="s">
        <v>335</v>
      </c>
      <c r="N858" s="1579"/>
      <c r="O858" s="1579"/>
      <c r="P858" s="1579"/>
      <c r="Q858" s="1579"/>
      <c r="R858" s="1579"/>
      <c r="S858" s="1579"/>
      <c r="T858" s="1579"/>
      <c r="U858" s="1579"/>
      <c r="V858" s="1580"/>
      <c r="W858" s="1575"/>
      <c r="X858" s="1576"/>
      <c r="Y858" s="1576"/>
      <c r="Z858" s="1576"/>
      <c r="AA858" s="1576"/>
      <c r="AB858" s="1576"/>
      <c r="AC858" s="157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1392</v>
      </c>
      <c r="J859" s="45" t="s">
        <v>170</v>
      </c>
      <c r="K859" s="5"/>
      <c r="L859" s="5"/>
      <c r="M859" s="1578" t="s">
        <v>335</v>
      </c>
      <c r="N859" s="1579"/>
      <c r="O859" s="1579"/>
      <c r="P859" s="1579"/>
      <c r="Q859" s="1579"/>
      <c r="R859" s="1579"/>
      <c r="S859" s="1579"/>
      <c r="T859" s="1579"/>
      <c r="U859" s="1579"/>
      <c r="V859" s="1580"/>
      <c r="W859" s="1575"/>
      <c r="X859" s="1576"/>
      <c r="Y859" s="1576"/>
      <c r="Z859" s="1576"/>
      <c r="AA859" s="1576"/>
      <c r="AB859" s="1576"/>
      <c r="AC859" s="157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170</v>
      </c>
      <c r="K860" s="5"/>
      <c r="L860" s="5"/>
      <c r="M860" s="1578" t="s">
        <v>335</v>
      </c>
      <c r="N860" s="1579"/>
      <c r="O860" s="1579"/>
      <c r="P860" s="1579"/>
      <c r="Q860" s="1579"/>
      <c r="R860" s="1579"/>
      <c r="S860" s="1579"/>
      <c r="T860" s="1579"/>
      <c r="U860" s="1579"/>
      <c r="V860" s="1580"/>
      <c r="W860" s="1575"/>
      <c r="X860" s="1576"/>
      <c r="Y860" s="1576"/>
      <c r="Z860" s="1576"/>
      <c r="AA860" s="1576"/>
      <c r="AB860" s="1576"/>
      <c r="AC860" s="157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170</v>
      </c>
      <c r="K861" s="5"/>
      <c r="L861" s="5"/>
      <c r="M861" s="1578" t="s">
        <v>335</v>
      </c>
      <c r="N861" s="1579"/>
      <c r="O861" s="1579"/>
      <c r="P861" s="1579"/>
      <c r="Q861" s="1579"/>
      <c r="R861" s="1579"/>
      <c r="S861" s="1579"/>
      <c r="T861" s="1579"/>
      <c r="U861" s="1579"/>
      <c r="V861" s="1580"/>
      <c r="W861" s="1575"/>
      <c r="X861" s="1576"/>
      <c r="Y861" s="1576"/>
      <c r="Z861" s="1576"/>
      <c r="AA861" s="1576"/>
      <c r="AB861" s="1576"/>
      <c r="AC861" s="157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170</v>
      </c>
      <c r="K862" s="5"/>
      <c r="L862" s="5"/>
      <c r="M862" s="1578" t="s">
        <v>335</v>
      </c>
      <c r="N862" s="1579"/>
      <c r="O862" s="1579"/>
      <c r="P862" s="1579"/>
      <c r="Q862" s="1579"/>
      <c r="R862" s="1579"/>
      <c r="S862" s="1579"/>
      <c r="T862" s="1579"/>
      <c r="U862" s="1579"/>
      <c r="V862" s="1580"/>
      <c r="W862" s="1575"/>
      <c r="X862" s="1576"/>
      <c r="Y862" s="1576"/>
      <c r="Z862" s="1576"/>
      <c r="AA862" s="1576"/>
      <c r="AB862" s="1576"/>
      <c r="AC862" s="157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277</v>
      </c>
      <c r="W863" s="1491">
        <f>SUM(W858:AC862)</f>
        <v>0</v>
      </c>
      <c r="X863" s="1492"/>
      <c r="Y863" s="1492"/>
      <c r="Z863" s="1492"/>
      <c r="AA863" s="1492"/>
      <c r="AB863" s="1492"/>
      <c r="AC863" s="14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492">
        <f>W831+W839+W846+W847+W856+W863+W833</f>
        <v>1682935</v>
      </c>
      <c r="AD867" s="1492"/>
      <c r="AE867" s="1492"/>
      <c r="AF867" s="1492"/>
      <c r="AG867" s="1492"/>
      <c r="AH867" s="14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53">
        <f>O782+O762+G739</f>
        <v>206</v>
      </c>
      <c r="AD868" s="1653"/>
      <c r="AE868" s="1653"/>
      <c r="AF868" s="1653"/>
      <c r="AG868" s="1653"/>
      <c r="AH868" s="165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51" t="s">
        <v>32</v>
      </c>
      <c r="F869" s="1651"/>
      <c r="G869" s="1651"/>
      <c r="H869" s="1651"/>
      <c r="I869" s="1651"/>
      <c r="J869" s="1651"/>
      <c r="K869" s="1651"/>
      <c r="L869" s="1651"/>
      <c r="M869" s="1651"/>
      <c r="N869" s="1651"/>
      <c r="O869" s="1651"/>
      <c r="P869" s="1651"/>
      <c r="Q869" s="1651"/>
      <c r="R869" s="1651"/>
      <c r="S869" s="1651"/>
      <c r="T869" s="1651"/>
      <c r="U869" s="1651"/>
      <c r="V869" s="1651"/>
      <c r="W869" s="1651"/>
      <c r="X869" s="1651"/>
      <c r="Y869" s="1651"/>
      <c r="Z869" s="1651"/>
      <c r="AA869" s="1651"/>
      <c r="AB869" s="1652"/>
      <c r="AC869" s="1611">
        <f>IF(ISERROR((ROUNDDOWN(AC867/AC868,0))),0,(ROUNDDOWN(AC867/AC868,0)))</f>
        <v>8169</v>
      </c>
      <c r="AD869" s="1611"/>
      <c r="AE869" s="1611"/>
      <c r="AF869" s="1611"/>
      <c r="AG869" s="1611"/>
      <c r="AH869" s="161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593">
        <v>679802</v>
      </c>
      <c r="AD870" s="1594"/>
      <c r="AE870" s="1594"/>
      <c r="AF870" s="1594"/>
      <c r="AG870" s="1594"/>
      <c r="AH870" s="159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77"/>
      <c r="AD871" s="1595"/>
      <c r="AE871" s="1595"/>
      <c r="AF871" s="1595"/>
      <c r="AG871" s="1595"/>
      <c r="AH871" s="159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76">
        <v>137390</v>
      </c>
      <c r="AD872" s="1576"/>
      <c r="AE872" s="1576"/>
      <c r="AF872" s="1576"/>
      <c r="AG872" s="1576"/>
      <c r="AH872" s="157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76">
        <v>61800</v>
      </c>
      <c r="AD873" s="1576"/>
      <c r="AE873" s="1576"/>
      <c r="AF873" s="1576"/>
      <c r="AG873" s="1576"/>
      <c r="AH873" s="157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54"/>
      <c r="AD874" s="1555"/>
      <c r="AE874" s="1555"/>
      <c r="AF874" s="1555"/>
      <c r="AG874" s="1555"/>
      <c r="AH874" s="155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76">
        <v>5787</v>
      </c>
      <c r="AD875" s="1576"/>
      <c r="AE875" s="1576"/>
      <c r="AF875" s="1576"/>
      <c r="AG875" s="1576"/>
      <c r="AH875" s="157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76"/>
      <c r="AD876" s="1576"/>
      <c r="AE876" s="1576"/>
      <c r="AF876" s="1576"/>
      <c r="AG876" s="1576"/>
      <c r="AH876" s="157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596" t="s">
        <v>2766</v>
      </c>
      <c r="D877" s="1597"/>
      <c r="E877" s="1597"/>
      <c r="F877" s="1597"/>
      <c r="G877" s="1597"/>
      <c r="H877" s="1597"/>
      <c r="I877" s="1597"/>
      <c r="J877" s="1597"/>
      <c r="K877" s="1597"/>
      <c r="L877" s="1597"/>
      <c r="M877" s="1597"/>
      <c r="N877" s="1597"/>
      <c r="O877" s="1597"/>
      <c r="P877" s="1597"/>
      <c r="Q877" s="1597"/>
      <c r="R877" s="1597"/>
      <c r="S877" s="1597"/>
      <c r="T877" s="1597"/>
      <c r="U877" s="1597"/>
      <c r="V877" s="1597"/>
      <c r="W877" s="1597"/>
      <c r="X877" s="1597"/>
      <c r="Y877" s="1597"/>
      <c r="Z877" s="1597"/>
      <c r="AA877" s="1597"/>
      <c r="AB877" s="1598"/>
      <c r="AC877" s="1595">
        <f>5787+2000</f>
        <v>7787</v>
      </c>
      <c r="AD877" s="1595"/>
      <c r="AE877" s="1595"/>
      <c r="AF877" s="1595"/>
      <c r="AG877" s="1595"/>
      <c r="AH877" s="159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596" t="s">
        <v>996</v>
      </c>
      <c r="D878" s="1597"/>
      <c r="E878" s="1597"/>
      <c r="F878" s="1597"/>
      <c r="G878" s="1597"/>
      <c r="H878" s="1597"/>
      <c r="I878" s="1597"/>
      <c r="J878" s="1597"/>
      <c r="K878" s="1597"/>
      <c r="L878" s="1597"/>
      <c r="M878" s="1597"/>
      <c r="N878" s="1597"/>
      <c r="O878" s="1597"/>
      <c r="P878" s="1597"/>
      <c r="Q878" s="1597"/>
      <c r="R878" s="1597"/>
      <c r="S878" s="1597"/>
      <c r="T878" s="1597"/>
      <c r="U878" s="1597"/>
      <c r="V878" s="1597"/>
      <c r="W878" s="1597"/>
      <c r="X878" s="1597"/>
      <c r="Y878" s="1597"/>
      <c r="Z878" s="1597"/>
      <c r="AA878" s="1597"/>
      <c r="AB878" s="1598"/>
      <c r="AC878" s="1595"/>
      <c r="AD878" s="1595"/>
      <c r="AE878" s="1595"/>
      <c r="AF878" s="1595"/>
      <c r="AG878" s="1595"/>
      <c r="AH878" s="159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239</v>
      </c>
      <c r="I882" s="5"/>
      <c r="J882" s="5"/>
      <c r="K882" s="5"/>
      <c r="L882" s="5"/>
      <c r="M882" s="5"/>
      <c r="N882" s="5"/>
      <c r="O882" s="5"/>
      <c r="P882" s="5"/>
      <c r="Q882" s="5"/>
      <c r="R882" s="5"/>
      <c r="S882" s="5"/>
      <c r="T882" s="5"/>
      <c r="U882" s="5"/>
      <c r="V882" s="5"/>
      <c r="W882" s="5"/>
      <c r="X882" s="5"/>
      <c r="Y882" s="46"/>
      <c r="Z882" s="1575"/>
      <c r="AA882" s="1576"/>
      <c r="AB882" s="1576"/>
      <c r="AC882" s="1576"/>
      <c r="AD882" s="1576"/>
      <c r="AE882" s="157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240</v>
      </c>
      <c r="I883" s="5"/>
      <c r="J883" s="5"/>
      <c r="K883" s="5"/>
      <c r="L883" s="5"/>
      <c r="M883" s="5"/>
      <c r="N883" s="5"/>
      <c r="O883" s="5"/>
      <c r="P883" s="5"/>
      <c r="Q883" s="5"/>
      <c r="R883" s="5"/>
      <c r="S883" s="5"/>
      <c r="T883" s="5"/>
      <c r="U883" s="5"/>
      <c r="V883" s="5"/>
      <c r="W883" s="5"/>
      <c r="X883" s="5"/>
      <c r="Y883" s="5"/>
      <c r="Z883" s="1575"/>
      <c r="AA883" s="1576"/>
      <c r="AB883" s="1576"/>
      <c r="AC883" s="1576"/>
      <c r="AD883" s="1576"/>
      <c r="AE883" s="157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241</v>
      </c>
      <c r="I884" s="5"/>
      <c r="J884" s="5"/>
      <c r="K884" s="5"/>
      <c r="L884" s="5"/>
      <c r="M884" s="5"/>
      <c r="N884" s="5"/>
      <c r="O884" s="5"/>
      <c r="P884" s="5"/>
      <c r="Q884" s="5"/>
      <c r="R884" s="5"/>
      <c r="S884" s="5"/>
      <c r="T884" s="5"/>
      <c r="U884" s="5"/>
      <c r="V884" s="5"/>
      <c r="W884" s="5"/>
      <c r="X884" s="5"/>
      <c r="Y884" s="5"/>
      <c r="Z884" s="1575"/>
      <c r="AA884" s="1576"/>
      <c r="AB884" s="1576"/>
      <c r="AC884" s="1576"/>
      <c r="AD884" s="1576"/>
      <c r="AE884" s="157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242</v>
      </c>
      <c r="Z885" s="1491">
        <f>Z882-(Z883+Z884)</f>
        <v>0</v>
      </c>
      <c r="AA885" s="1492"/>
      <c r="AB885" s="1492"/>
      <c r="AC885" s="1492"/>
      <c r="AD885" s="1492"/>
      <c r="AE885" s="14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589"/>
      <c r="BE887" s="158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589"/>
      <c r="BE888" s="158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590"/>
      <c r="BE889" s="159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590"/>
      <c r="BE890" s="159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590"/>
      <c r="BE891" s="159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589"/>
      <c r="BE892" s="159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13" t="s">
        <v>97</v>
      </c>
      <c r="B893" s="1413"/>
      <c r="C893" s="1413"/>
      <c r="D893" s="1413"/>
      <c r="E893" s="1413"/>
      <c r="F893" s="1413"/>
      <c r="G893" s="1413"/>
      <c r="H893" s="1413"/>
      <c r="I893" s="1413"/>
      <c r="J893" s="1413"/>
      <c r="K893" s="1413"/>
      <c r="L893" s="1413"/>
      <c r="M893" s="1413"/>
      <c r="N893" s="1413"/>
      <c r="O893" s="1413"/>
      <c r="P893" s="1413"/>
      <c r="Q893" s="1413"/>
      <c r="R893" s="1413"/>
      <c r="S893" s="1413"/>
      <c r="T893" s="1413"/>
      <c r="U893" s="1413"/>
      <c r="V893" s="1413"/>
      <c r="W893" s="1413"/>
      <c r="X893" s="1413"/>
      <c r="Y893" s="1413"/>
      <c r="Z893" s="1413"/>
      <c r="AA893" s="1413"/>
      <c r="AB893" s="1413"/>
      <c r="AC893" s="1413"/>
      <c r="AD893" s="1413"/>
      <c r="AE893" s="1413"/>
      <c r="AF893" s="1413"/>
      <c r="AG893" s="1413"/>
      <c r="AH893" s="1413"/>
      <c r="AI893" s="1413"/>
      <c r="AJ893" s="1413"/>
      <c r="AK893" s="1413"/>
      <c r="AL893" s="1413"/>
      <c r="AM893" s="95"/>
      <c r="AN893" s="95"/>
      <c r="AO893" s="95"/>
      <c r="AP893" s="95"/>
      <c r="AQ893" s="95"/>
      <c r="AR893" s="95"/>
      <c r="AS893" s="95"/>
      <c r="AT893" s="95"/>
      <c r="AU893" s="95"/>
      <c r="AV893" s="95"/>
      <c r="AW893" s="95"/>
      <c r="AX893" s="95"/>
      <c r="AY893" s="95"/>
      <c r="AZ893" s="34"/>
      <c r="BB893" s="30"/>
      <c r="BC893" s="852"/>
      <c r="BD893" s="1588"/>
      <c r="BE893" s="1588"/>
      <c r="BF893" s="158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14"/>
      <c r="B894" s="1414"/>
      <c r="C894" s="1414"/>
      <c r="D894" s="1414"/>
      <c r="E894" s="1414"/>
      <c r="F894" s="1414"/>
      <c r="G894" s="1414"/>
      <c r="H894" s="1414"/>
      <c r="I894" s="1414"/>
      <c r="J894" s="1414"/>
      <c r="K894" s="1414"/>
      <c r="L894" s="1414"/>
      <c r="M894" s="1414"/>
      <c r="N894" s="1414"/>
      <c r="O894" s="1414"/>
      <c r="P894" s="1414"/>
      <c r="Q894" s="1414"/>
      <c r="R894" s="1414"/>
      <c r="S894" s="1414"/>
      <c r="T894" s="1414"/>
      <c r="U894" s="1414"/>
      <c r="V894" s="1414"/>
      <c r="W894" s="1414"/>
      <c r="X894" s="1414"/>
      <c r="Y894" s="1414"/>
      <c r="Z894" s="1414"/>
      <c r="AA894" s="1414"/>
      <c r="AB894" s="1414"/>
      <c r="AC894" s="1414"/>
      <c r="AD894" s="1414"/>
      <c r="AE894" s="1414"/>
      <c r="AF894" s="1414"/>
      <c r="AG894" s="1414"/>
      <c r="AH894" s="1414"/>
      <c r="AI894" s="1414"/>
      <c r="AJ894" s="1414"/>
      <c r="AK894" s="1414"/>
      <c r="AL894" s="1414"/>
      <c r="AM894" s="95"/>
      <c r="AN894" s="95"/>
      <c r="AO894" s="95"/>
      <c r="AP894" s="95"/>
      <c r="AQ894" s="95"/>
      <c r="AR894" s="95"/>
      <c r="AS894" s="95"/>
      <c r="AT894" s="95"/>
      <c r="AU894" s="95"/>
      <c r="AV894" s="95"/>
      <c r="AW894" s="95"/>
      <c r="AX894" s="95"/>
      <c r="AY894" s="95"/>
      <c r="AZ894" s="34"/>
      <c r="BB894" s="30"/>
      <c r="BC894" s="852"/>
      <c r="BD894" s="1610"/>
      <c r="BE894" s="1610"/>
      <c r="BF894" s="161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590"/>
      <c r="BE895" s="159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589"/>
      <c r="BE896" s="159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783" t="s">
        <v>816</v>
      </c>
      <c r="G898" s="1784"/>
      <c r="H898" s="1784"/>
      <c r="I898" s="1784"/>
      <c r="J898" s="1784"/>
      <c r="K898" s="1784"/>
      <c r="L898" s="1784"/>
      <c r="M898" s="1784"/>
      <c r="N898" s="1784"/>
      <c r="O898" s="1784"/>
      <c r="P898" s="1784"/>
      <c r="Q898" s="1784"/>
      <c r="R898" s="1784"/>
      <c r="S898" s="1784"/>
      <c r="T898" s="1785"/>
      <c r="U898" s="1779" t="s">
        <v>31</v>
      </c>
      <c r="V898" s="1558"/>
      <c r="W898" s="1558"/>
      <c r="X898" s="1558"/>
      <c r="Y898" s="1558"/>
      <c r="Z898" s="1558"/>
      <c r="AA898" s="43"/>
      <c r="AB898" s="105"/>
      <c r="AC898" s="105"/>
      <c r="AD898" s="105"/>
      <c r="AE898" s="105"/>
      <c r="AF898" s="106"/>
      <c r="AZ898" s="34"/>
      <c r="BA898" s="34"/>
      <c r="BB898" s="30"/>
      <c r="BC898" s="30"/>
      <c r="BD898" s="1589"/>
      <c r="BE898" s="159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31" t="s">
        <v>844</v>
      </c>
      <c r="G899" s="1632"/>
      <c r="H899" s="1632"/>
      <c r="I899" s="1632"/>
      <c r="J899" s="1632"/>
      <c r="K899" s="1632"/>
      <c r="L899" s="1632"/>
      <c r="M899" s="1632"/>
      <c r="N899" s="1632"/>
      <c r="O899" s="1632"/>
      <c r="P899" s="1632"/>
      <c r="Q899" s="1632"/>
      <c r="R899" s="1632"/>
      <c r="S899" s="1632"/>
      <c r="T899" s="1633"/>
      <c r="U899" s="1631"/>
      <c r="V899" s="1632"/>
      <c r="W899" s="1632"/>
      <c r="X899" s="1632"/>
      <c r="Y899" s="1632"/>
      <c r="Z899" s="163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34"/>
      <c r="G900" s="1560"/>
      <c r="H900" s="1560"/>
      <c r="I900" s="1560"/>
      <c r="J900" s="1560"/>
      <c r="K900" s="1560"/>
      <c r="L900" s="1560"/>
      <c r="M900" s="1560"/>
      <c r="N900" s="1560"/>
      <c r="O900" s="1560"/>
      <c r="P900" s="1560"/>
      <c r="Q900" s="1560"/>
      <c r="R900" s="1560"/>
      <c r="S900" s="1560"/>
      <c r="T900" s="1561"/>
      <c r="U900" s="1634"/>
      <c r="V900" s="1560"/>
      <c r="W900" s="1560"/>
      <c r="X900" s="1560"/>
      <c r="Y900" s="1560"/>
      <c r="Z900" s="1560"/>
      <c r="AA900" s="108"/>
      <c r="AB900" s="1423" t="s">
        <v>392</v>
      </c>
      <c r="AC900" s="1423"/>
      <c r="AD900" s="1423"/>
      <c r="AE900" s="142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782</v>
      </c>
      <c r="G901" s="48"/>
      <c r="H901" s="48"/>
      <c r="I901" s="48"/>
      <c r="J901" s="48"/>
      <c r="K901" s="48"/>
      <c r="L901" s="48"/>
      <c r="M901" s="48"/>
      <c r="N901" s="48"/>
      <c r="O901" s="48"/>
      <c r="P901" s="48"/>
      <c r="Q901" s="48"/>
      <c r="R901" s="48"/>
      <c r="S901" s="48"/>
      <c r="T901" s="49"/>
      <c r="U901" s="1620" t="s">
        <v>554</v>
      </c>
      <c r="V901" s="1326"/>
      <c r="W901" s="1326"/>
      <c r="X901" s="1326"/>
      <c r="Y901" s="1326"/>
      <c r="Z901" s="1327"/>
      <c r="AA901" s="1617">
        <f>SUM(AM550:AS551)</f>
        <v>40238441</v>
      </c>
      <c r="AB901" s="1412"/>
      <c r="AC901" s="1412"/>
      <c r="AD901" s="1412"/>
      <c r="AE901" s="1412"/>
      <c r="AF901" s="161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684</v>
      </c>
      <c r="G902" s="48"/>
      <c r="H902" s="48"/>
      <c r="I902" s="48"/>
      <c r="J902" s="48"/>
      <c r="K902" s="48"/>
      <c r="L902" s="48"/>
      <c r="M902" s="48"/>
      <c r="N902" s="48"/>
      <c r="O902" s="48"/>
      <c r="P902" s="48"/>
      <c r="Q902" s="48"/>
      <c r="R902" s="48"/>
      <c r="S902" s="48"/>
      <c r="T902" s="49"/>
      <c r="U902" s="1620" t="s">
        <v>600</v>
      </c>
      <c r="V902" s="1326"/>
      <c r="W902" s="1326"/>
      <c r="X902" s="1326"/>
      <c r="Y902" s="1326"/>
      <c r="Z902" s="1327"/>
      <c r="AA902" s="1617"/>
      <c r="AB902" s="1412"/>
      <c r="AC902" s="1412"/>
      <c r="AD902" s="1412"/>
      <c r="AE902" s="1412"/>
      <c r="AF902" s="161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825</v>
      </c>
      <c r="G903" s="5"/>
      <c r="H903" s="5"/>
      <c r="I903" s="5"/>
      <c r="J903" s="5"/>
      <c r="K903" s="5"/>
      <c r="L903" s="5"/>
      <c r="M903" s="5"/>
      <c r="N903" s="5"/>
      <c r="O903" s="5"/>
      <c r="P903" s="5"/>
      <c r="Q903" s="5"/>
      <c r="R903" s="5"/>
      <c r="S903" s="5"/>
      <c r="T903" s="46"/>
      <c r="U903" s="1620" t="s">
        <v>600</v>
      </c>
      <c r="V903" s="1326"/>
      <c r="W903" s="1326"/>
      <c r="X903" s="1326"/>
      <c r="Y903" s="1326"/>
      <c r="Z903" s="1327"/>
      <c r="AA903" s="1617"/>
      <c r="AB903" s="1412"/>
      <c r="AC903" s="1412"/>
      <c r="AD903" s="1412"/>
      <c r="AE903" s="1412"/>
      <c r="AF903" s="161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687</v>
      </c>
      <c r="G904" s="5"/>
      <c r="H904" s="5"/>
      <c r="I904" s="5"/>
      <c r="J904" s="5"/>
      <c r="K904" s="5"/>
      <c r="L904" s="5"/>
      <c r="M904" s="5"/>
      <c r="N904" s="5"/>
      <c r="O904" s="5"/>
      <c r="P904" s="5"/>
      <c r="Q904" s="5"/>
      <c r="R904" s="5"/>
      <c r="S904" s="5"/>
      <c r="T904" s="46"/>
      <c r="U904" s="1620" t="s">
        <v>600</v>
      </c>
      <c r="V904" s="1326"/>
      <c r="W904" s="1326"/>
      <c r="X904" s="1326"/>
      <c r="Y904" s="1326"/>
      <c r="Z904" s="1327"/>
      <c r="AA904" s="1617"/>
      <c r="AB904" s="1412"/>
      <c r="AC904" s="1412"/>
      <c r="AD904" s="1412"/>
      <c r="AE904" s="1412"/>
      <c r="AF904" s="161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810</v>
      </c>
      <c r="G905" s="5"/>
      <c r="H905" s="5"/>
      <c r="I905" s="5"/>
      <c r="J905" s="5"/>
      <c r="K905" s="5"/>
      <c r="L905" s="5"/>
      <c r="M905" s="5"/>
      <c r="N905" s="5"/>
      <c r="O905" s="5"/>
      <c r="P905" s="5"/>
      <c r="Q905" s="5"/>
      <c r="R905" s="5"/>
      <c r="S905" s="5"/>
      <c r="T905" s="46"/>
      <c r="U905" s="1620" t="s">
        <v>600</v>
      </c>
      <c r="V905" s="1326"/>
      <c r="W905" s="1326"/>
      <c r="X905" s="1326"/>
      <c r="Y905" s="1326"/>
      <c r="Z905" s="1327"/>
      <c r="AA905" s="1617"/>
      <c r="AB905" s="1412"/>
      <c r="AC905" s="1412"/>
      <c r="AD905" s="1412"/>
      <c r="AE905" s="1412"/>
      <c r="AF905" s="161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811</v>
      </c>
      <c r="G906" s="5"/>
      <c r="H906" s="5"/>
      <c r="I906" s="5"/>
      <c r="J906" s="5"/>
      <c r="K906" s="5"/>
      <c r="L906" s="5"/>
      <c r="M906" s="5"/>
      <c r="N906" s="5"/>
      <c r="O906" s="5"/>
      <c r="P906" s="5"/>
      <c r="Q906" s="5"/>
      <c r="R906" s="5"/>
      <c r="S906" s="5"/>
      <c r="T906" s="46"/>
      <c r="U906" s="1620" t="s">
        <v>600</v>
      </c>
      <c r="V906" s="1326"/>
      <c r="W906" s="1326"/>
      <c r="X906" s="1326"/>
      <c r="Y906" s="1326"/>
      <c r="Z906" s="1327"/>
      <c r="AA906" s="1617"/>
      <c r="AB906" s="1412"/>
      <c r="AC906" s="1412"/>
      <c r="AD906" s="1412"/>
      <c r="AE906" s="1412"/>
      <c r="AF906" s="161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812</v>
      </c>
      <c r="G907" s="5"/>
      <c r="H907" s="5"/>
      <c r="I907" s="5"/>
      <c r="J907" s="5"/>
      <c r="K907" s="5"/>
      <c r="L907" s="5"/>
      <c r="M907" s="5"/>
      <c r="N907" s="5"/>
      <c r="O907" s="5"/>
      <c r="P907" s="5"/>
      <c r="Q907" s="5"/>
      <c r="R907" s="5"/>
      <c r="S907" s="5"/>
      <c r="T907" s="46"/>
      <c r="U907" s="1620" t="s">
        <v>600</v>
      </c>
      <c r="V907" s="1326"/>
      <c r="W907" s="1326"/>
      <c r="X907" s="1326"/>
      <c r="Y907" s="1326"/>
      <c r="Z907" s="1327"/>
      <c r="AA907" s="1617"/>
      <c r="AB907" s="1412"/>
      <c r="AC907" s="1412"/>
      <c r="AD907" s="1412"/>
      <c r="AE907" s="1412"/>
      <c r="AF907" s="161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686</v>
      </c>
      <c r="G908" s="5"/>
      <c r="H908" s="5"/>
      <c r="I908" s="5"/>
      <c r="J908" s="5"/>
      <c r="K908" s="5"/>
      <c r="L908" s="5"/>
      <c r="M908" s="5"/>
      <c r="N908" s="5"/>
      <c r="O908" s="5"/>
      <c r="P908" s="5"/>
      <c r="Q908" s="5"/>
      <c r="R908" s="5"/>
      <c r="S908" s="5"/>
      <c r="T908" s="46"/>
      <c r="U908" s="1620" t="s">
        <v>600</v>
      </c>
      <c r="V908" s="1326"/>
      <c r="W908" s="1326"/>
      <c r="X908" s="1326"/>
      <c r="Y908" s="1326"/>
      <c r="Z908" s="1327"/>
      <c r="AA908" s="1617"/>
      <c r="AB908" s="1412"/>
      <c r="AC908" s="1412"/>
      <c r="AD908" s="1412"/>
      <c r="AE908" s="1412"/>
      <c r="AF908" s="161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688</v>
      </c>
      <c r="G909" s="5"/>
      <c r="H909" s="5"/>
      <c r="I909" s="5"/>
      <c r="J909" s="5"/>
      <c r="K909" s="5"/>
      <c r="L909" s="5"/>
      <c r="M909" s="5"/>
      <c r="N909" s="5"/>
      <c r="O909" s="5"/>
      <c r="P909" s="5"/>
      <c r="Q909" s="5"/>
      <c r="R909" s="5"/>
      <c r="S909" s="5"/>
      <c r="T909" s="46"/>
      <c r="U909" s="1620" t="s">
        <v>600</v>
      </c>
      <c r="V909" s="1326"/>
      <c r="W909" s="1326"/>
      <c r="X909" s="1326"/>
      <c r="Y909" s="1326"/>
      <c r="Z909" s="1327"/>
      <c r="AA909" s="1617"/>
      <c r="AB909" s="1412"/>
      <c r="AC909" s="1412"/>
      <c r="AD909" s="1412"/>
      <c r="AE909" s="1412"/>
      <c r="AF909" s="161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685</v>
      </c>
      <c r="G910" s="5"/>
      <c r="H910" s="5"/>
      <c r="I910" s="5"/>
      <c r="J910" s="5"/>
      <c r="K910" s="5"/>
      <c r="L910" s="5"/>
      <c r="M910" s="5"/>
      <c r="N910" s="5"/>
      <c r="O910" s="5"/>
      <c r="P910" s="5"/>
      <c r="Q910" s="5"/>
      <c r="R910" s="5"/>
      <c r="S910" s="5"/>
      <c r="T910" s="46"/>
      <c r="U910" s="1620" t="s">
        <v>600</v>
      </c>
      <c r="V910" s="1326"/>
      <c r="W910" s="1326"/>
      <c r="X910" s="1326"/>
      <c r="Y910" s="1326"/>
      <c r="Z910" s="1327"/>
      <c r="AA910" s="1617"/>
      <c r="AB910" s="1412"/>
      <c r="AC910" s="1412"/>
      <c r="AD910" s="1412"/>
      <c r="AE910" s="1412"/>
      <c r="AF910" s="161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1436</v>
      </c>
      <c r="G911" s="5"/>
      <c r="H911" s="5"/>
      <c r="I911" s="5"/>
      <c r="J911" s="5"/>
      <c r="K911" s="5"/>
      <c r="L911" s="5"/>
      <c r="M911" s="5"/>
      <c r="N911" s="5"/>
      <c r="O911" s="5"/>
      <c r="P911" s="5"/>
      <c r="Q911" s="5"/>
      <c r="R911" s="5"/>
      <c r="S911" s="5"/>
      <c r="T911" s="46"/>
      <c r="U911" s="1620" t="s">
        <v>600</v>
      </c>
      <c r="V911" s="1326"/>
      <c r="W911" s="1326"/>
      <c r="X911" s="1326"/>
      <c r="Y911" s="1326"/>
      <c r="Z911" s="1327"/>
      <c r="AA911" s="1617"/>
      <c r="AB911" s="1412"/>
      <c r="AC911" s="1412"/>
      <c r="AD911" s="1412"/>
      <c r="AE911" s="1412"/>
      <c r="AF911" s="161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826</v>
      </c>
      <c r="G912" s="5"/>
      <c r="H912" s="5"/>
      <c r="I912" s="5"/>
      <c r="J912" s="5"/>
      <c r="K912" s="5"/>
      <c r="L912" s="5"/>
      <c r="M912" s="5"/>
      <c r="N912" s="5"/>
      <c r="O912" s="5"/>
      <c r="P912" s="5"/>
      <c r="Q912" s="5"/>
      <c r="R912" s="5"/>
      <c r="S912" s="5"/>
      <c r="T912" s="46"/>
      <c r="U912" s="1620" t="s">
        <v>600</v>
      </c>
      <c r="V912" s="1326"/>
      <c r="W912" s="1326"/>
      <c r="X912" s="1326"/>
      <c r="Y912" s="1326"/>
      <c r="Z912" s="1327"/>
      <c r="AA912" s="1617"/>
      <c r="AB912" s="1412"/>
      <c r="AC912" s="1412"/>
      <c r="AD912" s="1412"/>
      <c r="AE912" s="1412"/>
      <c r="AF912" s="161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827</v>
      </c>
      <c r="G913" s="5"/>
      <c r="H913" s="5"/>
      <c r="I913" s="5"/>
      <c r="J913" s="5"/>
      <c r="K913" s="5"/>
      <c r="L913" s="5"/>
      <c r="M913" s="5"/>
      <c r="N913" s="5"/>
      <c r="O913" s="5"/>
      <c r="P913" s="5"/>
      <c r="Q913" s="5"/>
      <c r="R913" s="5"/>
      <c r="S913" s="5"/>
      <c r="T913" s="46"/>
      <c r="U913" s="1620" t="s">
        <v>600</v>
      </c>
      <c r="V913" s="1326"/>
      <c r="W913" s="1326"/>
      <c r="X913" s="1326"/>
      <c r="Y913" s="1326"/>
      <c r="Z913" s="1327"/>
      <c r="AA913" s="1617"/>
      <c r="AB913" s="1412"/>
      <c r="AC913" s="1412"/>
      <c r="AD913" s="1412"/>
      <c r="AE913" s="1412"/>
      <c r="AF913" s="161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1419</v>
      </c>
      <c r="G914" s="5"/>
      <c r="H914" s="5"/>
      <c r="I914" s="5"/>
      <c r="J914" s="5"/>
      <c r="K914" s="5"/>
      <c r="L914" s="5"/>
      <c r="M914" s="5"/>
      <c r="N914" s="5"/>
      <c r="O914" s="5"/>
      <c r="P914" s="5"/>
      <c r="Q914" s="5"/>
      <c r="R914" s="5"/>
      <c r="S914" s="5"/>
      <c r="T914" s="46"/>
      <c r="U914" s="1620" t="s">
        <v>600</v>
      </c>
      <c r="V914" s="1326"/>
      <c r="W914" s="1326"/>
      <c r="X914" s="1326"/>
      <c r="Y914" s="1326"/>
      <c r="Z914" s="1327"/>
      <c r="AA914" s="1617"/>
      <c r="AB914" s="1412"/>
      <c r="AC914" s="1412"/>
      <c r="AD914" s="1412"/>
      <c r="AE914" s="1412"/>
      <c r="AF914" s="161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1420</v>
      </c>
      <c r="G915" s="5"/>
      <c r="H915" s="5"/>
      <c r="I915" s="5"/>
      <c r="J915" s="5"/>
      <c r="K915" s="5"/>
      <c r="L915" s="5"/>
      <c r="M915" s="5"/>
      <c r="N915" s="5"/>
      <c r="O915" s="5"/>
      <c r="P915" s="5"/>
      <c r="Q915" s="5"/>
      <c r="R915" s="5"/>
      <c r="S915" s="5"/>
      <c r="T915" s="46"/>
      <c r="U915" s="1620" t="s">
        <v>600</v>
      </c>
      <c r="V915" s="1326"/>
      <c r="W915" s="1326"/>
      <c r="X915" s="1326"/>
      <c r="Y915" s="1326"/>
      <c r="Z915" s="1327"/>
      <c r="AA915" s="1617"/>
      <c r="AB915" s="1412"/>
      <c r="AC915" s="1412"/>
      <c r="AD915" s="1412"/>
      <c r="AE915" s="1412"/>
      <c r="AF915" s="161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831</v>
      </c>
      <c r="G916" s="5"/>
      <c r="H916" s="5"/>
      <c r="I916" s="5"/>
      <c r="J916" s="5"/>
      <c r="K916" s="5"/>
      <c r="L916" s="5"/>
      <c r="M916" s="5"/>
      <c r="N916" s="5"/>
      <c r="O916" s="5"/>
      <c r="P916" s="1620" t="s">
        <v>678</v>
      </c>
      <c r="Q916" s="1326"/>
      <c r="R916" s="1326"/>
      <c r="S916" s="1326"/>
      <c r="T916" s="1327"/>
      <c r="U916" s="1620" t="s">
        <v>600</v>
      </c>
      <c r="V916" s="1326"/>
      <c r="W916" s="1326"/>
      <c r="X916" s="1326"/>
      <c r="Y916" s="1326"/>
      <c r="Z916" s="1327"/>
      <c r="AA916" s="1617"/>
      <c r="AB916" s="1412"/>
      <c r="AC916" s="1412"/>
      <c r="AD916" s="1412"/>
      <c r="AE916" s="1412"/>
      <c r="AF916" s="161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578" t="s">
        <v>335</v>
      </c>
      <c r="J917" s="1579"/>
      <c r="K917" s="1579"/>
      <c r="L917" s="1579"/>
      <c r="M917" s="1579"/>
      <c r="N917" s="1579"/>
      <c r="O917" s="1579"/>
      <c r="P917" s="1579"/>
      <c r="Q917" s="1579"/>
      <c r="R917" s="1579"/>
      <c r="S917" s="1579"/>
      <c r="T917" s="1580"/>
      <c r="U917" s="1620" t="s">
        <v>600</v>
      </c>
      <c r="V917" s="1326"/>
      <c r="W917" s="1326"/>
      <c r="X917" s="1326"/>
      <c r="Y917" s="1326"/>
      <c r="Z917" s="1327"/>
      <c r="AA917" s="1617"/>
      <c r="AB917" s="1412"/>
      <c r="AC917" s="1412"/>
      <c r="AD917" s="1412"/>
      <c r="AE917" s="1412"/>
      <c r="AF917" s="161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28" t="s">
        <v>335</v>
      </c>
      <c r="J918" s="1629"/>
      <c r="K918" s="1629"/>
      <c r="L918" s="1629"/>
      <c r="M918" s="1629"/>
      <c r="N918" s="1629"/>
      <c r="O918" s="1629"/>
      <c r="P918" s="1629"/>
      <c r="Q918" s="1629"/>
      <c r="R918" s="1629"/>
      <c r="S918" s="1629"/>
      <c r="T918" s="1630"/>
      <c r="U918" s="1620" t="s">
        <v>600</v>
      </c>
      <c r="V918" s="1326"/>
      <c r="W918" s="1326"/>
      <c r="X918" s="1326"/>
      <c r="Y918" s="1326"/>
      <c r="Z918" s="1327"/>
      <c r="AA918" s="1617"/>
      <c r="AB918" s="1412"/>
      <c r="AC918" s="1412"/>
      <c r="AD918" s="1412"/>
      <c r="AE918" s="1412"/>
      <c r="AF918" s="161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170</v>
      </c>
      <c r="G919" s="48"/>
      <c r="H919" s="48"/>
      <c r="I919" s="1628" t="s">
        <v>335</v>
      </c>
      <c r="J919" s="1629"/>
      <c r="K919" s="1629"/>
      <c r="L919" s="1629"/>
      <c r="M919" s="1629"/>
      <c r="N919" s="1629"/>
      <c r="O919" s="1629"/>
      <c r="P919" s="1629"/>
      <c r="Q919" s="1629"/>
      <c r="R919" s="1629"/>
      <c r="S919" s="1629"/>
      <c r="T919" s="1630"/>
      <c r="U919" s="1620" t="s">
        <v>600</v>
      </c>
      <c r="V919" s="1326"/>
      <c r="W919" s="1326"/>
      <c r="X919" s="1326"/>
      <c r="Y919" s="1326"/>
      <c r="Z919" s="1327"/>
      <c r="AA919" s="1617"/>
      <c r="AB919" s="1412"/>
      <c r="AC919" s="1412"/>
      <c r="AD919" s="1412"/>
      <c r="AE919" s="1412"/>
      <c r="AF919" s="161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170</v>
      </c>
      <c r="G920" s="48"/>
      <c r="H920" s="48"/>
      <c r="I920" s="1628" t="s">
        <v>335</v>
      </c>
      <c r="J920" s="1629"/>
      <c r="K920" s="1629"/>
      <c r="L920" s="1629"/>
      <c r="M920" s="1629"/>
      <c r="N920" s="1629"/>
      <c r="O920" s="1629"/>
      <c r="P920" s="1629"/>
      <c r="Q920" s="1629"/>
      <c r="R920" s="1629"/>
      <c r="S920" s="1629"/>
      <c r="T920" s="1630"/>
      <c r="U920" s="1620" t="s">
        <v>600</v>
      </c>
      <c r="V920" s="1326"/>
      <c r="W920" s="1326"/>
      <c r="X920" s="1326"/>
      <c r="Y920" s="1326"/>
      <c r="Z920" s="1327"/>
      <c r="AA920" s="1617"/>
      <c r="AB920" s="1412"/>
      <c r="AC920" s="1412"/>
      <c r="AD920" s="1412"/>
      <c r="AE920" s="1412"/>
      <c r="AF920" s="161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27">
        <v>44845</v>
      </c>
      <c r="N925" s="1564"/>
      <c r="O925" s="1564"/>
      <c r="P925" s="1564"/>
      <c r="Q925" s="1564"/>
      <c r="R925" s="1564"/>
      <c r="S925" s="1587"/>
      <c r="U925" s="66" t="s">
        <v>11</v>
      </c>
      <c r="V925" s="5"/>
      <c r="W925" s="5"/>
      <c r="X925" s="5"/>
      <c r="Y925" s="5"/>
      <c r="Z925" s="5"/>
      <c r="AA925" s="5"/>
      <c r="AB925" s="5"/>
      <c r="AC925" s="5"/>
      <c r="AD925" s="46"/>
      <c r="AE925" s="1627">
        <v>43983</v>
      </c>
      <c r="AF925" s="1564"/>
      <c r="AG925" s="1564"/>
      <c r="AH925" s="1564"/>
      <c r="AI925" s="1564"/>
      <c r="AJ925" s="1564"/>
      <c r="AK925" s="158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377" t="s">
        <v>2698</v>
      </c>
      <c r="N926" s="1435"/>
      <c r="O926" s="1435"/>
      <c r="P926" s="1435"/>
      <c r="Q926" s="1435"/>
      <c r="R926" s="1435"/>
      <c r="S926" s="1619"/>
      <c r="U926" s="66" t="s">
        <v>12</v>
      </c>
      <c r="V926" s="5"/>
      <c r="W926" s="5"/>
      <c r="X926" s="5"/>
      <c r="Y926" s="5"/>
      <c r="Z926" s="5"/>
      <c r="AA926" s="5"/>
      <c r="AB926" s="5"/>
      <c r="AC926" s="5"/>
      <c r="AD926" s="46"/>
      <c r="AE926" s="1377" t="s">
        <v>2699</v>
      </c>
      <c r="AF926" s="1435"/>
      <c r="AG926" s="1435"/>
      <c r="AH926" s="1435"/>
      <c r="AI926" s="1435"/>
      <c r="AJ926" s="1435"/>
      <c r="AK926" s="161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909</v>
      </c>
      <c r="D927" s="5"/>
      <c r="E927" s="5"/>
      <c r="J927" s="1621" t="s">
        <v>2697</v>
      </c>
      <c r="K927" s="1622"/>
      <c r="L927" s="1622"/>
      <c r="M927" s="1622"/>
      <c r="N927" s="1622"/>
      <c r="O927" s="1622"/>
      <c r="P927" s="1622"/>
      <c r="Q927" s="1622"/>
      <c r="R927" s="1622"/>
      <c r="S927" s="1623"/>
      <c r="U927" s="66" t="s">
        <v>909</v>
      </c>
      <c r="V927" s="5"/>
      <c r="W927" s="5"/>
      <c r="AB927" s="1621" t="s">
        <v>2748</v>
      </c>
      <c r="AC927" s="1622"/>
      <c r="AD927" s="1622"/>
      <c r="AE927" s="1622"/>
      <c r="AF927" s="1622"/>
      <c r="AG927" s="1622"/>
      <c r="AH927" s="1622"/>
      <c r="AI927" s="1622"/>
      <c r="AJ927" s="1622"/>
      <c r="AK927" s="162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787">
        <f>8/204</f>
        <v>3.9215686274509803E-2</v>
      </c>
      <c r="N928" s="1639"/>
      <c r="O928" s="1639"/>
      <c r="P928" s="1639"/>
      <c r="Q928" s="1639"/>
      <c r="R928" s="1639"/>
      <c r="S928" s="1640"/>
      <c r="U928" s="66" t="s">
        <v>13</v>
      </c>
      <c r="V928" s="5"/>
      <c r="W928" s="5"/>
      <c r="X928" s="5"/>
      <c r="Y928" s="5"/>
      <c r="Z928" s="5"/>
      <c r="AA928" s="5"/>
      <c r="AB928" s="5"/>
      <c r="AC928" s="5"/>
      <c r="AD928" s="46"/>
      <c r="AE928" s="1638">
        <f>30/204</f>
        <v>0.14705882352941177</v>
      </c>
      <c r="AF928" s="1639"/>
      <c r="AG928" s="1639"/>
      <c r="AH928" s="1639"/>
      <c r="AI928" s="1639"/>
      <c r="AJ928" s="1639"/>
      <c r="AK928" s="164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41">
        <v>8</v>
      </c>
      <c r="N929" s="1605"/>
      <c r="O929" s="1605"/>
      <c r="P929" s="1605"/>
      <c r="Q929" s="1605"/>
      <c r="R929" s="1605"/>
      <c r="S929" s="1606"/>
      <c r="U929" s="66" t="s">
        <v>14</v>
      </c>
      <c r="V929" s="5"/>
      <c r="W929" s="5"/>
      <c r="X929" s="5"/>
      <c r="Y929" s="5"/>
      <c r="Z929" s="5"/>
      <c r="AA929" s="5"/>
      <c r="AB929" s="5"/>
      <c r="AC929" s="5"/>
      <c r="AD929" s="46"/>
      <c r="AE929" s="1641">
        <v>30</v>
      </c>
      <c r="AF929" s="1605"/>
      <c r="AG929" s="1605"/>
      <c r="AH929" s="1605"/>
      <c r="AI929" s="1605"/>
      <c r="AJ929" s="1605"/>
      <c r="AK929" s="160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17">
        <v>124608</v>
      </c>
      <c r="N930" s="1412"/>
      <c r="O930" s="1412"/>
      <c r="P930" s="1412"/>
      <c r="Q930" s="1412"/>
      <c r="R930" s="1412"/>
      <c r="S930" s="1618"/>
      <c r="U930" s="66" t="s">
        <v>15</v>
      </c>
      <c r="V930" s="5"/>
      <c r="W930" s="5"/>
      <c r="X930" s="5"/>
      <c r="Y930" s="5"/>
      <c r="Z930" s="5"/>
      <c r="AA930" s="5"/>
      <c r="AB930" s="5"/>
      <c r="AC930" s="5"/>
      <c r="AD930" s="46"/>
      <c r="AE930" s="1617">
        <v>405864</v>
      </c>
      <c r="AF930" s="1412"/>
      <c r="AG930" s="1412"/>
      <c r="AH930" s="1412"/>
      <c r="AI930" s="1412"/>
      <c r="AJ930" s="1412"/>
      <c r="AK930" s="161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17">
        <f>M930*M932</f>
        <v>2492160</v>
      </c>
      <c r="N931" s="1412"/>
      <c r="O931" s="1412"/>
      <c r="P931" s="1412"/>
      <c r="Q931" s="1412"/>
      <c r="R931" s="1412"/>
      <c r="S931" s="1618"/>
      <c r="U931" s="66" t="s">
        <v>16</v>
      </c>
      <c r="V931" s="5"/>
      <c r="W931" s="5"/>
      <c r="X931" s="5"/>
      <c r="Y931" s="5"/>
      <c r="Z931" s="5"/>
      <c r="AA931" s="5"/>
      <c r="AB931" s="5"/>
      <c r="AC931" s="5"/>
      <c r="AD931" s="46"/>
      <c r="AE931" s="1617">
        <f>AE930*AE932</f>
        <v>8117280</v>
      </c>
      <c r="AF931" s="1412"/>
      <c r="AG931" s="1412"/>
      <c r="AH931" s="1412"/>
      <c r="AI931" s="1412"/>
      <c r="AJ931" s="1412"/>
      <c r="AK931" s="161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1843</v>
      </c>
      <c r="D932" s="5"/>
      <c r="E932" s="5"/>
      <c r="F932" s="5"/>
      <c r="G932" s="5"/>
      <c r="H932" s="5"/>
      <c r="I932" s="5"/>
      <c r="J932" s="5"/>
      <c r="K932" s="5"/>
      <c r="L932" s="46"/>
      <c r="M932" s="1635">
        <v>20</v>
      </c>
      <c r="N932" s="1636"/>
      <c r="O932" s="1636"/>
      <c r="P932" s="1636"/>
      <c r="Q932" s="1636"/>
      <c r="R932" s="1636"/>
      <c r="S932" s="1637"/>
      <c r="U932" s="121" t="s">
        <v>1843</v>
      </c>
      <c r="V932" s="5"/>
      <c r="W932" s="5"/>
      <c r="X932" s="5"/>
      <c r="Y932" s="5"/>
      <c r="Z932" s="5"/>
      <c r="AA932" s="5"/>
      <c r="AB932" s="5"/>
      <c r="AC932" s="5"/>
      <c r="AD932" s="46"/>
      <c r="AE932" s="1635">
        <v>20</v>
      </c>
      <c r="AF932" s="1636"/>
      <c r="AG932" s="1636"/>
      <c r="AH932" s="1636"/>
      <c r="AI932" s="1636"/>
      <c r="AJ932" s="1636"/>
      <c r="AK932" s="163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580</v>
      </c>
      <c r="G937" s="5"/>
      <c r="H937" s="5"/>
      <c r="I937" s="5"/>
      <c r="J937" s="5"/>
      <c r="K937" s="5"/>
      <c r="L937" s="46"/>
      <c r="M937" s="1607">
        <f>AE931</f>
        <v>8117280</v>
      </c>
      <c r="N937" s="1608"/>
      <c r="O937" s="1608"/>
      <c r="P937" s="1608"/>
      <c r="Q937" s="1608"/>
      <c r="R937" s="1608"/>
      <c r="S937" s="1609"/>
      <c r="T937" s="66" t="s">
        <v>814</v>
      </c>
      <c r="U937" s="5"/>
      <c r="V937" s="5"/>
      <c r="W937" s="5"/>
      <c r="X937" s="5"/>
      <c r="Y937" s="5"/>
      <c r="Z937" s="46"/>
      <c r="AA937" s="1607"/>
      <c r="AB937" s="1608"/>
      <c r="AC937" s="1608"/>
      <c r="AD937" s="1608"/>
      <c r="AE937" s="1608"/>
      <c r="AF937" s="1608"/>
      <c r="AG937" s="160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581</v>
      </c>
      <c r="G938" s="5"/>
      <c r="H938" s="5"/>
      <c r="I938" s="5"/>
      <c r="J938" s="5"/>
      <c r="K938" s="5"/>
      <c r="L938" s="46"/>
      <c r="M938" s="1607"/>
      <c r="N938" s="1608"/>
      <c r="O938" s="1608"/>
      <c r="P938" s="1608"/>
      <c r="Q938" s="1608"/>
      <c r="R938" s="1608"/>
      <c r="S938" s="1609"/>
      <c r="T938" s="66" t="s">
        <v>813</v>
      </c>
      <c r="U938" s="5"/>
      <c r="V938" s="5"/>
      <c r="W938" s="5"/>
      <c r="X938" s="5"/>
      <c r="Y938" s="5"/>
      <c r="Z938" s="46"/>
      <c r="AA938" s="1607"/>
      <c r="AB938" s="1608"/>
      <c r="AC938" s="1608"/>
      <c r="AD938" s="1608"/>
      <c r="AE938" s="1608"/>
      <c r="AF938" s="1608"/>
      <c r="AG938" s="160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934</v>
      </c>
      <c r="G939" s="5"/>
      <c r="H939" s="5"/>
      <c r="I939" s="5"/>
      <c r="J939" s="5"/>
      <c r="K939" s="5"/>
      <c r="L939" s="46"/>
      <c r="M939" s="1658" t="s">
        <v>600</v>
      </c>
      <c r="N939" s="1659"/>
      <c r="O939" s="1659"/>
      <c r="P939" s="1659"/>
      <c r="Q939" s="1659"/>
      <c r="R939" s="1659"/>
      <c r="S939" s="1660"/>
      <c r="T939" s="45" t="s">
        <v>338</v>
      </c>
      <c r="U939" s="5"/>
      <c r="V939" s="5"/>
      <c r="W939" s="5"/>
      <c r="X939" s="5"/>
      <c r="Y939" s="5"/>
      <c r="Z939" s="46"/>
      <c r="AA939" s="1607"/>
      <c r="AB939" s="1608"/>
      <c r="AC939" s="1608"/>
      <c r="AD939" s="1608"/>
      <c r="AE939" s="1608"/>
      <c r="AF939" s="1608"/>
      <c r="AG939" s="160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582</v>
      </c>
      <c r="G940" s="5"/>
      <c r="H940" s="5"/>
      <c r="I940" s="5"/>
      <c r="J940" s="5"/>
      <c r="K940" s="5"/>
      <c r="L940" s="46"/>
      <c r="M940" s="1607"/>
      <c r="N940" s="1608"/>
      <c r="O940" s="1608"/>
      <c r="P940" s="1608"/>
      <c r="Q940" s="1608"/>
      <c r="R940" s="1608"/>
      <c r="S940" s="1609"/>
      <c r="T940" s="45" t="s">
        <v>339</v>
      </c>
      <c r="U940" s="5"/>
      <c r="V940" s="5"/>
      <c r="W940" s="5"/>
      <c r="X940" s="5"/>
      <c r="Y940" s="5"/>
      <c r="Z940" s="46"/>
      <c r="AA940" s="1607"/>
      <c r="AB940" s="1608"/>
      <c r="AC940" s="1608"/>
      <c r="AD940" s="1608"/>
      <c r="AE940" s="1608"/>
      <c r="AF940" s="1608"/>
      <c r="AG940" s="160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473</v>
      </c>
      <c r="G941" s="5"/>
      <c r="H941" s="5"/>
      <c r="I941" s="5"/>
      <c r="J941" s="5"/>
      <c r="K941" s="5"/>
      <c r="L941" s="46"/>
      <c r="M941" s="1607"/>
      <c r="N941" s="1608"/>
      <c r="O941" s="1608"/>
      <c r="P941" s="1608"/>
      <c r="Q941" s="1608"/>
      <c r="R941" s="1608"/>
      <c r="S941" s="1609"/>
      <c r="T941" s="45" t="s">
        <v>377</v>
      </c>
      <c r="U941" s="5"/>
      <c r="V941" s="5"/>
      <c r="W941" s="5"/>
      <c r="X941" s="5"/>
      <c r="Y941" s="5"/>
      <c r="Z941" s="46"/>
      <c r="AA941" s="1607"/>
      <c r="AB941" s="1608"/>
      <c r="AC941" s="1608"/>
      <c r="AD941" s="1608"/>
      <c r="AE941" s="1608"/>
      <c r="AF941" s="1608"/>
      <c r="AG941" s="160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909</v>
      </c>
      <c r="G942" s="42"/>
      <c r="H942" s="42"/>
      <c r="I942" s="42"/>
      <c r="J942" s="42"/>
      <c r="K942" s="42"/>
      <c r="L942" s="58"/>
      <c r="M942" s="1645" t="s">
        <v>308</v>
      </c>
      <c r="N942" s="1646"/>
      <c r="O942" s="1646"/>
      <c r="P942" s="1646"/>
      <c r="Q942" s="1646"/>
      <c r="R942" s="1646"/>
      <c r="S942" s="1647"/>
      <c r="T942" s="1624"/>
      <c r="U942" s="1625"/>
      <c r="V942" s="1625"/>
      <c r="W942" s="1625"/>
      <c r="X942" s="1625"/>
      <c r="Y942" s="1625"/>
      <c r="Z942" s="1626"/>
      <c r="AA942" s="1607"/>
      <c r="AB942" s="1608"/>
      <c r="AC942" s="1608"/>
      <c r="AD942" s="1608"/>
      <c r="AE942" s="1608"/>
      <c r="AF942" s="1608"/>
      <c r="AG942" s="160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474</v>
      </c>
      <c r="G943" s="42"/>
      <c r="H943" s="42"/>
      <c r="I943" s="42"/>
      <c r="J943" s="42"/>
      <c r="K943" s="42"/>
      <c r="L943" s="58"/>
      <c r="M943" s="1607"/>
      <c r="N943" s="1608"/>
      <c r="O943" s="1608"/>
      <c r="P943" s="1608"/>
      <c r="Q943" s="1608"/>
      <c r="R943" s="1608"/>
      <c r="S943" s="1609"/>
      <c r="T943" s="1624"/>
      <c r="U943" s="1625"/>
      <c r="V943" s="1625"/>
      <c r="W943" s="1625"/>
      <c r="X943" s="1625"/>
      <c r="Y943" s="1625"/>
      <c r="Z943" s="1626"/>
      <c r="AA943" s="1607"/>
      <c r="AB943" s="1608"/>
      <c r="AC943" s="1608"/>
      <c r="AD943" s="1608"/>
      <c r="AE943" s="1608"/>
      <c r="AF943" s="1608"/>
      <c r="AG943" s="160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337</v>
      </c>
      <c r="G944" s="42"/>
      <c r="H944" s="42"/>
      <c r="I944" s="42"/>
      <c r="J944" s="42"/>
      <c r="K944" s="42"/>
      <c r="L944" s="42"/>
      <c r="M944" s="42"/>
      <c r="N944" s="42"/>
      <c r="O944" s="1336" t="s">
        <v>554</v>
      </c>
      <c r="P944" s="1338"/>
      <c r="Q944" s="92"/>
      <c r="R944" s="92"/>
      <c r="S944" s="93"/>
      <c r="T944" s="41" t="s">
        <v>170</v>
      </c>
      <c r="U944" s="42"/>
      <c r="V944" s="42"/>
      <c r="W944" s="1642" t="s">
        <v>335</v>
      </c>
      <c r="X944" s="1643"/>
      <c r="Y944" s="1643"/>
      <c r="Z944" s="1643"/>
      <c r="AA944" s="1643"/>
      <c r="AB944" s="1643"/>
      <c r="AC944" s="1643"/>
      <c r="AD944" s="1643"/>
      <c r="AE944" s="1643"/>
      <c r="AF944" s="1643"/>
      <c r="AG944" s="164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62" t="s">
        <v>33</v>
      </c>
      <c r="G945" s="1485"/>
      <c r="H945" s="1485"/>
      <c r="I945" s="1485"/>
      <c r="J945" s="1485"/>
      <c r="K945" s="1485"/>
      <c r="L945" s="1485"/>
      <c r="M945" s="1607">
        <v>561816</v>
      </c>
      <c r="N945" s="1608"/>
      <c r="O945" s="1608"/>
      <c r="P945" s="1608"/>
      <c r="Q945" s="1608"/>
      <c r="R945" s="1608"/>
      <c r="S945" s="1609"/>
      <c r="T945" s="47"/>
      <c r="U945" s="48"/>
      <c r="V945" s="48"/>
      <c r="W945" s="48"/>
      <c r="X945" s="48"/>
      <c r="Y945" s="48"/>
      <c r="Z945" s="124" t="s">
        <v>135</v>
      </c>
      <c r="AA945" s="1780"/>
      <c r="AB945" s="1781"/>
      <c r="AC945" s="1781"/>
      <c r="AD945" s="1781"/>
      <c r="AE945" s="1781"/>
      <c r="AF945" s="1781"/>
      <c r="AG945" s="178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786" t="s">
        <v>557</v>
      </c>
      <c r="B949" s="1786"/>
      <c r="C949" s="1786"/>
      <c r="D949" s="1786"/>
      <c r="E949" s="1786"/>
      <c r="F949" s="1786"/>
      <c r="G949" s="1786"/>
      <c r="H949" s="1786"/>
      <c r="I949" s="1786"/>
      <c r="J949" s="1786"/>
      <c r="K949" s="1786"/>
      <c r="L949" s="1786"/>
      <c r="M949" s="1786"/>
      <c r="N949" s="1786"/>
      <c r="O949" s="1786"/>
      <c r="P949" s="1786"/>
      <c r="Q949" s="1786"/>
      <c r="R949" s="1786"/>
      <c r="S949" s="1786"/>
      <c r="T949" s="1786"/>
      <c r="U949" s="1786"/>
      <c r="V949" s="1786"/>
      <c r="W949" s="1786"/>
      <c r="X949" s="1786"/>
      <c r="Y949" s="1786"/>
      <c r="Z949" s="1786"/>
      <c r="AA949" s="1786"/>
      <c r="AB949" s="1786"/>
      <c r="AC949" s="1786"/>
      <c r="AD949" s="1786"/>
      <c r="AE949" s="1786"/>
      <c r="AF949" s="1786"/>
      <c r="AG949" s="1786"/>
      <c r="AH949" s="1786"/>
      <c r="AI949" s="1786"/>
      <c r="AJ949" s="1786"/>
      <c r="AK949" s="1786"/>
      <c r="AL949" s="1786"/>
      <c r="AM949" s="1786"/>
      <c r="AN949" s="1786"/>
      <c r="AO949" s="1786"/>
      <c r="AP949" s="1786"/>
      <c r="AQ949" s="1786"/>
      <c r="AR949" s="1786"/>
      <c r="AS949" s="178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786"/>
      <c r="B950" s="1786"/>
      <c r="C950" s="1786"/>
      <c r="D950" s="1786"/>
      <c r="E950" s="1786"/>
      <c r="F950" s="1786"/>
      <c r="G950" s="1786"/>
      <c r="H950" s="1786"/>
      <c r="I950" s="1786"/>
      <c r="J950" s="1786"/>
      <c r="K950" s="1786"/>
      <c r="L950" s="1786"/>
      <c r="M950" s="1786"/>
      <c r="N950" s="1786"/>
      <c r="O950" s="1786"/>
      <c r="P950" s="1786"/>
      <c r="Q950" s="1786"/>
      <c r="R950" s="1786"/>
      <c r="S950" s="1786"/>
      <c r="T950" s="1786"/>
      <c r="U950" s="1786"/>
      <c r="V950" s="1786"/>
      <c r="W950" s="1786"/>
      <c r="X950" s="1786"/>
      <c r="Y950" s="1786"/>
      <c r="Z950" s="1786"/>
      <c r="AA950" s="1786"/>
      <c r="AB950" s="1786"/>
      <c r="AC950" s="1786"/>
      <c r="AD950" s="1786"/>
      <c r="AE950" s="1786"/>
      <c r="AF950" s="1786"/>
      <c r="AG950" s="1786"/>
      <c r="AH950" s="1786"/>
      <c r="AI950" s="1786"/>
      <c r="AJ950" s="1786"/>
      <c r="AK950" s="1786"/>
      <c r="AL950" s="1786"/>
      <c r="AM950" s="1786"/>
      <c r="AN950" s="1786"/>
      <c r="AO950" s="1786"/>
      <c r="AP950" s="1786"/>
      <c r="AQ950" s="1786"/>
      <c r="AR950" s="1786"/>
      <c r="AS950" s="178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590"/>
      <c r="BH951" s="1590"/>
      <c r="BI951" s="1590"/>
      <c r="BJ951" s="1590"/>
      <c r="BK951" s="1590"/>
      <c r="BL951" s="159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773" t="s">
        <v>647</v>
      </c>
      <c r="E954" s="1774"/>
      <c r="F954" s="1774"/>
      <c r="G954" s="1774"/>
      <c r="H954" s="1774"/>
      <c r="I954" s="1774"/>
      <c r="J954" s="1774"/>
      <c r="K954" s="1774"/>
      <c r="L954" s="1774"/>
      <c r="M954" s="1774"/>
      <c r="N954" s="1774"/>
      <c r="O954" s="1774"/>
      <c r="P954" s="1774"/>
      <c r="Q954" s="1775"/>
      <c r="R954" s="1773" t="s">
        <v>648</v>
      </c>
      <c r="S954" s="1774"/>
      <c r="T954" s="1774"/>
      <c r="U954" s="1774"/>
      <c r="V954" s="1774"/>
      <c r="W954" s="1774"/>
      <c r="X954" s="1774"/>
      <c r="Y954" s="1774"/>
      <c r="Z954" s="1774"/>
      <c r="AA954" s="1775"/>
      <c r="AB954" s="1773" t="s">
        <v>649</v>
      </c>
      <c r="AC954" s="1774"/>
      <c r="AD954" s="1774"/>
      <c r="AE954" s="1774"/>
      <c r="AF954" s="1774"/>
      <c r="AG954" s="1774"/>
      <c r="AH954" s="1774"/>
      <c r="AI954" s="1775"/>
      <c r="AJ954" s="1773" t="s">
        <v>650</v>
      </c>
      <c r="AK954" s="1774"/>
      <c r="AL954" s="1774"/>
      <c r="AM954" s="1774"/>
      <c r="AN954" s="1774"/>
      <c r="AO954" s="1774"/>
      <c r="AP954" s="1774"/>
      <c r="AQ954" s="177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686" t="s">
        <v>642</v>
      </c>
      <c r="E955" s="1687"/>
      <c r="F955" s="1687"/>
      <c r="G955" s="1687"/>
      <c r="H955" s="1687"/>
      <c r="I955" s="1687"/>
      <c r="J955" s="1687"/>
      <c r="K955" s="1687"/>
      <c r="L955" s="1687"/>
      <c r="M955" s="1687"/>
      <c r="N955" s="1687"/>
      <c r="O955" s="1687"/>
      <c r="P955" s="1687"/>
      <c r="Q955" s="1688"/>
      <c r="R955" s="1664">
        <f>IF(ISNA(IF($BN$785="4%",(INDEX($BP$795:$BT$852,MATCH($CB$785,$BO$795:$BO$852,0),MATCH(D955,$BP$794:$BT$794,0))),(INDEX($BW$795:$CA$852,MATCH($CB$785,$BV$795:$BV$852,0),MATCH(D955,$BW$794:$CA$794,0))))),0,IF($BN$785="4%",(INDEX($BP$795:$BT$852,MATCH($CB$785,$BO$795:$BO$852,0),MATCH(D955,$BP$794:$BT$794,0))),(INDEX($BW$795:$CA$852,MATCH($CB$785,$BV$795:$BV$852,0),MATCH(D955,$BW$794:$CA$794,0)))))</f>
        <v>384234</v>
      </c>
      <c r="S955" s="1664"/>
      <c r="T955" s="1664"/>
      <c r="U955" s="1664"/>
      <c r="V955" s="1664"/>
      <c r="W955" s="1664"/>
      <c r="X955" s="1664"/>
      <c r="Y955" s="1664"/>
      <c r="Z955" s="1664"/>
      <c r="AA955" s="1664"/>
      <c r="AB955" s="1776">
        <f>BN649</f>
        <v>59</v>
      </c>
      <c r="AC955" s="1777"/>
      <c r="AD955" s="1777"/>
      <c r="AE955" s="1777"/>
      <c r="AF955" s="1777"/>
      <c r="AG955" s="1777"/>
      <c r="AH955" s="1777"/>
      <c r="AI955" s="1778"/>
      <c r="AJ955" s="1692">
        <f>IF(ISERROR((R955*AB955)),0,(R955*AB955))</f>
        <v>22669806</v>
      </c>
      <c r="AK955" s="1693"/>
      <c r="AL955" s="1693"/>
      <c r="AM955" s="1693"/>
      <c r="AN955" s="1693"/>
      <c r="AO955" s="1693"/>
      <c r="AP955" s="1693"/>
      <c r="AQ955" s="169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686" t="s">
        <v>326</v>
      </c>
      <c r="E956" s="1687"/>
      <c r="F956" s="1687"/>
      <c r="G956" s="1687"/>
      <c r="H956" s="1687"/>
      <c r="I956" s="1687"/>
      <c r="J956" s="1687"/>
      <c r="K956" s="1687"/>
      <c r="L956" s="1687"/>
      <c r="M956" s="1687"/>
      <c r="N956" s="1687"/>
      <c r="O956" s="1687"/>
      <c r="P956" s="1687"/>
      <c r="Q956" s="1688"/>
      <c r="R956" s="1664">
        <f>IF(ISNA(IF($BN$785="4%",(INDEX($BP$795:$BT$852,MATCH($CB$785,$BO$795:$BO$852,0),MATCH(D956,$BP$794:$BT$794,0))),(INDEX($BW$795:$CA$852,MATCH($CB$785,$BV$795:$BV$852,0),MATCH(D956,$BW$794:$CA$794,0))))),0,IF($BN$785="4%",(INDEX($BP$795:$BT$852,MATCH($CB$785,$BO$795:$BO$852,0),MATCH(D956,$BP$794:$BT$794,0))),(INDEX($BW$795:$CA$852,MATCH($CB$785,$BV$795:$BV$852,0),MATCH(D956,$BW$794:$CA$794,0)))))</f>
        <v>443018</v>
      </c>
      <c r="S956" s="1664"/>
      <c r="T956" s="1664"/>
      <c r="U956" s="1664"/>
      <c r="V956" s="1664"/>
      <c r="W956" s="1664"/>
      <c r="X956" s="1664"/>
      <c r="Y956" s="1664"/>
      <c r="Z956" s="1664"/>
      <c r="AA956" s="1664"/>
      <c r="AB956" s="1776">
        <f>BS649</f>
        <v>146</v>
      </c>
      <c r="AC956" s="1777"/>
      <c r="AD956" s="1777"/>
      <c r="AE956" s="1777"/>
      <c r="AF956" s="1777"/>
      <c r="AG956" s="1777"/>
      <c r="AH956" s="1777"/>
      <c r="AI956" s="1778"/>
      <c r="AJ956" s="1692">
        <f>IF(ISERROR((R956*AB956)),0,(R956*AB956))</f>
        <v>64680628</v>
      </c>
      <c r="AK956" s="1693"/>
      <c r="AL956" s="1693"/>
      <c r="AM956" s="1693"/>
      <c r="AN956" s="1693"/>
      <c r="AO956" s="1693"/>
      <c r="AP956" s="1693"/>
      <c r="AQ956" s="169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686" t="s">
        <v>164</v>
      </c>
      <c r="E957" s="1687"/>
      <c r="F957" s="1687"/>
      <c r="G957" s="1687"/>
      <c r="H957" s="1687"/>
      <c r="I957" s="1687"/>
      <c r="J957" s="1687"/>
      <c r="K957" s="1687"/>
      <c r="L957" s="1687"/>
      <c r="M957" s="1687"/>
      <c r="N957" s="1687"/>
      <c r="O957" s="1687"/>
      <c r="P957" s="1687"/>
      <c r="Q957" s="1688"/>
      <c r="R957" s="1664">
        <f>IF(ISNA(IF($BN$785="4%",(INDEX($BP$795:$BT$852,MATCH($CB$785,$BO$795:$BO$852,0),MATCH(D957,$BP$794:$BT$794,0))),(INDEX($BW$795:$CA$852,MATCH($CB$785,$BV$795:$BV$852,0),MATCH(D957,$BW$794:$CA$794,0))))),0,IF($BN$785="4%",(INDEX($BP$795:$BT$852,MATCH($CB$785,$BO$795:$BO$852,0),MATCH(D957,$BP$794:$BT$794,0))),(INDEX($BW$795:$CA$852,MATCH($CB$785,$BV$795:$BV$852,0),MATCH(D957,$BW$794:$CA$794,0)))))</f>
        <v>534400</v>
      </c>
      <c r="S957" s="1664"/>
      <c r="T957" s="1664"/>
      <c r="U957" s="1664"/>
      <c r="V957" s="1664"/>
      <c r="W957" s="1664"/>
      <c r="X957" s="1664"/>
      <c r="Y957" s="1664"/>
      <c r="Z957" s="1664"/>
      <c r="AA957" s="1664"/>
      <c r="AB957" s="1776">
        <f>BX649</f>
        <v>1</v>
      </c>
      <c r="AC957" s="1777"/>
      <c r="AD957" s="1777"/>
      <c r="AE957" s="1777"/>
      <c r="AF957" s="1777"/>
      <c r="AG957" s="1777"/>
      <c r="AH957" s="1777"/>
      <c r="AI957" s="1778"/>
      <c r="AJ957" s="1692">
        <f>IF(ISERROR((R957*AB957)),0,(R957*AB957))</f>
        <v>534400</v>
      </c>
      <c r="AK957" s="1693"/>
      <c r="AL957" s="1693"/>
      <c r="AM957" s="1693"/>
      <c r="AN957" s="1693"/>
      <c r="AO957" s="1693"/>
      <c r="AP957" s="1693"/>
      <c r="AQ957" s="169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686" t="s">
        <v>165</v>
      </c>
      <c r="E958" s="1687"/>
      <c r="F958" s="1687"/>
      <c r="G958" s="1687"/>
      <c r="H958" s="1687"/>
      <c r="I958" s="1687"/>
      <c r="J958" s="1687"/>
      <c r="K958" s="1687"/>
      <c r="L958" s="1687"/>
      <c r="M958" s="1687"/>
      <c r="N958" s="1687"/>
      <c r="O958" s="1687"/>
      <c r="P958" s="1687"/>
      <c r="Q958" s="1688"/>
      <c r="R958" s="1664">
        <f>IF(ISNA(IF($BN$785="4%",(INDEX($BP$795:$BT$852,MATCH($CB$785,$BO$795:$BO$852,0),MATCH(D958,$BP$794:$BT$794,0))),(INDEX($BW$795:$CA$852,MATCH($CB$785,$BV$795:$BV$852,0),MATCH(D958,$BW$794:$CA$794,0))))),0,IF($BN$785="4%",(INDEX($BP$795:$BT$852,MATCH($CB$785,$BO$795:$BO$852,0),MATCH(D958,$BP$794:$BT$794,0))),(INDEX($BW$795:$CA$852,MATCH($CB$785,$BV$795:$BV$852,0),MATCH(D958,$BW$794:$CA$794,0)))))</f>
        <v>684032</v>
      </c>
      <c r="S958" s="1664"/>
      <c r="T958" s="1664"/>
      <c r="U958" s="1664"/>
      <c r="V958" s="1664"/>
      <c r="W958" s="1664"/>
      <c r="X958" s="1664"/>
      <c r="Y958" s="1664"/>
      <c r="Z958" s="1664"/>
      <c r="AA958" s="1664"/>
      <c r="AB958" s="1776">
        <f>CC649</f>
        <v>0</v>
      </c>
      <c r="AC958" s="1777"/>
      <c r="AD958" s="1777"/>
      <c r="AE958" s="1777"/>
      <c r="AF958" s="1777"/>
      <c r="AG958" s="1777"/>
      <c r="AH958" s="1777"/>
      <c r="AI958" s="1778"/>
      <c r="AJ958" s="1692">
        <f>IF(ISERROR((R958*AB958)),0,(R958*AB958))</f>
        <v>0</v>
      </c>
      <c r="AK958" s="1693"/>
      <c r="AL958" s="1693"/>
      <c r="AM958" s="1693"/>
      <c r="AN958" s="1693"/>
      <c r="AO958" s="1693"/>
      <c r="AP958" s="1693"/>
      <c r="AQ958" s="169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686" t="s">
        <v>469</v>
      </c>
      <c r="E959" s="1687"/>
      <c r="F959" s="1687"/>
      <c r="G959" s="1687"/>
      <c r="H959" s="1687"/>
      <c r="I959" s="1687"/>
      <c r="J959" s="1687"/>
      <c r="K959" s="1687"/>
      <c r="L959" s="1687"/>
      <c r="M959" s="1687"/>
      <c r="N959" s="1687"/>
      <c r="O959" s="1687"/>
      <c r="P959" s="1687"/>
      <c r="Q959" s="1688"/>
      <c r="R959" s="1664">
        <f>IF(ISNA(IF($BN$785="4%",(INDEX($BP$795:$BT$852,MATCH($CB$785,$BO$795:$BO$852,0),MATCH(D959,$BP$794:$BT$794,0))),(INDEX($BW$795:$CA$852,MATCH($CB$785,$BV$795:$BV$852,0),MATCH(D959,$BW$794:$CA$794,0))))),0,IF($BN$785="4%",(INDEX($BP$795:$BT$852,MATCH($CB$785,$BO$795:$BO$852,0),MATCH(D959,$BP$794:$BT$794,0))),(INDEX($BW$795:$CA$852,MATCH($CB$785,$BV$795:$BV$852,0),MATCH(D959,$BW$794:$CA$794,0)))))</f>
        <v>762054</v>
      </c>
      <c r="S959" s="1664"/>
      <c r="T959" s="1664"/>
      <c r="U959" s="1664"/>
      <c r="V959" s="1664"/>
      <c r="W959" s="1664"/>
      <c r="X959" s="1664"/>
      <c r="Y959" s="1664"/>
      <c r="Z959" s="1664"/>
      <c r="AA959" s="1664"/>
      <c r="AB959" s="1776">
        <f>CM649+CH649</f>
        <v>0</v>
      </c>
      <c r="AC959" s="1777"/>
      <c r="AD959" s="1777"/>
      <c r="AE959" s="1777"/>
      <c r="AF959" s="1777"/>
      <c r="AG959" s="1777"/>
      <c r="AH959" s="1777"/>
      <c r="AI959" s="1778"/>
      <c r="AJ959" s="1692">
        <f>IF(ISERROR((R959*AB959)),0,(R959*AB959))</f>
        <v>0</v>
      </c>
      <c r="AK959" s="1693"/>
      <c r="AL959" s="1693"/>
      <c r="AM959" s="1693"/>
      <c r="AN959" s="1693"/>
      <c r="AO959" s="1693"/>
      <c r="AP959" s="1693"/>
      <c r="AQ959" s="169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788" t="s">
        <v>815</v>
      </c>
      <c r="C960" s="1789"/>
      <c r="D960" s="1789"/>
      <c r="E960" s="1789"/>
      <c r="F960" s="1789"/>
      <c r="G960" s="1789"/>
      <c r="H960" s="1789"/>
      <c r="I960" s="1789"/>
      <c r="J960" s="1789"/>
      <c r="K960" s="1789"/>
      <c r="L960" s="1789"/>
      <c r="M960" s="1789"/>
      <c r="N960" s="1789"/>
      <c r="O960" s="1789"/>
      <c r="P960" s="1789"/>
      <c r="Q960" s="1789"/>
      <c r="R960" s="1789"/>
      <c r="S960" s="1789"/>
      <c r="T960" s="1789"/>
      <c r="U960" s="1789"/>
      <c r="V960" s="1789"/>
      <c r="W960" s="1789"/>
      <c r="X960" s="1789"/>
      <c r="Y960" s="1789"/>
      <c r="Z960" s="1789"/>
      <c r="AA960" s="1790"/>
      <c r="AB960" s="1776">
        <f>SUM(AB955:AI959)</f>
        <v>206</v>
      </c>
      <c r="AC960" s="1777"/>
      <c r="AD960" s="1777"/>
      <c r="AE960" s="1777"/>
      <c r="AF960" s="1777"/>
      <c r="AG960" s="1777"/>
      <c r="AH960" s="1777"/>
      <c r="AI960" s="1778"/>
      <c r="AJ960" s="1692"/>
      <c r="AK960" s="1693"/>
      <c r="AL960" s="1693"/>
      <c r="AM960" s="1693"/>
      <c r="AN960" s="1693"/>
      <c r="AO960" s="1693"/>
      <c r="AP960" s="1693"/>
      <c r="AQ960" s="169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806" t="s">
        <v>521</v>
      </c>
      <c r="C961" s="1807"/>
      <c r="D961" s="1807"/>
      <c r="E961" s="1807"/>
      <c r="F961" s="1807"/>
      <c r="G961" s="1807"/>
      <c r="H961" s="1807"/>
      <c r="I961" s="1807"/>
      <c r="J961" s="1807"/>
      <c r="K961" s="1807"/>
      <c r="L961" s="1807"/>
      <c r="M961" s="1807"/>
      <c r="N961" s="1807"/>
      <c r="O961" s="1807"/>
      <c r="P961" s="1807"/>
      <c r="Q961" s="1807"/>
      <c r="R961" s="1807"/>
      <c r="S961" s="1807"/>
      <c r="T961" s="1807"/>
      <c r="U961" s="1807"/>
      <c r="V961" s="1807"/>
      <c r="W961" s="1807"/>
      <c r="X961" s="1807"/>
      <c r="Y961" s="1807"/>
      <c r="Z961" s="1807"/>
      <c r="AA961" s="1807"/>
      <c r="AB961" s="1807"/>
      <c r="AC961" s="1807"/>
      <c r="AD961" s="1807"/>
      <c r="AE961" s="1807"/>
      <c r="AF961" s="1807"/>
      <c r="AG961" s="1807"/>
      <c r="AH961" s="1807"/>
      <c r="AI961" s="1808"/>
      <c r="AJ961" s="1692">
        <f>SUM(AJ955:AQ959)</f>
        <v>87884834</v>
      </c>
      <c r="AK961" s="1693"/>
      <c r="AL961" s="1693"/>
      <c r="AM961" s="1693"/>
      <c r="AN961" s="1693"/>
      <c r="AO961" s="1693"/>
      <c r="AP961" s="1693"/>
      <c r="AQ961" s="169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767"/>
      <c r="C962" s="1768"/>
      <c r="D962" s="1768"/>
      <c r="E962" s="1768"/>
      <c r="F962" s="1768"/>
      <c r="G962" s="1768"/>
      <c r="H962" s="1768"/>
      <c r="I962" s="1768"/>
      <c r="J962" s="1768"/>
      <c r="K962" s="1768"/>
      <c r="L962" s="1768"/>
      <c r="M962" s="1768"/>
      <c r="N962" s="1768"/>
      <c r="O962" s="1768"/>
      <c r="P962" s="1768"/>
      <c r="Q962" s="1768"/>
      <c r="R962" s="1768"/>
      <c r="S962" s="1768"/>
      <c r="T962" s="1768"/>
      <c r="U962" s="1768"/>
      <c r="V962" s="1768"/>
      <c r="W962" s="1768"/>
      <c r="X962" s="1768"/>
      <c r="Y962" s="1768"/>
      <c r="Z962" s="1768"/>
      <c r="AA962" s="1768"/>
      <c r="AB962" s="1768"/>
      <c r="AC962" s="1768"/>
      <c r="AD962" s="1768"/>
      <c r="AE962" s="1769"/>
      <c r="AF962" s="1809" t="s">
        <v>675</v>
      </c>
      <c r="AG962" s="1810"/>
      <c r="AH962" s="1810"/>
      <c r="AI962" s="1811"/>
      <c r="AJ962" s="1767"/>
      <c r="AK962" s="1768"/>
      <c r="AL962" s="1768"/>
      <c r="AM962" s="1768"/>
      <c r="AN962" s="1768"/>
      <c r="AO962" s="1768"/>
      <c r="AP962" s="1768"/>
      <c r="AQ962" s="176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677</v>
      </c>
      <c r="D963" s="1770" t="s">
        <v>1364</v>
      </c>
      <c r="E963" s="1771"/>
      <c r="F963" s="1771"/>
      <c r="G963" s="1771"/>
      <c r="H963" s="1771"/>
      <c r="I963" s="1771"/>
      <c r="J963" s="1771"/>
      <c r="K963" s="1771"/>
      <c r="L963" s="1771"/>
      <c r="M963" s="1771"/>
      <c r="N963" s="1771"/>
      <c r="O963" s="1771"/>
      <c r="P963" s="1771"/>
      <c r="Q963" s="1771"/>
      <c r="R963" s="1771"/>
      <c r="S963" s="1771"/>
      <c r="T963" s="1771"/>
      <c r="U963" s="1771"/>
      <c r="V963" s="1771"/>
      <c r="W963" s="1771"/>
      <c r="X963" s="1771"/>
      <c r="Y963" s="1771"/>
      <c r="Z963" s="1771"/>
      <c r="AA963" s="1771"/>
      <c r="AB963" s="1771"/>
      <c r="AC963" s="1771"/>
      <c r="AD963" s="1771"/>
      <c r="AE963" s="1772"/>
      <c r="AF963" s="79"/>
      <c r="AG963" s="1812" t="s">
        <v>678</v>
      </c>
      <c r="AH963" s="1813"/>
      <c r="AI963" s="87"/>
      <c r="AJ963" s="1750">
        <f>ROUND(IF(AND(AG963="yes",D965&gt;0),AJ961*0.2,0),0)</f>
        <v>0</v>
      </c>
      <c r="AK963" s="1751"/>
      <c r="AL963" s="1751"/>
      <c r="AM963" s="1751"/>
      <c r="AN963" s="1751"/>
      <c r="AO963" s="1751"/>
      <c r="AP963" s="1751"/>
      <c r="AQ963" s="175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791" t="s">
        <v>1365</v>
      </c>
      <c r="E964" s="1792"/>
      <c r="F964" s="1792"/>
      <c r="G964" s="1792"/>
      <c r="H964" s="1792"/>
      <c r="I964" s="1792"/>
      <c r="J964" s="1792"/>
      <c r="K964" s="1792"/>
      <c r="L964" s="1792"/>
      <c r="M964" s="1792"/>
      <c r="N964" s="1792"/>
      <c r="O964" s="1792"/>
      <c r="P964" s="1792"/>
      <c r="Q964" s="1792"/>
      <c r="R964" s="1792"/>
      <c r="S964" s="1792"/>
      <c r="T964" s="1792"/>
      <c r="U964" s="1792"/>
      <c r="V964" s="1792"/>
      <c r="W964" s="1792"/>
      <c r="X964" s="1792"/>
      <c r="Y964" s="1792"/>
      <c r="Z964" s="1792"/>
      <c r="AA964" s="1792"/>
      <c r="AB964" s="1792"/>
      <c r="AC964" s="1792"/>
      <c r="AD964" s="1792"/>
      <c r="AE964" s="1793"/>
      <c r="AF964" s="73"/>
      <c r="AG964" s="14"/>
      <c r="AH964" s="14"/>
      <c r="AI964" s="83"/>
      <c r="AJ964" s="1753"/>
      <c r="AK964" s="1754"/>
      <c r="AL964" s="1754"/>
      <c r="AM964" s="1754"/>
      <c r="AN964" s="1754"/>
      <c r="AO964" s="1754"/>
      <c r="AP964" s="1754"/>
      <c r="AQ964" s="175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794"/>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c r="AA965" s="1795"/>
      <c r="AB965" s="1795"/>
      <c r="AC965" s="1795"/>
      <c r="AD965" s="1795"/>
      <c r="AE965" s="1796"/>
      <c r="AF965" s="77"/>
      <c r="AG965" s="7"/>
      <c r="AH965" s="7"/>
      <c r="AI965" s="78"/>
      <c r="AJ965" s="1756"/>
      <c r="AK965" s="1757"/>
      <c r="AL965" s="1757"/>
      <c r="AM965" s="1757"/>
      <c r="AN965" s="1757"/>
      <c r="AO965" s="1757"/>
      <c r="AP965" s="1757"/>
      <c r="AQ965" s="175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31" t="s">
        <v>1451</v>
      </c>
      <c r="E966" s="1732"/>
      <c r="F966" s="1732"/>
      <c r="G966" s="1732"/>
      <c r="H966" s="1732"/>
      <c r="I966" s="1732"/>
      <c r="J966" s="1732"/>
      <c r="K966" s="1732"/>
      <c r="L966" s="1732"/>
      <c r="M966" s="1732"/>
      <c r="N966" s="1732"/>
      <c r="O966" s="1732"/>
      <c r="P966" s="1732"/>
      <c r="Q966" s="1732"/>
      <c r="R966" s="1732"/>
      <c r="S966" s="1732"/>
      <c r="T966" s="1732"/>
      <c r="U966" s="1732"/>
      <c r="V966" s="1732"/>
      <c r="W966" s="1732"/>
      <c r="X966" s="1732"/>
      <c r="Y966" s="1732"/>
      <c r="Z966" s="1732"/>
      <c r="AA966" s="1732"/>
      <c r="AB966" s="1732"/>
      <c r="AC966" s="1732"/>
      <c r="AD966" s="1732"/>
      <c r="AE966" s="1733"/>
      <c r="AF966" s="79"/>
      <c r="AG966" s="1743" t="s">
        <v>678</v>
      </c>
      <c r="AH966" s="1744"/>
      <c r="AI966" s="87"/>
      <c r="AJ966" s="1750">
        <f>ROUND(IF(AG966="yes",AJ961*0.05,0),0)</f>
        <v>0</v>
      </c>
      <c r="AK966" s="1751"/>
      <c r="AL966" s="1751"/>
      <c r="AM966" s="1751"/>
      <c r="AN966" s="1751"/>
      <c r="AO966" s="1751"/>
      <c r="AP966" s="1751"/>
      <c r="AQ966" s="175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791" t="s">
        <v>1449</v>
      </c>
      <c r="E967" s="1792"/>
      <c r="F967" s="1792"/>
      <c r="G967" s="1792"/>
      <c r="H967" s="1792"/>
      <c r="I967" s="1792"/>
      <c r="J967" s="1792"/>
      <c r="K967" s="1792"/>
      <c r="L967" s="1792"/>
      <c r="M967" s="1792"/>
      <c r="N967" s="1792"/>
      <c r="O967" s="1792"/>
      <c r="P967" s="1792"/>
      <c r="Q967" s="1792"/>
      <c r="R967" s="1792"/>
      <c r="S967" s="1792"/>
      <c r="T967" s="1792"/>
      <c r="U967" s="1792"/>
      <c r="V967" s="1792"/>
      <c r="W967" s="1792"/>
      <c r="X967" s="1792"/>
      <c r="Y967" s="1792"/>
      <c r="Z967" s="1792"/>
      <c r="AA967" s="1792"/>
      <c r="AB967" s="1792"/>
      <c r="AC967" s="1792"/>
      <c r="AD967" s="1792"/>
      <c r="AE967" s="1793"/>
      <c r="AF967" s="73"/>
      <c r="AG967" s="14"/>
      <c r="AH967" s="14"/>
      <c r="AI967" s="83"/>
      <c r="AJ967" s="1753"/>
      <c r="AK967" s="1754"/>
      <c r="AL967" s="1754"/>
      <c r="AM967" s="1754"/>
      <c r="AN967" s="1754"/>
      <c r="AO967" s="1754"/>
      <c r="AP967" s="1754"/>
      <c r="AQ967" s="175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791"/>
      <c r="E968" s="1792"/>
      <c r="F968" s="1792"/>
      <c r="G968" s="1792"/>
      <c r="H968" s="1792"/>
      <c r="I968" s="1792"/>
      <c r="J968" s="1792"/>
      <c r="K968" s="1792"/>
      <c r="L968" s="1792"/>
      <c r="M968" s="1792"/>
      <c r="N968" s="1792"/>
      <c r="O968" s="1792"/>
      <c r="P968" s="1792"/>
      <c r="Q968" s="1792"/>
      <c r="R968" s="1792"/>
      <c r="S968" s="1792"/>
      <c r="T968" s="1792"/>
      <c r="U968" s="1792"/>
      <c r="V968" s="1792"/>
      <c r="W968" s="1792"/>
      <c r="X968" s="1792"/>
      <c r="Y968" s="1792"/>
      <c r="Z968" s="1792"/>
      <c r="AA968" s="1792"/>
      <c r="AB968" s="1792"/>
      <c r="AC968" s="1792"/>
      <c r="AD968" s="1792"/>
      <c r="AE968" s="1793"/>
      <c r="AF968" s="73"/>
      <c r="AG968" s="14"/>
      <c r="AH968" s="14"/>
      <c r="AI968" s="83"/>
      <c r="AJ968" s="1753"/>
      <c r="AK968" s="1754"/>
      <c r="AL968" s="1754"/>
      <c r="AM968" s="1754"/>
      <c r="AN968" s="1754"/>
      <c r="AO968" s="1754"/>
      <c r="AP968" s="1754"/>
      <c r="AQ968" s="175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791"/>
      <c r="E969" s="1792"/>
      <c r="F969" s="1792"/>
      <c r="G969" s="1792"/>
      <c r="H969" s="1792"/>
      <c r="I969" s="1792"/>
      <c r="J969" s="1792"/>
      <c r="K969" s="1792"/>
      <c r="L969" s="1792"/>
      <c r="M969" s="1792"/>
      <c r="N969" s="1792"/>
      <c r="O969" s="1792"/>
      <c r="P969" s="1792"/>
      <c r="Q969" s="1792"/>
      <c r="R969" s="1792"/>
      <c r="S969" s="1792"/>
      <c r="T969" s="1792"/>
      <c r="U969" s="1792"/>
      <c r="V969" s="1792"/>
      <c r="W969" s="1792"/>
      <c r="X969" s="1792"/>
      <c r="Y969" s="1792"/>
      <c r="Z969" s="1792"/>
      <c r="AA969" s="1792"/>
      <c r="AB969" s="1792"/>
      <c r="AC969" s="1792"/>
      <c r="AD969" s="1792"/>
      <c r="AE969" s="1793"/>
      <c r="AF969" s="73"/>
      <c r="AG969" s="14"/>
      <c r="AH969" s="14"/>
      <c r="AI969" s="83"/>
      <c r="AJ969" s="1753"/>
      <c r="AK969" s="1754"/>
      <c r="AL969" s="1754"/>
      <c r="AM969" s="1754"/>
      <c r="AN969" s="1754"/>
      <c r="AO969" s="1754"/>
      <c r="AP969" s="1754"/>
      <c r="AQ969" s="175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791"/>
      <c r="E970" s="1792"/>
      <c r="F970" s="1792"/>
      <c r="G970" s="1792"/>
      <c r="H970" s="1792"/>
      <c r="I970" s="1792"/>
      <c r="J970" s="1792"/>
      <c r="K970" s="1792"/>
      <c r="L970" s="1792"/>
      <c r="M970" s="1792"/>
      <c r="N970" s="1792"/>
      <c r="O970" s="1792"/>
      <c r="P970" s="1792"/>
      <c r="Q970" s="1792"/>
      <c r="R970" s="1792"/>
      <c r="S970" s="1792"/>
      <c r="T970" s="1792"/>
      <c r="U970" s="1792"/>
      <c r="V970" s="1792"/>
      <c r="W970" s="1792"/>
      <c r="X970" s="1792"/>
      <c r="Y970" s="1792"/>
      <c r="Z970" s="1792"/>
      <c r="AA970" s="1792"/>
      <c r="AB970" s="1792"/>
      <c r="AC970" s="1792"/>
      <c r="AD970" s="1792"/>
      <c r="AE970" s="1793"/>
      <c r="AF970" s="73"/>
      <c r="AG970" s="14"/>
      <c r="AH970" s="14"/>
      <c r="AI970" s="83"/>
      <c r="AJ970" s="1753"/>
      <c r="AK970" s="1754"/>
      <c r="AL970" s="1754"/>
      <c r="AM970" s="1754"/>
      <c r="AN970" s="1754"/>
      <c r="AO970" s="1754"/>
      <c r="AP970" s="1754"/>
      <c r="AQ970" s="175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797"/>
      <c r="E971" s="1798"/>
      <c r="F971" s="1798"/>
      <c r="G971" s="1798"/>
      <c r="H971" s="1798"/>
      <c r="I971" s="1798"/>
      <c r="J971" s="1798"/>
      <c r="K971" s="1798"/>
      <c r="L971" s="1798"/>
      <c r="M971" s="1798"/>
      <c r="N971" s="1798"/>
      <c r="O971" s="1798"/>
      <c r="P971" s="1798"/>
      <c r="Q971" s="1798"/>
      <c r="R971" s="1798"/>
      <c r="S971" s="1798"/>
      <c r="T971" s="1798"/>
      <c r="U971" s="1798"/>
      <c r="V971" s="1798"/>
      <c r="W971" s="1798"/>
      <c r="X971" s="1798"/>
      <c r="Y971" s="1798"/>
      <c r="Z971" s="1798"/>
      <c r="AA971" s="1798"/>
      <c r="AB971" s="1798"/>
      <c r="AC971" s="1798"/>
      <c r="AD971" s="1798"/>
      <c r="AE971" s="1799"/>
      <c r="AF971" s="77"/>
      <c r="AG971" s="7"/>
      <c r="AH971" s="7"/>
      <c r="AI971" s="78"/>
      <c r="AJ971" s="1756"/>
      <c r="AK971" s="1757"/>
      <c r="AL971" s="1757"/>
      <c r="AM971" s="1757"/>
      <c r="AN971" s="1757"/>
      <c r="AO971" s="1757"/>
      <c r="AP971" s="1757"/>
      <c r="AQ971" s="175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681</v>
      </c>
      <c r="D972" s="1731" t="s">
        <v>1944</v>
      </c>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c r="AA972" s="1732"/>
      <c r="AB972" s="1732"/>
      <c r="AC972" s="1732"/>
      <c r="AD972" s="1732"/>
      <c r="AE972" s="1733"/>
      <c r="AF972" s="86"/>
      <c r="AG972" s="1743" t="s">
        <v>678</v>
      </c>
      <c r="AH972" s="1744"/>
      <c r="AI972" s="87"/>
      <c r="AJ972" s="1750">
        <f>ROUND(IF(AG972="yes",AJ961*0.1,0),0)</f>
        <v>0</v>
      </c>
      <c r="AK972" s="1751"/>
      <c r="AL972" s="1751"/>
      <c r="AM972" s="1751"/>
      <c r="AN972" s="1751"/>
      <c r="AO972" s="1751"/>
      <c r="AP972" s="1751"/>
      <c r="AQ972" s="175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34" t="s">
        <v>1450</v>
      </c>
      <c r="E973" s="1735"/>
      <c r="F973" s="1735"/>
      <c r="G973" s="1735"/>
      <c r="H973" s="1735"/>
      <c r="I973" s="1735"/>
      <c r="J973" s="1735"/>
      <c r="K973" s="1735"/>
      <c r="L973" s="1735"/>
      <c r="M973" s="1735"/>
      <c r="N973" s="1735"/>
      <c r="O973" s="1735"/>
      <c r="P973" s="1735"/>
      <c r="Q973" s="1735"/>
      <c r="R973" s="1735"/>
      <c r="S973" s="1735"/>
      <c r="T973" s="1735"/>
      <c r="U973" s="1735"/>
      <c r="V973" s="1735"/>
      <c r="W973" s="1735"/>
      <c r="X973" s="1735"/>
      <c r="Y973" s="1735"/>
      <c r="Z973" s="1735"/>
      <c r="AA973" s="1735"/>
      <c r="AB973" s="1735"/>
      <c r="AC973" s="1735"/>
      <c r="AD973" s="1735"/>
      <c r="AE973" s="1736"/>
      <c r="AF973" s="73"/>
      <c r="AI973" s="83"/>
      <c r="AJ973" s="1753"/>
      <c r="AK973" s="1754"/>
      <c r="AL973" s="1754"/>
      <c r="AM973" s="1754"/>
      <c r="AN973" s="1754"/>
      <c r="AO973" s="1754"/>
      <c r="AP973" s="1754"/>
      <c r="AQ973" s="1755"/>
      <c r="AR973" s="68"/>
      <c r="AS973" s="68"/>
      <c r="AT973" s="68"/>
      <c r="AU973" s="68"/>
      <c r="AV973" s="68"/>
      <c r="AW973" s="68"/>
      <c r="AX973" s="68"/>
      <c r="AY973" s="68"/>
      <c r="AZ973" s="34"/>
      <c r="BA973" s="951">
        <f>G739+O782</f>
        <v>204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34"/>
      <c r="E974" s="1735"/>
      <c r="F974" s="1735"/>
      <c r="G974" s="1735"/>
      <c r="H974" s="1735"/>
      <c r="I974" s="1735"/>
      <c r="J974" s="1735"/>
      <c r="K974" s="1735"/>
      <c r="L974" s="1735"/>
      <c r="M974" s="1735"/>
      <c r="N974" s="1735"/>
      <c r="O974" s="1735"/>
      <c r="P974" s="1735"/>
      <c r="Q974" s="1735"/>
      <c r="R974" s="1735"/>
      <c r="S974" s="1735"/>
      <c r="T974" s="1735"/>
      <c r="U974" s="1735"/>
      <c r="V974" s="1735"/>
      <c r="W974" s="1735"/>
      <c r="X974" s="1735"/>
      <c r="Y974" s="1735"/>
      <c r="Z974" s="1735"/>
      <c r="AA974" s="1735"/>
      <c r="AB974" s="1735"/>
      <c r="AC974" s="1735"/>
      <c r="AD974" s="1735"/>
      <c r="AE974" s="1736"/>
      <c r="AF974" s="73"/>
      <c r="AG974" s="14"/>
      <c r="AH974" s="14"/>
      <c r="AI974" s="83"/>
      <c r="AJ974" s="1753"/>
      <c r="AK974" s="1754"/>
      <c r="AL974" s="1754"/>
      <c r="AM974" s="1754"/>
      <c r="AN974" s="1754"/>
      <c r="AO974" s="1754"/>
      <c r="AP974" s="1754"/>
      <c r="AQ974" s="175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47"/>
      <c r="E975" s="1748"/>
      <c r="F975" s="1748"/>
      <c r="G975" s="1748"/>
      <c r="H975" s="1748"/>
      <c r="I975" s="1748"/>
      <c r="J975" s="1748"/>
      <c r="K975" s="1748"/>
      <c r="L975" s="1748"/>
      <c r="M975" s="1748"/>
      <c r="N975" s="1748"/>
      <c r="O975" s="1748"/>
      <c r="P975" s="1748"/>
      <c r="Q975" s="1748"/>
      <c r="R975" s="1748"/>
      <c r="S975" s="1748"/>
      <c r="T975" s="1748"/>
      <c r="U975" s="1748"/>
      <c r="V975" s="1748"/>
      <c r="W975" s="1748"/>
      <c r="X975" s="1748"/>
      <c r="Y975" s="1748"/>
      <c r="Z975" s="1748"/>
      <c r="AA975" s="1748"/>
      <c r="AB975" s="1748"/>
      <c r="AC975" s="1748"/>
      <c r="AD975" s="1748"/>
      <c r="AE975" s="1749"/>
      <c r="AF975" s="77"/>
      <c r="AG975" s="7"/>
      <c r="AH975" s="7"/>
      <c r="AI975" s="78"/>
      <c r="AJ975" s="1756"/>
      <c r="AK975" s="1757"/>
      <c r="AL975" s="1757"/>
      <c r="AM975" s="1757"/>
      <c r="AN975" s="1757"/>
      <c r="AO975" s="1757"/>
      <c r="AP975" s="1757"/>
      <c r="AQ975" s="1758"/>
      <c r="AR975" s="68"/>
      <c r="AS975" s="68"/>
      <c r="AT975" s="68"/>
      <c r="AU975" s="68"/>
      <c r="AV975" s="68"/>
      <c r="AW975" s="68"/>
      <c r="AX975" s="68"/>
      <c r="AY975" s="68"/>
      <c r="AZ975" s="34"/>
      <c r="BA975" s="950">
        <f>ROUNDDOWN(X1013/I1013,2)</f>
        <v>0.03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213</v>
      </c>
      <c r="D976" s="1731" t="s">
        <v>1452</v>
      </c>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c r="AA976" s="1732"/>
      <c r="AB976" s="1732"/>
      <c r="AC976" s="1732"/>
      <c r="AD976" s="1732"/>
      <c r="AE976" s="1733"/>
      <c r="AF976" s="79"/>
      <c r="AG976" s="1743" t="s">
        <v>678</v>
      </c>
      <c r="AH976" s="1744"/>
      <c r="AI976" s="87"/>
      <c r="AJ976" s="1750">
        <f>ROUND(IF(AG976="yes",AJ961*0.02,0),0)</f>
        <v>0</v>
      </c>
      <c r="AK976" s="1751"/>
      <c r="AL976" s="1751"/>
      <c r="AM976" s="1751"/>
      <c r="AN976" s="1751"/>
      <c r="AO976" s="1751"/>
      <c r="AP976" s="1751"/>
      <c r="AQ976" s="1752"/>
      <c r="AR976" s="68"/>
      <c r="AS976" s="68"/>
      <c r="AT976" s="68"/>
      <c r="AU976" s="68"/>
      <c r="AV976" s="68"/>
      <c r="AW976" s="68"/>
      <c r="AX976" s="68"/>
      <c r="AY976" s="68"/>
      <c r="AZ976" s="34"/>
      <c r="BA976" s="950">
        <f>ROUNDDOWN(X1017/I1017,2)</f>
        <v>0.14000000000000001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47" t="s">
        <v>1453</v>
      </c>
      <c r="E977" s="1748"/>
      <c r="F977" s="1748"/>
      <c r="G977" s="1748"/>
      <c r="H977" s="1748"/>
      <c r="I977" s="1748"/>
      <c r="J977" s="1748"/>
      <c r="K977" s="1748"/>
      <c r="L977" s="1748"/>
      <c r="M977" s="1748"/>
      <c r="N977" s="1748"/>
      <c r="O977" s="1748"/>
      <c r="P977" s="1748"/>
      <c r="Q977" s="1748"/>
      <c r="R977" s="1748"/>
      <c r="S977" s="1748"/>
      <c r="T977" s="1748"/>
      <c r="U977" s="1748"/>
      <c r="V977" s="1748"/>
      <c r="W977" s="1748"/>
      <c r="X977" s="1748"/>
      <c r="Y977" s="1748"/>
      <c r="Z977" s="1748"/>
      <c r="AA977" s="1748"/>
      <c r="AB977" s="1748"/>
      <c r="AC977" s="1748"/>
      <c r="AD977" s="1748"/>
      <c r="AE977" s="1749"/>
      <c r="AF977" s="77"/>
      <c r="AG977" s="7"/>
      <c r="AH977" s="7"/>
      <c r="AI977" s="78"/>
      <c r="AJ977" s="1756"/>
      <c r="AK977" s="1757"/>
      <c r="AL977" s="1757"/>
      <c r="AM977" s="1757"/>
      <c r="AN977" s="1757"/>
      <c r="AO977" s="1757"/>
      <c r="AP977" s="1757"/>
      <c r="AQ977" s="1758"/>
      <c r="AR977" s="68"/>
      <c r="AS977" s="68"/>
      <c r="AT977" s="68"/>
      <c r="AU977" s="68"/>
      <c r="AV977" s="68"/>
      <c r="AW977" s="68"/>
      <c r="AX977" s="68"/>
      <c r="AY977" s="68"/>
      <c r="BB977" s="34"/>
      <c r="BC977" s="34"/>
      <c r="BD977" s="34"/>
      <c r="BE977" s="34"/>
      <c r="BF977" s="34"/>
    </row>
    <row r="978" spans="1:58" ht="13.05" customHeight="1">
      <c r="A978" s="14"/>
      <c r="B978" s="79"/>
      <c r="C978" s="80" t="s">
        <v>216</v>
      </c>
      <c r="D978" s="1731" t="s">
        <v>1454</v>
      </c>
      <c r="E978" s="1732"/>
      <c r="F978" s="1732"/>
      <c r="G978" s="1732"/>
      <c r="H978" s="1732"/>
      <c r="I978" s="1732"/>
      <c r="J978" s="1732"/>
      <c r="K978" s="1732"/>
      <c r="L978" s="1732"/>
      <c r="M978" s="1732"/>
      <c r="N978" s="1732"/>
      <c r="O978" s="1732"/>
      <c r="P978" s="1732"/>
      <c r="Q978" s="1732"/>
      <c r="R978" s="1732"/>
      <c r="S978" s="1732"/>
      <c r="T978" s="1732"/>
      <c r="U978" s="1732"/>
      <c r="V978" s="1732"/>
      <c r="W978" s="1732"/>
      <c r="X978" s="1732"/>
      <c r="Y978" s="1732"/>
      <c r="Z978" s="1732"/>
      <c r="AA978" s="1732"/>
      <c r="AB978" s="1732"/>
      <c r="AC978" s="1732"/>
      <c r="AD978" s="1732"/>
      <c r="AE978" s="1733"/>
      <c r="AF978" s="79"/>
      <c r="AG978" s="1743" t="s">
        <v>678</v>
      </c>
      <c r="AH978" s="1744"/>
      <c r="AI978" s="79"/>
      <c r="AJ978" s="1750">
        <f>ROUND(IF(AG978="yes",AJ961*0.02,0),0)</f>
        <v>0</v>
      </c>
      <c r="AK978" s="1751"/>
      <c r="AL978" s="1751"/>
      <c r="AM978" s="1751"/>
      <c r="AN978" s="1751"/>
      <c r="AO978" s="1751"/>
      <c r="AP978" s="1751"/>
      <c r="AQ978" s="1752"/>
      <c r="AR978" s="68"/>
      <c r="AS978" s="68"/>
      <c r="AT978" s="68"/>
      <c r="AU978" s="68"/>
      <c r="AV978" s="68"/>
      <c r="AW978" s="68"/>
      <c r="AX978" s="68"/>
      <c r="AY978" s="68"/>
    </row>
    <row r="979" spans="1:58" ht="13.05" customHeight="1">
      <c r="A979" s="14"/>
      <c r="B979" s="73"/>
      <c r="C979" s="74"/>
      <c r="D979" s="1734" t="s">
        <v>1455</v>
      </c>
      <c r="E979" s="1735"/>
      <c r="F979" s="1735"/>
      <c r="G979" s="1735"/>
      <c r="H979" s="1735"/>
      <c r="I979" s="1735"/>
      <c r="J979" s="1735"/>
      <c r="K979" s="1735"/>
      <c r="L979" s="1735"/>
      <c r="M979" s="1735"/>
      <c r="N979" s="1735"/>
      <c r="O979" s="1735"/>
      <c r="P979" s="1735"/>
      <c r="Q979" s="1735"/>
      <c r="R979" s="1735"/>
      <c r="S979" s="1735"/>
      <c r="T979" s="1735"/>
      <c r="U979" s="1735"/>
      <c r="V979" s="1735"/>
      <c r="W979" s="1735"/>
      <c r="X979" s="1735"/>
      <c r="Y979" s="1735"/>
      <c r="Z979" s="1735"/>
      <c r="AA979" s="1735"/>
      <c r="AB979" s="1735"/>
      <c r="AC979" s="1735"/>
      <c r="AD979" s="1735"/>
      <c r="AE979" s="1736"/>
      <c r="AF979" s="73"/>
      <c r="AI979" s="14"/>
      <c r="AJ979" s="1753"/>
      <c r="AK979" s="1754"/>
      <c r="AL979" s="1754"/>
      <c r="AM979" s="1754"/>
      <c r="AN979" s="1754"/>
      <c r="AO979" s="1754"/>
      <c r="AP979" s="1754"/>
      <c r="AQ979" s="1755"/>
      <c r="AR979" s="68"/>
      <c r="AS979" s="68"/>
      <c r="AT979" s="68"/>
      <c r="AU979" s="68"/>
      <c r="AV979" s="68"/>
      <c r="AW979" s="68"/>
      <c r="AX979" s="68"/>
      <c r="AY979" s="68"/>
    </row>
    <row r="980" spans="1:58" ht="13.05" customHeight="1">
      <c r="A980" s="14"/>
      <c r="B980" s="75"/>
      <c r="C980" s="76"/>
      <c r="D980" s="1747"/>
      <c r="E980" s="1748"/>
      <c r="F980" s="1748"/>
      <c r="G980" s="1748"/>
      <c r="H980" s="1748"/>
      <c r="I980" s="1748"/>
      <c r="J980" s="1748"/>
      <c r="K980" s="1748"/>
      <c r="L980" s="1748"/>
      <c r="M980" s="1748"/>
      <c r="N980" s="1748"/>
      <c r="O980" s="1748"/>
      <c r="P980" s="1748"/>
      <c r="Q980" s="1748"/>
      <c r="R980" s="1748"/>
      <c r="S980" s="1748"/>
      <c r="T980" s="1748"/>
      <c r="U980" s="1748"/>
      <c r="V980" s="1748"/>
      <c r="W980" s="1748"/>
      <c r="X980" s="1748"/>
      <c r="Y980" s="1748"/>
      <c r="Z980" s="1748"/>
      <c r="AA980" s="1748"/>
      <c r="AB980" s="1748"/>
      <c r="AC980" s="1748"/>
      <c r="AD980" s="1748"/>
      <c r="AE980" s="1749"/>
      <c r="AF980" s="77"/>
      <c r="AG980" s="7"/>
      <c r="AH980" s="7"/>
      <c r="AI980" s="78"/>
      <c r="AJ980" s="1756"/>
      <c r="AK980" s="1757"/>
      <c r="AL980" s="1757"/>
      <c r="AM980" s="1757"/>
      <c r="AN980" s="1757"/>
      <c r="AO980" s="1757"/>
      <c r="AP980" s="1757"/>
      <c r="AQ980" s="1758"/>
      <c r="AR980" s="68"/>
      <c r="AS980" s="68"/>
      <c r="AT980" s="68"/>
      <c r="AU980" s="68"/>
      <c r="AV980" s="68"/>
      <c r="AW980" s="68"/>
      <c r="AX980" s="68"/>
      <c r="AY980" s="68"/>
    </row>
    <row r="981" spans="1:58" ht="13.05" customHeight="1">
      <c r="A981" s="14"/>
      <c r="B981" s="79"/>
      <c r="C981" s="80" t="s">
        <v>219</v>
      </c>
      <c r="D981" s="1770" t="s">
        <v>1456</v>
      </c>
      <c r="E981" s="1771"/>
      <c r="F981" s="1771"/>
      <c r="G981" s="1771"/>
      <c r="H981" s="1771"/>
      <c r="I981" s="1771"/>
      <c r="J981" s="1771"/>
      <c r="K981" s="1771"/>
      <c r="L981" s="1771"/>
      <c r="M981" s="1771"/>
      <c r="N981" s="1771"/>
      <c r="O981" s="1771"/>
      <c r="P981" s="1771"/>
      <c r="Q981" s="1771"/>
      <c r="R981" s="1771"/>
      <c r="S981" s="1771"/>
      <c r="T981" s="1771"/>
      <c r="U981" s="1771"/>
      <c r="V981" s="1771"/>
      <c r="W981" s="1771"/>
      <c r="X981" s="1771"/>
      <c r="Y981" s="1771"/>
      <c r="Z981" s="1771"/>
      <c r="AA981" s="1771"/>
      <c r="AB981" s="1771"/>
      <c r="AC981" s="1771"/>
      <c r="AD981" s="1771"/>
      <c r="AE981" s="1772"/>
      <c r="AF981" s="79"/>
      <c r="AG981" s="1743" t="s">
        <v>678</v>
      </c>
      <c r="AH981" s="1744"/>
      <c r="AI981" s="87"/>
      <c r="AJ981" s="1750">
        <f>IF(AG981="yes",AJ961*BA981,0)</f>
        <v>0</v>
      </c>
      <c r="AK981" s="1751"/>
      <c r="AL981" s="1751"/>
      <c r="AM981" s="1751"/>
      <c r="AN981" s="1751"/>
      <c r="AO981" s="1751"/>
      <c r="AP981" s="1751"/>
      <c r="AQ981" s="1752"/>
      <c r="AR981" s="68"/>
      <c r="AS981" s="68"/>
      <c r="AT981" s="68"/>
      <c r="AU981" s="68"/>
      <c r="AV981" s="68"/>
      <c r="AW981" s="68"/>
      <c r="AX981" s="68"/>
      <c r="AY981" s="68"/>
      <c r="BA981" s="215">
        <f>IF(SUM(BA983:BA991)&lt;=0.1,SUM(BA983:BA991),0.1)</f>
        <v>0</v>
      </c>
    </row>
    <row r="982" spans="1:58" ht="13.05" customHeight="1">
      <c r="A982" s="14"/>
      <c r="B982" s="73"/>
      <c r="C982" s="74"/>
      <c r="D982" s="1734" t="s">
        <v>1457</v>
      </c>
      <c r="E982" s="1735"/>
      <c r="F982" s="1735"/>
      <c r="G982" s="1735"/>
      <c r="H982" s="1735"/>
      <c r="I982" s="1735"/>
      <c r="J982" s="1735"/>
      <c r="K982" s="1735"/>
      <c r="L982" s="1735"/>
      <c r="M982" s="1735"/>
      <c r="N982" s="1735"/>
      <c r="O982" s="1735"/>
      <c r="P982" s="1735"/>
      <c r="Q982" s="1735"/>
      <c r="R982" s="1735"/>
      <c r="S982" s="1735"/>
      <c r="T982" s="1735"/>
      <c r="U982" s="1735"/>
      <c r="V982" s="1735"/>
      <c r="W982" s="1735"/>
      <c r="X982" s="1735"/>
      <c r="Y982" s="1735"/>
      <c r="Z982" s="1735"/>
      <c r="AA982" s="1735"/>
      <c r="AB982" s="1735"/>
      <c r="AC982" s="1735"/>
      <c r="AD982" s="1735"/>
      <c r="AE982" s="1736"/>
      <c r="AF982" s="73"/>
      <c r="AG982" s="14"/>
      <c r="AH982" s="14"/>
      <c r="AI982" s="83"/>
      <c r="AJ982" s="1753"/>
      <c r="AK982" s="1754"/>
      <c r="AL982" s="1754"/>
      <c r="AM982" s="1754"/>
      <c r="AN982" s="1754"/>
      <c r="AO982" s="1754"/>
      <c r="AP982" s="1754"/>
      <c r="AQ982" s="1755"/>
      <c r="AR982" s="68"/>
      <c r="AS982" s="68"/>
      <c r="AT982" s="68"/>
      <c r="AU982" s="68"/>
      <c r="AV982" s="68"/>
      <c r="AW982" s="68"/>
      <c r="AX982" s="68"/>
      <c r="AY982" s="68"/>
    </row>
    <row r="983" spans="1:58" ht="13.05" customHeight="1">
      <c r="A983" s="14"/>
      <c r="B983" s="73"/>
      <c r="C983" s="74"/>
      <c r="D983" s="1734"/>
      <c r="E983" s="1735"/>
      <c r="F983" s="1735"/>
      <c r="G983" s="1735"/>
      <c r="H983" s="1735"/>
      <c r="I983" s="1735"/>
      <c r="J983" s="1735"/>
      <c r="K983" s="1735"/>
      <c r="L983" s="1735"/>
      <c r="M983" s="1735"/>
      <c r="N983" s="1735"/>
      <c r="O983" s="1735"/>
      <c r="P983" s="1735"/>
      <c r="Q983" s="1735"/>
      <c r="R983" s="1735"/>
      <c r="S983" s="1735"/>
      <c r="T983" s="1735"/>
      <c r="U983" s="1735"/>
      <c r="V983" s="1735"/>
      <c r="W983" s="1735"/>
      <c r="X983" s="1735"/>
      <c r="Y983" s="1735"/>
      <c r="Z983" s="1735"/>
      <c r="AA983" s="1735"/>
      <c r="AB983" s="1735"/>
      <c r="AC983" s="1735"/>
      <c r="AD983" s="1735"/>
      <c r="AE983" s="1736"/>
      <c r="AF983" s="73"/>
      <c r="AG983" s="14"/>
      <c r="AH983" s="14"/>
      <c r="AI983" s="83"/>
      <c r="AJ983" s="1753"/>
      <c r="AK983" s="1754"/>
      <c r="AL983" s="1754"/>
      <c r="AM983" s="1754"/>
      <c r="AN983" s="1754"/>
      <c r="AO983" s="1754"/>
      <c r="AP983" s="1754"/>
      <c r="AQ983" s="1755"/>
      <c r="AR983" s="68"/>
      <c r="AS983" s="68"/>
      <c r="AT983" s="68"/>
      <c r="AU983" s="68"/>
      <c r="AV983" s="68"/>
      <c r="AW983" s="68"/>
      <c r="AX983" s="68"/>
      <c r="AY983" s="68"/>
      <c r="BA983" s="213">
        <f>IF(A1030="Yes",0.05,0)</f>
        <v>0</v>
      </c>
    </row>
    <row r="984" spans="1:58" ht="13.05" customHeight="1">
      <c r="A984" s="14"/>
      <c r="B984" s="81"/>
      <c r="C984" s="82"/>
      <c r="D984" s="1747"/>
      <c r="E984" s="1748"/>
      <c r="F984" s="1748"/>
      <c r="G984" s="1748"/>
      <c r="H984" s="1748"/>
      <c r="I984" s="1748"/>
      <c r="J984" s="1748"/>
      <c r="K984" s="1748"/>
      <c r="L984" s="1748"/>
      <c r="M984" s="1748"/>
      <c r="N984" s="1748"/>
      <c r="O984" s="1748"/>
      <c r="P984" s="1748"/>
      <c r="Q984" s="1748"/>
      <c r="R984" s="1748"/>
      <c r="S984" s="1748"/>
      <c r="T984" s="1748"/>
      <c r="U984" s="1748"/>
      <c r="V984" s="1748"/>
      <c r="W984" s="1748"/>
      <c r="X984" s="1748"/>
      <c r="Y984" s="1748"/>
      <c r="Z984" s="1748"/>
      <c r="AA984" s="1748"/>
      <c r="AB984" s="1748"/>
      <c r="AC984" s="1748"/>
      <c r="AD984" s="1748"/>
      <c r="AE984" s="1749"/>
      <c r="AF984" s="77"/>
      <c r="AG984" s="7"/>
      <c r="AH984" s="7"/>
      <c r="AI984" s="78"/>
      <c r="AJ984" s="1756"/>
      <c r="AK984" s="1757"/>
      <c r="AL984" s="1757"/>
      <c r="AM984" s="1757"/>
      <c r="AN984" s="1757"/>
      <c r="AO984" s="1757"/>
      <c r="AP984" s="1757"/>
      <c r="AQ984" s="1758"/>
      <c r="AR984" s="68"/>
      <c r="AS984" s="68"/>
      <c r="AT984" s="68"/>
      <c r="AU984" s="68"/>
      <c r="AV984" s="68"/>
      <c r="AW984" s="68"/>
      <c r="AX984" s="68"/>
      <c r="AY984" s="68"/>
      <c r="BA984" s="213">
        <f>IF(A1036="Yes",0.02,0)</f>
        <v>0</v>
      </c>
    </row>
    <row r="985" spans="1:58" ht="13.05" customHeight="1">
      <c r="A985" s="14"/>
      <c r="B985" s="79"/>
      <c r="C985" s="80" t="s">
        <v>224</v>
      </c>
      <c r="D985" s="1800" t="s">
        <v>1458</v>
      </c>
      <c r="E985" s="1801"/>
      <c r="F985" s="1801"/>
      <c r="G985" s="1801"/>
      <c r="H985" s="1801"/>
      <c r="I985" s="1801"/>
      <c r="J985" s="1801"/>
      <c r="K985" s="1801"/>
      <c r="L985" s="1801"/>
      <c r="M985" s="1801"/>
      <c r="N985" s="1801"/>
      <c r="O985" s="1801"/>
      <c r="P985" s="1801"/>
      <c r="Q985" s="1801"/>
      <c r="R985" s="1801"/>
      <c r="S985" s="1801"/>
      <c r="T985" s="1801"/>
      <c r="U985" s="1801"/>
      <c r="V985" s="1801"/>
      <c r="W985" s="1801"/>
      <c r="X985" s="1801"/>
      <c r="Y985" s="1801"/>
      <c r="Z985" s="1801"/>
      <c r="AA985" s="1801"/>
      <c r="AB985" s="1801"/>
      <c r="AC985" s="1801"/>
      <c r="AD985" s="1801"/>
      <c r="AE985" s="1802"/>
      <c r="AF985" s="79"/>
      <c r="AG985" s="1743" t="s">
        <v>678</v>
      </c>
      <c r="AH985" s="1744"/>
      <c r="AI985" s="87"/>
      <c r="AJ985" s="1750">
        <f>ROUND(IF(AG985="Yes",MIN(AF988,(0.15*AJ961)),0),0)</f>
        <v>0</v>
      </c>
      <c r="AK985" s="1751"/>
      <c r="AL985" s="1751"/>
      <c r="AM985" s="1751"/>
      <c r="AN985" s="1751"/>
      <c r="AO985" s="1751"/>
      <c r="AP985" s="1751"/>
      <c r="AQ985" s="1752"/>
      <c r="AR985" s="68"/>
      <c r="AS985" s="68"/>
      <c r="AT985" s="68"/>
      <c r="AU985" s="68"/>
      <c r="AV985" s="68"/>
      <c r="AW985" s="68"/>
      <c r="AX985" s="68"/>
      <c r="AY985" s="68"/>
      <c r="BA985" s="213">
        <f>IF(A1042="Yes",0.04,0)</f>
        <v>0</v>
      </c>
    </row>
    <row r="986" spans="1:58" ht="13.05" customHeight="1">
      <c r="A986" s="14"/>
      <c r="B986" s="81"/>
      <c r="C986" s="84"/>
      <c r="D986" s="1803"/>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c r="Y986" s="1804"/>
      <c r="Z986" s="1804"/>
      <c r="AA986" s="1804"/>
      <c r="AB986" s="1804"/>
      <c r="AC986" s="1804"/>
      <c r="AD986" s="1804"/>
      <c r="AE986" s="1805"/>
      <c r="AF986" s="1814" t="str">
        <f>IF(AG985="yes","Please Select Type and Enter Amount:","")</f>
        <v/>
      </c>
      <c r="AG986" s="1815"/>
      <c r="AH986" s="1815"/>
      <c r="AI986" s="1816"/>
      <c r="AJ986" s="1753"/>
      <c r="AK986" s="1754"/>
      <c r="AL986" s="1754"/>
      <c r="AM986" s="1754"/>
      <c r="AN986" s="1754"/>
      <c r="AO986" s="1754"/>
      <c r="AP986" s="1754"/>
      <c r="AQ986" s="1755"/>
      <c r="AR986" s="68"/>
      <c r="AS986" s="68"/>
      <c r="AT986" s="68"/>
      <c r="AU986" s="68"/>
      <c r="AV986" s="68"/>
      <c r="AW986" s="68"/>
      <c r="AX986" s="68"/>
      <c r="AY986" s="68"/>
      <c r="BA986" s="213">
        <f>IF(A1049="Yes",0.04,0)</f>
        <v>0</v>
      </c>
    </row>
    <row r="987" spans="1:58" ht="13.05" customHeight="1">
      <c r="A987" s="14"/>
      <c r="B987" s="81"/>
      <c r="C987" s="84"/>
      <c r="D987" s="1734" t="s">
        <v>1459</v>
      </c>
      <c r="E987" s="1735"/>
      <c r="F987" s="1735"/>
      <c r="G987" s="1735"/>
      <c r="H987" s="1735"/>
      <c r="I987" s="1735"/>
      <c r="J987" s="1735"/>
      <c r="K987" s="1735"/>
      <c r="L987" s="1735"/>
      <c r="M987" s="1735"/>
      <c r="N987" s="1735"/>
      <c r="O987" s="1735"/>
      <c r="P987" s="1735"/>
      <c r="Q987" s="1735"/>
      <c r="R987" s="1735"/>
      <c r="S987" s="1735"/>
      <c r="T987" s="1735"/>
      <c r="U987" s="1735"/>
      <c r="V987" s="1735"/>
      <c r="W987" s="1735"/>
      <c r="X987" s="1735"/>
      <c r="Y987" s="1735"/>
      <c r="Z987" s="1735"/>
      <c r="AA987" s="1735"/>
      <c r="AB987" s="1735"/>
      <c r="AC987" s="1735"/>
      <c r="AD987" s="1735"/>
      <c r="AE987" s="1736"/>
      <c r="AF987" s="1814"/>
      <c r="AG987" s="1815"/>
      <c r="AH987" s="1815"/>
      <c r="AI987" s="1816"/>
      <c r="AJ987" s="1753"/>
      <c r="AK987" s="1754"/>
      <c r="AL987" s="1754"/>
      <c r="AM987" s="1754"/>
      <c r="AN987" s="1754"/>
      <c r="AO987" s="1754"/>
      <c r="AP987" s="1754"/>
      <c r="AQ987" s="1755"/>
      <c r="AR987" s="68"/>
      <c r="AS987" s="68"/>
      <c r="AT987" s="68"/>
      <c r="AU987" s="68"/>
      <c r="AV987" s="68"/>
      <c r="AW987" s="68"/>
      <c r="AX987" s="68"/>
      <c r="AY987" s="68"/>
      <c r="BA987" s="213">
        <f>IF(A1052="Yes",0.01,0)</f>
        <v>0</v>
      </c>
    </row>
    <row r="988" spans="1:58" ht="13.05" customHeight="1">
      <c r="A988" s="14"/>
      <c r="B988" s="81"/>
      <c r="C988" s="84"/>
      <c r="D988" s="1734"/>
      <c r="E988" s="1735"/>
      <c r="F988" s="1735"/>
      <c r="G988" s="1735"/>
      <c r="H988" s="1735"/>
      <c r="I988" s="1735"/>
      <c r="J988" s="1735"/>
      <c r="K988" s="1735"/>
      <c r="L988" s="1735"/>
      <c r="M988" s="1735"/>
      <c r="N988" s="1735"/>
      <c r="O988" s="1735"/>
      <c r="P988" s="1735"/>
      <c r="Q988" s="1735"/>
      <c r="R988" s="1735"/>
      <c r="S988" s="1735"/>
      <c r="T988" s="1735"/>
      <c r="U988" s="1735"/>
      <c r="V988" s="1735"/>
      <c r="W988" s="1735"/>
      <c r="X988" s="1735"/>
      <c r="Y988" s="1735"/>
      <c r="Z988" s="1735"/>
      <c r="AA988" s="1735"/>
      <c r="AB988" s="1735"/>
      <c r="AC988" s="1735"/>
      <c r="AD988" s="1735"/>
      <c r="AE988" s="1736"/>
      <c r="AF988" s="1817"/>
      <c r="AG988" s="1817"/>
      <c r="AH988" s="1817"/>
      <c r="AI988" s="1817"/>
      <c r="AJ988" s="1753"/>
      <c r="AK988" s="1754"/>
      <c r="AL988" s="1754"/>
      <c r="AM988" s="1754"/>
      <c r="AN988" s="1754"/>
      <c r="AO988" s="1754"/>
      <c r="AP988" s="1754"/>
      <c r="AQ988" s="1755"/>
      <c r="AR988" s="68"/>
      <c r="AS988" s="68"/>
      <c r="AT988" s="68"/>
      <c r="AU988" s="68"/>
      <c r="AV988" s="68"/>
      <c r="AW988" s="68"/>
      <c r="AX988" s="68"/>
      <c r="AY988" s="68"/>
      <c r="BA988" s="213">
        <f>IF(A1057="Yes",0.01,0)</f>
        <v>0</v>
      </c>
    </row>
    <row r="989" spans="1:58" ht="13.05" customHeight="1">
      <c r="A989" s="14"/>
      <c r="B989" s="81"/>
      <c r="C989" s="84"/>
      <c r="D989" s="561" t="s">
        <v>360</v>
      </c>
      <c r="E989" s="90"/>
      <c r="F989" s="90"/>
      <c r="G989" s="104"/>
      <c r="H989" s="104"/>
      <c r="I989" s="49"/>
      <c r="J989" s="1822" t="s">
        <v>600</v>
      </c>
      <c r="K989" s="1823"/>
      <c r="L989" s="1823"/>
      <c r="M989" s="1823"/>
      <c r="N989" s="1823"/>
      <c r="O989" s="1823"/>
      <c r="P989" s="1823"/>
      <c r="Q989" s="1823"/>
      <c r="R989" s="1823"/>
      <c r="S989" s="1823"/>
      <c r="T989" s="1823"/>
      <c r="U989" s="1823"/>
      <c r="V989" s="1823"/>
      <c r="W989" s="1823"/>
      <c r="X989" s="1823"/>
      <c r="Y989" s="1823"/>
      <c r="Z989" s="1823"/>
      <c r="AA989" s="1823"/>
      <c r="AB989" s="1823"/>
      <c r="AC989" s="1823"/>
      <c r="AD989" s="1823"/>
      <c r="AE989" s="1824"/>
      <c r="AF989" s="1817"/>
      <c r="AG989" s="1817"/>
      <c r="AH989" s="1817"/>
      <c r="AI989" s="1817"/>
      <c r="AJ989" s="1756"/>
      <c r="AK989" s="1757"/>
      <c r="AL989" s="1757"/>
      <c r="AM989" s="1757"/>
      <c r="AN989" s="1757"/>
      <c r="AO989" s="1757"/>
      <c r="AP989" s="1757"/>
      <c r="AQ989" s="1758"/>
      <c r="AR989" s="68"/>
      <c r="AS989" s="68"/>
      <c r="AT989" s="68"/>
      <c r="AU989" s="68"/>
      <c r="AV989" s="68"/>
      <c r="AW989" s="68"/>
      <c r="AX989" s="68"/>
      <c r="AY989" s="68"/>
      <c r="BA989" s="213">
        <f>IF(A1060="Yes",0.01,0)</f>
        <v>0</v>
      </c>
    </row>
    <row r="990" spans="1:58" ht="13.05" customHeight="1">
      <c r="A990" s="14"/>
      <c r="B990" s="79"/>
      <c r="C990" s="80" t="s">
        <v>230</v>
      </c>
      <c r="D990" s="1731" t="s">
        <v>1460</v>
      </c>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c r="AA990" s="1732"/>
      <c r="AB990" s="1732"/>
      <c r="AC990" s="1732"/>
      <c r="AD990" s="1732"/>
      <c r="AE990" s="1733"/>
      <c r="AF990" s="79"/>
      <c r="AG990" s="1743" t="s">
        <v>678</v>
      </c>
      <c r="AH990" s="1744"/>
      <c r="AI990" s="87"/>
      <c r="AJ990" s="1750">
        <f>ROUND(IF(AG990="Yes",AF992,0),0)</f>
        <v>0</v>
      </c>
      <c r="AK990" s="1751"/>
      <c r="AL990" s="1751"/>
      <c r="AM990" s="1751"/>
      <c r="AN990" s="1751"/>
      <c r="AO990" s="1751"/>
      <c r="AP990" s="1751"/>
      <c r="AQ990" s="1752"/>
      <c r="AR990" s="68"/>
      <c r="AS990" s="68"/>
      <c r="AT990" s="68"/>
      <c r="AU990" s="68"/>
      <c r="AV990" s="68"/>
      <c r="AW990" s="68"/>
      <c r="AX990" s="68"/>
      <c r="AY990" s="68"/>
      <c r="BA990" s="213">
        <f>IF(A1064="Yes",0.02,0)</f>
        <v>0</v>
      </c>
    </row>
    <row r="991" spans="1:58" ht="13.05" customHeight="1">
      <c r="A991" s="14"/>
      <c r="B991" s="73"/>
      <c r="C991" s="74"/>
      <c r="D991" s="1734" t="s">
        <v>1951</v>
      </c>
      <c r="E991" s="1735"/>
      <c r="F991" s="1735"/>
      <c r="G991" s="1735"/>
      <c r="H991" s="1735"/>
      <c r="I991" s="1735"/>
      <c r="J991" s="1735"/>
      <c r="K991" s="1735"/>
      <c r="L991" s="1735"/>
      <c r="M991" s="1735"/>
      <c r="N991" s="1735"/>
      <c r="O991" s="1735"/>
      <c r="P991" s="1735"/>
      <c r="Q991" s="1735"/>
      <c r="R991" s="1735"/>
      <c r="S991" s="1735"/>
      <c r="T991" s="1735"/>
      <c r="U991" s="1735"/>
      <c r="V991" s="1735"/>
      <c r="W991" s="1735"/>
      <c r="X991" s="1735"/>
      <c r="Y991" s="1735"/>
      <c r="Z991" s="1735"/>
      <c r="AA991" s="1735"/>
      <c r="AB991" s="1735"/>
      <c r="AC991" s="1735"/>
      <c r="AD991" s="1735"/>
      <c r="AE991" s="1736"/>
      <c r="AF991" s="1818" t="str">
        <f>IF(AG990="yes","Enter Amount:","")</f>
        <v/>
      </c>
      <c r="AG991" s="1819"/>
      <c r="AH991" s="1819"/>
      <c r="AI991" s="1820"/>
      <c r="AJ991" s="1753"/>
      <c r="AK991" s="1754"/>
      <c r="AL991" s="1754"/>
      <c r="AM991" s="1754"/>
      <c r="AN991" s="1754"/>
      <c r="AO991" s="1754"/>
      <c r="AP991" s="1754"/>
      <c r="AQ991" s="1755"/>
      <c r="AR991" s="68"/>
      <c r="AS991" s="68"/>
      <c r="AT991" s="68"/>
      <c r="AU991" s="68"/>
      <c r="AV991" s="68"/>
      <c r="AW991" s="68"/>
      <c r="AX991" s="68"/>
      <c r="AY991" s="68"/>
      <c r="BA991" s="214">
        <f>IF(A1068="Yes",0.02,0)</f>
        <v>0</v>
      </c>
    </row>
    <row r="992" spans="1:58" ht="13.05" customHeight="1">
      <c r="A992" s="14"/>
      <c r="B992" s="73"/>
      <c r="C992" s="74"/>
      <c r="D992" s="1734"/>
      <c r="E992" s="1735"/>
      <c r="F992" s="1735"/>
      <c r="G992" s="1735"/>
      <c r="H992" s="1735"/>
      <c r="I992" s="1735"/>
      <c r="J992" s="1735"/>
      <c r="K992" s="1735"/>
      <c r="L992" s="1735"/>
      <c r="M992" s="1735"/>
      <c r="N992" s="1735"/>
      <c r="O992" s="1735"/>
      <c r="P992" s="1735"/>
      <c r="Q992" s="1735"/>
      <c r="R992" s="1735"/>
      <c r="S992" s="1735"/>
      <c r="T992" s="1735"/>
      <c r="U992" s="1735"/>
      <c r="V992" s="1735"/>
      <c r="W992" s="1735"/>
      <c r="X992" s="1735"/>
      <c r="Y992" s="1735"/>
      <c r="Z992" s="1735"/>
      <c r="AA992" s="1735"/>
      <c r="AB992" s="1735"/>
      <c r="AC992" s="1735"/>
      <c r="AD992" s="1735"/>
      <c r="AE992" s="1736"/>
      <c r="AF992" s="1817"/>
      <c r="AG992" s="1817"/>
      <c r="AH992" s="1817"/>
      <c r="AI992" s="1817"/>
      <c r="AJ992" s="1753"/>
      <c r="AK992" s="1754"/>
      <c r="AL992" s="1754"/>
      <c r="AM992" s="1754"/>
      <c r="AN992" s="1754"/>
      <c r="AO992" s="1754"/>
      <c r="AP992" s="1754"/>
      <c r="AQ992" s="1755"/>
      <c r="AR992" s="68"/>
      <c r="AS992" s="68"/>
      <c r="AT992" s="68"/>
      <c r="AU992" s="68"/>
      <c r="AV992" s="68"/>
      <c r="AW992" s="68"/>
      <c r="AX992" s="68"/>
      <c r="AY992" s="68"/>
    </row>
    <row r="993" spans="1:51" ht="13.05" customHeight="1">
      <c r="A993" s="14"/>
      <c r="B993" s="85"/>
      <c r="C993" s="84"/>
      <c r="D993" s="1747"/>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17"/>
      <c r="AG993" s="1817"/>
      <c r="AH993" s="1817"/>
      <c r="AI993" s="1817"/>
      <c r="AJ993" s="1756"/>
      <c r="AK993" s="1757"/>
      <c r="AL993" s="1757"/>
      <c r="AM993" s="1757"/>
      <c r="AN993" s="1757"/>
      <c r="AO993" s="1757"/>
      <c r="AP993" s="1757"/>
      <c r="AQ993" s="1758"/>
      <c r="AR993" s="68"/>
      <c r="AS993" s="68"/>
      <c r="AT993" s="68"/>
      <c r="AU993" s="68"/>
      <c r="AV993" s="68"/>
      <c r="AW993" s="68"/>
      <c r="AX993" s="68"/>
      <c r="AY993" s="68"/>
    </row>
    <row r="994" spans="1:51" ht="13.05" customHeight="1">
      <c r="A994" s="14"/>
      <c r="B994" s="79"/>
      <c r="C994" s="80" t="s">
        <v>235</v>
      </c>
      <c r="D994" s="1770" t="s">
        <v>1461</v>
      </c>
      <c r="E994" s="1771"/>
      <c r="F994" s="1771"/>
      <c r="G994" s="1771"/>
      <c r="H994" s="1771"/>
      <c r="I994" s="1771"/>
      <c r="J994" s="1771"/>
      <c r="K994" s="1771"/>
      <c r="L994" s="1771"/>
      <c r="M994" s="1771"/>
      <c r="N994" s="1771"/>
      <c r="O994" s="1771"/>
      <c r="P994" s="1771"/>
      <c r="Q994" s="1771"/>
      <c r="R994" s="1771"/>
      <c r="S994" s="1771"/>
      <c r="T994" s="1771"/>
      <c r="U994" s="1771"/>
      <c r="V994" s="1771"/>
      <c r="W994" s="1771"/>
      <c r="X994" s="1771"/>
      <c r="Y994" s="1771"/>
      <c r="Z994" s="1771"/>
      <c r="AA994" s="1771"/>
      <c r="AB994" s="1771"/>
      <c r="AC994" s="1771"/>
      <c r="AD994" s="1771"/>
      <c r="AE994" s="1772"/>
      <c r="AF994" s="79"/>
      <c r="AG994" s="1743" t="s">
        <v>678</v>
      </c>
      <c r="AH994" s="1744"/>
      <c r="AI994" s="87"/>
      <c r="AJ994" s="1750">
        <f>ROUND(IF(AG994="yes",(AJ961*0.1),0),0)</f>
        <v>0</v>
      </c>
      <c r="AK994" s="1751"/>
      <c r="AL994" s="1751"/>
      <c r="AM994" s="1751"/>
      <c r="AN994" s="1751"/>
      <c r="AO994" s="1751"/>
      <c r="AP994" s="1751"/>
      <c r="AQ994" s="1752"/>
      <c r="AR994" s="68"/>
      <c r="AS994" s="68"/>
      <c r="AT994" s="68"/>
      <c r="AU994" s="68"/>
      <c r="AV994" s="68"/>
      <c r="AW994" s="68"/>
      <c r="AX994" s="68"/>
      <c r="AY994" s="68"/>
    </row>
    <row r="995" spans="1:51" ht="13.05" customHeight="1">
      <c r="A995" s="14"/>
      <c r="B995" s="73"/>
      <c r="C995" s="74"/>
      <c r="D995" s="1734" t="s">
        <v>1462</v>
      </c>
      <c r="E995" s="1735"/>
      <c r="F995" s="1735"/>
      <c r="G995" s="1735"/>
      <c r="H995" s="1735"/>
      <c r="I995" s="1735"/>
      <c r="J995" s="1735"/>
      <c r="K995" s="1735"/>
      <c r="L995" s="1735"/>
      <c r="M995" s="1735"/>
      <c r="N995" s="1735"/>
      <c r="O995" s="1735"/>
      <c r="P995" s="1735"/>
      <c r="Q995" s="1735"/>
      <c r="R995" s="1735"/>
      <c r="S995" s="1735"/>
      <c r="T995" s="1735"/>
      <c r="U995" s="1735"/>
      <c r="V995" s="1735"/>
      <c r="W995" s="1735"/>
      <c r="X995" s="1735"/>
      <c r="Y995" s="1735"/>
      <c r="Z995" s="1735"/>
      <c r="AA995" s="1735"/>
      <c r="AB995" s="1735"/>
      <c r="AC995" s="1735"/>
      <c r="AD995" s="1735"/>
      <c r="AE995" s="1736"/>
      <c r="AF995" s="73"/>
      <c r="AG995" s="14"/>
      <c r="AH995" s="14"/>
      <c r="AI995" s="83"/>
      <c r="AJ995" s="1753"/>
      <c r="AK995" s="1754"/>
      <c r="AL995" s="1754"/>
      <c r="AM995" s="1754"/>
      <c r="AN995" s="1754"/>
      <c r="AO995" s="1754"/>
      <c r="AP995" s="1754"/>
      <c r="AQ995" s="1755"/>
      <c r="AR995" s="68"/>
      <c r="AS995" s="68"/>
      <c r="AT995" s="68"/>
      <c r="AU995" s="68"/>
      <c r="AV995" s="68"/>
      <c r="AW995" s="68"/>
      <c r="AX995" s="68"/>
      <c r="AY995" s="68"/>
    </row>
    <row r="996" spans="1:51" ht="13.05" customHeight="1">
      <c r="A996" s="14"/>
      <c r="B996" s="77"/>
      <c r="C996" s="74"/>
      <c r="D996" s="1747"/>
      <c r="E996" s="1748"/>
      <c r="F996" s="1748"/>
      <c r="G996" s="1748"/>
      <c r="H996" s="1748"/>
      <c r="I996" s="1748"/>
      <c r="J996" s="1748"/>
      <c r="K996" s="1748"/>
      <c r="L996" s="1748"/>
      <c r="M996" s="1748"/>
      <c r="N996" s="1748"/>
      <c r="O996" s="1748"/>
      <c r="P996" s="1748"/>
      <c r="Q996" s="1748"/>
      <c r="R996" s="1748"/>
      <c r="S996" s="1748"/>
      <c r="T996" s="1748"/>
      <c r="U996" s="1748"/>
      <c r="V996" s="1748"/>
      <c r="W996" s="1748"/>
      <c r="X996" s="1748"/>
      <c r="Y996" s="1748"/>
      <c r="Z996" s="1748"/>
      <c r="AA996" s="1748"/>
      <c r="AB996" s="1748"/>
      <c r="AC996" s="1748"/>
      <c r="AD996" s="1748"/>
      <c r="AE996" s="1749"/>
      <c r="AF996" s="73"/>
      <c r="AG996" s="14"/>
      <c r="AH996" s="14"/>
      <c r="AI996" s="83"/>
      <c r="AJ996" s="1756"/>
      <c r="AK996" s="1757"/>
      <c r="AL996" s="1757"/>
      <c r="AM996" s="1757"/>
      <c r="AN996" s="1757"/>
      <c r="AO996" s="1757"/>
      <c r="AP996" s="1757"/>
      <c r="AQ996" s="1758"/>
      <c r="AR996" s="68"/>
      <c r="AS996" s="68"/>
      <c r="AT996" s="68"/>
      <c r="AU996" s="68"/>
      <c r="AV996" s="68"/>
      <c r="AW996" s="68"/>
      <c r="AX996" s="68"/>
      <c r="AY996" s="68"/>
    </row>
    <row r="997" spans="1:51" ht="13.05" customHeight="1">
      <c r="A997" s="14"/>
      <c r="B997" s="73"/>
      <c r="C997" s="368" t="s">
        <v>697</v>
      </c>
      <c r="D997" s="1731" t="s">
        <v>1947</v>
      </c>
      <c r="E997" s="1732"/>
      <c r="F997" s="1732"/>
      <c r="G997" s="1732"/>
      <c r="H997" s="1732"/>
      <c r="I997" s="1732"/>
      <c r="J997" s="1732"/>
      <c r="K997" s="1732"/>
      <c r="L997" s="1732"/>
      <c r="M997" s="1732"/>
      <c r="N997" s="1732"/>
      <c r="O997" s="1732"/>
      <c r="P997" s="1732"/>
      <c r="Q997" s="1732"/>
      <c r="R997" s="1732"/>
      <c r="S997" s="1732"/>
      <c r="T997" s="1732"/>
      <c r="U997" s="1732"/>
      <c r="V997" s="1732"/>
      <c r="W997" s="1732"/>
      <c r="X997" s="1732"/>
      <c r="Y997" s="1732"/>
      <c r="Z997" s="1732"/>
      <c r="AA997" s="1732"/>
      <c r="AB997" s="1732"/>
      <c r="AC997" s="1732"/>
      <c r="AD997" s="1732"/>
      <c r="AE997" s="1733"/>
      <c r="AF997" s="79"/>
      <c r="AG997" s="1743" t="s">
        <v>678</v>
      </c>
      <c r="AH997" s="1744"/>
      <c r="AI997" s="87"/>
      <c r="AJ997" s="1750">
        <f>ROUND(IF(AG997="yes",(AJ961*0.15),0),0)</f>
        <v>0</v>
      </c>
      <c r="AK997" s="1751"/>
      <c r="AL997" s="1751"/>
      <c r="AM997" s="1751"/>
      <c r="AN997" s="1751"/>
      <c r="AO997" s="1751"/>
      <c r="AP997" s="1751"/>
      <c r="AQ997" s="1752"/>
      <c r="AR997" s="68"/>
      <c r="AS997" s="68"/>
      <c r="AT997" s="68"/>
      <c r="AU997" s="68"/>
      <c r="AV997" s="68"/>
      <c r="AW997" s="68"/>
      <c r="AX997" s="68"/>
      <c r="AY997" s="68"/>
    </row>
    <row r="998" spans="1:51" ht="13.05" customHeight="1">
      <c r="A998" s="14"/>
      <c r="B998" s="73"/>
      <c r="C998" s="74"/>
      <c r="D998" s="1762"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63"/>
      <c r="AF998" s="952"/>
      <c r="AG998" s="953"/>
      <c r="AH998" s="953"/>
      <c r="AI998" s="954"/>
      <c r="AJ998" s="1753"/>
      <c r="AK998" s="1754"/>
      <c r="AL998" s="1754"/>
      <c r="AM998" s="1754"/>
      <c r="AN998" s="1754"/>
      <c r="AO998" s="1754"/>
      <c r="AP998" s="1754"/>
      <c r="AQ998" s="1755"/>
      <c r="AR998" s="68"/>
      <c r="AS998" s="68"/>
      <c r="AT998" s="68"/>
      <c r="AU998" s="68"/>
      <c r="AV998" s="68"/>
      <c r="AW998" s="68"/>
      <c r="AX998" s="68"/>
      <c r="AY998" s="68"/>
    </row>
    <row r="999" spans="1:51" ht="13.05" customHeight="1">
      <c r="A999" s="14"/>
      <c r="B999" s="73"/>
      <c r="C999" s="74"/>
      <c r="D999" s="176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63"/>
      <c r="AF999" s="952"/>
      <c r="AG999" s="953"/>
      <c r="AH999" s="953"/>
      <c r="AI999" s="954"/>
      <c r="AJ999" s="1753"/>
      <c r="AK999" s="1754"/>
      <c r="AL999" s="1754"/>
      <c r="AM999" s="1754"/>
      <c r="AN999" s="1754"/>
      <c r="AO999" s="1754"/>
      <c r="AP999" s="1754"/>
      <c r="AQ999" s="1755"/>
      <c r="AR999" s="68"/>
      <c r="AS999" s="68"/>
      <c r="AT999" s="68"/>
      <c r="AU999" s="68"/>
      <c r="AV999" s="68"/>
      <c r="AW999" s="68"/>
      <c r="AX999" s="68"/>
      <c r="AY999" s="68"/>
    </row>
    <row r="1000" spans="1:51" ht="13.05" customHeight="1">
      <c r="A1000" s="14"/>
      <c r="B1000" s="73"/>
      <c r="C1000" s="74"/>
      <c r="D1000" s="1764"/>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5"/>
      <c r="AB1000" s="1765"/>
      <c r="AC1000" s="1765"/>
      <c r="AD1000" s="1765"/>
      <c r="AE1000" s="1766"/>
      <c r="AF1000" s="955"/>
      <c r="AG1000" s="956"/>
      <c r="AH1000" s="956"/>
      <c r="AI1000" s="957"/>
      <c r="AJ1000" s="1756"/>
      <c r="AK1000" s="1757"/>
      <c r="AL1000" s="1757"/>
      <c r="AM1000" s="1757"/>
      <c r="AN1000" s="1757"/>
      <c r="AO1000" s="1757"/>
      <c r="AP1000" s="1757"/>
      <c r="AQ1000" s="1758"/>
      <c r="AR1000" s="68"/>
      <c r="AS1000" s="68"/>
      <c r="AT1000" s="68"/>
      <c r="AU1000" s="68"/>
      <c r="AV1000" s="68"/>
      <c r="AW1000" s="68"/>
      <c r="AX1000" s="68"/>
      <c r="AY1000" s="68"/>
    </row>
    <row r="1001" spans="1:51" ht="13.05" customHeight="1">
      <c r="A1001" s="14"/>
      <c r="B1001" s="73"/>
      <c r="C1001" s="368" t="s">
        <v>697</v>
      </c>
      <c r="D1001" s="1770" t="s">
        <v>1949</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3"/>
      <c r="AG1001" s="1745" t="s">
        <v>678</v>
      </c>
      <c r="AH1001" s="1746"/>
      <c r="AI1001" s="83"/>
      <c r="AJ1001" s="1750">
        <f>ROUND(IF(AND(AG1001="yes",AJ997=0),(AJ961*0.1),0),0)</f>
        <v>0</v>
      </c>
      <c r="AK1001" s="1751"/>
      <c r="AL1001" s="1751"/>
      <c r="AM1001" s="1751"/>
      <c r="AN1001" s="1751"/>
      <c r="AO1001" s="1751"/>
      <c r="AP1001" s="1751"/>
      <c r="AQ1001" s="1752"/>
      <c r="AR1001" s="68"/>
      <c r="AS1001" s="68"/>
      <c r="AT1001" s="68"/>
      <c r="AU1001" s="68"/>
      <c r="AV1001" s="68"/>
      <c r="AW1001" s="68"/>
      <c r="AX1001" s="68"/>
      <c r="AY1001" s="68"/>
    </row>
    <row r="1002" spans="1:51" ht="13.05" customHeight="1">
      <c r="A1002" s="14"/>
      <c r="B1002" s="73"/>
      <c r="C1002" s="74"/>
      <c r="D1002" s="1762"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63"/>
      <c r="AF1002" s="73"/>
      <c r="AG1002" s="14"/>
      <c r="AH1002" s="14"/>
      <c r="AI1002" s="83"/>
      <c r="AJ1002" s="1753"/>
      <c r="AK1002" s="1754"/>
      <c r="AL1002" s="1754"/>
      <c r="AM1002" s="1754"/>
      <c r="AN1002" s="1754"/>
      <c r="AO1002" s="1754"/>
      <c r="AP1002" s="1754"/>
      <c r="AQ1002" s="1755"/>
      <c r="AR1002" s="68"/>
      <c r="AS1002" s="68"/>
      <c r="AT1002" s="68"/>
      <c r="AU1002" s="68"/>
      <c r="AV1002" s="68"/>
      <c r="AW1002" s="68"/>
      <c r="AX1002" s="68"/>
      <c r="AY1002" s="68"/>
    </row>
    <row r="1003" spans="1:51" ht="13.05" customHeight="1">
      <c r="A1003" s="14"/>
      <c r="B1003" s="73"/>
      <c r="C1003" s="74"/>
      <c r="D1003" s="176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63"/>
      <c r="AF1003" s="73"/>
      <c r="AG1003" s="14"/>
      <c r="AH1003" s="14"/>
      <c r="AI1003" s="83"/>
      <c r="AJ1003" s="1753"/>
      <c r="AK1003" s="1754"/>
      <c r="AL1003" s="1754"/>
      <c r="AM1003" s="1754"/>
      <c r="AN1003" s="1754"/>
      <c r="AO1003" s="1754"/>
      <c r="AP1003" s="1754"/>
      <c r="AQ1003" s="1755"/>
      <c r="AR1003" s="68"/>
      <c r="AS1003" s="68"/>
      <c r="AT1003" s="68"/>
      <c r="AU1003" s="68"/>
      <c r="AV1003" s="68"/>
      <c r="AW1003" s="68"/>
      <c r="AX1003" s="68"/>
      <c r="AY1003" s="68"/>
    </row>
    <row r="1004" spans="1:51" ht="13.05" customHeight="1">
      <c r="A1004" s="14"/>
      <c r="B1004" s="73"/>
      <c r="C1004" s="74"/>
      <c r="D1004" s="176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63"/>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68"/>
    </row>
    <row r="1005" spans="1:51" ht="13.05" customHeight="1">
      <c r="A1005" s="14"/>
      <c r="B1005" s="73"/>
      <c r="C1005" s="74"/>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53"/>
      <c r="AK1005" s="1754"/>
      <c r="AL1005" s="1754"/>
      <c r="AM1005" s="1754"/>
      <c r="AN1005" s="1754"/>
      <c r="AO1005" s="1754"/>
      <c r="AP1005" s="1754"/>
      <c r="AQ1005" s="1755"/>
      <c r="AR1005" s="68"/>
      <c r="AS1005" s="68"/>
      <c r="AT1005" s="68"/>
      <c r="AU1005" s="68"/>
      <c r="AV1005" s="68"/>
      <c r="AW1005" s="68"/>
      <c r="AX1005" s="68"/>
      <c r="AY1005" s="68"/>
    </row>
    <row r="1006" spans="1:51" ht="13.05" customHeight="1">
      <c r="A1006" s="14"/>
      <c r="B1006" s="79"/>
      <c r="C1006" s="131" t="s">
        <v>1067</v>
      </c>
      <c r="D1006" s="1731" t="s">
        <v>1463</v>
      </c>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79"/>
      <c r="AG1006" s="1743" t="s">
        <v>678</v>
      </c>
      <c r="AH1006" s="1744"/>
      <c r="AI1006" s="87"/>
      <c r="AJ1006" s="1750">
        <f>ROUND(IF(AG1006="yes",(AJ961*0.1),0),0)</f>
        <v>0</v>
      </c>
      <c r="AK1006" s="1751"/>
      <c r="AL1006" s="1751"/>
      <c r="AM1006" s="1751"/>
      <c r="AN1006" s="1751"/>
      <c r="AO1006" s="1751"/>
      <c r="AP1006" s="1751"/>
      <c r="AQ1006" s="1752"/>
      <c r="AR1006" s="68"/>
      <c r="AS1006" s="68"/>
      <c r="AT1006" s="68"/>
      <c r="AU1006" s="68"/>
      <c r="AV1006" s="68"/>
      <c r="AW1006" s="68"/>
      <c r="AX1006" s="68"/>
      <c r="AY1006" s="68"/>
    </row>
    <row r="1007" spans="1:51" ht="13.05" customHeight="1">
      <c r="A1007" s="14"/>
      <c r="B1007" s="73"/>
      <c r="C1007" s="74"/>
      <c r="D1007" s="1734" t="s">
        <v>2618</v>
      </c>
      <c r="E1007" s="1735"/>
      <c r="F1007" s="1735"/>
      <c r="G1007" s="1735"/>
      <c r="H1007" s="1735"/>
      <c r="I1007" s="1735"/>
      <c r="J1007" s="1735"/>
      <c r="K1007" s="1735"/>
      <c r="L1007" s="1735"/>
      <c r="M1007" s="1735"/>
      <c r="N1007" s="1735"/>
      <c r="O1007" s="1735"/>
      <c r="P1007" s="1735"/>
      <c r="Q1007" s="1735"/>
      <c r="R1007" s="1735"/>
      <c r="S1007" s="1735"/>
      <c r="T1007" s="1735"/>
      <c r="U1007" s="1735"/>
      <c r="V1007" s="1735"/>
      <c r="W1007" s="1735"/>
      <c r="X1007" s="1735"/>
      <c r="Y1007" s="1735"/>
      <c r="Z1007" s="1735"/>
      <c r="AA1007" s="1735"/>
      <c r="AB1007" s="1735"/>
      <c r="AC1007" s="1735"/>
      <c r="AD1007" s="1735"/>
      <c r="AE1007" s="1736"/>
      <c r="AF1007" s="73"/>
      <c r="AG1007" s="14"/>
      <c r="AH1007" s="14"/>
      <c r="AI1007" s="83"/>
      <c r="AJ1007" s="1753"/>
      <c r="AK1007" s="1754"/>
      <c r="AL1007" s="1754"/>
      <c r="AM1007" s="1754"/>
      <c r="AN1007" s="1754"/>
      <c r="AO1007" s="1754"/>
      <c r="AP1007" s="1754"/>
      <c r="AQ1007" s="1755"/>
      <c r="AR1007" s="68"/>
      <c r="AS1007" s="68"/>
      <c r="AT1007" s="68"/>
      <c r="AU1007" s="68"/>
      <c r="AV1007" s="68"/>
      <c r="AW1007" s="68"/>
      <c r="AX1007" s="68"/>
      <c r="AY1007" s="68"/>
    </row>
    <row r="1008" spans="1:51" ht="13.05" customHeight="1">
      <c r="A1008" s="14"/>
      <c r="B1008" s="73"/>
      <c r="C1008" s="74"/>
      <c r="D1008" s="1734"/>
      <c r="E1008" s="1735"/>
      <c r="F1008" s="1735"/>
      <c r="G1008" s="1735"/>
      <c r="H1008" s="1735"/>
      <c r="I1008" s="1735"/>
      <c r="J1008" s="1735"/>
      <c r="K1008" s="1735"/>
      <c r="L1008" s="1735"/>
      <c r="M1008" s="1735"/>
      <c r="N1008" s="1735"/>
      <c r="O1008" s="1735"/>
      <c r="P1008" s="1735"/>
      <c r="Q1008" s="1735"/>
      <c r="R1008" s="1735"/>
      <c r="S1008" s="1735"/>
      <c r="T1008" s="1735"/>
      <c r="U1008" s="1735"/>
      <c r="V1008" s="1735"/>
      <c r="W1008" s="1735"/>
      <c r="X1008" s="1735"/>
      <c r="Y1008" s="1735"/>
      <c r="Z1008" s="1735"/>
      <c r="AA1008" s="1735"/>
      <c r="AB1008" s="1735"/>
      <c r="AC1008" s="1735"/>
      <c r="AD1008" s="1735"/>
      <c r="AE1008" s="1736"/>
      <c r="AF1008" s="73"/>
      <c r="AG1008" s="14"/>
      <c r="AH1008" s="14"/>
      <c r="AI1008" s="83"/>
      <c r="AJ1008" s="1753"/>
      <c r="AK1008" s="1754"/>
      <c r="AL1008" s="1754"/>
      <c r="AM1008" s="1754"/>
      <c r="AN1008" s="1754"/>
      <c r="AO1008" s="1754"/>
      <c r="AP1008" s="1754"/>
      <c r="AQ1008" s="1755"/>
      <c r="AR1008" s="68"/>
      <c r="AS1008" s="68"/>
      <c r="AT1008" s="68"/>
      <c r="AU1008" s="68"/>
      <c r="AV1008" s="68"/>
      <c r="AW1008" s="68"/>
      <c r="AX1008" s="68"/>
      <c r="AY1008" s="68"/>
    </row>
    <row r="1009" spans="1:51" ht="13.05" customHeight="1">
      <c r="A1009" s="14"/>
      <c r="B1009" s="73"/>
      <c r="C1009" s="74"/>
      <c r="D1009" s="1747"/>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3"/>
      <c r="AG1009" s="14"/>
      <c r="AH1009" s="14"/>
      <c r="AI1009" s="83"/>
      <c r="AJ1009" s="1756"/>
      <c r="AK1009" s="1757"/>
      <c r="AL1009" s="1757"/>
      <c r="AM1009" s="1757"/>
      <c r="AN1009" s="1757"/>
      <c r="AO1009" s="1757"/>
      <c r="AP1009" s="1757"/>
      <c r="AQ1009" s="1758"/>
      <c r="AR1009" s="68"/>
      <c r="AS1009" s="68"/>
      <c r="AT1009" s="68"/>
      <c r="AU1009" s="68"/>
      <c r="AV1009" s="68"/>
      <c r="AW1009" s="68"/>
      <c r="AX1009" s="68"/>
      <c r="AY1009" s="68"/>
    </row>
    <row r="1010" spans="1:51" ht="13.05" customHeight="1">
      <c r="A1010" s="14"/>
      <c r="B1010" s="79"/>
      <c r="C1010" s="131" t="s">
        <v>1945</v>
      </c>
      <c r="D1010" s="1770" t="s">
        <v>2129</v>
      </c>
      <c r="E1010" s="1771"/>
      <c r="F1010" s="1771"/>
      <c r="G1010" s="1771"/>
      <c r="H1010" s="1771"/>
      <c r="I1010" s="1771"/>
      <c r="J1010" s="1771"/>
      <c r="K1010" s="1771"/>
      <c r="L1010" s="1771"/>
      <c r="M1010" s="1771"/>
      <c r="N1010" s="1771"/>
      <c r="O1010" s="1771"/>
      <c r="P1010" s="1771"/>
      <c r="Q1010" s="1771"/>
      <c r="R1010" s="1771"/>
      <c r="S1010" s="1771"/>
      <c r="T1010" s="1771"/>
      <c r="U1010" s="1771"/>
      <c r="V1010" s="1771"/>
      <c r="W1010" s="1771"/>
      <c r="X1010" s="1771"/>
      <c r="Y1010" s="1771"/>
      <c r="Z1010" s="1771"/>
      <c r="AA1010" s="1771"/>
      <c r="AB1010" s="1771"/>
      <c r="AC1010" s="1771"/>
      <c r="AD1010" s="1771"/>
      <c r="AE1010" s="1772"/>
      <c r="AF1010" s="79"/>
      <c r="AG1010" s="1741" t="str">
        <f>IF(X1013&gt;0,"Yes","No")</f>
        <v>Yes</v>
      </c>
      <c r="AH1010" s="1742"/>
      <c r="AI1010" s="87"/>
      <c r="AJ1010" s="1750">
        <f>IF((X1013=0),0,BA975*AJ961)</f>
        <v>2636545.02</v>
      </c>
      <c r="AK1010" s="1751"/>
      <c r="AL1010" s="1751"/>
      <c r="AM1010" s="1751"/>
      <c r="AN1010" s="1751"/>
      <c r="AO1010" s="1751"/>
      <c r="AP1010" s="1751"/>
      <c r="AQ1010" s="1752"/>
      <c r="AR1010" s="68"/>
      <c r="AS1010" s="68"/>
      <c r="AT1010" s="68"/>
      <c r="AU1010" s="68"/>
      <c r="AV1010" s="68"/>
      <c r="AW1010" s="68"/>
      <c r="AX1010" s="68"/>
      <c r="AY1010" s="68"/>
    </row>
    <row r="1011" spans="1:51" ht="13.05" customHeight="1">
      <c r="A1011" s="14"/>
      <c r="B1011" s="73"/>
      <c r="C1011" s="477"/>
      <c r="D1011" s="1734" t="s">
        <v>1465</v>
      </c>
      <c r="E1011" s="1735"/>
      <c r="F1011" s="1735"/>
      <c r="G1011" s="1735"/>
      <c r="H1011" s="1735"/>
      <c r="I1011" s="1735"/>
      <c r="J1011" s="1735"/>
      <c r="K1011" s="1735"/>
      <c r="L1011" s="1735"/>
      <c r="M1011" s="1735"/>
      <c r="N1011" s="1735"/>
      <c r="O1011" s="1735"/>
      <c r="P1011" s="1735"/>
      <c r="Q1011" s="1735"/>
      <c r="R1011" s="1735"/>
      <c r="S1011" s="1735"/>
      <c r="T1011" s="1735"/>
      <c r="U1011" s="1735"/>
      <c r="V1011" s="1735"/>
      <c r="W1011" s="1735"/>
      <c r="X1011" s="1735"/>
      <c r="Y1011" s="1735"/>
      <c r="Z1011" s="1735"/>
      <c r="AA1011" s="1735"/>
      <c r="AB1011" s="1735"/>
      <c r="AC1011" s="1735"/>
      <c r="AD1011" s="1735"/>
      <c r="AE1011" s="1736"/>
      <c r="AF1011" s="73"/>
      <c r="AG1011" s="478"/>
      <c r="AH1011" s="478"/>
      <c r="AI1011" s="83"/>
      <c r="AJ1011" s="1753"/>
      <c r="AK1011" s="1754"/>
      <c r="AL1011" s="1754"/>
      <c r="AM1011" s="1754"/>
      <c r="AN1011" s="1754"/>
      <c r="AO1011" s="1754"/>
      <c r="AP1011" s="1754"/>
      <c r="AQ1011" s="1755"/>
      <c r="AR1011" s="68"/>
      <c r="AS1011" s="68"/>
      <c r="AT1011" s="68"/>
      <c r="AU1011" s="68"/>
      <c r="AV1011" s="68"/>
      <c r="AW1011" s="68"/>
      <c r="AX1011" s="68"/>
      <c r="AY1011" s="68"/>
    </row>
    <row r="1012" spans="1:51" ht="13.05" customHeight="1">
      <c r="A1012" s="14"/>
      <c r="B1012" s="73"/>
      <c r="C1012" s="477"/>
      <c r="D1012" s="1734"/>
      <c r="E1012" s="1735"/>
      <c r="F1012" s="1735"/>
      <c r="G1012" s="1735"/>
      <c r="H1012" s="1735"/>
      <c r="I1012" s="1735"/>
      <c r="J1012" s="1735"/>
      <c r="K1012" s="1735"/>
      <c r="L1012" s="1735"/>
      <c r="M1012" s="1735"/>
      <c r="N1012" s="1735"/>
      <c r="O1012" s="1735"/>
      <c r="P1012" s="1735"/>
      <c r="Q1012" s="1735"/>
      <c r="R1012" s="1735"/>
      <c r="S1012" s="1735"/>
      <c r="T1012" s="1735"/>
      <c r="U1012" s="1735"/>
      <c r="V1012" s="1735"/>
      <c r="W1012" s="1735"/>
      <c r="X1012" s="1735"/>
      <c r="Y1012" s="1735"/>
      <c r="Z1012" s="1735"/>
      <c r="AA1012" s="1735"/>
      <c r="AB1012" s="1735"/>
      <c r="AC1012" s="1735"/>
      <c r="AD1012" s="1735"/>
      <c r="AE1012" s="1736"/>
      <c r="AF1012" s="73"/>
      <c r="AG1012" s="478"/>
      <c r="AH1012" s="478"/>
      <c r="AI1012" s="83"/>
      <c r="AJ1012" s="1753"/>
      <c r="AK1012" s="1754"/>
      <c r="AL1012" s="1754"/>
      <c r="AM1012" s="1754"/>
      <c r="AN1012" s="1754"/>
      <c r="AO1012" s="1754"/>
      <c r="AP1012" s="1754"/>
      <c r="AQ1012" s="1755"/>
      <c r="AR1012" s="68"/>
      <c r="AS1012" s="68"/>
      <c r="AT1012" s="68"/>
      <c r="AU1012" s="68"/>
      <c r="AV1012" s="68"/>
      <c r="AW1012" s="68"/>
      <c r="AX1012" s="68"/>
      <c r="AY1012" s="68"/>
    </row>
    <row r="1013" spans="1:51" ht="13.05" customHeight="1">
      <c r="A1013" s="14"/>
      <c r="B1013" s="77"/>
      <c r="C1013" s="78"/>
      <c r="D1013" s="132" t="s">
        <v>1012</v>
      </c>
      <c r="E1013" s="133"/>
      <c r="F1013" s="133"/>
      <c r="G1013" s="133"/>
      <c r="H1013" s="133"/>
      <c r="I1013" s="1739">
        <f>BA973</f>
        <v>204</v>
      </c>
      <c r="J1013" s="1740"/>
      <c r="K1013" s="7"/>
      <c r="L1013" s="133"/>
      <c r="M1013" s="133"/>
      <c r="N1013" s="133"/>
      <c r="O1013" s="133"/>
      <c r="P1013" s="133"/>
      <c r="Q1013" s="133"/>
      <c r="R1013" s="133"/>
      <c r="S1013" s="133"/>
      <c r="T1013" s="133"/>
      <c r="U1013" s="133"/>
      <c r="V1013" s="134" t="s">
        <v>1013</v>
      </c>
      <c r="W1013" s="48"/>
      <c r="X1013" s="1737">
        <f>BG621</f>
        <v>8</v>
      </c>
      <c r="Y1013" s="1738"/>
      <c r="Z1013" s="48"/>
      <c r="AA1013" s="48"/>
      <c r="AB1013" s="48"/>
      <c r="AC1013" s="48"/>
      <c r="AD1013" s="48"/>
      <c r="AE1013" s="49"/>
      <c r="AF1013" s="961"/>
      <c r="AG1013" s="962"/>
      <c r="AH1013" s="962"/>
      <c r="AI1013" s="963"/>
      <c r="AJ1013" s="1756"/>
      <c r="AK1013" s="1757"/>
      <c r="AL1013" s="1757"/>
      <c r="AM1013" s="1757"/>
      <c r="AN1013" s="1757"/>
      <c r="AO1013" s="1757"/>
      <c r="AP1013" s="1757"/>
      <c r="AQ1013" s="1758"/>
      <c r="AR1013" s="68"/>
      <c r="AS1013" s="68"/>
      <c r="AT1013" s="68"/>
      <c r="AU1013" s="68"/>
      <c r="AV1013" s="68"/>
      <c r="AW1013" s="68"/>
      <c r="AX1013" s="68"/>
      <c r="AY1013" s="68"/>
    </row>
    <row r="1014" spans="1:51" ht="13.05" customHeight="1">
      <c r="A1014" s="14"/>
      <c r="B1014" s="79"/>
      <c r="C1014" s="131" t="s">
        <v>1946</v>
      </c>
      <c r="D1014" s="1731" t="s">
        <v>2130</v>
      </c>
      <c r="E1014" s="1732"/>
      <c r="F1014" s="1732"/>
      <c r="G1014" s="1732"/>
      <c r="H1014" s="1732"/>
      <c r="I1014" s="1732"/>
      <c r="J1014" s="1732"/>
      <c r="K1014" s="1732"/>
      <c r="L1014" s="1732"/>
      <c r="M1014" s="1732"/>
      <c r="N1014" s="1732"/>
      <c r="O1014" s="1732"/>
      <c r="P1014" s="1732"/>
      <c r="Q1014" s="1732"/>
      <c r="R1014" s="1732"/>
      <c r="S1014" s="1732"/>
      <c r="T1014" s="1732"/>
      <c r="U1014" s="1732"/>
      <c r="V1014" s="1732"/>
      <c r="W1014" s="1732"/>
      <c r="X1014" s="1732"/>
      <c r="Y1014" s="1732"/>
      <c r="Z1014" s="1732"/>
      <c r="AA1014" s="1732"/>
      <c r="AB1014" s="1732"/>
      <c r="AC1014" s="1732"/>
      <c r="AD1014" s="1732"/>
      <c r="AE1014" s="1733"/>
      <c r="AF1014" s="73"/>
      <c r="AG1014" s="1741" t="str">
        <f>IF(X1017&gt;0,"Yes","No")</f>
        <v>Yes</v>
      </c>
      <c r="AH1014" s="1742"/>
      <c r="AI1014" s="83"/>
      <c r="AJ1014" s="1750">
        <f>IF((X1017=0),0,(2*BA976)*AJ961)</f>
        <v>24607753.520000003</v>
      </c>
      <c r="AK1014" s="1751"/>
      <c r="AL1014" s="1751"/>
      <c r="AM1014" s="1751"/>
      <c r="AN1014" s="1751"/>
      <c r="AO1014" s="1751"/>
      <c r="AP1014" s="1751"/>
      <c r="AQ1014" s="1752"/>
      <c r="AR1014" s="68"/>
      <c r="AS1014" s="68"/>
      <c r="AT1014" s="68"/>
      <c r="AU1014" s="68"/>
      <c r="AV1014" s="68"/>
      <c r="AW1014" s="68"/>
      <c r="AX1014" s="68"/>
      <c r="AY1014" s="68"/>
    </row>
    <row r="1015" spans="1:51" ht="13.05" customHeight="1">
      <c r="A1015" s="14"/>
      <c r="B1015" s="73"/>
      <c r="C1015" s="477"/>
      <c r="D1015" s="1734" t="s">
        <v>1464</v>
      </c>
      <c r="E1015" s="1735"/>
      <c r="F1015" s="1735"/>
      <c r="G1015" s="1735"/>
      <c r="H1015" s="1735"/>
      <c r="I1015" s="1735"/>
      <c r="J1015" s="1735"/>
      <c r="K1015" s="1735"/>
      <c r="L1015" s="1735"/>
      <c r="M1015" s="1735"/>
      <c r="N1015" s="1735"/>
      <c r="O1015" s="1735"/>
      <c r="P1015" s="1735"/>
      <c r="Q1015" s="1735"/>
      <c r="R1015" s="1735"/>
      <c r="S1015" s="1735"/>
      <c r="T1015" s="1735"/>
      <c r="U1015" s="1735"/>
      <c r="V1015" s="1735"/>
      <c r="W1015" s="1735"/>
      <c r="X1015" s="1735"/>
      <c r="Y1015" s="1735"/>
      <c r="Z1015" s="1735"/>
      <c r="AA1015" s="1735"/>
      <c r="AB1015" s="1735"/>
      <c r="AC1015" s="1735"/>
      <c r="AD1015" s="1735"/>
      <c r="AE1015" s="1736"/>
      <c r="AF1015" s="73"/>
      <c r="AG1015" s="478"/>
      <c r="AH1015" s="478"/>
      <c r="AI1015" s="83"/>
      <c r="AJ1015" s="1753"/>
      <c r="AK1015" s="1754"/>
      <c r="AL1015" s="1754"/>
      <c r="AM1015" s="1754"/>
      <c r="AN1015" s="1754"/>
      <c r="AO1015" s="1754"/>
      <c r="AP1015" s="1754"/>
      <c r="AQ1015" s="1755"/>
      <c r="AR1015" s="68"/>
      <c r="AS1015" s="68"/>
      <c r="AT1015" s="68"/>
      <c r="AU1015" s="68"/>
      <c r="AV1015" s="68"/>
      <c r="AW1015" s="68"/>
      <c r="AX1015" s="68"/>
      <c r="AY1015" s="68"/>
    </row>
    <row r="1016" spans="1:51" ht="13.05" customHeight="1">
      <c r="A1016" s="14"/>
      <c r="B1016" s="73"/>
      <c r="C1016" s="83"/>
      <c r="D1016" s="1734"/>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958"/>
      <c r="AG1016" s="959"/>
      <c r="AH1016" s="959"/>
      <c r="AI1016" s="960"/>
      <c r="AJ1016" s="1753"/>
      <c r="AK1016" s="1754"/>
      <c r="AL1016" s="1754"/>
      <c r="AM1016" s="1754"/>
      <c r="AN1016" s="1754"/>
      <c r="AO1016" s="1754"/>
      <c r="AP1016" s="1754"/>
      <c r="AQ1016" s="1755"/>
      <c r="AR1016" s="68"/>
      <c r="AS1016" s="68"/>
      <c r="AT1016" s="68"/>
      <c r="AU1016" s="68"/>
      <c r="AV1016" s="68"/>
      <c r="AW1016" s="68"/>
      <c r="AX1016" s="68"/>
      <c r="AY1016" s="68"/>
    </row>
    <row r="1017" spans="1:51" ht="13.05" customHeight="1">
      <c r="A1017" s="14"/>
      <c r="B1017" s="77"/>
      <c r="C1017" s="78"/>
      <c r="D1017" s="132" t="s">
        <v>1012</v>
      </c>
      <c r="E1017" s="133"/>
      <c r="F1017" s="133"/>
      <c r="G1017" s="133"/>
      <c r="H1017" s="133"/>
      <c r="I1017" s="1739">
        <f>BA973</f>
        <v>204</v>
      </c>
      <c r="J1017" s="1740"/>
      <c r="K1017" s="14"/>
      <c r="L1017" s="133"/>
      <c r="M1017" s="133"/>
      <c r="N1017" s="133"/>
      <c r="O1017" s="133"/>
      <c r="P1017" s="133"/>
      <c r="Q1017" s="133"/>
      <c r="R1017" s="133"/>
      <c r="S1017" s="133"/>
      <c r="T1017" s="133"/>
      <c r="U1017" s="133"/>
      <c r="V1017" s="134" t="s">
        <v>1014</v>
      </c>
      <c r="X1017" s="1737">
        <f>BK621</f>
        <v>30</v>
      </c>
      <c r="Y1017" s="1738"/>
      <c r="AF1017" s="961"/>
      <c r="AG1017" s="962"/>
      <c r="AH1017" s="962"/>
      <c r="AI1017" s="963"/>
      <c r="AJ1017" s="1756"/>
      <c r="AK1017" s="1757"/>
      <c r="AL1017" s="1757"/>
      <c r="AM1017" s="1757"/>
      <c r="AN1017" s="1757"/>
      <c r="AO1017" s="1757"/>
      <c r="AP1017" s="1757"/>
      <c r="AQ1017" s="1758"/>
      <c r="AR1017" s="68"/>
      <c r="AS1017" s="68"/>
      <c r="AT1017" s="68"/>
      <c r="AU1017" s="68"/>
      <c r="AV1017" s="68"/>
      <c r="AW1017" s="68"/>
      <c r="AX1017" s="68"/>
      <c r="AY1017" s="68"/>
    </row>
    <row r="1018" spans="1:51" ht="13.05" customHeight="1">
      <c r="A1018" s="14"/>
      <c r="B1018" s="102"/>
      <c r="C1018" s="103"/>
      <c r="D1018" s="1729" t="s">
        <v>522</v>
      </c>
      <c r="E1018" s="1729"/>
      <c r="F1018" s="1729"/>
      <c r="G1018" s="1729"/>
      <c r="H1018" s="1729"/>
      <c r="I1018" s="1729"/>
      <c r="J1018" s="1729"/>
      <c r="K1018" s="1729"/>
      <c r="L1018" s="1729"/>
      <c r="M1018" s="1729"/>
      <c r="N1018" s="1729"/>
      <c r="O1018" s="1729"/>
      <c r="P1018" s="1729"/>
      <c r="Q1018" s="1729"/>
      <c r="R1018" s="1729"/>
      <c r="S1018" s="1729"/>
      <c r="T1018" s="1729"/>
      <c r="U1018" s="1729"/>
      <c r="V1018" s="1729"/>
      <c r="W1018" s="1729"/>
      <c r="X1018" s="1729"/>
      <c r="Y1018" s="1729"/>
      <c r="Z1018" s="1729"/>
      <c r="AA1018" s="1729"/>
      <c r="AB1018" s="1729"/>
      <c r="AC1018" s="1729"/>
      <c r="AD1018" s="1729"/>
      <c r="AE1018" s="1729"/>
      <c r="AF1018" s="1729"/>
      <c r="AG1018" s="1729"/>
      <c r="AH1018" s="1729"/>
      <c r="AI1018" s="1730"/>
      <c r="AJ1018" s="1759">
        <f>SUM(AJ961:AQ1017)</f>
        <v>115129132.53999999</v>
      </c>
      <c r="AK1018" s="1760"/>
      <c r="AL1018" s="1760"/>
      <c r="AM1018" s="1760"/>
      <c r="AN1018" s="1760"/>
      <c r="AO1018" s="1760"/>
      <c r="AP1018" s="1760"/>
      <c r="AQ1018" s="1761"/>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695">
        <f>IF(ISNA(IF((AJ985&gt;(AJ961*0.15)),"(f) cannot be greater than 15% of unadjusted eligible basis.",0)),"",(IF((AJ985&gt;(AJ961*0.15)),"(f) cannot be greater than 15% of unadjusted eligible basis.",0)))</f>
        <v>0</v>
      </c>
      <c r="C1025" s="1695"/>
      <c r="D1025" s="1695"/>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5"/>
      <c r="AF1025" s="1695"/>
      <c r="AG1025" s="1695"/>
      <c r="AH1025" s="1695"/>
      <c r="AI1025" s="1695"/>
      <c r="AJ1025" s="1695"/>
      <c r="AK1025" s="1695"/>
      <c r="AL1025" s="68"/>
      <c r="AM1025" s="68"/>
      <c r="AN1025" s="68"/>
      <c r="AO1025" s="68"/>
      <c r="AP1025" s="68"/>
      <c r="AQ1025" s="68"/>
      <c r="AR1025" s="68"/>
      <c r="AS1025" s="68"/>
      <c r="AT1025" s="68"/>
      <c r="AU1025" s="68"/>
      <c r="AV1025" s="68"/>
      <c r="AW1025" s="68"/>
      <c r="AX1025" s="68"/>
      <c r="AY1025" s="68"/>
    </row>
    <row r="1026" spans="1:51" ht="13.05" customHeight="1" thickBot="1">
      <c r="A1026" s="1657" t="s">
        <v>818</v>
      </c>
      <c r="B1026" s="1657"/>
      <c r="C1026" s="1657"/>
      <c r="D1026" s="1657"/>
      <c r="E1026" s="1657"/>
      <c r="F1026" s="1657"/>
      <c r="G1026" s="1657"/>
      <c r="H1026" s="1657"/>
      <c r="I1026" s="1657"/>
      <c r="J1026" s="1657"/>
      <c r="K1026" s="1657"/>
      <c r="L1026" s="1657"/>
      <c r="M1026" s="1657"/>
      <c r="N1026" s="1657"/>
      <c r="O1026" s="1657"/>
      <c r="P1026" s="1657"/>
      <c r="Q1026" s="1657"/>
      <c r="R1026" s="1657"/>
      <c r="S1026" s="1657"/>
      <c r="T1026" s="1657"/>
      <c r="U1026" s="1657"/>
      <c r="V1026" s="1657"/>
      <c r="W1026" s="1657"/>
      <c r="X1026" s="1657"/>
      <c r="Y1026" s="1657"/>
      <c r="Z1026" s="1657"/>
      <c r="AA1026" s="1657"/>
      <c r="AB1026" s="1657"/>
      <c r="AC1026" s="1657"/>
      <c r="AD1026" s="1657"/>
      <c r="AE1026" s="1657"/>
      <c r="AF1026" s="1657"/>
      <c r="AG1026" s="1657"/>
      <c r="AH1026" s="1657"/>
      <c r="AI1026" s="1657"/>
      <c r="AJ1026" s="1657"/>
      <c r="AK1026" s="1657"/>
      <c r="AL1026" s="1657"/>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44" t="s">
        <v>600</v>
      </c>
      <c r="B1030" s="1344"/>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05" customHeight="1">
      <c r="A1036" s="1344" t="s">
        <v>600</v>
      </c>
      <c r="B1036" s="1344"/>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05" customHeight="1">
      <c r="A1042" s="1344" t="s">
        <v>600</v>
      </c>
      <c r="B1042" s="1344"/>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0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0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0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0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0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0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05" customHeight="1">
      <c r="A1049" s="1344" t="s">
        <v>600</v>
      </c>
      <c r="B1049" s="1344"/>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0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0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05" customHeight="1">
      <c r="A1052" s="1344" t="s">
        <v>600</v>
      </c>
      <c r="B1052" s="1344"/>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0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0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0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0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05" customHeight="1">
      <c r="A1057" s="1344" t="s">
        <v>600</v>
      </c>
      <c r="B1057" s="1344"/>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0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0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05" customHeight="1">
      <c r="A1060" s="1344" t="s">
        <v>600</v>
      </c>
      <c r="B1060" s="1344"/>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0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0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0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05" customHeight="1">
      <c r="A1064" s="1344" t="s">
        <v>600</v>
      </c>
      <c r="B1064" s="1344"/>
      <c r="C1064" s="212">
        <v>8</v>
      </c>
      <c r="D1064" s="1691" t="s">
        <v>1943</v>
      </c>
      <c r="E1064" s="1691"/>
      <c r="F1064" s="1691"/>
      <c r="G1064" s="1691"/>
      <c r="H1064" s="1691"/>
      <c r="I1064" s="1691"/>
      <c r="J1064" s="1691"/>
      <c r="K1064" s="1691"/>
      <c r="L1064" s="1691"/>
      <c r="M1064" s="1691"/>
      <c r="N1064" s="1691"/>
      <c r="O1064" s="1691"/>
      <c r="P1064" s="1691"/>
      <c r="Q1064" s="1691"/>
      <c r="R1064" s="1691"/>
      <c r="S1064" s="1691"/>
      <c r="T1064" s="1691"/>
      <c r="U1064" s="1691"/>
      <c r="V1064" s="1691"/>
      <c r="W1064" s="1691"/>
      <c r="X1064" s="1691"/>
      <c r="Y1064" s="1691"/>
      <c r="Z1064" s="1691"/>
      <c r="AA1064" s="1691"/>
      <c r="AB1064" s="1691"/>
      <c r="AC1064" s="1691"/>
      <c r="AD1064" s="1691"/>
      <c r="AE1064" s="1691"/>
      <c r="AF1064" s="1691"/>
      <c r="AG1064" s="1691"/>
      <c r="AH1064" s="1691"/>
      <c r="AI1064" s="1691"/>
      <c r="AJ1064" s="1691"/>
      <c r="AK1064" s="1691"/>
    </row>
    <row r="1065" spans="1:37" ht="13.05" customHeight="1">
      <c r="A1065" s="1"/>
      <c r="B1065" s="1"/>
      <c r="C1065" s="212"/>
      <c r="D1065" s="1691"/>
      <c r="E1065" s="1691"/>
      <c r="F1065" s="1691"/>
      <c r="G1065" s="1691"/>
      <c r="H1065" s="1691"/>
      <c r="I1065" s="1691"/>
      <c r="J1065" s="1691"/>
      <c r="K1065" s="1691"/>
      <c r="L1065" s="1691"/>
      <c r="M1065" s="1691"/>
      <c r="N1065" s="1691"/>
      <c r="O1065" s="1691"/>
      <c r="P1065" s="1691"/>
      <c r="Q1065" s="1691"/>
      <c r="R1065" s="1691"/>
      <c r="S1065" s="1691"/>
      <c r="T1065" s="1691"/>
      <c r="U1065" s="1691"/>
      <c r="V1065" s="1691"/>
      <c r="W1065" s="1691"/>
      <c r="X1065" s="1691"/>
      <c r="Y1065" s="1691"/>
      <c r="Z1065" s="1691"/>
      <c r="AA1065" s="1691"/>
      <c r="AB1065" s="1691"/>
      <c r="AC1065" s="1691"/>
      <c r="AD1065" s="1691"/>
      <c r="AE1065" s="1691"/>
      <c r="AF1065" s="1691"/>
      <c r="AG1065" s="1691"/>
      <c r="AH1065" s="1691"/>
      <c r="AI1065" s="1691"/>
      <c r="AJ1065" s="1691"/>
      <c r="AK1065" s="1691"/>
    </row>
    <row r="1066" spans="1:37" ht="13.05" customHeight="1">
      <c r="A1066" s="1"/>
      <c r="B1066" s="1"/>
      <c r="C1066" s="212"/>
      <c r="D1066" s="1691"/>
      <c r="E1066" s="1691"/>
      <c r="F1066" s="1691"/>
      <c r="G1066" s="1691"/>
      <c r="H1066" s="1691"/>
      <c r="I1066" s="1691"/>
      <c r="J1066" s="1691"/>
      <c r="K1066" s="1691"/>
      <c r="L1066" s="1691"/>
      <c r="M1066" s="1691"/>
      <c r="N1066" s="1691"/>
      <c r="O1066" s="1691"/>
      <c r="P1066" s="1691"/>
      <c r="Q1066" s="1691"/>
      <c r="R1066" s="1691"/>
      <c r="S1066" s="1691"/>
      <c r="T1066" s="1691"/>
      <c r="U1066" s="1691"/>
      <c r="V1066" s="1691"/>
      <c r="W1066" s="1691"/>
      <c r="X1066" s="1691"/>
      <c r="Y1066" s="1691"/>
      <c r="Z1066" s="1691"/>
      <c r="AA1066" s="1691"/>
      <c r="AB1066" s="1691"/>
      <c r="AC1066" s="1691"/>
      <c r="AD1066" s="1691"/>
      <c r="AE1066" s="1691"/>
      <c r="AF1066" s="1691"/>
      <c r="AG1066" s="1691"/>
      <c r="AH1066" s="1691"/>
      <c r="AI1066" s="1691"/>
      <c r="AJ1066" s="1691"/>
      <c r="AK1066" s="1691"/>
    </row>
    <row r="1067" spans="1:37" ht="13.05" customHeight="1">
      <c r="A1067" s="35"/>
      <c r="B1067" s="25"/>
      <c r="C1067" s="212"/>
      <c r="D1067" s="1691"/>
      <c r="E1067" s="1691"/>
      <c r="F1067" s="1691"/>
      <c r="G1067" s="1691"/>
      <c r="H1067" s="1691"/>
      <c r="I1067" s="1691"/>
      <c r="J1067" s="1691"/>
      <c r="K1067" s="1691"/>
      <c r="L1067" s="1691"/>
      <c r="M1067" s="1691"/>
      <c r="N1067" s="1691"/>
      <c r="O1067" s="1691"/>
      <c r="P1067" s="1691"/>
      <c r="Q1067" s="1691"/>
      <c r="R1067" s="1691"/>
      <c r="S1067" s="1691"/>
      <c r="T1067" s="1691"/>
      <c r="U1067" s="1691"/>
      <c r="V1067" s="1691"/>
      <c r="W1067" s="1691"/>
      <c r="X1067" s="1691"/>
      <c r="Y1067" s="1691"/>
      <c r="Z1067" s="1691"/>
      <c r="AA1067" s="1691"/>
      <c r="AB1067" s="1691"/>
      <c r="AC1067" s="1691"/>
      <c r="AD1067" s="1691"/>
      <c r="AE1067" s="1691"/>
      <c r="AF1067" s="1691"/>
      <c r="AG1067" s="1691"/>
      <c r="AH1067" s="1691"/>
      <c r="AI1067" s="1691"/>
      <c r="AJ1067" s="1691"/>
      <c r="AK1067" s="1691"/>
    </row>
    <row r="1068" spans="1:37" ht="13.05" customHeight="1">
      <c r="A1068" s="1344" t="s">
        <v>600</v>
      </c>
      <c r="B1068" s="1344"/>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0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0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P342:AE342"/>
    <mergeCell ref="H320:R320"/>
    <mergeCell ref="H321:R321"/>
    <mergeCell ref="AA330:AF330"/>
    <mergeCell ref="P314:R314"/>
    <mergeCell ref="Z262:AE262"/>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M262:R262"/>
    <mergeCell ref="M264:T264"/>
    <mergeCell ref="AA313:AK313"/>
    <mergeCell ref="H337:R337"/>
    <mergeCell ref="H287:R287"/>
    <mergeCell ref="AA289:AK289"/>
    <mergeCell ref="AI298:AK298"/>
    <mergeCell ref="H296:R296"/>
    <mergeCell ref="AA297:AK297"/>
    <mergeCell ref="L275:S275"/>
    <mergeCell ref="L277:Q277"/>
    <mergeCell ref="AA295:AK295"/>
    <mergeCell ref="AA288:AK288"/>
    <mergeCell ref="P322:R322"/>
    <mergeCell ref="AA314:AF314"/>
    <mergeCell ref="H297:R297"/>
    <mergeCell ref="AI306:AK306"/>
    <mergeCell ref="L278:AD278"/>
    <mergeCell ref="H313:R313"/>
    <mergeCell ref="H311:R311"/>
    <mergeCell ref="H310:R310"/>
    <mergeCell ref="H312:R312"/>
    <mergeCell ref="H315:M315"/>
    <mergeCell ref="H314:M314"/>
    <mergeCell ref="H316:R316"/>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W260:X260"/>
    <mergeCell ref="U262:W262"/>
    <mergeCell ref="M256:T256"/>
    <mergeCell ref="M255:AE255"/>
    <mergeCell ref="P290:R290"/>
    <mergeCell ref="L273:AJ273"/>
    <mergeCell ref="AA306:AF306"/>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AA315:AF315"/>
    <mergeCell ref="AA264:AK264"/>
    <mergeCell ref="H294:R294"/>
    <mergeCell ref="H303:R303"/>
    <mergeCell ref="H302:R302"/>
    <mergeCell ref="AA307:AF307"/>
    <mergeCell ref="AA304:AK304"/>
    <mergeCell ref="M260:T260"/>
    <mergeCell ref="AH261:AK261"/>
    <mergeCell ref="AA334:AK334"/>
    <mergeCell ref="D467:V467"/>
    <mergeCell ref="S404:AJ404"/>
    <mergeCell ref="AA287:AK287"/>
    <mergeCell ref="H286:R286"/>
    <mergeCell ref="AA256:AK256"/>
    <mergeCell ref="AA323:AF323"/>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90" zoomScaleNormal="90" zoomScaleSheetLayoutView="100" workbookViewId="0">
      <selection activeCell="F1110" sqref="F1110"/>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829" t="s">
        <v>2609</v>
      </c>
      <c r="B2" s="1829"/>
      <c r="C2" s="1829"/>
      <c r="D2" s="1829"/>
      <c r="E2" s="1829"/>
      <c r="F2" s="1829"/>
      <c r="G2" s="1829"/>
      <c r="H2" s="1829"/>
      <c r="I2" s="1829"/>
    </row>
    <row r="3" spans="1:13">
      <c r="A3" s="1830" t="s">
        <v>2003</v>
      </c>
      <c r="B3" s="1830"/>
      <c r="C3" s="1830"/>
      <c r="D3" s="1830"/>
      <c r="E3" s="1830"/>
      <c r="F3" s="1830"/>
      <c r="G3" s="1830"/>
      <c r="H3" s="1830"/>
      <c r="I3" s="1830"/>
    </row>
    <row r="4" spans="1:13">
      <c r="A4" s="1830"/>
      <c r="B4" s="1830"/>
      <c r="C4" s="1318"/>
      <c r="D4" s="1318"/>
      <c r="E4" s="1318"/>
      <c r="F4" s="1318"/>
      <c r="G4" s="1318"/>
    </row>
    <row r="5" spans="1:13">
      <c r="A5" s="1830"/>
      <c r="B5" s="1830"/>
      <c r="C5" s="1318"/>
      <c r="D5" s="1318"/>
      <c r="E5" s="1318"/>
      <c r="F5" s="1318"/>
      <c r="G5" s="1318"/>
    </row>
    <row r="6" spans="1:13">
      <c r="A6" s="1829" t="s">
        <v>1202</v>
      </c>
      <c r="B6" s="1829"/>
      <c r="C6" s="1841"/>
      <c r="D6" s="1841"/>
      <c r="E6" s="1841"/>
      <c r="F6" s="1841"/>
      <c r="G6" s="1841"/>
      <c r="I6" s="525" t="s">
        <v>2146</v>
      </c>
    </row>
    <row r="7" spans="1:13">
      <c r="A7" s="1829" t="s">
        <v>1203</v>
      </c>
      <c r="B7" s="1829"/>
      <c r="C7" s="1841"/>
      <c r="D7" s="1841"/>
      <c r="E7" s="1841"/>
      <c r="F7" s="1841"/>
      <c r="G7" s="1841"/>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8" customHeight="1">
      <c r="C11" s="517"/>
      <c r="D11" s="1842" t="s">
        <v>1204</v>
      </c>
      <c r="E11" s="1842"/>
      <c r="F11" s="1842"/>
    </row>
    <row r="12" spans="1:13">
      <c r="C12" s="517"/>
      <c r="D12" s="1842"/>
      <c r="E12" s="1842"/>
      <c r="F12" s="1842"/>
    </row>
    <row r="13" spans="1:13">
      <c r="A13" s="518"/>
      <c r="B13" s="518"/>
      <c r="C13" s="518"/>
      <c r="D13" s="1304" t="s">
        <v>1187</v>
      </c>
      <c r="E13" s="1304"/>
      <c r="F13" s="1304"/>
      <c r="M13" s="96"/>
    </row>
    <row r="14" spans="1:13">
      <c r="A14" s="518"/>
      <c r="B14" s="518"/>
      <c r="C14" s="518"/>
      <c r="D14" s="511"/>
      <c r="L14" s="336"/>
    </row>
    <row r="15" spans="1:13" ht="14.4">
      <c r="A15" s="519"/>
      <c r="B15" s="520" t="s">
        <v>2679</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4">
      <c r="A20" s="519"/>
      <c r="B20" s="520" t="s">
        <v>2679</v>
      </c>
      <c r="D20" s="1275" t="s">
        <v>2305</v>
      </c>
      <c r="E20" s="1275"/>
      <c r="F20" s="1275"/>
      <c r="I20" s="436" t="s">
        <v>2149</v>
      </c>
    </row>
    <row r="21" spans="1:9" ht="14.4">
      <c r="A21" s="519"/>
      <c r="D21" s="1275"/>
      <c r="E21" s="1275"/>
      <c r="F21" s="1275"/>
    </row>
    <row r="22" spans="1:9" ht="14.4">
      <c r="A22" s="519"/>
      <c r="D22" s="424"/>
      <c r="E22" s="96" t="s">
        <v>2301</v>
      </c>
      <c r="F22" s="424"/>
    </row>
    <row r="23" spans="1:9" ht="14.4">
      <c r="A23" s="519"/>
      <c r="B23" s="519"/>
      <c r="D23" s="481"/>
    </row>
    <row r="24" spans="1:9" ht="14.4">
      <c r="A24" s="519"/>
      <c r="B24" s="520" t="s">
        <v>2678</v>
      </c>
      <c r="D24" s="1275" t="s">
        <v>1190</v>
      </c>
      <c r="E24" s="1275"/>
      <c r="F24" s="1275"/>
      <c r="I24" s="436" t="s">
        <v>2149</v>
      </c>
    </row>
    <row r="25" spans="1:9" ht="14.4">
      <c r="A25" s="519"/>
      <c r="B25" s="519"/>
      <c r="D25" s="1275"/>
      <c r="E25" s="1275"/>
      <c r="F25" s="1275"/>
    </row>
    <row r="26" spans="1:9"/>
    <row r="27" spans="1:9" ht="14.4">
      <c r="A27" s="519"/>
      <c r="B27" s="520" t="s">
        <v>2679</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2679</v>
      </c>
      <c r="D33" s="1275" t="s">
        <v>2445</v>
      </c>
      <c r="E33" s="1275"/>
      <c r="F33" s="1275"/>
      <c r="I33" s="436" t="s">
        <v>2148</v>
      </c>
    </row>
    <row r="34" spans="1:9">
      <c r="D34" s="1275"/>
      <c r="E34" s="1275"/>
      <c r="F34" s="1275"/>
    </row>
    <row r="35" spans="1:9" ht="14.4">
      <c r="A35" s="519"/>
      <c r="B35" s="519"/>
      <c r="D35" s="482"/>
    </row>
    <row r="36" spans="1:9" ht="14.55" customHeight="1">
      <c r="A36" s="519"/>
      <c r="B36" s="520" t="s">
        <v>2679</v>
      </c>
      <c r="D36" s="1275" t="s">
        <v>1357</v>
      </c>
      <c r="E36" s="1275"/>
      <c r="F36" s="1275"/>
      <c r="I36" s="436" t="s">
        <v>2219</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2678</v>
      </c>
      <c r="D41" s="1275" t="s">
        <v>1194</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2678</v>
      </c>
      <c r="D47" s="1275" t="s">
        <v>1195</v>
      </c>
      <c r="E47" s="1275"/>
      <c r="F47" s="1275"/>
      <c r="I47" s="436" t="s">
        <v>2219</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55" customHeight="1">
      <c r="A52" s="519"/>
      <c r="B52" s="520" t="s">
        <v>2679</v>
      </c>
      <c r="D52" s="1275" t="s">
        <v>1196</v>
      </c>
      <c r="E52" s="1275"/>
      <c r="F52" s="1275"/>
      <c r="I52" s="436" t="s">
        <v>2219</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2679</v>
      </c>
      <c r="D56" s="1843" t="s">
        <v>1197</v>
      </c>
      <c r="E56" s="1843"/>
      <c r="F56" s="1843"/>
    </row>
    <row r="57" spans="1:9" ht="14.4">
      <c r="A57" s="519"/>
      <c r="B57" s="519"/>
      <c r="D57" s="1843"/>
      <c r="E57" s="1843"/>
      <c r="F57" s="1843"/>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2678</v>
      </c>
      <c r="D61" s="1275" t="s">
        <v>1198</v>
      </c>
      <c r="E61" s="1275"/>
      <c r="F61" s="1275"/>
      <c r="I61" s="436" t="s">
        <v>2150</v>
      </c>
    </row>
    <row r="62" spans="1:9">
      <c r="D62" s="1275"/>
      <c r="E62" s="1275"/>
      <c r="F62" s="1275"/>
    </row>
    <row r="63" spans="1:9">
      <c r="D63" s="1275"/>
      <c r="E63" s="1275"/>
      <c r="F63" s="1275"/>
    </row>
    <row r="64" spans="1:9"/>
    <row r="65" spans="1:9" ht="14.4">
      <c r="A65" s="519"/>
      <c r="B65" s="520" t="s">
        <v>2678</v>
      </c>
      <c r="D65" s="1275" t="s">
        <v>1199</v>
      </c>
      <c r="E65" s="1275"/>
      <c r="F65" s="1275"/>
      <c r="I65" s="436" t="s">
        <v>2151</v>
      </c>
    </row>
    <row r="66" spans="1:9">
      <c r="D66" s="1275"/>
      <c r="E66" s="1275"/>
      <c r="F66" s="1275"/>
    </row>
    <row r="67" spans="1:9"/>
    <row r="68" spans="1:9" ht="14.4">
      <c r="A68" s="519"/>
      <c r="B68" s="520" t="s">
        <v>2679</v>
      </c>
      <c r="D68" s="1275" t="s">
        <v>1200</v>
      </c>
      <c r="E68" s="1275"/>
      <c r="F68" s="1275"/>
    </row>
    <row r="69" spans="1:9">
      <c r="D69" s="1275"/>
      <c r="E69" s="1275"/>
      <c r="F69" s="1275"/>
      <c r="I69" s="436" t="s">
        <v>2152</v>
      </c>
    </row>
    <row r="70" spans="1:9">
      <c r="D70" s="1275"/>
      <c r="E70" s="1275"/>
      <c r="F70" s="1275"/>
    </row>
    <row r="71" spans="1:9"/>
    <row r="72" spans="1:9" ht="14.4">
      <c r="A72" s="519"/>
      <c r="B72" s="520" t="s">
        <v>2678</v>
      </c>
      <c r="D72" s="1275" t="s">
        <v>1201</v>
      </c>
      <c r="E72" s="1275"/>
      <c r="F72" s="1275"/>
      <c r="I72" s="436" t="s">
        <v>2152</v>
      </c>
    </row>
    <row r="73" spans="1:9">
      <c r="D73" s="1275"/>
      <c r="E73" s="1275"/>
      <c r="F73" s="1275"/>
    </row>
    <row r="74" spans="1:9" ht="14.4">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8" customHeight="1">
      <c r="A80" s="519"/>
      <c r="B80" s="520" t="s">
        <v>2679</v>
      </c>
      <c r="D80" s="1275" t="s">
        <v>1401</v>
      </c>
      <c r="E80" s="1275"/>
      <c r="F80" s="1275"/>
      <c r="I80" s="436" t="s">
        <v>2153</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2679</v>
      </c>
      <c r="D89" s="1275" t="s">
        <v>2004</v>
      </c>
      <c r="E89" s="1275"/>
      <c r="F89" s="1275"/>
      <c r="I89" s="436" t="s">
        <v>2154</v>
      </c>
    </row>
    <row r="90" spans="1:9" ht="14.4">
      <c r="A90" s="519"/>
      <c r="B90" s="519"/>
      <c r="D90" s="1275"/>
      <c r="E90" s="1275"/>
      <c r="F90" s="1275"/>
    </row>
    <row r="91" spans="1:9" ht="14.4">
      <c r="A91" s="519"/>
      <c r="B91" s="519"/>
      <c r="D91" s="480"/>
      <c r="E91" s="480"/>
      <c r="F91" s="480"/>
    </row>
    <row r="92" spans="1:9" ht="14.4">
      <c r="A92" s="519"/>
      <c r="B92" s="520" t="s">
        <v>2679</v>
      </c>
      <c r="D92" s="1275" t="s">
        <v>2007</v>
      </c>
      <c r="E92" s="1275"/>
      <c r="F92" s="1275"/>
      <c r="I92" s="436" t="s">
        <v>2155</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2679</v>
      </c>
      <c r="D96" s="1275" t="s">
        <v>2006</v>
      </c>
      <c r="E96" s="1275"/>
      <c r="F96" s="1275"/>
      <c r="I96" s="436" t="s">
        <v>2200</v>
      </c>
    </row>
    <row r="97" spans="1:9" s="1024" customFormat="1" ht="14.4">
      <c r="A97" s="1022"/>
      <c r="B97" s="1022"/>
      <c r="C97" s="1023"/>
      <c r="D97" s="1275"/>
      <c r="E97" s="1275"/>
      <c r="F97" s="1275"/>
      <c r="I97" s="1063"/>
    </row>
    <row r="98" spans="1:9" ht="14.4">
      <c r="A98" s="519"/>
      <c r="B98" s="519"/>
      <c r="D98" s="424"/>
      <c r="E98" s="336" t="s">
        <v>2306</v>
      </c>
      <c r="F98" s="480"/>
    </row>
    <row r="99" spans="1:9" ht="14.4">
      <c r="A99" s="519"/>
      <c r="B99" s="519"/>
      <c r="D99" s="417"/>
      <c r="E99" s="417"/>
      <c r="F99" s="417"/>
    </row>
    <row r="100" spans="1:9" ht="14.4">
      <c r="A100" s="519"/>
      <c r="B100" s="520" t="s">
        <v>2678</v>
      </c>
      <c r="D100" s="1275" t="s">
        <v>2005</v>
      </c>
      <c r="E100" s="1275"/>
      <c r="F100" s="1275"/>
      <c r="I100" s="436" t="s">
        <v>2156</v>
      </c>
    </row>
    <row r="101" spans="1:9" ht="14.4">
      <c r="A101" s="519"/>
      <c r="B101" s="519"/>
      <c r="D101" s="1275"/>
      <c r="E101" s="1275"/>
      <c r="F101" s="1275"/>
    </row>
    <row r="102" spans="1:9" ht="14.4">
      <c r="A102" s="519"/>
      <c r="B102" s="519"/>
      <c r="D102" s="480"/>
      <c r="E102" s="480"/>
      <c r="F102" s="480"/>
    </row>
    <row r="103" spans="1:9" ht="14.55" customHeight="1">
      <c r="A103" s="519"/>
      <c r="B103" s="520" t="s">
        <v>2678</v>
      </c>
      <c r="D103" s="1275" t="s">
        <v>1337</v>
      </c>
      <c r="E103" s="1275"/>
      <c r="F103" s="1275"/>
      <c r="I103" s="436" t="s">
        <v>2157</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2678</v>
      </c>
      <c r="D119" s="1302" t="s">
        <v>1208</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2679</v>
      </c>
      <c r="C128" s="434"/>
      <c r="D128" s="1302" t="s">
        <v>2446</v>
      </c>
      <c r="E128" s="1302"/>
      <c r="F128" s="1302"/>
      <c r="I128" s="436" t="s">
        <v>2158</v>
      </c>
    </row>
    <row r="129" spans="1:9" ht="14.4">
      <c r="A129" s="519"/>
      <c r="B129" s="519"/>
      <c r="C129" s="434"/>
      <c r="D129" s="1302"/>
      <c r="E129" s="1302"/>
      <c r="F129" s="1302"/>
    </row>
    <row r="130" spans="1:9"/>
    <row r="131" spans="1:9" ht="14.4">
      <c r="A131" s="519"/>
      <c r="B131" s="520" t="s">
        <v>2678</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2679</v>
      </c>
      <c r="D137" s="1275" t="s">
        <v>1212</v>
      </c>
      <c r="E137" s="1275"/>
      <c r="F137" s="1275"/>
      <c r="I137" s="436" t="s">
        <v>2159</v>
      </c>
    </row>
    <row r="138" spans="1:9" s="449" customFormat="1" ht="13.8" customHeight="1">
      <c r="A138" s="523"/>
      <c r="B138" s="523"/>
      <c r="C138" s="523"/>
      <c r="D138" s="1275"/>
      <c r="E138" s="1275"/>
      <c r="F138" s="1275"/>
      <c r="I138" s="1064"/>
    </row>
    <row r="139" spans="1:9" ht="13.8" customHeight="1">
      <c r="D139" s="1275"/>
      <c r="E139" s="1275"/>
      <c r="F139" s="1275"/>
    </row>
    <row r="140" spans="1:9" ht="13.8" customHeight="1">
      <c r="D140" s="1275"/>
      <c r="E140" s="1275"/>
      <c r="F140" s="1275"/>
    </row>
    <row r="141" spans="1:9" ht="13.8" customHeight="1">
      <c r="D141" s="1275"/>
      <c r="E141" s="1275"/>
      <c r="F141" s="1275"/>
    </row>
    <row r="142" spans="1:9" ht="13.8" customHeight="1">
      <c r="A142" s="524"/>
      <c r="B142" s="524"/>
      <c r="D142" s="1275"/>
      <c r="E142" s="1275"/>
      <c r="F142" s="1275"/>
    </row>
    <row r="143" spans="1:9" ht="13.8" customHeight="1">
      <c r="D143" s="1275"/>
      <c r="E143" s="1275"/>
      <c r="F143" s="1275"/>
    </row>
    <row r="144" spans="1:9" ht="13.8" customHeight="1">
      <c r="D144" s="1275"/>
      <c r="E144" s="1275"/>
      <c r="F144" s="1275"/>
    </row>
    <row r="145" spans="2:9" ht="13.8" customHeight="1">
      <c r="D145" s="1275"/>
      <c r="E145" s="1275"/>
      <c r="F145" s="1275"/>
    </row>
    <row r="146" spans="2:9" ht="13.8" customHeight="1">
      <c r="D146" s="1275"/>
      <c r="E146" s="1275"/>
      <c r="F146" s="1275"/>
    </row>
    <row r="147" spans="2:9" ht="13.8" customHeight="1">
      <c r="D147" s="1275"/>
      <c r="E147" s="1275"/>
      <c r="F147" s="1275"/>
    </row>
    <row r="148" spans="2:9" ht="13.8" customHeight="1">
      <c r="D148" s="1275"/>
      <c r="E148" s="1275"/>
      <c r="F148" s="1275"/>
    </row>
    <row r="149" spans="2:9" ht="13.8" customHeight="1">
      <c r="D149" s="1275"/>
      <c r="E149" s="1275"/>
      <c r="F149" s="1275"/>
    </row>
    <row r="150" spans="2:9" ht="13.8" customHeight="1">
      <c r="D150" s="511"/>
      <c r="E150" s="481"/>
      <c r="F150" s="481"/>
    </row>
    <row r="151" spans="2:9" ht="13.8" customHeight="1">
      <c r="B151" s="520" t="s">
        <v>2678</v>
      </c>
      <c r="D151" s="1275" t="s">
        <v>1320</v>
      </c>
      <c r="E151" s="1275"/>
      <c r="F151" s="1275"/>
      <c r="I151" s="436" t="s">
        <v>2160</v>
      </c>
    </row>
    <row r="152" spans="2:9" ht="13.8" customHeight="1">
      <c r="D152" s="1275"/>
      <c r="E152" s="1275"/>
      <c r="F152" s="1275"/>
    </row>
    <row r="153" spans="2:9" ht="13.8" customHeight="1">
      <c r="D153" s="1275"/>
      <c r="E153" s="1275"/>
      <c r="F153" s="1275"/>
    </row>
    <row r="154" spans="2:9" ht="13.8" customHeight="1">
      <c r="D154" s="1275"/>
      <c r="E154" s="1275"/>
      <c r="F154" s="1275"/>
    </row>
    <row r="155" spans="2:9" ht="13.8" customHeight="1">
      <c r="D155" s="1275"/>
      <c r="E155" s="1275"/>
      <c r="F155" s="1275"/>
    </row>
    <row r="156" spans="2:9" ht="13.8" customHeight="1">
      <c r="D156" s="1275"/>
      <c r="E156" s="1275"/>
      <c r="F156" s="1275"/>
    </row>
    <row r="157" spans="2:9" ht="13.8" customHeight="1">
      <c r="D157" s="1275"/>
      <c r="E157" s="1275"/>
      <c r="F157" s="1275"/>
    </row>
    <row r="158" spans="2:9" ht="13.8" customHeight="1">
      <c r="D158" s="1275"/>
      <c r="E158" s="1275"/>
      <c r="F158" s="1275"/>
    </row>
    <row r="159" spans="2:9" ht="13.8" customHeight="1">
      <c r="D159" s="1275"/>
      <c r="E159" s="1275"/>
      <c r="F159" s="1275"/>
    </row>
    <row r="160" spans="2:9" ht="13.8" customHeight="1">
      <c r="D160" s="1275"/>
      <c r="E160" s="1275"/>
      <c r="F160" s="1275"/>
    </row>
    <row r="161" spans="1:9" ht="13.8" customHeight="1">
      <c r="D161" s="1275"/>
      <c r="E161" s="1275"/>
      <c r="F161" s="1275"/>
    </row>
    <row r="162" spans="1:9" ht="13.8" customHeight="1">
      <c r="D162" s="1275"/>
      <c r="E162" s="1275"/>
      <c r="F162" s="1275"/>
    </row>
    <row r="163" spans="1:9" ht="13.8" customHeight="1">
      <c r="D163" s="1275"/>
      <c r="E163" s="1275"/>
      <c r="F163" s="1275"/>
    </row>
    <row r="164" spans="1:9" ht="13.8" customHeight="1">
      <c r="D164" s="1275"/>
      <c r="E164" s="1275"/>
      <c r="F164" s="1275"/>
    </row>
    <row r="165" spans="1:9" ht="13.8" customHeight="1">
      <c r="D165" s="1275"/>
      <c r="E165" s="1275"/>
      <c r="F165" s="1275"/>
    </row>
    <row r="166" spans="1:9" ht="13.8" customHeight="1">
      <c r="D166" s="1275"/>
      <c r="E166" s="1275"/>
      <c r="F166" s="1275"/>
    </row>
    <row r="167" spans="1:9" ht="13.8" customHeight="1">
      <c r="D167" s="1275"/>
      <c r="E167" s="1275"/>
      <c r="F167" s="1275"/>
    </row>
    <row r="168" spans="1:9" ht="13.8" customHeight="1">
      <c r="D168" s="1275"/>
      <c r="E168" s="1275"/>
      <c r="F168" s="1275"/>
    </row>
    <row r="169" spans="1:9" ht="13.8" customHeight="1">
      <c r="D169" s="1844" t="s">
        <v>2470</v>
      </c>
      <c r="E169" s="1844"/>
      <c r="F169" s="1844"/>
      <c r="G169" s="542"/>
    </row>
    <row r="170" spans="1:9" ht="13.8" customHeight="1">
      <c r="D170" s="1308"/>
      <c r="E170" s="1308"/>
      <c r="F170" s="1308"/>
      <c r="G170" s="1308"/>
    </row>
    <row r="171" spans="1:9" ht="14.55" customHeight="1">
      <c r="A171" s="524"/>
      <c r="B171" s="520" t="s">
        <v>2679</v>
      </c>
      <c r="C171" s="511"/>
      <c r="D171" s="1263" t="s">
        <v>1367</v>
      </c>
      <c r="E171" s="1263"/>
      <c r="F171" s="1263"/>
      <c r="G171" s="511"/>
      <c r="I171" s="436" t="s">
        <v>2155</v>
      </c>
    </row>
    <row r="172" spans="1:9" ht="14.55" customHeight="1">
      <c r="A172" s="524"/>
      <c r="B172" s="524"/>
      <c r="C172" s="511"/>
      <c r="D172" s="1263"/>
      <c r="E172" s="1263"/>
      <c r="F172" s="1263"/>
      <c r="G172" s="511"/>
    </row>
    <row r="173" spans="1:9" ht="13.8" customHeight="1">
      <c r="A173" s="524"/>
      <c r="B173" s="524"/>
      <c r="C173" s="511"/>
      <c r="D173" s="1263"/>
      <c r="E173" s="1263"/>
      <c r="F173" s="1263"/>
      <c r="G173" s="511"/>
    </row>
    <row r="174" spans="1:9" ht="13.8" customHeight="1">
      <c r="A174" s="524"/>
      <c r="B174" s="524"/>
      <c r="C174" s="511"/>
      <c r="D174" s="511"/>
      <c r="E174" s="511"/>
      <c r="F174" s="511"/>
      <c r="G174" s="511"/>
    </row>
    <row r="175" spans="1:9" ht="13.8" customHeight="1">
      <c r="A175" s="524"/>
      <c r="B175" s="520" t="s">
        <v>2679</v>
      </c>
      <c r="C175" s="511"/>
      <c r="D175" s="1263" t="s">
        <v>1214</v>
      </c>
      <c r="E175" s="1263"/>
      <c r="F175" s="1263"/>
      <c r="G175" s="511"/>
      <c r="I175" s="436" t="s">
        <v>2161</v>
      </c>
    </row>
    <row r="176" spans="1:9" ht="13.8" customHeight="1">
      <c r="A176" s="524"/>
      <c r="B176" s="524"/>
      <c r="C176" s="511"/>
      <c r="D176" s="1263"/>
      <c r="E176" s="1263"/>
      <c r="F176" s="1263"/>
      <c r="G176" s="511"/>
    </row>
    <row r="177" spans="1:9" ht="13.8" customHeight="1">
      <c r="A177" s="524"/>
      <c r="B177" s="524"/>
      <c r="C177" s="511"/>
      <c r="D177" s="1263"/>
      <c r="E177" s="1263"/>
      <c r="F177" s="1263"/>
      <c r="G177" s="511"/>
    </row>
    <row r="178" spans="1:9" ht="13.8" customHeight="1">
      <c r="A178" s="524"/>
      <c r="B178" s="524"/>
      <c r="C178" s="511"/>
      <c r="D178" s="1263"/>
      <c r="E178" s="1263"/>
      <c r="F178" s="1263"/>
      <c r="G178" s="511"/>
    </row>
    <row r="179" spans="1:9" ht="13.8" customHeight="1">
      <c r="D179" s="481"/>
      <c r="E179" s="481"/>
      <c r="F179" s="481"/>
    </row>
    <row r="180" spans="1:9" ht="13.8" customHeight="1">
      <c r="B180" s="520" t="s">
        <v>2678</v>
      </c>
      <c r="D180" s="1297" t="s">
        <v>2447</v>
      </c>
      <c r="E180" s="1297"/>
      <c r="F180" s="1297"/>
      <c r="I180" s="436" t="s">
        <v>2162</v>
      </c>
    </row>
    <row r="181" spans="1:9" ht="13.8" customHeight="1">
      <c r="D181" s="1297"/>
      <c r="E181" s="1297"/>
      <c r="F181" s="1297"/>
    </row>
    <row r="182" spans="1:9" ht="13.8" customHeight="1">
      <c r="D182" s="1297"/>
      <c r="E182" s="1297"/>
      <c r="F182" s="1297"/>
    </row>
    <row r="183" spans="1:9" ht="13.8"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8"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2678</v>
      </c>
      <c r="D195" s="1280" t="s">
        <v>2009</v>
      </c>
      <c r="E195" s="1280"/>
      <c r="F195" s="1280"/>
      <c r="I195" s="436" t="s">
        <v>2211</v>
      </c>
    </row>
    <row r="196" spans="1:9">
      <c r="A196" s="436"/>
      <c r="B196" s="436"/>
      <c r="D196" s="1284" t="s">
        <v>2284</v>
      </c>
      <c r="E196" s="1284"/>
      <c r="F196" s="1284"/>
    </row>
    <row r="197" spans="1:9">
      <c r="A197" s="436"/>
      <c r="B197" s="436"/>
      <c r="D197" s="96" t="s">
        <v>2010</v>
      </c>
      <c r="E197" s="1840" t="s">
        <v>2307</v>
      </c>
      <c r="F197" s="1840"/>
    </row>
    <row r="198" spans="1:9">
      <c r="A198" s="436"/>
      <c r="B198" s="436"/>
      <c r="D198" s="3"/>
      <c r="E198" s="3"/>
      <c r="F198" s="3"/>
    </row>
    <row r="199" spans="1:9">
      <c r="A199" s="436"/>
      <c r="B199" s="520" t="s">
        <v>2678</v>
      </c>
      <c r="D199" s="1284" t="s">
        <v>2011</v>
      </c>
      <c r="E199" s="1284"/>
      <c r="F199" s="1284"/>
      <c r="I199" s="436" t="s">
        <v>2212</v>
      </c>
    </row>
    <row r="200" spans="1:9">
      <c r="A200" s="436"/>
      <c r="B200" s="436"/>
      <c r="D200" s="1280" t="s">
        <v>2284</v>
      </c>
      <c r="E200" s="1280"/>
      <c r="F200" s="1280"/>
    </row>
    <row r="201" spans="1:9">
      <c r="A201" s="436"/>
      <c r="B201" s="436"/>
      <c r="D201" s="57" t="s">
        <v>2012</v>
      </c>
      <c r="E201" s="1840" t="s">
        <v>2308</v>
      </c>
      <c r="F201" s="1840"/>
    </row>
    <row r="202" spans="1:9">
      <c r="A202" s="436"/>
      <c r="B202" s="436"/>
      <c r="D202" s="3"/>
      <c r="E202" s="3"/>
      <c r="F202" s="3"/>
    </row>
    <row r="203" spans="1:9">
      <c r="A203" s="436"/>
      <c r="B203" s="520" t="s">
        <v>2678</v>
      </c>
      <c r="D203" s="1284" t="s">
        <v>2013</v>
      </c>
      <c r="E203" s="1284"/>
      <c r="F203" s="1284"/>
      <c r="I203" s="436" t="s">
        <v>2213</v>
      </c>
    </row>
    <row r="204" spans="1:9">
      <c r="A204" s="436"/>
      <c r="B204" s="436"/>
      <c r="D204" s="1280" t="s">
        <v>2284</v>
      </c>
      <c r="E204" s="1280"/>
      <c r="F204" s="1280"/>
    </row>
    <row r="205" spans="1:9">
      <c r="A205" s="436"/>
      <c r="B205" s="436"/>
      <c r="D205" s="57" t="s">
        <v>2010</v>
      </c>
      <c r="E205" s="1840" t="s">
        <v>2309</v>
      </c>
      <c r="F205" s="1840"/>
    </row>
    <row r="206" spans="1:9">
      <c r="A206" s="436"/>
      <c r="B206" s="436"/>
      <c r="D206" s="424"/>
      <c r="E206" s="424"/>
      <c r="F206" s="424"/>
    </row>
    <row r="207" spans="1:9" ht="14.25" customHeight="1">
      <c r="A207" s="519"/>
      <c r="B207" s="520" t="s">
        <v>2678</v>
      </c>
      <c r="D207" s="418" t="s">
        <v>2277</v>
      </c>
      <c r="E207" s="417"/>
      <c r="F207" s="417"/>
      <c r="I207" s="436" t="s">
        <v>2214</v>
      </c>
    </row>
    <row r="208" spans="1:9" ht="14.4">
      <c r="A208" s="519"/>
      <c r="B208" s="519"/>
      <c r="D208" s="1280" t="s">
        <v>2284</v>
      </c>
      <c r="E208" s="1280"/>
      <c r="F208" s="1280"/>
    </row>
    <row r="209" spans="1:9">
      <c r="D209" s="417"/>
      <c r="E209" s="1840" t="s">
        <v>2310</v>
      </c>
      <c r="F209" s="1840"/>
    </row>
    <row r="210" spans="1:9">
      <c r="D210" s="482"/>
    </row>
    <row r="211" spans="1:9">
      <c r="B211" s="520" t="s">
        <v>2678</v>
      </c>
      <c r="D211" s="1284" t="s">
        <v>2014</v>
      </c>
      <c r="E211" s="1284"/>
      <c r="F211" s="1284"/>
      <c r="I211" s="436" t="s">
        <v>2215</v>
      </c>
    </row>
    <row r="212" spans="1:9">
      <c r="D212" s="1280" t="s">
        <v>2284</v>
      </c>
      <c r="E212" s="1280"/>
      <c r="F212" s="1280"/>
    </row>
    <row r="213" spans="1:9">
      <c r="D213" s="57" t="s">
        <v>2010</v>
      </c>
      <c r="E213" s="1840" t="s">
        <v>2311</v>
      </c>
      <c r="F213" s="1840"/>
    </row>
    <row r="214" spans="1:9">
      <c r="D214" s="486"/>
      <c r="E214" s="486"/>
      <c r="F214" s="486"/>
    </row>
    <row r="215" spans="1:9" ht="14.4">
      <c r="A215" s="519"/>
      <c r="B215" s="520" t="s">
        <v>2678</v>
      </c>
      <c r="D215" s="1275" t="s">
        <v>1359</v>
      </c>
      <c r="E215" s="1275"/>
      <c r="F215" s="1275"/>
    </row>
    <row r="216" spans="1:9" ht="14.55"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8" customHeight="1">
      <c r="A225" s="525"/>
      <c r="C225" s="525"/>
      <c r="D225" s="1273" t="s">
        <v>555</v>
      </c>
      <c r="E225" s="1273"/>
      <c r="F225" s="1273"/>
      <c r="I225" s="436" t="s">
        <v>2163</v>
      </c>
    </row>
    <row r="226" spans="1:9" ht="14.4">
      <c r="A226" s="519"/>
      <c r="B226" s="520" t="s">
        <v>2679</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2679</v>
      </c>
      <c r="D231" s="1275" t="s">
        <v>2016</v>
      </c>
      <c r="E231" s="1275"/>
      <c r="F231" s="1275"/>
      <c r="I231" s="436" t="s">
        <v>2164</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1236</v>
      </c>
      <c r="E237" s="1275"/>
      <c r="F237" s="1275"/>
      <c r="I237" s="436" t="s">
        <v>2163</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2678</v>
      </c>
      <c r="D243" s="1275" t="s">
        <v>2449</v>
      </c>
      <c r="E243" s="1275"/>
      <c r="F243" s="1275"/>
      <c r="I243" s="436" t="s">
        <v>2202</v>
      </c>
    </row>
    <row r="244" spans="1:9" ht="14.4">
      <c r="A244" s="519"/>
      <c r="B244" s="519"/>
      <c r="D244" s="1275"/>
      <c r="E244" s="1275"/>
      <c r="F244" s="1275"/>
    </row>
    <row r="245" spans="1:9" ht="14.4">
      <c r="A245" s="519"/>
      <c r="B245" s="519"/>
      <c r="D245" s="1275"/>
      <c r="E245" s="1275"/>
      <c r="F245" s="1275"/>
    </row>
    <row r="246" spans="1:9" ht="14.4">
      <c r="A246" s="519"/>
      <c r="B246" s="519"/>
      <c r="E246" s="1080" t="s">
        <v>2278</v>
      </c>
    </row>
    <row r="247" spans="1:9" ht="14.4">
      <c r="A247" s="519"/>
      <c r="B247" s="519"/>
      <c r="D247" s="481"/>
      <c r="E247" s="481"/>
      <c r="F247" s="481"/>
    </row>
    <row r="248" spans="1:9" ht="14.55" customHeight="1">
      <c r="A248" s="519"/>
      <c r="B248" s="520" t="s">
        <v>2678</v>
      </c>
      <c r="D248" s="1275" t="s">
        <v>2450</v>
      </c>
      <c r="E248" s="1275"/>
      <c r="F248" s="1275"/>
      <c r="I248" s="436" t="s">
        <v>2220</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2679</v>
      </c>
      <c r="D254" s="424" t="s">
        <v>2451</v>
      </c>
      <c r="E254" s="480"/>
      <c r="F254" s="480"/>
      <c r="I254" s="436" t="s">
        <v>2201</v>
      </c>
    </row>
    <row r="255" spans="1:9" ht="14.4">
      <c r="A255" s="519"/>
      <c r="B255" s="519"/>
      <c r="E255" s="1080" t="s">
        <v>2279</v>
      </c>
    </row>
    <row r="256" spans="1:9">
      <c r="D256" s="481"/>
      <c r="E256" s="481"/>
      <c r="F256" s="481"/>
    </row>
    <row r="257" spans="1:9" ht="14.4">
      <c r="A257" s="519"/>
      <c r="B257" s="520" t="s">
        <v>2679</v>
      </c>
      <c r="D257" s="1275" t="s">
        <v>1238</v>
      </c>
      <c r="E257" s="1275"/>
      <c r="F257" s="1275"/>
    </row>
    <row r="258" spans="1:9" ht="14.4">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55" customHeight="1">
      <c r="A265" s="519"/>
      <c r="B265" s="520" t="s">
        <v>2679</v>
      </c>
      <c r="D265" s="1275" t="s">
        <v>1339</v>
      </c>
      <c r="E265" s="1275"/>
      <c r="F265" s="1275"/>
    </row>
    <row r="266" spans="1:9">
      <c r="D266" s="1275"/>
      <c r="E266" s="1275"/>
      <c r="F266" s="1275"/>
    </row>
    <row r="267" spans="1:9">
      <c r="E267" s="1080" t="s">
        <v>2280</v>
      </c>
    </row>
    <row r="268" spans="1:9">
      <c r="D268" s="481"/>
      <c r="E268" s="481"/>
      <c r="F268" s="481"/>
    </row>
    <row r="269" spans="1:9" ht="14.55" customHeight="1">
      <c r="A269" s="519"/>
      <c r="B269" s="520" t="s">
        <v>2678</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2678</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837" t="s">
        <v>1247</v>
      </c>
      <c r="E286" s="1837"/>
      <c r="F286" s="1837"/>
    </row>
    <row r="287" spans="1:9">
      <c r="E287" s="481"/>
      <c r="F287" s="481"/>
    </row>
    <row r="288" spans="1:9" ht="14.4">
      <c r="A288" s="519"/>
      <c r="B288" s="520" t="s">
        <v>2679</v>
      </c>
      <c r="D288" s="1275" t="s">
        <v>1248</v>
      </c>
      <c r="E288" s="1275"/>
      <c r="F288" s="1275"/>
      <c r="I288" s="436" t="s">
        <v>2165</v>
      </c>
    </row>
    <row r="289" spans="1:9" ht="14.4">
      <c r="A289" s="519"/>
      <c r="B289" s="519"/>
      <c r="D289" s="1275"/>
      <c r="E289" s="1275"/>
      <c r="F289" s="1275"/>
    </row>
    <row r="290" spans="1:9">
      <c r="D290" s="481"/>
      <c r="E290" s="481"/>
      <c r="F290" s="481"/>
    </row>
    <row r="291" spans="1:9" ht="14.4">
      <c r="A291" s="519"/>
      <c r="B291" s="520" t="s">
        <v>2679</v>
      </c>
      <c r="D291" s="1275" t="s">
        <v>1249</v>
      </c>
      <c r="E291" s="1275"/>
      <c r="F291" s="1275"/>
      <c r="I291" s="436" t="s">
        <v>2165</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2678</v>
      </c>
      <c r="D295" s="1275" t="s">
        <v>1250</v>
      </c>
      <c r="E295" s="1275"/>
      <c r="F295" s="1275"/>
      <c r="I295" s="436" t="s">
        <v>2165</v>
      </c>
    </row>
    <row r="296" spans="1:9" ht="14.4">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2679</v>
      </c>
      <c r="D303" s="1304" t="s">
        <v>1252</v>
      </c>
      <c r="E303" s="1304"/>
      <c r="F303" s="1304"/>
      <c r="I303" s="436" t="s">
        <v>2166</v>
      </c>
    </row>
    <row r="304" spans="1:9" ht="14.4">
      <c r="A304" s="519"/>
      <c r="B304" s="519"/>
      <c r="D304" s="529"/>
      <c r="E304" s="530"/>
      <c r="F304" s="530"/>
    </row>
    <row r="305" spans="1:9" ht="13.8" customHeight="1">
      <c r="B305" s="520" t="s">
        <v>2678</v>
      </c>
      <c r="D305" s="1834" t="s">
        <v>1363</v>
      </c>
      <c r="E305" s="1834"/>
      <c r="F305" s="1834"/>
      <c r="I305" s="436" t="s">
        <v>2166</v>
      </c>
    </row>
    <row r="306" spans="1:9" ht="14.4">
      <c r="A306" s="519"/>
      <c r="B306" s="519"/>
      <c r="D306" s="1834"/>
      <c r="E306" s="1834"/>
      <c r="F306" s="1834"/>
    </row>
    <row r="307" spans="1:9" ht="14.4">
      <c r="A307" s="519"/>
      <c r="B307" s="519"/>
      <c r="D307" s="1834"/>
      <c r="E307" s="1834"/>
      <c r="F307" s="1834"/>
    </row>
    <row r="308" spans="1:9" ht="14.4">
      <c r="A308" s="519"/>
      <c r="B308" s="519"/>
      <c r="D308" s="1834"/>
      <c r="E308" s="1834"/>
      <c r="F308" s="1834"/>
    </row>
    <row r="309" spans="1:9" ht="14.4">
      <c r="A309" s="519"/>
      <c r="B309" s="519"/>
      <c r="D309" s="1834"/>
      <c r="E309" s="1834"/>
      <c r="F309" s="1834"/>
    </row>
    <row r="310" spans="1:9" ht="14.4">
      <c r="A310" s="519"/>
      <c r="B310" s="519"/>
      <c r="D310" s="529"/>
      <c r="E310" s="530"/>
      <c r="F310" s="530"/>
    </row>
    <row r="311" spans="1:9" ht="13.8" customHeight="1">
      <c r="B311" s="520" t="s">
        <v>2679</v>
      </c>
      <c r="D311" s="1834" t="s">
        <v>1254</v>
      </c>
      <c r="E311" s="1834"/>
      <c r="F311" s="1834"/>
      <c r="I311" s="436" t="s">
        <v>2166</v>
      </c>
    </row>
    <row r="312" spans="1:9">
      <c r="D312" s="1834"/>
      <c r="E312" s="1834"/>
      <c r="F312" s="1834"/>
    </row>
    <row r="313" spans="1:9" ht="14.4">
      <c r="A313" s="519"/>
      <c r="B313" s="519"/>
      <c r="D313" s="529"/>
      <c r="E313" s="530"/>
      <c r="F313" s="530"/>
    </row>
    <row r="314" spans="1:9">
      <c r="B314" s="520" t="s">
        <v>2679</v>
      </c>
      <c r="D314" s="1304" t="s">
        <v>1255</v>
      </c>
      <c r="E314" s="1304"/>
      <c r="F314" s="1304"/>
      <c r="I314" s="436" t="s">
        <v>2152</v>
      </c>
    </row>
    <row r="315" spans="1:9">
      <c r="E315" s="481"/>
      <c r="F315" s="481"/>
    </row>
    <row r="316" spans="1:9" ht="14.4">
      <c r="A316" s="519"/>
      <c r="B316" s="520" t="s">
        <v>2679</v>
      </c>
      <c r="D316" s="1275" t="s">
        <v>2471</v>
      </c>
      <c r="E316" s="1275"/>
      <c r="F316" s="1275"/>
      <c r="I316" s="436" t="s">
        <v>2167</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2678</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2679</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845" t="s">
        <v>1019</v>
      </c>
      <c r="E349" s="1845"/>
      <c r="F349" s="1845"/>
      <c r="G349" s="1069"/>
      <c r="H349" s="1069"/>
      <c r="I349" s="1070"/>
    </row>
    <row r="350" spans="1:9" ht="13.8" thickTop="1">
      <c r="D350" s="1835" t="s">
        <v>1259</v>
      </c>
      <c r="E350" s="1835"/>
      <c r="F350" s="1835"/>
    </row>
    <row r="351" spans="1:9">
      <c r="D351" s="481"/>
      <c r="E351" s="481"/>
      <c r="F351" s="481"/>
    </row>
    <row r="352" spans="1:9">
      <c r="A352" s="511"/>
      <c r="B352" s="511"/>
      <c r="C352" s="511"/>
      <c r="D352" s="482"/>
      <c r="E352" s="482"/>
      <c r="F352" s="481"/>
      <c r="I352" s="436" t="s">
        <v>2168</v>
      </c>
    </row>
    <row r="353" spans="1:9" ht="14.4">
      <c r="A353" s="519"/>
      <c r="B353" s="520" t="s">
        <v>2679</v>
      </c>
      <c r="C353" s="522"/>
      <c r="D353" s="1304" t="s">
        <v>2283</v>
      </c>
      <c r="E353" s="1304"/>
      <c r="F353" s="1304"/>
      <c r="I353" s="1831" t="s">
        <v>2218</v>
      </c>
    </row>
    <row r="354" spans="1:9" ht="12.75" customHeight="1">
      <c r="D354" s="1081"/>
      <c r="E354" s="96" t="s">
        <v>2282</v>
      </c>
      <c r="F354" s="1081"/>
      <c r="I354" s="1832"/>
    </row>
    <row r="355" spans="1:9">
      <c r="D355" s="1275" t="s">
        <v>1386</v>
      </c>
      <c r="E355" s="1275"/>
      <c r="F355" s="1275"/>
      <c r="I355" s="1832"/>
    </row>
    <row r="356" spans="1:9">
      <c r="D356" s="1275"/>
      <c r="E356" s="1275"/>
      <c r="F356" s="1275"/>
      <c r="I356" s="1832"/>
    </row>
    <row r="357" spans="1:9">
      <c r="D357" s="1275"/>
      <c r="E357" s="1275"/>
      <c r="F357" s="1275"/>
      <c r="I357" s="1833"/>
    </row>
    <row r="358" spans="1:9" ht="14.4">
      <c r="A358" s="519"/>
      <c r="B358" s="520" t="s">
        <v>2679</v>
      </c>
      <c r="C358" s="511"/>
      <c r="D358" s="1308" t="s">
        <v>2453</v>
      </c>
      <c r="E358" s="1308"/>
      <c r="F358" s="1308"/>
      <c r="I358" s="434"/>
    </row>
    <row r="359" spans="1:9">
      <c r="A359" s="511"/>
      <c r="B359" s="511"/>
      <c r="C359" s="511"/>
      <c r="D359" s="482"/>
      <c r="E359" s="482"/>
      <c r="F359" s="481"/>
    </row>
    <row r="360" spans="1:9">
      <c r="A360" s="511"/>
      <c r="B360" s="520" t="s">
        <v>2678</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2679</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2678</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2678</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8"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2679</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5" customHeight="1">
      <c r="A421" s="519"/>
      <c r="B421" s="520" t="s">
        <v>2679</v>
      </c>
      <c r="D421" s="1263" t="s">
        <v>2205</v>
      </c>
      <c r="E421" s="1263"/>
      <c r="F421" s="1263"/>
    </row>
    <row r="422" spans="1:6" ht="14.55" customHeight="1">
      <c r="A422" s="519"/>
      <c r="D422" s="1263"/>
      <c r="E422" s="1263"/>
      <c r="F422" s="1263"/>
    </row>
    <row r="423" spans="1:6" ht="14.55" customHeight="1">
      <c r="A423" s="519"/>
      <c r="D423" s="1263"/>
      <c r="E423" s="1263"/>
      <c r="F423" s="1263"/>
    </row>
    <row r="424" spans="1:6" ht="14.55" customHeight="1">
      <c r="A424" s="519"/>
      <c r="D424" s="1263"/>
      <c r="E424" s="1263"/>
      <c r="F424" s="1263"/>
    </row>
    <row r="425" spans="1:6" ht="14.55" customHeight="1">
      <c r="A425" s="519"/>
      <c r="D425" s="1263"/>
      <c r="E425" s="1263"/>
      <c r="F425" s="1263"/>
    </row>
    <row r="426" spans="1:6" ht="14.55" customHeight="1">
      <c r="A426" s="519"/>
      <c r="D426" s="417"/>
      <c r="E426" s="417"/>
      <c r="F426" s="417"/>
    </row>
    <row r="427" spans="1:6" ht="13.8" customHeight="1">
      <c r="A427" s="519"/>
      <c r="B427" s="520" t="s">
        <v>2679</v>
      </c>
      <c r="C427" s="511"/>
      <c r="D427" s="1263" t="s">
        <v>1388</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836" t="s">
        <v>2472</v>
      </c>
      <c r="E431" s="1263"/>
      <c r="F431" s="1263"/>
    </row>
    <row r="432" spans="1:6">
      <c r="D432" s="481"/>
      <c r="E432" s="481"/>
      <c r="F432" s="481"/>
    </row>
    <row r="433" spans="1:6" ht="14.4">
      <c r="A433" s="519"/>
      <c r="B433" s="520" t="s">
        <v>2678</v>
      </c>
      <c r="C433" s="522"/>
      <c r="D433" s="1275" t="s">
        <v>2455</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99999999999997" customHeight="1">
      <c r="D463" s="1275"/>
      <c r="E463" s="1275"/>
      <c r="F463" s="1275"/>
    </row>
    <row r="464" spans="1:6">
      <c r="D464" s="481"/>
      <c r="E464" s="481"/>
      <c r="F464" s="481"/>
    </row>
    <row r="465" spans="1:6" ht="14.4">
      <c r="A465" s="519"/>
      <c r="B465" s="520" t="s">
        <v>2678</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4">
      <c r="B469" s="520" t="s">
        <v>2678</v>
      </c>
      <c r="C469" s="519"/>
      <c r="D469" s="1275" t="s">
        <v>1340</v>
      </c>
      <c r="E469" s="1275"/>
      <c r="F469" s="1275"/>
    </row>
    <row r="470" spans="1:6">
      <c r="D470" s="1275"/>
      <c r="E470" s="1275"/>
      <c r="F470" s="1275"/>
    </row>
    <row r="471" spans="1:6">
      <c r="D471" s="481"/>
      <c r="E471" s="481"/>
      <c r="F471" s="481"/>
    </row>
    <row r="472" spans="1:6" ht="14.4">
      <c r="B472" s="520" t="s">
        <v>2678</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2678</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2678</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2678</v>
      </c>
      <c r="C484" s="434"/>
      <c r="D484" s="1275"/>
      <c r="E484" s="1275"/>
      <c r="F484" s="1275"/>
    </row>
    <row r="485" spans="1:9">
      <c r="A485" s="434"/>
      <c r="C485" s="434"/>
      <c r="D485" s="1275"/>
      <c r="E485" s="1275"/>
      <c r="F485" s="1275"/>
    </row>
    <row r="486" spans="1:9">
      <c r="A486" s="434"/>
      <c r="B486" s="520" t="s">
        <v>2678</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2678</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4">
      <c r="A497" s="519"/>
      <c r="B497" s="519"/>
      <c r="D497" s="1308" t="s">
        <v>1275</v>
      </c>
      <c r="E497" s="1308"/>
      <c r="F497" s="1308"/>
    </row>
    <row r="498" spans="1:9" ht="14.4">
      <c r="A498" s="519"/>
      <c r="B498" s="519"/>
      <c r="D498" s="482"/>
    </row>
    <row r="499" spans="1:9" ht="14.4">
      <c r="A499" s="519"/>
      <c r="B499" s="520" t="s">
        <v>2679</v>
      </c>
      <c r="D499" s="1263" t="s">
        <v>1276</v>
      </c>
      <c r="E499" s="1263"/>
      <c r="F499" s="1263"/>
      <c r="I499" s="436" t="s">
        <v>2169</v>
      </c>
    </row>
    <row r="500" spans="1:9" ht="14.4">
      <c r="A500" s="519"/>
      <c r="B500" s="519"/>
      <c r="D500" s="1263"/>
      <c r="E500" s="1263"/>
      <c r="F500" s="1263"/>
    </row>
    <row r="501" spans="1:9" ht="14.4">
      <c r="A501" s="519"/>
      <c r="B501" s="519"/>
      <c r="D501" s="481"/>
    </row>
    <row r="502" spans="1:9" ht="12.75" customHeight="1">
      <c r="B502" s="520" t="s">
        <v>2679</v>
      </c>
      <c r="D502" s="1297" t="s">
        <v>1432</v>
      </c>
      <c r="E502" s="1297"/>
      <c r="F502" s="1297"/>
      <c r="I502" s="436" t="s">
        <v>2170</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2679</v>
      </c>
      <c r="D507" s="1304" t="s">
        <v>1279</v>
      </c>
      <c r="E507" s="1304"/>
      <c r="F507" s="1304"/>
      <c r="I507" s="436" t="s">
        <v>2171</v>
      </c>
    </row>
    <row r="508" spans="1:9" ht="14.4">
      <c r="A508" s="519"/>
      <c r="B508" s="519"/>
      <c r="D508" s="481"/>
    </row>
    <row r="509" spans="1:9" ht="14.4">
      <c r="A509" s="519"/>
      <c r="B509" s="520" t="s">
        <v>2678</v>
      </c>
      <c r="D509" s="1275" t="s">
        <v>1280</v>
      </c>
      <c r="E509" s="1275"/>
      <c r="F509" s="1275"/>
      <c r="I509" s="436" t="s">
        <v>2171</v>
      </c>
    </row>
    <row r="510" spans="1:9" ht="14.4">
      <c r="A510" s="519"/>
      <c r="D510" s="1275"/>
      <c r="E510" s="1275"/>
      <c r="F510" s="1275"/>
    </row>
    <row r="511" spans="1:9">
      <c r="A511" s="525"/>
      <c r="B511" s="525"/>
      <c r="D511" s="482"/>
    </row>
    <row r="512" spans="1:9">
      <c r="A512" s="525"/>
      <c r="B512" s="520" t="s">
        <v>2678</v>
      </c>
      <c r="D512" s="1304" t="s">
        <v>1281</v>
      </c>
      <c r="E512" s="1304"/>
      <c r="F512" s="1304"/>
      <c r="I512" s="436" t="s">
        <v>2224</v>
      </c>
    </row>
    <row r="513" spans="1:9" ht="14.4">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8" customHeight="1">
      <c r="A520" s="518"/>
      <c r="B520" s="520" t="s">
        <v>2679</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2679</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2678</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8" customHeight="1">
      <c r="A541" s="519"/>
      <c r="B541" s="520" t="s">
        <v>2679</v>
      </c>
      <c r="C541" s="522"/>
      <c r="D541" s="1304" t="s">
        <v>913</v>
      </c>
      <c r="E541" s="1304"/>
      <c r="F541" s="1304"/>
      <c r="I541" s="436" t="s">
        <v>2222</v>
      </c>
    </row>
    <row r="542" spans="1:9" ht="13.8" customHeight="1">
      <c r="A542" s="522"/>
      <c r="B542" s="522"/>
      <c r="C542" s="522"/>
      <c r="D542" s="481"/>
    </row>
    <row r="543" spans="1:9" ht="14.4">
      <c r="A543" s="519"/>
      <c r="B543" s="520" t="s">
        <v>2679</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4">
      <c r="A546" s="519"/>
      <c r="B546" s="520" t="s">
        <v>2679</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4">
      <c r="A549" s="519"/>
      <c r="B549" s="520" t="s">
        <v>2679</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4">
      <c r="A552" s="519"/>
      <c r="B552" s="520" t="s">
        <v>2679</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2678</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4">
      <c r="A559" s="519"/>
      <c r="B559" s="520" t="s">
        <v>2678</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4">
      <c r="A562" s="519"/>
      <c r="B562" s="520" t="s">
        <v>2679</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4">
      <c r="A565" s="519"/>
      <c r="B565" s="519"/>
      <c r="C565" s="522"/>
      <c r="E565" s="481"/>
      <c r="F565" s="481"/>
    </row>
    <row r="566" spans="1:9" ht="14.4">
      <c r="A566" s="519"/>
      <c r="B566" s="520" t="s">
        <v>2679</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2679</v>
      </c>
      <c r="C571" s="522"/>
      <c r="D571" s="1275" t="s">
        <v>2459</v>
      </c>
      <c r="E571" s="1275"/>
      <c r="F571" s="1275"/>
      <c r="I571" s="436" t="s">
        <v>2176</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2679</v>
      </c>
      <c r="D581" s="1297" t="s">
        <v>919</v>
      </c>
      <c r="E581" s="1297"/>
      <c r="F581" s="1297"/>
    </row>
    <row r="582" spans="1:9">
      <c r="A582" s="525"/>
      <c r="B582" s="525"/>
      <c r="D582" s="511"/>
    </row>
    <row r="583" spans="1:9">
      <c r="A583" s="525"/>
      <c r="B583" s="520" t="s">
        <v>2679</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2678</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2679</v>
      </c>
      <c r="D592" s="1297" t="s">
        <v>2461</v>
      </c>
      <c r="E592" s="1297"/>
      <c r="F592" s="1297"/>
    </row>
    <row r="593" spans="1:9">
      <c r="A593" s="525"/>
      <c r="B593" s="525"/>
      <c r="D593" s="1297"/>
      <c r="E593" s="1297"/>
      <c r="F593" s="1297"/>
    </row>
    <row r="594" spans="1:9">
      <c r="A594" s="525"/>
      <c r="B594" s="525"/>
      <c r="D594" s="534"/>
    </row>
    <row r="595" spans="1:9">
      <c r="A595" s="525"/>
      <c r="B595" s="520" t="s">
        <v>2678</v>
      </c>
      <c r="D595" s="1297" t="s">
        <v>1139</v>
      </c>
      <c r="E595" s="1297"/>
      <c r="F595" s="1297"/>
      <c r="I595" s="436" t="s">
        <v>2226</v>
      </c>
    </row>
    <row r="596" spans="1:9">
      <c r="A596" s="525"/>
      <c r="B596" s="525"/>
      <c r="D596" s="1297"/>
      <c r="E596" s="1297"/>
      <c r="F596" s="1297"/>
    </row>
    <row r="597" spans="1:9" ht="14.4">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2679</v>
      </c>
      <c r="D603" s="1846" t="s">
        <v>2290</v>
      </c>
      <c r="E603" s="1846"/>
      <c r="F603" s="1846"/>
      <c r="I603" s="436" t="s">
        <v>2207</v>
      </c>
    </row>
    <row r="604" spans="1:9">
      <c r="D604" s="1846"/>
      <c r="E604" s="1846"/>
      <c r="F604" s="1846"/>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2679</v>
      </c>
      <c r="D613" s="1277" t="s">
        <v>1225</v>
      </c>
      <c r="E613" s="1277"/>
      <c r="F613" s="1277"/>
      <c r="I613" s="436" t="s">
        <v>2227</v>
      </c>
    </row>
    <row r="614" spans="1:9">
      <c r="D614" s="1277"/>
      <c r="E614" s="1277"/>
      <c r="F614" s="1277"/>
    </row>
    <row r="615" spans="1:9"/>
    <row r="616" spans="1:9">
      <c r="B616" s="520" t="s">
        <v>2679</v>
      </c>
      <c r="D616" s="1277" t="s">
        <v>1226</v>
      </c>
      <c r="E616" s="1277"/>
      <c r="F616" s="1277"/>
      <c r="I616" s="436" t="s">
        <v>2180</v>
      </c>
    </row>
    <row r="617" spans="1:9">
      <c r="C617" s="535"/>
      <c r="D617" s="1277"/>
      <c r="E617" s="1277"/>
      <c r="F617" s="1277"/>
    </row>
    <row r="618" spans="1:9">
      <c r="C618" s="535"/>
    </row>
    <row r="619" spans="1:9">
      <c r="B619" s="520" t="s">
        <v>2678</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2679</v>
      </c>
      <c r="D626" s="1846" t="s">
        <v>2462</v>
      </c>
      <c r="E626" s="1846"/>
      <c r="F626" s="1846"/>
      <c r="I626" s="436" t="s">
        <v>2208</v>
      </c>
    </row>
    <row r="627" spans="1:9">
      <c r="D627" s="1846"/>
      <c r="E627" s="1846"/>
      <c r="F627" s="1846"/>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4">
      <c r="A633" s="519"/>
      <c r="B633" s="520" t="s">
        <v>2678</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4">
      <c r="A636" s="519"/>
      <c r="B636" s="520" t="s">
        <v>2678</v>
      </c>
      <c r="C636" s="522"/>
      <c r="D636" s="1275" t="s">
        <v>1372</v>
      </c>
      <c r="E636" s="1275"/>
      <c r="F636" s="1275"/>
      <c r="I636" s="436" t="s">
        <v>2181</v>
      </c>
    </row>
    <row r="637" spans="1:9" ht="14.4">
      <c r="A637" s="519"/>
      <c r="B637" s="519"/>
      <c r="C637" s="522"/>
      <c r="D637" s="1275"/>
      <c r="E637" s="1275"/>
      <c r="F637" s="1275"/>
    </row>
    <row r="638" spans="1:9" ht="14.4">
      <c r="A638" s="519"/>
      <c r="B638" s="519"/>
      <c r="C638" s="522"/>
      <c r="D638" s="1275"/>
      <c r="E638" s="1275"/>
      <c r="F638" s="1275"/>
    </row>
    <row r="639" spans="1:9">
      <c r="A639" s="522"/>
      <c r="B639" s="520" t="s">
        <v>2678</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2679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55" customHeight="1">
      <c r="A650" s="519"/>
      <c r="B650" s="519"/>
      <c r="C650" s="522"/>
      <c r="D650" s="417"/>
      <c r="E650" s="417"/>
      <c r="F650" s="417"/>
    </row>
    <row r="651" spans="1:9" ht="12.75" customHeight="1">
      <c r="A651" s="518"/>
      <c r="B651" s="520" t="s">
        <v>2679</v>
      </c>
      <c r="C651" s="522"/>
      <c r="D651" s="1275" t="s">
        <v>1448</v>
      </c>
      <c r="E651" s="1275"/>
      <c r="F651" s="1275"/>
      <c r="I651" s="436" t="s">
        <v>2233</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2679</v>
      </c>
      <c r="C657" s="522"/>
      <c r="D657" s="1275" t="s">
        <v>1447</v>
      </c>
      <c r="E657" s="1275"/>
      <c r="F657" s="1275"/>
      <c r="I657" s="436" t="s">
        <v>2233</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2678</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4">
      <c r="A678" s="519"/>
      <c r="B678" s="520" t="s">
        <v>2678</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2678</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4">
      <c r="A687" s="519"/>
      <c r="B687" s="520" t="s">
        <v>2678</v>
      </c>
      <c r="C687" s="518"/>
      <c r="D687" s="1304" t="s">
        <v>954</v>
      </c>
      <c r="E687" s="1304"/>
      <c r="F687" s="1304"/>
      <c r="H687" s="536"/>
      <c r="I687" s="1065"/>
      <c r="J687" s="536"/>
      <c r="K687" s="536"/>
    </row>
    <row r="688" spans="1:11" ht="14.4">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2678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2678</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2678</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2678</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2678</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2678</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2678</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2678</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8"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2679</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4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2679</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2678</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2679</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2678</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838" t="s">
        <v>2064</v>
      </c>
      <c r="B767" s="1838"/>
      <c r="C767" s="1838"/>
      <c r="D767" s="1838"/>
      <c r="E767" s="1838"/>
      <c r="F767" s="1838"/>
      <c r="G767" s="1838"/>
      <c r="H767" s="1071"/>
      <c r="I767" s="1072"/>
    </row>
    <row r="768" spans="1:11">
      <c r="A768" s="57"/>
      <c r="B768" s="57"/>
      <c r="C768" s="386"/>
      <c r="D768" s="3"/>
      <c r="E768" s="3"/>
      <c r="F768" s="3"/>
      <c r="G768" s="3"/>
    </row>
    <row r="769" spans="1:9">
      <c r="A769" s="57"/>
      <c r="B769" s="57"/>
      <c r="C769" s="386"/>
      <c r="D769" s="1839" t="s">
        <v>2118</v>
      </c>
      <c r="E769" s="1839"/>
      <c r="F769" s="1839"/>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2679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2678</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2679</v>
      </c>
      <c r="C780" s="1026"/>
      <c r="D780" s="1293" t="s">
        <v>2020</v>
      </c>
      <c r="E780" s="1293"/>
      <c r="F780" s="1293"/>
      <c r="G780" s="1025"/>
      <c r="I780" s="1065" t="s">
        <v>2234</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2678</v>
      </c>
      <c r="C784" s="1026"/>
      <c r="D784" s="1293" t="s">
        <v>2021</v>
      </c>
      <c r="E784" s="1293"/>
      <c r="F784" s="1293"/>
      <c r="G784" s="1025"/>
      <c r="I784" s="1065" t="s">
        <v>2234</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2065</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2678</v>
      </c>
      <c r="C794" s="1026"/>
      <c r="D794" s="1293" t="s">
        <v>2022</v>
      </c>
      <c r="E794" s="1293"/>
      <c r="F794" s="1293"/>
      <c r="G794" s="1025"/>
      <c r="I794" s="1065" t="s">
        <v>2234</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2678</v>
      </c>
      <c r="C801" s="1026"/>
      <c r="D801" s="1293" t="s">
        <v>2023</v>
      </c>
      <c r="E801" s="1293"/>
      <c r="F801" s="1293"/>
      <c r="G801" s="1025"/>
      <c r="I801" s="1065" t="s">
        <v>2234</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2678</v>
      </c>
      <c r="C808" s="1026"/>
      <c r="D808" s="1301" t="s">
        <v>2024</v>
      </c>
      <c r="E808" s="1301"/>
      <c r="F808" s="1301"/>
      <c r="G808" s="1025"/>
      <c r="I808" s="1065" t="s">
        <v>2234</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2679</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848" t="s">
        <v>2474</v>
      </c>
      <c r="E823" s="1848"/>
      <c r="F823" s="1848"/>
      <c r="G823" s="3"/>
    </row>
    <row r="824" spans="1:9" ht="12.75" hidden="1" customHeight="1">
      <c r="A824" s="13"/>
      <c r="B824" s="13"/>
      <c r="C824" s="1026"/>
      <c r="D824" s="1848"/>
      <c r="E824" s="1848"/>
      <c r="F824" s="1848"/>
      <c r="G824" s="3"/>
    </row>
    <row r="825" spans="1:9" ht="12.75" hidden="1" customHeight="1">
      <c r="A825" s="13"/>
      <c r="B825" s="13"/>
      <c r="C825" s="1026"/>
      <c r="D825" s="1848"/>
      <c r="E825" s="1848"/>
      <c r="F825" s="1848"/>
      <c r="G825" s="3"/>
    </row>
    <row r="826" spans="1:9" ht="12.75" hidden="1" customHeight="1">
      <c r="A826" s="13"/>
      <c r="B826" s="13"/>
      <c r="C826" s="1026"/>
      <c r="D826" s="1848"/>
      <c r="E826" s="1848"/>
      <c r="F826" s="1848"/>
      <c r="G826" s="3"/>
    </row>
    <row r="827" spans="1:9" ht="12.75" hidden="1" customHeight="1">
      <c r="A827" s="13"/>
      <c r="B827" s="13"/>
      <c r="C827" s="1026"/>
      <c r="D827" s="1848"/>
      <c r="E827" s="1848"/>
      <c r="F827" s="1848"/>
      <c r="G827" s="3"/>
    </row>
    <row r="828" spans="1:9" ht="12.75" hidden="1" customHeight="1">
      <c r="A828" s="13"/>
      <c r="B828" s="13"/>
      <c r="C828" s="1026"/>
      <c r="D828" s="1848"/>
      <c r="E828" s="1848"/>
      <c r="F828" s="1848"/>
      <c r="G828" s="3"/>
    </row>
    <row r="829" spans="1:9" ht="12.75" hidden="1" customHeight="1">
      <c r="A829" s="13"/>
      <c r="B829" s="13"/>
      <c r="C829" s="1026"/>
      <c r="D829" s="1848"/>
      <c r="E829" s="1848"/>
      <c r="F829" s="1848"/>
      <c r="G829" s="3"/>
    </row>
    <row r="830" spans="1:9" ht="12.75" hidden="1" customHeight="1">
      <c r="A830" s="13"/>
      <c r="B830" s="13"/>
      <c r="C830" s="1026"/>
      <c r="D830" s="1848"/>
      <c r="E830" s="1848"/>
      <c r="F830" s="1848"/>
      <c r="G830" s="3"/>
    </row>
    <row r="831" spans="1:9" ht="12.75" hidden="1" customHeight="1">
      <c r="A831" s="13"/>
      <c r="B831" s="13"/>
      <c r="C831" s="1026"/>
      <c r="D831" s="1848"/>
      <c r="E831" s="1848"/>
      <c r="F831" s="1848"/>
      <c r="G831" s="3"/>
    </row>
    <row r="832" spans="1:9" ht="12.75" hidden="1" customHeight="1">
      <c r="A832" s="13"/>
      <c r="B832" s="13"/>
      <c r="C832" s="1026"/>
      <c r="D832" s="1848"/>
      <c r="E832" s="1848"/>
      <c r="F832" s="1848"/>
      <c r="G832" s="3"/>
    </row>
    <row r="833" spans="1:9" ht="12.75" hidden="1" customHeight="1">
      <c r="A833" s="13"/>
      <c r="B833" s="13"/>
      <c r="C833" s="1026"/>
      <c r="D833" s="1028"/>
      <c r="E833" s="3"/>
      <c r="F833" s="3"/>
      <c r="G833" s="3"/>
    </row>
    <row r="834" spans="1:9" ht="12.75" customHeight="1">
      <c r="A834" s="176"/>
      <c r="B834" s="520" t="s">
        <v>2679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2678</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2678</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2678</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847" t="s">
        <v>2034</v>
      </c>
      <c r="E859" s="1847"/>
      <c r="F859" s="1847"/>
      <c r="G859" s="1025"/>
    </row>
    <row r="860" spans="1:9" ht="12.75" customHeight="1">
      <c r="A860" s="386"/>
      <c r="B860" s="386"/>
      <c r="C860" s="175"/>
      <c r="D860" s="1032"/>
      <c r="E860" s="1032"/>
      <c r="F860" s="1032"/>
      <c r="G860" s="1025"/>
    </row>
    <row r="861" spans="1:9" ht="12.75" customHeight="1">
      <c r="A861" s="176"/>
      <c r="B861" s="520" t="s">
        <v>2679</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2679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2678</v>
      </c>
      <c r="C867" s="386"/>
      <c r="D867" s="1849" t="s">
        <v>2037</v>
      </c>
      <c r="E867" s="1849"/>
      <c r="F867" s="1849"/>
      <c r="G867" s="1025"/>
    </row>
    <row r="868" spans="1:9" ht="12.75" customHeight="1">
      <c r="A868" s="386"/>
      <c r="B868" s="1033"/>
      <c r="C868" s="386"/>
      <c r="D868" s="1849"/>
      <c r="E868" s="1849"/>
      <c r="F868" s="1849"/>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2678</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2678</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2678</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2679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2679</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2678</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2678</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2678</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2678</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2678</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2679</v>
      </c>
      <c r="C930" s="175"/>
      <c r="D930" s="1850" t="s">
        <v>2238</v>
      </c>
      <c r="E930" s="1850"/>
      <c r="F930" s="1850"/>
      <c r="G930" s="1025"/>
      <c r="I930" s="436" t="s">
        <v>2236</v>
      </c>
    </row>
    <row r="931" spans="1:9" ht="12.75" customHeight="1">
      <c r="A931" s="176"/>
      <c r="B931" s="176"/>
      <c r="C931" s="175"/>
      <c r="D931" s="1850"/>
      <c r="E931" s="1850"/>
      <c r="F931" s="1850"/>
      <c r="G931" s="1025"/>
    </row>
    <row r="932" spans="1:9" ht="12.75" customHeight="1">
      <c r="A932" s="176"/>
      <c r="B932" s="176"/>
      <c r="C932" s="175"/>
      <c r="D932" s="1850"/>
      <c r="E932" s="1850"/>
      <c r="F932" s="1850"/>
      <c r="G932" s="1025"/>
    </row>
    <row r="933" spans="1:9" ht="12.75" customHeight="1">
      <c r="A933" s="176"/>
      <c r="B933" s="176"/>
      <c r="C933" s="175"/>
      <c r="D933" s="1850"/>
      <c r="E933" s="1850"/>
      <c r="F933" s="1850"/>
      <c r="G933" s="1025"/>
    </row>
    <row r="934" spans="1:9" ht="12.75" customHeight="1">
      <c r="A934" s="176"/>
      <c r="B934" s="176"/>
      <c r="C934" s="175"/>
      <c r="D934" s="1850"/>
      <c r="E934" s="1850"/>
      <c r="F934" s="1850"/>
      <c r="G934" s="1025"/>
    </row>
    <row r="935" spans="1:9" ht="12.75" customHeight="1">
      <c r="A935" s="176"/>
      <c r="B935" s="176"/>
      <c r="C935" s="175"/>
      <c r="D935" s="1850"/>
      <c r="E935" s="1850"/>
      <c r="F935" s="1850"/>
      <c r="G935" s="1025"/>
    </row>
    <row r="936" spans="1:9" ht="12.75" customHeight="1">
      <c r="A936" s="176"/>
      <c r="B936" s="176"/>
      <c r="C936" s="175"/>
      <c r="D936" s="1850"/>
      <c r="E936" s="1850"/>
      <c r="F936" s="1850"/>
      <c r="G936" s="1025"/>
    </row>
    <row r="937" spans="1:9" ht="12.75" customHeight="1">
      <c r="A937" s="176"/>
      <c r="B937" s="176"/>
      <c r="C937" s="175"/>
      <c r="D937" s="1067"/>
      <c r="E937" s="1067"/>
      <c r="F937" s="1067"/>
      <c r="G937" s="1025"/>
    </row>
    <row r="938" spans="1:9" ht="12.75" customHeight="1">
      <c r="A938" s="176"/>
      <c r="B938" s="520" t="s">
        <v>2679</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2678</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2678</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2678</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2678</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2679</v>
      </c>
      <c r="C980" s="386"/>
      <c r="D980" s="1852" t="s">
        <v>2298</v>
      </c>
      <c r="E980" s="1852"/>
      <c r="F980" s="1852"/>
      <c r="G980"/>
      <c r="I980" s="436" t="s">
        <v>2216</v>
      </c>
    </row>
    <row r="981" spans="1:9" ht="12.75" customHeight="1">
      <c r="A981" s="386"/>
      <c r="B981" s="386"/>
      <c r="C981" s="386"/>
      <c r="D981" s="1852"/>
      <c r="E981" s="1852"/>
      <c r="F981" s="1852"/>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2678</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2678</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2679</v>
      </c>
      <c r="C996" s="386"/>
      <c r="D996" s="1280" t="s">
        <v>2052</v>
      </c>
      <c r="E996" s="1280"/>
      <c r="F996" s="1280"/>
      <c r="G996"/>
    </row>
    <row r="997" spans="1:7" ht="12.75" customHeight="1">
      <c r="A997" s="386"/>
      <c r="B997" s="386"/>
      <c r="C997" s="386"/>
      <c r="D997" s="3"/>
      <c r="E997" s="3"/>
      <c r="F997" s="3"/>
      <c r="G997"/>
    </row>
    <row r="998" spans="1:7" ht="12.75" customHeight="1">
      <c r="A998" s="176"/>
      <c r="B998" s="520" t="s">
        <v>2678</v>
      </c>
      <c r="C998" s="386"/>
      <c r="D998" s="1280" t="s">
        <v>2053</v>
      </c>
      <c r="E998" s="1280"/>
      <c r="F998" s="1280"/>
      <c r="G998"/>
    </row>
    <row r="999" spans="1:7" ht="12.75" customHeight="1">
      <c r="A999" s="386"/>
      <c r="B999" s="386"/>
      <c r="C999" s="386"/>
      <c r="D999" s="118"/>
      <c r="E999" s="3"/>
      <c r="F999" s="3"/>
      <c r="G999"/>
    </row>
    <row r="1000" spans="1:7" ht="12.75" customHeight="1">
      <c r="A1000" s="176"/>
      <c r="B1000" s="520" t="s">
        <v>2679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2678</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2678</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2678</v>
      </c>
      <c r="C1008" s="1037"/>
      <c r="D1008" s="1851" t="s">
        <v>2057</v>
      </c>
      <c r="E1008" s="1851"/>
      <c r="F1008" s="1851"/>
      <c r="G1008" s="1038"/>
    </row>
    <row r="1009" spans="1:9" ht="12.75" customHeight="1">
      <c r="A1009" s="1037"/>
      <c r="B1009" s="1037"/>
      <c r="C1009" s="1037"/>
      <c r="D1009" s="1021"/>
      <c r="E1009" s="1038"/>
      <c r="F1009" s="1038"/>
      <c r="G1009" s="1038"/>
    </row>
    <row r="1010" spans="1:9" ht="12.75" customHeight="1">
      <c r="A1010" s="176"/>
      <c r="B1010" s="520" t="s">
        <v>2678</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2678</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851" t="s">
        <v>2062</v>
      </c>
      <c r="E1018" s="1851"/>
      <c r="F1018" s="1851"/>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2679</v>
      </c>
      <c r="C1021" s="386"/>
      <c r="D1021" s="1851" t="s">
        <v>1430</v>
      </c>
      <c r="E1021" s="1851"/>
      <c r="F1021" s="1851"/>
      <c r="G1021" s="3"/>
    </row>
    <row r="1022" spans="1:9" ht="12.75" customHeight="1">
      <c r="A1022" s="386"/>
      <c r="B1022" s="176"/>
      <c r="C1022" s="386"/>
      <c r="D1022" s="1851" t="s">
        <v>2063</v>
      </c>
      <c r="E1022" s="1851"/>
      <c r="F1022" s="1851"/>
      <c r="G1022" s="3"/>
    </row>
    <row r="1023" spans="1:9" ht="12.75" customHeight="1">
      <c r="A1023" s="386"/>
      <c r="B1023" s="386"/>
      <c r="C1023" s="386"/>
      <c r="D1023" s="1851"/>
      <c r="E1023" s="1851"/>
      <c r="F1023" s="1851"/>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308</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856" t="s">
        <v>1132</v>
      </c>
      <c r="E1030" s="1856"/>
      <c r="F1030" s="1856"/>
      <c r="G1030" s="3"/>
      <c r="I1030" s="436" t="s">
        <v>2217</v>
      </c>
    </row>
    <row r="1031" spans="1:9" ht="12.75" customHeight="1">
      <c r="A1031" s="346"/>
      <c r="B1031" s="346"/>
      <c r="C1031" s="346"/>
      <c r="D1031" s="1284" t="s">
        <v>1149</v>
      </c>
      <c r="E1031" s="1284"/>
      <c r="F1031" s="1284"/>
      <c r="G1031" s="98"/>
    </row>
    <row r="1032" spans="1:9" ht="12.75" customHeight="1">
      <c r="A1032" s="176"/>
      <c r="B1032" s="520" t="s">
        <v>2678</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2679</v>
      </c>
      <c r="C1040" s="434"/>
      <c r="D1040" s="1853" t="s">
        <v>2077</v>
      </c>
      <c r="E1040" s="1853"/>
      <c r="F1040" s="1853"/>
      <c r="I1040" s="436" t="s">
        <v>2189</v>
      </c>
    </row>
    <row r="1041" spans="1:9">
      <c r="A1041" s="434"/>
      <c r="B1041" s="434"/>
      <c r="C1041" s="434"/>
      <c r="D1041" s="1853"/>
      <c r="E1041" s="1853"/>
      <c r="F1041" s="1853"/>
    </row>
    <row r="1042" spans="1:9">
      <c r="A1042" s="434"/>
      <c r="B1042" s="434"/>
      <c r="C1042" s="434"/>
      <c r="D1042" s="1853"/>
      <c r="E1042" s="1853"/>
      <c r="F1042" s="1853"/>
    </row>
    <row r="1043" spans="1:9">
      <c r="A1043" s="434"/>
      <c r="B1043" s="434"/>
      <c r="C1043" s="434"/>
      <c r="D1043" s="1853"/>
      <c r="E1043" s="1853"/>
      <c r="F1043" s="185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2678</v>
      </c>
      <c r="C1048" s="434"/>
      <c r="D1048" s="434" t="s">
        <v>2075</v>
      </c>
      <c r="I1048" s="436" t="s">
        <v>2190</v>
      </c>
    </row>
    <row r="1049" spans="1:9">
      <c r="A1049" s="434"/>
      <c r="B1049" s="434"/>
      <c r="C1049" s="434"/>
    </row>
    <row r="1050" spans="1:9">
      <c r="A1050" s="434"/>
      <c r="B1050" s="520" t="s">
        <v>2678</v>
      </c>
      <c r="C1050" s="434"/>
      <c r="D1050" s="1853" t="s">
        <v>2081</v>
      </c>
      <c r="E1050" s="1853"/>
      <c r="F1050" s="1853"/>
      <c r="I1050" s="436" t="s">
        <v>2191</v>
      </c>
    </row>
    <row r="1051" spans="1:9">
      <c r="A1051" s="434"/>
      <c r="B1051" s="434"/>
      <c r="C1051" s="434"/>
      <c r="D1051" s="1853"/>
      <c r="E1051" s="1853"/>
      <c r="F1051" s="1853"/>
    </row>
    <row r="1052" spans="1:9">
      <c r="A1052" s="434"/>
      <c r="B1052" s="434"/>
      <c r="C1052" s="434"/>
      <c r="D1052" s="1853"/>
      <c r="E1052" s="1853"/>
      <c r="F1052" s="1853"/>
    </row>
    <row r="1053" spans="1:9">
      <c r="A1053" s="434"/>
      <c r="B1053" s="434"/>
      <c r="C1053" s="434"/>
      <c r="D1053" s="1853"/>
      <c r="E1053" s="1853"/>
      <c r="F1053" s="1853"/>
    </row>
    <row r="1054" spans="1:9">
      <c r="A1054" s="434"/>
      <c r="B1054" s="434"/>
      <c r="C1054" s="434"/>
      <c r="D1054" s="1853"/>
      <c r="E1054" s="1853"/>
      <c r="F1054" s="1853"/>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2679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2678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2678</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2678</v>
      </c>
      <c r="C1073" s="434"/>
      <c r="D1073" s="1691" t="s">
        <v>2084</v>
      </c>
      <c r="E1073" s="1691"/>
      <c r="F1073" s="1691"/>
    </row>
    <row r="1074" spans="1:9">
      <c r="A1074" s="434"/>
      <c r="B1074" s="434"/>
      <c r="C1074" s="434"/>
      <c r="D1074" s="1691"/>
      <c r="E1074" s="1691"/>
      <c r="F1074" s="1691"/>
    </row>
    <row r="1075" spans="1:9">
      <c r="A1075" s="434"/>
      <c r="B1075" s="434"/>
      <c r="C1075" s="434"/>
      <c r="D1075" s="1691"/>
      <c r="E1075" s="1691"/>
      <c r="F1075" s="1691"/>
    </row>
    <row r="1076" spans="1:9">
      <c r="A1076" s="434"/>
      <c r="B1076" s="434"/>
      <c r="C1076" s="434"/>
      <c r="D1076" s="1691"/>
      <c r="E1076" s="1691"/>
      <c r="F1076" s="1691"/>
    </row>
    <row r="1077" spans="1:9">
      <c r="A1077" s="434"/>
      <c r="B1077" s="434"/>
      <c r="C1077" s="434"/>
      <c r="D1077" s="1691"/>
      <c r="E1077" s="1691"/>
      <c r="F1077" s="1691"/>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2678</v>
      </c>
      <c r="C1083" s="434"/>
      <c r="D1083" s="1854" t="s">
        <v>2312</v>
      </c>
      <c r="E1083" s="1854"/>
      <c r="F1083" s="1854"/>
      <c r="I1083" s="436" t="s">
        <v>2196</v>
      </c>
    </row>
    <row r="1084" spans="1:9">
      <c r="A1084" s="434"/>
      <c r="B1084" s="434"/>
      <c r="C1084" s="434"/>
      <c r="D1084" s="1854"/>
      <c r="E1084" s="1854"/>
      <c r="F1084" s="1854"/>
    </row>
    <row r="1085" spans="1:9">
      <c r="A1085" s="434"/>
      <c r="B1085" s="434"/>
      <c r="C1085" s="434"/>
      <c r="D1085" s="1855" t="s">
        <v>2617</v>
      </c>
      <c r="E1085" s="1260"/>
      <c r="F1085" s="1260"/>
    </row>
    <row r="1086" spans="1:9">
      <c r="A1086" s="434"/>
      <c r="B1086" s="434"/>
      <c r="C1086" s="434"/>
      <c r="D1086" s="562"/>
    </row>
    <row r="1087" spans="1:9">
      <c r="A1087" s="434"/>
      <c r="B1087" s="520" t="s">
        <v>2678</v>
      </c>
      <c r="C1087" s="434"/>
      <c r="D1087" s="1691" t="s">
        <v>2095</v>
      </c>
      <c r="E1087" s="1691"/>
      <c r="F1087" s="1691"/>
      <c r="I1087" s="436" t="s">
        <v>2197</v>
      </c>
    </row>
    <row r="1088" spans="1:9">
      <c r="A1088" s="434"/>
      <c r="B1088" s="434"/>
      <c r="C1088" s="434"/>
      <c r="D1088" s="1691"/>
      <c r="E1088" s="1691"/>
      <c r="F1088" s="1691"/>
    </row>
    <row r="1089" spans="1:9">
      <c r="A1089" s="434"/>
      <c r="B1089" s="434"/>
      <c r="C1089" s="434"/>
      <c r="D1089" s="562"/>
    </row>
    <row r="1090" spans="1:9">
      <c r="A1090" s="434"/>
      <c r="B1090" s="520" t="s">
        <v>2679</v>
      </c>
      <c r="C1090" s="434"/>
      <c r="D1090" s="1691" t="s">
        <v>2241</v>
      </c>
      <c r="E1090" s="1691"/>
      <c r="F1090" s="1691"/>
      <c r="I1090" s="436" t="s">
        <v>2239</v>
      </c>
    </row>
    <row r="1091" spans="1:9">
      <c r="A1091" s="434"/>
      <c r="B1091" s="434"/>
      <c r="C1091" s="434"/>
      <c r="D1091" s="1691"/>
      <c r="E1091" s="1691"/>
      <c r="F1091" s="1691"/>
    </row>
    <row r="1092" spans="1:9">
      <c r="A1092" s="434"/>
      <c r="B1092" s="434"/>
      <c r="C1092" s="434"/>
      <c r="D1092" s="1691"/>
      <c r="E1092" s="1691"/>
      <c r="F1092" s="1691"/>
    </row>
    <row r="1093" spans="1:9">
      <c r="A1093" s="434"/>
      <c r="B1093" s="434"/>
      <c r="C1093" s="434"/>
      <c r="D1093" s="1691"/>
      <c r="E1093" s="1691"/>
      <c r="F1093" s="1691"/>
    </row>
    <row r="1094" spans="1:9">
      <c r="A1094" s="434"/>
      <c r="B1094" s="434"/>
      <c r="C1094" s="434"/>
      <c r="D1094" s="1691"/>
      <c r="E1094" s="1691"/>
      <c r="F1094" s="1691"/>
    </row>
    <row r="1095" spans="1:9">
      <c r="A1095" s="434"/>
      <c r="B1095" s="434"/>
      <c r="C1095" s="434"/>
      <c r="D1095" s="1691"/>
      <c r="E1095" s="1691"/>
      <c r="F1095" s="1691"/>
    </row>
    <row r="1096" spans="1:9">
      <c r="A1096" s="434"/>
      <c r="B1096" s="434"/>
      <c r="C1096" s="434"/>
      <c r="D1096" s="562" t="s">
        <v>2240</v>
      </c>
      <c r="I1096" s="434"/>
    </row>
    <row r="1097" spans="1:9">
      <c r="A1097" s="434"/>
      <c r="B1097" s="520" t="s">
        <v>2678</v>
      </c>
      <c r="C1097" s="434"/>
      <c r="D1097" s="1691" t="s">
        <v>2096</v>
      </c>
      <c r="E1097" s="1691"/>
      <c r="F1097" s="1691"/>
      <c r="I1097" s="436" t="s">
        <v>2198</v>
      </c>
    </row>
    <row r="1098" spans="1:9">
      <c r="A1098" s="434"/>
      <c r="B1098" s="434"/>
      <c r="C1098" s="434"/>
      <c r="D1098" s="1691"/>
      <c r="E1098" s="1691"/>
      <c r="F1098" s="1691"/>
    </row>
    <row r="1099" spans="1:9">
      <c r="A1099" s="434"/>
      <c r="B1099" s="434"/>
      <c r="C1099" s="434"/>
      <c r="D1099" s="1691"/>
      <c r="E1099" s="1691"/>
      <c r="F1099" s="1691"/>
    </row>
    <row r="1100" spans="1:9">
      <c r="A1100" s="434"/>
      <c r="B1100" s="434"/>
      <c r="C1100" s="434"/>
      <c r="D1100" s="562"/>
    </row>
    <row r="1101" spans="1:9">
      <c r="A1101" s="434"/>
      <c r="B1101" s="520" t="s">
        <v>2678</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2678</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1" ySplit="1" topLeftCell="B2" activePane="bottomRight" state="frozen"/>
      <selection pane="topRight" activeCell="B1" sqref="B1"/>
      <selection pane="bottomLeft" activeCell="A2" sqref="A2"/>
      <selection pane="bottomRight" activeCell="C19" sqref="C19"/>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Application!B623&amp;Application!C623</f>
        <v>1)U.S Bank Tax Exempt Perm Loan</v>
      </c>
      <c r="G2" s="139" t="str">
        <f>Application!B624&amp;Application!C624</f>
        <v>2)Seller Carryback Loan</v>
      </c>
      <c r="H2" s="139" t="str">
        <f>Application!B625&amp;Application!C625</f>
        <v>3)Accrued Deferred Interest - Seller Carryback</v>
      </c>
      <c r="I2" s="139" t="str">
        <f>Application!B626&amp;Application!C626</f>
        <v>4)GP Capital - Acq reserves</v>
      </c>
      <c r="J2" s="139" t="str">
        <f>Application!B627&amp;Application!C627</f>
        <v>5)Income from Operations</v>
      </c>
      <c r="K2" s="139" t="str">
        <f>Application!B628&amp;Application!C628</f>
        <v>6)Deferred Developer Fee</v>
      </c>
      <c r="L2" s="139" t="str">
        <f>Application!B629&amp;Application!C629</f>
        <v>7)GP Capital - Sponsor</v>
      </c>
      <c r="M2" s="139" t="str">
        <f>Application!B630&amp;Application!C630</f>
        <v>8)GP Perm Loan</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1163000</v>
      </c>
      <c r="C4" s="147">
        <v>1163000</v>
      </c>
      <c r="D4" s="147"/>
      <c r="E4" s="147">
        <f>C4-SUM(F4:L4)</f>
        <v>1163000</v>
      </c>
      <c r="F4" s="147"/>
      <c r="G4" s="147"/>
      <c r="H4" s="147"/>
      <c r="I4" s="147"/>
      <c r="J4" s="147"/>
      <c r="K4" s="147"/>
      <c r="L4" s="147"/>
      <c r="M4" s="147"/>
      <c r="N4" s="147"/>
      <c r="O4" s="147"/>
      <c r="P4" s="147"/>
      <c r="Q4" s="147"/>
      <c r="R4" s="551">
        <f>SUM(E4:Q4)</f>
        <v>1163000</v>
      </c>
      <c r="S4" s="148"/>
      <c r="T4" s="148"/>
      <c r="U4" s="143"/>
    </row>
    <row r="5" spans="1:21" s="144" customFormat="1">
      <c r="A5" s="145" t="s">
        <v>28</v>
      </c>
      <c r="B5" s="146">
        <f>SUM(C5+D5)</f>
        <v>0</v>
      </c>
      <c r="C5" s="147"/>
      <c r="D5" s="147"/>
      <c r="E5" s="147">
        <f>C5-SUM(F5:L5)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C6-SUM(F6:L6)</f>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C7-SUM(F7:L7)</f>
        <v>0</v>
      </c>
      <c r="F7" s="147"/>
      <c r="G7" s="147"/>
      <c r="H7" s="147"/>
      <c r="I7" s="147"/>
      <c r="J7" s="147"/>
      <c r="K7" s="147"/>
      <c r="L7" s="147"/>
      <c r="M7" s="147"/>
      <c r="N7" s="147"/>
      <c r="O7" s="147"/>
      <c r="P7" s="147"/>
      <c r="Q7" s="147"/>
      <c r="R7" s="551">
        <f>SUM(E7:Q7)</f>
        <v>0</v>
      </c>
      <c r="S7" s="148"/>
      <c r="T7" s="148"/>
      <c r="U7" s="143"/>
    </row>
    <row r="8" spans="1:21" s="144" customFormat="1" ht="12">
      <c r="A8" s="149" t="s">
        <v>602</v>
      </c>
      <c r="B8" s="146">
        <f>SUM(C8:D8)</f>
        <v>1163000</v>
      </c>
      <c r="C8" s="146">
        <f t="shared" ref="C8:Q8" si="0">SUM(C4:C7)</f>
        <v>1163000</v>
      </c>
      <c r="D8" s="146">
        <f t="shared" si="0"/>
        <v>0</v>
      </c>
      <c r="E8" s="146">
        <f t="shared" si="0"/>
        <v>1163000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1163000</v>
      </c>
      <c r="S8" s="148"/>
      <c r="T8" s="148"/>
      <c r="U8" s="143"/>
    </row>
    <row r="9" spans="1:21" s="144" customFormat="1">
      <c r="A9" s="145" t="s">
        <v>603</v>
      </c>
      <c r="B9" s="146">
        <f>SUM(C9+D9)</f>
        <v>38837000</v>
      </c>
      <c r="C9" s="147">
        <v>38837000</v>
      </c>
      <c r="D9" s="147"/>
      <c r="E9" s="147">
        <f>C9-SUM(F9:M9)</f>
        <v>12336535</v>
      </c>
      <c r="F9" s="147"/>
      <c r="G9" s="147">
        <f>G108</f>
        <v>23000465</v>
      </c>
      <c r="H9" s="147"/>
      <c r="I9" s="147"/>
      <c r="J9" s="147"/>
      <c r="K9" s="147"/>
      <c r="L9" s="147"/>
      <c r="M9" s="147">
        <f>M108</f>
        <v>3500000</v>
      </c>
      <c r="N9" s="147"/>
      <c r="O9" s="147"/>
      <c r="P9" s="147"/>
      <c r="Q9" s="147"/>
      <c r="R9" s="551">
        <f>SUM(E9:Q9)</f>
        <v>38837000</v>
      </c>
      <c r="S9" s="148"/>
      <c r="T9" s="147">
        <f>C9</f>
        <v>38837000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605</v>
      </c>
      <c r="B11" s="146">
        <f>SUM(C11:D11)</f>
        <v>38837000</v>
      </c>
      <c r="C11" s="146">
        <f t="shared" ref="C11:Q11" si="1">SUM(C9:C10)</f>
        <v>38837000</v>
      </c>
      <c r="D11" s="146">
        <f t="shared" si="1"/>
        <v>0</v>
      </c>
      <c r="E11" s="146">
        <f t="shared" si="1"/>
        <v>12336535</v>
      </c>
      <c r="F11" s="146">
        <f t="shared" si="1"/>
        <v>0</v>
      </c>
      <c r="G11" s="146">
        <f t="shared" si="1"/>
        <v>23000465</v>
      </c>
      <c r="H11" s="146">
        <f t="shared" si="1"/>
        <v>0</v>
      </c>
      <c r="I11" s="146">
        <f t="shared" si="1"/>
        <v>0</v>
      </c>
      <c r="J11" s="146">
        <f t="shared" si="1"/>
        <v>0</v>
      </c>
      <c r="K11" s="146">
        <f t="shared" si="1"/>
        <v>0</v>
      </c>
      <c r="L11" s="146">
        <f t="shared" si="1"/>
        <v>0</v>
      </c>
      <c r="M11" s="146">
        <f t="shared" si="1"/>
        <v>3500000</v>
      </c>
      <c r="N11" s="146">
        <f t="shared" si="1"/>
        <v>0</v>
      </c>
      <c r="O11" s="146">
        <f t="shared" si="1"/>
        <v>0</v>
      </c>
      <c r="P11" s="146"/>
      <c r="Q11" s="146">
        <f t="shared" si="1"/>
        <v>0</v>
      </c>
      <c r="R11" s="371">
        <f>SUM(R9:R10)</f>
        <v>38837000</v>
      </c>
      <c r="S11" s="148"/>
      <c r="T11" s="150">
        <f>SUM(T9:T10)</f>
        <v>38837000</v>
      </c>
      <c r="U11" s="143"/>
    </row>
    <row r="12" spans="1:21" s="144" customFormat="1" ht="12">
      <c r="A12" s="149" t="s">
        <v>85</v>
      </c>
      <c r="B12" s="146">
        <f t="shared" ref="B12:Q12" si="2">SUM(B8+B11)</f>
        <v>40000000</v>
      </c>
      <c r="C12" s="146">
        <f t="shared" si="2"/>
        <v>40000000</v>
      </c>
      <c r="D12" s="146">
        <f t="shared" si="2"/>
        <v>0</v>
      </c>
      <c r="E12" s="146">
        <f t="shared" si="2"/>
        <v>13499535</v>
      </c>
      <c r="F12" s="146">
        <f t="shared" si="2"/>
        <v>0</v>
      </c>
      <c r="G12" s="146">
        <f t="shared" si="2"/>
        <v>23000465</v>
      </c>
      <c r="H12" s="146">
        <f t="shared" si="2"/>
        <v>0</v>
      </c>
      <c r="I12" s="146">
        <f t="shared" si="2"/>
        <v>0</v>
      </c>
      <c r="J12" s="146">
        <f t="shared" si="2"/>
        <v>0</v>
      </c>
      <c r="K12" s="146">
        <f t="shared" si="2"/>
        <v>0</v>
      </c>
      <c r="L12" s="146">
        <f t="shared" si="2"/>
        <v>0</v>
      </c>
      <c r="M12" s="146">
        <f t="shared" si="2"/>
        <v>3500000</v>
      </c>
      <c r="N12" s="146">
        <f t="shared" si="2"/>
        <v>0</v>
      </c>
      <c r="O12" s="146">
        <f t="shared" si="2"/>
        <v>0</v>
      </c>
      <c r="P12" s="146"/>
      <c r="Q12" s="146">
        <f t="shared" si="2"/>
        <v>0</v>
      </c>
      <c r="R12" s="371">
        <f>SUM(R8+R11)</f>
        <v>40000000</v>
      </c>
      <c r="S12" s="148"/>
      <c r="T12" s="148"/>
      <c r="U12" s="143"/>
    </row>
    <row r="13" spans="1:21" s="144" customFormat="1">
      <c r="A13" s="309" t="s">
        <v>935</v>
      </c>
      <c r="B13" s="146">
        <f>SUM(C13+D13)</f>
        <v>0</v>
      </c>
      <c r="C13" s="147"/>
      <c r="D13" s="147"/>
      <c r="E13" s="147">
        <f>C13-SUM(F13:L13)</f>
        <v>0</v>
      </c>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238744</v>
      </c>
      <c r="C14" s="147">
        <v>238744</v>
      </c>
      <c r="D14" s="147"/>
      <c r="E14" s="147">
        <f>C14-SUM(F14:L14)</f>
        <v>238744</v>
      </c>
      <c r="F14" s="147"/>
      <c r="G14" s="147"/>
      <c r="H14" s="147"/>
      <c r="I14" s="147"/>
      <c r="J14" s="147"/>
      <c r="K14" s="147"/>
      <c r="L14" s="147"/>
      <c r="M14" s="147"/>
      <c r="N14" s="147"/>
      <c r="O14" s="147"/>
      <c r="P14" s="147"/>
      <c r="Q14" s="147"/>
      <c r="R14" s="551">
        <f>SUM(E14:Q14)</f>
        <v>238744</v>
      </c>
      <c r="S14" s="147"/>
      <c r="T14" s="147"/>
      <c r="U14" s="143"/>
    </row>
    <row r="15" spans="1:21" s="144" customFormat="1">
      <c r="A15" s="310" t="s">
        <v>1303</v>
      </c>
      <c r="B15" s="146">
        <f>SUM(C15+D15)</f>
        <v>0</v>
      </c>
      <c r="C15" s="147"/>
      <c r="D15" s="147"/>
      <c r="E15" s="147">
        <f>C15-SUM(F15:L15)</f>
        <v>0</v>
      </c>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1173800</v>
      </c>
      <c r="C17" s="147">
        <v>1173800</v>
      </c>
      <c r="D17" s="147"/>
      <c r="E17" s="147">
        <f>C17-SUM(F17:L17)</f>
        <v>1173800</v>
      </c>
      <c r="F17" s="147"/>
      <c r="G17" s="147"/>
      <c r="H17" s="147"/>
      <c r="I17" s="147"/>
      <c r="J17" s="147"/>
      <c r="K17" s="147"/>
      <c r="L17" s="147"/>
      <c r="M17" s="147"/>
      <c r="N17" s="147"/>
      <c r="O17" s="147"/>
      <c r="P17" s="147"/>
      <c r="Q17" s="147"/>
      <c r="R17" s="551">
        <f>SUM(E17:Q17)</f>
        <v>1173800</v>
      </c>
      <c r="S17" s="147">
        <f>R17</f>
        <v>1173800</v>
      </c>
      <c r="T17" s="147"/>
      <c r="U17" s="143"/>
    </row>
    <row r="18" spans="1:21" s="144" customFormat="1">
      <c r="A18" s="145" t="s">
        <v>608</v>
      </c>
      <c r="B18" s="146">
        <f t="shared" si="3"/>
        <v>12020197</v>
      </c>
      <c r="C18" s="147">
        <f>11317411+15500+59000+628286</f>
        <v>12020197</v>
      </c>
      <c r="D18" s="147"/>
      <c r="E18" s="147">
        <f>C18-SUM(F18:M18)</f>
        <v>446097</v>
      </c>
      <c r="F18" s="147">
        <v>11574000</v>
      </c>
      <c r="G18" s="147"/>
      <c r="H18" s="147"/>
      <c r="I18" s="147"/>
      <c r="J18" s="147"/>
      <c r="K18" s="147"/>
      <c r="L18" s="147">
        <v>100</v>
      </c>
      <c r="M18" s="147"/>
      <c r="N18" s="147"/>
      <c r="O18" s="147"/>
      <c r="P18" s="147"/>
      <c r="Q18" s="147"/>
      <c r="R18" s="551">
        <f>SUM(E18:Q18)</f>
        <v>12020197</v>
      </c>
      <c r="S18" s="147">
        <f t="shared" ref="S18:S25" si="4">R18</f>
        <v>12020197</v>
      </c>
      <c r="T18" s="147"/>
      <c r="U18" s="143"/>
    </row>
    <row r="19" spans="1:21" s="144" customFormat="1">
      <c r="A19" s="145" t="s">
        <v>609</v>
      </c>
      <c r="B19" s="146">
        <f t="shared" si="3"/>
        <v>1089176</v>
      </c>
      <c r="C19" s="147">
        <v>1089176</v>
      </c>
      <c r="D19" s="147"/>
      <c r="E19" s="147">
        <f t="shared" ref="E19:E25" si="5">C19-SUM(F19:L19)</f>
        <v>1089176</v>
      </c>
      <c r="F19" s="147"/>
      <c r="G19" s="147"/>
      <c r="H19" s="147"/>
      <c r="I19" s="147"/>
      <c r="J19" s="147"/>
      <c r="K19" s="147"/>
      <c r="L19" s="147"/>
      <c r="M19" s="147"/>
      <c r="N19" s="147"/>
      <c r="O19" s="147"/>
      <c r="P19" s="147"/>
      <c r="Q19" s="147"/>
      <c r="R19" s="551">
        <f>SUM(E19:Q19)</f>
        <v>1089176</v>
      </c>
      <c r="S19" s="147">
        <f t="shared" si="4"/>
        <v>1089176</v>
      </c>
      <c r="T19" s="147"/>
      <c r="U19" s="143"/>
    </row>
    <row r="20" spans="1:21" s="144" customFormat="1">
      <c r="A20" s="145" t="s">
        <v>138</v>
      </c>
      <c r="B20" s="146">
        <f t="shared" si="3"/>
        <v>374933.5</v>
      </c>
      <c r="C20" s="147">
        <f>749867/2</f>
        <v>374933.5</v>
      </c>
      <c r="D20" s="147"/>
      <c r="E20" s="147">
        <f t="shared" si="5"/>
        <v>374933.5</v>
      </c>
      <c r="F20" s="147"/>
      <c r="G20" s="147"/>
      <c r="H20" s="147"/>
      <c r="I20" s="147"/>
      <c r="J20" s="147"/>
      <c r="K20" s="147"/>
      <c r="L20" s="147"/>
      <c r="M20" s="147"/>
      <c r="N20" s="147"/>
      <c r="O20" s="147"/>
      <c r="P20" s="147"/>
      <c r="Q20" s="147"/>
      <c r="R20" s="551">
        <f t="shared" ref="R20:R27" si="6">SUM(E20:Q20)</f>
        <v>374933.5</v>
      </c>
      <c r="S20" s="147">
        <f t="shared" si="4"/>
        <v>374933.5</v>
      </c>
      <c r="T20" s="147"/>
      <c r="U20" s="143"/>
    </row>
    <row r="21" spans="1:21" s="144" customFormat="1">
      <c r="A21" s="145" t="s">
        <v>139</v>
      </c>
      <c r="B21" s="146">
        <f t="shared" si="3"/>
        <v>374933.5</v>
      </c>
      <c r="C21" s="147">
        <f>749867/2</f>
        <v>374933.5</v>
      </c>
      <c r="D21" s="147"/>
      <c r="E21" s="147">
        <f t="shared" si="5"/>
        <v>374933.5</v>
      </c>
      <c r="F21" s="147"/>
      <c r="G21" s="147"/>
      <c r="H21" s="147"/>
      <c r="I21" s="147"/>
      <c r="J21" s="147"/>
      <c r="K21" s="147"/>
      <c r="L21" s="147"/>
      <c r="M21" s="147"/>
      <c r="N21" s="147"/>
      <c r="O21" s="147"/>
      <c r="P21" s="147"/>
      <c r="Q21" s="147"/>
      <c r="R21" s="551">
        <f t="shared" si="6"/>
        <v>374933.5</v>
      </c>
      <c r="S21" s="147">
        <f t="shared" si="4"/>
        <v>374933.5</v>
      </c>
      <c r="T21" s="147"/>
      <c r="U21" s="143"/>
    </row>
    <row r="22" spans="1:21" s="144" customFormat="1">
      <c r="A22" s="145" t="s">
        <v>140</v>
      </c>
      <c r="B22" s="146">
        <f t="shared" si="3"/>
        <v>0</v>
      </c>
      <c r="C22" s="147"/>
      <c r="D22" s="147"/>
      <c r="E22" s="147">
        <f t="shared" si="5"/>
        <v>0</v>
      </c>
      <c r="F22" s="147"/>
      <c r="G22" s="147"/>
      <c r="H22" s="147"/>
      <c r="I22" s="147"/>
      <c r="J22" s="147"/>
      <c r="K22" s="147"/>
      <c r="L22" s="147"/>
      <c r="M22" s="147"/>
      <c r="N22" s="147"/>
      <c r="O22" s="147"/>
      <c r="P22" s="147"/>
      <c r="Q22" s="147"/>
      <c r="R22" s="551">
        <f t="shared" si="6"/>
        <v>0</v>
      </c>
      <c r="S22" s="147">
        <f t="shared" si="4"/>
        <v>0</v>
      </c>
      <c r="T22" s="147"/>
      <c r="U22" s="143"/>
    </row>
    <row r="23" spans="1:21" s="144" customFormat="1">
      <c r="A23" s="145" t="s">
        <v>141</v>
      </c>
      <c r="B23" s="146">
        <f t="shared" si="3"/>
        <v>300661</v>
      </c>
      <c r="C23" s="147">
        <v>300661</v>
      </c>
      <c r="D23" s="147"/>
      <c r="E23" s="147">
        <f t="shared" si="5"/>
        <v>300661</v>
      </c>
      <c r="F23" s="147"/>
      <c r="G23" s="147"/>
      <c r="H23" s="147"/>
      <c r="I23" s="147"/>
      <c r="J23" s="147"/>
      <c r="K23" s="147"/>
      <c r="L23" s="147"/>
      <c r="M23" s="147"/>
      <c r="N23" s="147"/>
      <c r="O23" s="147"/>
      <c r="P23" s="147"/>
      <c r="Q23" s="147"/>
      <c r="R23" s="551">
        <f t="shared" si="6"/>
        <v>300661</v>
      </c>
      <c r="S23" s="147">
        <f t="shared" si="4"/>
        <v>300661</v>
      </c>
      <c r="T23" s="147"/>
      <c r="U23" s="143"/>
    </row>
    <row r="24" spans="1:21" s="144" customFormat="1">
      <c r="A24" s="543" t="s">
        <v>1821</v>
      </c>
      <c r="B24" s="146">
        <f t="shared" si="3"/>
        <v>0</v>
      </c>
      <c r="C24" s="147"/>
      <c r="D24" s="147"/>
      <c r="E24" s="147">
        <f t="shared" si="5"/>
        <v>0</v>
      </c>
      <c r="F24" s="147"/>
      <c r="G24" s="147"/>
      <c r="H24" s="147"/>
      <c r="I24" s="147"/>
      <c r="J24" s="147"/>
      <c r="K24" s="147"/>
      <c r="L24" s="147"/>
      <c r="M24" s="147"/>
      <c r="N24" s="147"/>
      <c r="O24" s="147"/>
      <c r="P24" s="147"/>
      <c r="Q24" s="147"/>
      <c r="R24" s="551">
        <f t="shared" si="6"/>
        <v>0</v>
      </c>
      <c r="S24" s="147">
        <f t="shared" si="4"/>
        <v>0</v>
      </c>
      <c r="T24" s="147"/>
      <c r="U24" s="143"/>
    </row>
    <row r="25" spans="1:21" s="144" customFormat="1">
      <c r="A25" s="1202" t="s">
        <v>2760</v>
      </c>
      <c r="B25" s="146">
        <f t="shared" si="3"/>
        <v>153337</v>
      </c>
      <c r="C25" s="147">
        <v>153337</v>
      </c>
      <c r="D25" s="147"/>
      <c r="E25" s="147">
        <f t="shared" si="5"/>
        <v>153337</v>
      </c>
      <c r="F25" s="147"/>
      <c r="G25" s="147"/>
      <c r="H25" s="147"/>
      <c r="I25" s="147"/>
      <c r="J25" s="147"/>
      <c r="K25" s="147"/>
      <c r="L25" s="147"/>
      <c r="M25" s="147"/>
      <c r="N25" s="147"/>
      <c r="O25" s="147"/>
      <c r="P25" s="147"/>
      <c r="Q25" s="147"/>
      <c r="R25" s="551">
        <f t="shared" si="6"/>
        <v>153337</v>
      </c>
      <c r="S25" s="147">
        <f t="shared" si="4"/>
        <v>153337</v>
      </c>
      <c r="T25" s="147"/>
      <c r="U25" s="143"/>
    </row>
    <row r="26" spans="1:21" s="144" customFormat="1" ht="12">
      <c r="A26" s="149" t="s">
        <v>134</v>
      </c>
      <c r="B26" s="146">
        <f t="shared" si="3"/>
        <v>15487038</v>
      </c>
      <c r="C26" s="146">
        <f>SUM(C17:C25)</f>
        <v>15487038</v>
      </c>
      <c r="D26" s="146">
        <f t="shared" ref="D26:Q26" si="7">SUM(D17:D25)</f>
        <v>0</v>
      </c>
      <c r="E26" s="146">
        <f t="shared" si="7"/>
        <v>3912938</v>
      </c>
      <c r="F26" s="146">
        <f t="shared" si="7"/>
        <v>11574000</v>
      </c>
      <c r="G26" s="146">
        <f t="shared" si="7"/>
        <v>0</v>
      </c>
      <c r="H26" s="146">
        <f t="shared" si="7"/>
        <v>0</v>
      </c>
      <c r="I26" s="146">
        <f t="shared" si="7"/>
        <v>0</v>
      </c>
      <c r="J26" s="146">
        <f t="shared" si="7"/>
        <v>0</v>
      </c>
      <c r="K26" s="146">
        <f t="shared" si="7"/>
        <v>0</v>
      </c>
      <c r="L26" s="146">
        <f t="shared" si="7"/>
        <v>100</v>
      </c>
      <c r="M26" s="146">
        <f t="shared" si="7"/>
        <v>0</v>
      </c>
      <c r="N26" s="146">
        <f t="shared" si="7"/>
        <v>0</v>
      </c>
      <c r="O26" s="146">
        <f t="shared" si="7"/>
        <v>0</v>
      </c>
      <c r="P26" s="146">
        <f t="shared" si="7"/>
        <v>0</v>
      </c>
      <c r="Q26" s="146">
        <f t="shared" si="7"/>
        <v>0</v>
      </c>
      <c r="R26" s="371">
        <f>SUM(R17:R25)</f>
        <v>15487038</v>
      </c>
      <c r="S26" s="150">
        <f>SUM(S17:S25)</f>
        <v>15487038</v>
      </c>
      <c r="T26" s="150">
        <f>SUM(T17:T25)</f>
        <v>0</v>
      </c>
      <c r="U26" s="143"/>
    </row>
    <row r="27" spans="1:21" s="144" customFormat="1" ht="12">
      <c r="A27" s="149" t="s">
        <v>142</v>
      </c>
      <c r="B27" s="146">
        <f>SUM(C27:D27)</f>
        <v>625000</v>
      </c>
      <c r="C27" s="147">
        <v>625000</v>
      </c>
      <c r="D27" s="147"/>
      <c r="E27" s="147">
        <f>C27-SUM(F27:L27)</f>
        <v>625000</v>
      </c>
      <c r="F27" s="147"/>
      <c r="G27" s="147"/>
      <c r="H27" s="147"/>
      <c r="I27" s="147"/>
      <c r="J27" s="147"/>
      <c r="K27" s="147"/>
      <c r="L27" s="147"/>
      <c r="M27" s="147"/>
      <c r="N27" s="147"/>
      <c r="O27" s="147"/>
      <c r="P27" s="147"/>
      <c r="Q27" s="147"/>
      <c r="R27" s="551">
        <f t="shared" si="6"/>
        <v>625000</v>
      </c>
      <c r="S27" s="147">
        <f>R27</f>
        <v>625000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2">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842400</v>
      </c>
      <c r="C40" s="147">
        <v>842400</v>
      </c>
      <c r="D40" s="147"/>
      <c r="E40" s="147">
        <f>C40-SUM(F40:M40)</f>
        <v>842400</v>
      </c>
      <c r="F40" s="147"/>
      <c r="G40" s="147"/>
      <c r="H40" s="147"/>
      <c r="I40" s="147"/>
      <c r="J40" s="147"/>
      <c r="K40" s="147"/>
      <c r="L40" s="147"/>
      <c r="M40" s="147"/>
      <c r="N40" s="147"/>
      <c r="O40" s="147"/>
      <c r="P40" s="147"/>
      <c r="Q40" s="147"/>
      <c r="R40" s="551">
        <f>SUM(E40:Q40)</f>
        <v>842400</v>
      </c>
      <c r="S40" s="147">
        <f>R40</f>
        <v>842400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842400</v>
      </c>
      <c r="C42" s="146">
        <f>SUM(C39:C41)</f>
        <v>842400</v>
      </c>
      <c r="D42" s="146">
        <f>SUM(D39:D41)</f>
        <v>0</v>
      </c>
      <c r="E42" s="146">
        <f t="shared" ref="E42:T42" si="11">SUM(E40:E41)</f>
        <v>842400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842400</v>
      </c>
      <c r="S42" s="150">
        <f t="shared" si="11"/>
        <v>842400</v>
      </c>
      <c r="T42" s="150">
        <f t="shared" si="11"/>
        <v>0</v>
      </c>
      <c r="U42" s="143"/>
    </row>
    <row r="43" spans="1:21" s="144" customFormat="1" ht="12">
      <c r="A43" s="149" t="s">
        <v>149</v>
      </c>
      <c r="B43" s="146">
        <f>SUM(C43:D43)</f>
        <v>280800</v>
      </c>
      <c r="C43" s="147">
        <v>280800</v>
      </c>
      <c r="D43" s="147"/>
      <c r="E43" s="147">
        <f>C43-SUM(F43:M43)</f>
        <v>280800</v>
      </c>
      <c r="F43" s="147"/>
      <c r="G43" s="147"/>
      <c r="H43" s="147"/>
      <c r="I43" s="147"/>
      <c r="J43" s="147"/>
      <c r="K43" s="147"/>
      <c r="L43" s="147"/>
      <c r="M43" s="147"/>
      <c r="N43" s="147"/>
      <c r="O43" s="147"/>
      <c r="P43" s="147"/>
      <c r="Q43" s="147"/>
      <c r="R43" s="551">
        <f>SUM(E43:Q43)</f>
        <v>280800</v>
      </c>
      <c r="S43" s="147">
        <f>R43</f>
        <v>280800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5839306</v>
      </c>
      <c r="C45" s="147">
        <f>3461518+457949+1919839</f>
        <v>5839306</v>
      </c>
      <c r="D45" s="147"/>
      <c r="E45" s="147">
        <f>C45-SUM(F45:M45)</f>
        <v>3402281</v>
      </c>
      <c r="F45" s="147"/>
      <c r="G45" s="147"/>
      <c r="H45" s="147">
        <v>1919839</v>
      </c>
      <c r="I45" s="147"/>
      <c r="J45" s="147">
        <v>517186</v>
      </c>
      <c r="K45" s="147"/>
      <c r="L45" s="147"/>
      <c r="M45" s="147"/>
      <c r="N45" s="147"/>
      <c r="O45" s="147"/>
      <c r="P45" s="147"/>
      <c r="Q45" s="147"/>
      <c r="R45" s="551">
        <f t="shared" ref="R45:R53" si="13">SUM(E45:Q45)</f>
        <v>5839306</v>
      </c>
      <c r="S45" s="147">
        <v>1136054</v>
      </c>
      <c r="T45" s="147"/>
      <c r="U45" s="143"/>
    </row>
    <row r="46" spans="1:21" s="144" customFormat="1">
      <c r="A46" s="145" t="s">
        <v>152</v>
      </c>
      <c r="B46" s="146">
        <f t="shared" si="12"/>
        <v>301788</v>
      </c>
      <c r="C46" s="147">
        <v>301788</v>
      </c>
      <c r="D46" s="147"/>
      <c r="E46" s="147">
        <f t="shared" ref="E46:E53" si="14">C46-SUM(F46:M46)</f>
        <v>301788</v>
      </c>
      <c r="F46" s="147"/>
      <c r="G46" s="147"/>
      <c r="H46" s="147"/>
      <c r="I46" s="147"/>
      <c r="J46" s="147"/>
      <c r="K46" s="147"/>
      <c r="L46" s="147"/>
      <c r="M46" s="147"/>
      <c r="N46" s="147"/>
      <c r="O46" s="147"/>
      <c r="P46" s="147"/>
      <c r="Q46" s="147"/>
      <c r="R46" s="551">
        <f t="shared" si="13"/>
        <v>301788</v>
      </c>
      <c r="S46" s="147">
        <v>79574</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204591</v>
      </c>
      <c r="C49" s="147">
        <f>2500+57619+40238+40000+10000+5000+14234+35000</f>
        <v>204591</v>
      </c>
      <c r="D49" s="147"/>
      <c r="E49" s="147">
        <f t="shared" si="14"/>
        <v>204591</v>
      </c>
      <c r="F49" s="147"/>
      <c r="G49" s="147"/>
      <c r="H49" s="147"/>
      <c r="I49" s="147"/>
      <c r="J49" s="147"/>
      <c r="K49" s="147"/>
      <c r="L49" s="147"/>
      <c r="M49" s="147"/>
      <c r="N49" s="147"/>
      <c r="O49" s="147"/>
      <c r="P49" s="147"/>
      <c r="Q49" s="147"/>
      <c r="R49" s="551">
        <f t="shared" si="13"/>
        <v>204591</v>
      </c>
      <c r="S49" s="147">
        <v>10547</v>
      </c>
      <c r="T49" s="147"/>
      <c r="U49" s="143"/>
    </row>
    <row r="50" spans="1:21" s="144" customFormat="1">
      <c r="A50" s="145" t="s">
        <v>157</v>
      </c>
      <c r="B50" s="146">
        <f t="shared" si="12"/>
        <v>30000</v>
      </c>
      <c r="C50" s="147">
        <v>30000</v>
      </c>
      <c r="D50" s="147"/>
      <c r="E50" s="147">
        <f t="shared" si="14"/>
        <v>30000</v>
      </c>
      <c r="F50" s="147"/>
      <c r="G50" s="147"/>
      <c r="H50" s="147"/>
      <c r="I50" s="147"/>
      <c r="J50" s="147"/>
      <c r="K50" s="147"/>
      <c r="L50" s="147"/>
      <c r="M50" s="147"/>
      <c r="N50" s="147"/>
      <c r="O50" s="147"/>
      <c r="P50" s="147"/>
      <c r="Q50" s="147"/>
      <c r="R50" s="551">
        <f t="shared" si="13"/>
        <v>30000</v>
      </c>
      <c r="S50" s="147">
        <f>R50</f>
        <v>30000</v>
      </c>
      <c r="T50" s="147"/>
      <c r="U50" s="143"/>
    </row>
    <row r="51" spans="1:21" s="144" customFormat="1">
      <c r="A51" s="304" t="s">
        <v>155</v>
      </c>
      <c r="B51" s="146">
        <f t="shared" si="12"/>
        <v>100000</v>
      </c>
      <c r="C51" s="147">
        <v>100000</v>
      </c>
      <c r="D51" s="147"/>
      <c r="E51" s="147">
        <f t="shared" si="14"/>
        <v>100000</v>
      </c>
      <c r="F51" s="147"/>
      <c r="G51" s="147"/>
      <c r="H51" s="147"/>
      <c r="I51" s="147"/>
      <c r="J51" s="147"/>
      <c r="K51" s="147"/>
      <c r="L51" s="147"/>
      <c r="M51" s="147"/>
      <c r="N51" s="147"/>
      <c r="O51" s="147"/>
      <c r="P51" s="147"/>
      <c r="Q51" s="147"/>
      <c r="R51" s="551">
        <f t="shared" si="13"/>
        <v>100000</v>
      </c>
      <c r="S51" s="147">
        <f>R51</f>
        <v>100000</v>
      </c>
      <c r="T51" s="147"/>
      <c r="U51" s="143"/>
    </row>
    <row r="52" spans="1:21" s="144" customFormat="1">
      <c r="A52" s="145" t="s">
        <v>156</v>
      </c>
      <c r="B52" s="146">
        <f t="shared" si="12"/>
        <v>60000</v>
      </c>
      <c r="C52" s="147">
        <v>60000</v>
      </c>
      <c r="D52" s="147"/>
      <c r="E52" s="147">
        <f t="shared" si="14"/>
        <v>60000</v>
      </c>
      <c r="F52" s="147"/>
      <c r="G52" s="147"/>
      <c r="H52" s="147"/>
      <c r="I52" s="147"/>
      <c r="J52" s="147"/>
      <c r="K52" s="147"/>
      <c r="L52" s="147"/>
      <c r="M52" s="147"/>
      <c r="N52" s="147"/>
      <c r="O52" s="147"/>
      <c r="P52" s="147"/>
      <c r="Q52" s="147"/>
      <c r="R52" s="551">
        <f t="shared" si="13"/>
        <v>60000</v>
      </c>
      <c r="S52" s="147">
        <f>R52</f>
        <v>60000</v>
      </c>
      <c r="T52" s="147"/>
      <c r="U52" s="143"/>
    </row>
    <row r="53" spans="1:21" s="144" customFormat="1">
      <c r="A53" s="1202" t="s">
        <v>34</v>
      </c>
      <c r="B53" s="146">
        <f t="shared" si="12"/>
        <v>0</v>
      </c>
      <c r="C53" s="147"/>
      <c r="D53" s="147"/>
      <c r="E53" s="147">
        <f t="shared" si="14"/>
        <v>0</v>
      </c>
      <c r="F53" s="147"/>
      <c r="G53" s="147"/>
      <c r="H53" s="147"/>
      <c r="I53" s="147"/>
      <c r="J53" s="147"/>
      <c r="K53" s="147"/>
      <c r="L53" s="147"/>
      <c r="M53" s="147"/>
      <c r="N53" s="147"/>
      <c r="O53" s="147"/>
      <c r="P53" s="147"/>
      <c r="Q53" s="147"/>
      <c r="R53" s="551">
        <f t="shared" si="13"/>
        <v>0</v>
      </c>
      <c r="S53" s="147"/>
      <c r="T53" s="147"/>
      <c r="U53" s="143"/>
    </row>
    <row r="54" spans="1:21" s="153" customFormat="1" ht="12">
      <c r="A54" s="149" t="s">
        <v>158</v>
      </c>
      <c r="B54" s="150">
        <f>SUM(C54:D54)</f>
        <v>6535685</v>
      </c>
      <c r="C54" s="150">
        <f t="shared" ref="C54:T54" si="15">SUM(C45:C53)</f>
        <v>6535685</v>
      </c>
      <c r="D54" s="150">
        <f t="shared" si="15"/>
        <v>0</v>
      </c>
      <c r="E54" s="150">
        <f t="shared" si="15"/>
        <v>4098660</v>
      </c>
      <c r="F54" s="150">
        <f t="shared" si="15"/>
        <v>0</v>
      </c>
      <c r="G54" s="150">
        <f t="shared" si="15"/>
        <v>0</v>
      </c>
      <c r="H54" s="150">
        <f t="shared" si="15"/>
        <v>1919839</v>
      </c>
      <c r="I54" s="150">
        <f t="shared" si="15"/>
        <v>0</v>
      </c>
      <c r="J54" s="150">
        <f t="shared" si="15"/>
        <v>517186</v>
      </c>
      <c r="K54" s="150">
        <f t="shared" si="15"/>
        <v>0</v>
      </c>
      <c r="L54" s="150">
        <f t="shared" si="15"/>
        <v>0</v>
      </c>
      <c r="M54" s="150">
        <f t="shared" si="15"/>
        <v>0</v>
      </c>
      <c r="N54" s="150">
        <f t="shared" si="15"/>
        <v>0</v>
      </c>
      <c r="O54" s="150">
        <f t="shared" si="15"/>
        <v>0</v>
      </c>
      <c r="P54" s="150">
        <f t="shared" si="15"/>
        <v>0</v>
      </c>
      <c r="Q54" s="150">
        <f t="shared" si="15"/>
        <v>0</v>
      </c>
      <c r="R54" s="371">
        <f t="shared" si="15"/>
        <v>6535685</v>
      </c>
      <c r="S54" s="150">
        <f t="shared" si="15"/>
        <v>1416175</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115740</v>
      </c>
      <c r="C56" s="147">
        <v>115740</v>
      </c>
      <c r="D56" s="147"/>
      <c r="E56" s="147">
        <f t="shared" ref="E56:E61" si="17">C56-SUM(F56:N56)</f>
        <v>0</v>
      </c>
      <c r="F56" s="147"/>
      <c r="G56" s="147"/>
      <c r="H56" s="147"/>
      <c r="I56" s="147"/>
      <c r="J56" s="147">
        <v>115740</v>
      </c>
      <c r="K56" s="147"/>
      <c r="L56" s="147"/>
      <c r="M56" s="147"/>
      <c r="N56" s="147"/>
      <c r="O56" s="147"/>
      <c r="P56" s="147"/>
      <c r="Q56" s="147"/>
      <c r="R56" s="551">
        <f t="shared" ref="R56:R61" si="18">SUM(E56:Q56)</f>
        <v>115740</v>
      </c>
      <c r="S56" s="148"/>
      <c r="T56" s="148"/>
      <c r="U56" s="143"/>
    </row>
    <row r="57" spans="1:21" s="204" customFormat="1">
      <c r="A57" s="198" t="s">
        <v>153</v>
      </c>
      <c r="B57" s="205">
        <f t="shared" si="16"/>
        <v>0</v>
      </c>
      <c r="C57" s="202"/>
      <c r="D57" s="202"/>
      <c r="E57" s="202">
        <f t="shared" si="17"/>
        <v>0</v>
      </c>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6"/>
        <v>15000</v>
      </c>
      <c r="C58" s="147">
        <v>15000</v>
      </c>
      <c r="D58" s="147"/>
      <c r="E58" s="147">
        <f t="shared" si="17"/>
        <v>0</v>
      </c>
      <c r="F58" s="147"/>
      <c r="G58" s="147"/>
      <c r="H58" s="147"/>
      <c r="I58" s="147"/>
      <c r="J58" s="147">
        <v>15000</v>
      </c>
      <c r="K58" s="147"/>
      <c r="L58" s="147"/>
      <c r="M58" s="147"/>
      <c r="N58" s="147"/>
      <c r="O58" s="147"/>
      <c r="P58" s="147"/>
      <c r="Q58" s="147"/>
      <c r="R58" s="551">
        <f t="shared" si="18"/>
        <v>15000</v>
      </c>
      <c r="S58" s="148"/>
      <c r="T58" s="148"/>
      <c r="U58" s="143"/>
    </row>
    <row r="59" spans="1:21" s="144" customFormat="1">
      <c r="A59" s="304" t="s">
        <v>155</v>
      </c>
      <c r="B59" s="146">
        <f t="shared" si="16"/>
        <v>0</v>
      </c>
      <c r="C59" s="147"/>
      <c r="D59" s="147"/>
      <c r="E59" s="147">
        <f t="shared" si="17"/>
        <v>0</v>
      </c>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6"/>
        <v>0</v>
      </c>
      <c r="C60" s="147"/>
      <c r="D60" s="147"/>
      <c r="E60" s="147">
        <f t="shared" si="17"/>
        <v>0</v>
      </c>
      <c r="F60" s="147"/>
      <c r="G60" s="147"/>
      <c r="H60" s="147"/>
      <c r="I60" s="147"/>
      <c r="J60" s="147"/>
      <c r="K60" s="147"/>
      <c r="L60" s="147"/>
      <c r="M60" s="147"/>
      <c r="N60" s="147"/>
      <c r="O60" s="147"/>
      <c r="P60" s="147"/>
      <c r="Q60" s="147"/>
      <c r="R60" s="551">
        <f t="shared" si="18"/>
        <v>0</v>
      </c>
      <c r="S60" s="148"/>
      <c r="T60" s="148"/>
      <c r="U60" s="143"/>
    </row>
    <row r="61" spans="1:21" s="144" customFormat="1">
      <c r="A61" s="1202" t="s">
        <v>2765</v>
      </c>
      <c r="B61" s="146">
        <f t="shared" si="16"/>
        <v>57870</v>
      </c>
      <c r="C61" s="147">
        <v>57870</v>
      </c>
      <c r="D61" s="147"/>
      <c r="E61" s="147">
        <f t="shared" si="17"/>
        <v>0</v>
      </c>
      <c r="F61" s="147"/>
      <c r="G61" s="147"/>
      <c r="H61" s="147"/>
      <c r="I61" s="147"/>
      <c r="J61" s="147">
        <v>57870</v>
      </c>
      <c r="K61" s="147"/>
      <c r="L61" s="147"/>
      <c r="M61" s="147"/>
      <c r="N61" s="147"/>
      <c r="O61" s="147"/>
      <c r="P61" s="147"/>
      <c r="Q61" s="147"/>
      <c r="R61" s="551">
        <f t="shared" si="18"/>
        <v>57870</v>
      </c>
      <c r="S61" s="148"/>
      <c r="T61" s="148"/>
      <c r="U61" s="143"/>
    </row>
    <row r="62" spans="1:21" s="144" customFormat="1" ht="13.8" customHeight="1">
      <c r="A62" s="149" t="s">
        <v>302</v>
      </c>
      <c r="B62" s="146">
        <f>SUM(C62:D62)</f>
        <v>188610</v>
      </c>
      <c r="C62" s="146">
        <f t="shared" ref="C62:R62" si="19">SUM(C56:C61)</f>
        <v>188610</v>
      </c>
      <c r="D62" s="146">
        <f t="shared" si="19"/>
        <v>0</v>
      </c>
      <c r="E62" s="146">
        <f t="shared" si="19"/>
        <v>0</v>
      </c>
      <c r="F62" s="146">
        <f t="shared" si="19"/>
        <v>0</v>
      </c>
      <c r="G62" s="146">
        <f t="shared" si="19"/>
        <v>0</v>
      </c>
      <c r="H62" s="146">
        <f t="shared" si="19"/>
        <v>0</v>
      </c>
      <c r="I62" s="146">
        <f t="shared" si="19"/>
        <v>0</v>
      </c>
      <c r="J62" s="146">
        <f t="shared" si="19"/>
        <v>188610</v>
      </c>
      <c r="K62" s="146">
        <f t="shared" si="19"/>
        <v>0</v>
      </c>
      <c r="L62" s="146">
        <f t="shared" si="19"/>
        <v>0</v>
      </c>
      <c r="M62" s="146">
        <f t="shared" si="19"/>
        <v>0</v>
      </c>
      <c r="N62" s="146">
        <f t="shared" si="19"/>
        <v>0</v>
      </c>
      <c r="O62" s="146">
        <f t="shared" si="19"/>
        <v>0</v>
      </c>
      <c r="P62" s="146">
        <f t="shared" si="19"/>
        <v>0</v>
      </c>
      <c r="Q62" s="146">
        <f t="shared" si="19"/>
        <v>0</v>
      </c>
      <c r="R62" s="371">
        <f t="shared" si="19"/>
        <v>188610</v>
      </c>
      <c r="S62" s="148"/>
      <c r="T62" s="148"/>
      <c r="U62" s="143"/>
    </row>
    <row r="63" spans="1:21" s="144" customFormat="1">
      <c r="A63" s="154" t="s">
        <v>303</v>
      </c>
      <c r="B63" s="146">
        <f t="shared" ref="B63:R63" si="20">SUM(B8+B11+B13+B14+B15+B26+B27+B38+B42+B43+B54+B62)</f>
        <v>64198277</v>
      </c>
      <c r="C63" s="146">
        <f t="shared" si="20"/>
        <v>64198277</v>
      </c>
      <c r="D63" s="146">
        <f t="shared" si="20"/>
        <v>0</v>
      </c>
      <c r="E63" s="146">
        <f t="shared" si="20"/>
        <v>23498077</v>
      </c>
      <c r="F63" s="146">
        <f t="shared" si="20"/>
        <v>11574000</v>
      </c>
      <c r="G63" s="146">
        <f t="shared" si="20"/>
        <v>23000465</v>
      </c>
      <c r="H63" s="146">
        <f t="shared" si="20"/>
        <v>1919839</v>
      </c>
      <c r="I63" s="146">
        <f t="shared" si="20"/>
        <v>0</v>
      </c>
      <c r="J63" s="146">
        <f t="shared" si="20"/>
        <v>705796</v>
      </c>
      <c r="K63" s="146">
        <f t="shared" si="20"/>
        <v>0</v>
      </c>
      <c r="L63" s="146">
        <f t="shared" si="20"/>
        <v>100</v>
      </c>
      <c r="M63" s="146">
        <f t="shared" si="20"/>
        <v>3500000</v>
      </c>
      <c r="N63" s="146">
        <f t="shared" si="20"/>
        <v>0</v>
      </c>
      <c r="O63" s="146">
        <f t="shared" si="20"/>
        <v>0</v>
      </c>
      <c r="P63" s="146">
        <f t="shared" si="20"/>
        <v>0</v>
      </c>
      <c r="Q63" s="146">
        <f t="shared" si="20"/>
        <v>0</v>
      </c>
      <c r="R63" s="371">
        <f t="shared" si="20"/>
        <v>64198277</v>
      </c>
      <c r="S63" s="146">
        <f>SUM(S10+S13+S14+S15+S26+S27+S38+S42+S43+S54)</f>
        <v>18651413</v>
      </c>
      <c r="T63" s="146">
        <f>SUM(T11+T13+T14+T15+T26+T27+T38+T42+T43+T54)</f>
        <v>38837000</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135000</v>
      </c>
      <c r="C65" s="1016">
        <f>55000+65000+15000</f>
        <v>135000</v>
      </c>
      <c r="D65" s="147"/>
      <c r="E65" s="147">
        <f>C65-SUM(F65:M65)</f>
        <v>135000</v>
      </c>
      <c r="F65" s="147"/>
      <c r="G65" s="147"/>
      <c r="H65" s="147"/>
      <c r="I65" s="147"/>
      <c r="J65" s="147"/>
      <c r="K65" s="147"/>
      <c r="L65" s="147"/>
      <c r="M65" s="147"/>
      <c r="N65" s="147"/>
      <c r="O65" s="147"/>
      <c r="P65" s="147"/>
      <c r="Q65" s="147"/>
      <c r="R65" s="551">
        <f>SUM(E65:Q65)</f>
        <v>135000</v>
      </c>
      <c r="S65" s="147">
        <v>17139</v>
      </c>
      <c r="T65" s="147"/>
      <c r="U65" s="143"/>
    </row>
    <row r="66" spans="1:21" s="144" customFormat="1" ht="24" customHeight="1">
      <c r="A66" s="304" t="s">
        <v>1822</v>
      </c>
      <c r="B66" s="146">
        <f>SUM(C66+D66)</f>
        <v>0</v>
      </c>
      <c r="C66" s="147"/>
      <c r="D66" s="147"/>
      <c r="E66" s="147">
        <f>C66-SUM(F66:M66)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f>C67-SUM(F67:M67)</f>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C68-SUM(F68:M68)</f>
        <v>0</v>
      </c>
      <c r="F68" s="147"/>
      <c r="G68" s="147"/>
      <c r="H68" s="147"/>
      <c r="I68" s="147"/>
      <c r="J68" s="147"/>
      <c r="K68" s="147"/>
      <c r="L68" s="147"/>
      <c r="M68" s="147"/>
      <c r="N68" s="147"/>
      <c r="O68" s="147"/>
      <c r="P68" s="147"/>
      <c r="Q68" s="147"/>
      <c r="R68" s="551">
        <f>SUM(E68:Q68)</f>
        <v>0</v>
      </c>
      <c r="S68" s="147"/>
      <c r="T68" s="147"/>
      <c r="U68" s="143"/>
    </row>
    <row r="69" spans="1:21" s="144" customFormat="1">
      <c r="A69" s="1202" t="s">
        <v>2763</v>
      </c>
      <c r="B69" s="146">
        <f>SUM(C69+D69)</f>
        <v>51900</v>
      </c>
      <c r="C69" s="147">
        <f>35000+16900</f>
        <v>51900</v>
      </c>
      <c r="D69" s="147"/>
      <c r="E69" s="147">
        <f>C69-SUM(F69:M69)</f>
        <v>51900</v>
      </c>
      <c r="F69" s="147"/>
      <c r="G69" s="147"/>
      <c r="H69" s="147"/>
      <c r="I69" s="147"/>
      <c r="J69" s="147"/>
      <c r="K69" s="147"/>
      <c r="L69" s="147"/>
      <c r="M69" s="147"/>
      <c r="N69" s="147"/>
      <c r="O69" s="147"/>
      <c r="P69" s="147"/>
      <c r="Q69" s="147"/>
      <c r="R69" s="551">
        <f>SUM(E69:Q69)</f>
        <v>51900</v>
      </c>
      <c r="S69" s="147">
        <v>35000</v>
      </c>
      <c r="T69" s="147"/>
      <c r="U69" s="143"/>
    </row>
    <row r="70" spans="1:21" s="144" customFormat="1" ht="12">
      <c r="A70" s="149" t="s">
        <v>1826</v>
      </c>
      <c r="B70" s="146">
        <f>SUM(C70:D70)</f>
        <v>186900</v>
      </c>
      <c r="C70" s="146">
        <f>SUM(C65:C69)</f>
        <v>186900</v>
      </c>
      <c r="D70" s="146">
        <f>SUM(D65:D69)</f>
        <v>0</v>
      </c>
      <c r="E70" s="146">
        <f t="shared" ref="E70:T70" si="21">SUM(E65:E69)</f>
        <v>186900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186900</v>
      </c>
      <c r="S70" s="150">
        <f t="shared" si="21"/>
        <v>52139</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C72-SUM(F72:L72)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C73-SUM(F73:L73)</f>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C74-SUM(F74:L74)</f>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679802</v>
      </c>
      <c r="C75" s="147">
        <v>679802</v>
      </c>
      <c r="D75" s="147"/>
      <c r="E75" s="147">
        <f>C75-SUM(F75:L75)</f>
        <v>0</v>
      </c>
      <c r="F75" s="147"/>
      <c r="G75" s="147"/>
      <c r="H75" s="147"/>
      <c r="I75" s="147">
        <f>322105-I76</f>
        <v>116105</v>
      </c>
      <c r="J75" s="147">
        <f>C75-I75</f>
        <v>563697</v>
      </c>
      <c r="K75" s="147"/>
      <c r="L75" s="147"/>
      <c r="M75" s="147"/>
      <c r="N75" s="147"/>
      <c r="O75" s="147"/>
      <c r="P75" s="147"/>
      <c r="Q75" s="147"/>
      <c r="R75" s="551">
        <f>SUM(E75:Q75)</f>
        <v>679802</v>
      </c>
      <c r="S75" s="148"/>
      <c r="T75" s="148"/>
      <c r="U75" s="143"/>
    </row>
    <row r="76" spans="1:21" s="144" customFormat="1" ht="22.8">
      <c r="A76" s="1202" t="s">
        <v>2764</v>
      </c>
      <c r="B76" s="146">
        <f>SUM(C76+D76)</f>
        <v>206000</v>
      </c>
      <c r="C76" s="147">
        <v>206000</v>
      </c>
      <c r="D76" s="147"/>
      <c r="E76" s="147">
        <f>C76-SUM(F76:L76)</f>
        <v>0</v>
      </c>
      <c r="F76" s="147"/>
      <c r="G76" s="147"/>
      <c r="H76" s="147"/>
      <c r="I76" s="147">
        <v>206000</v>
      </c>
      <c r="J76" s="147"/>
      <c r="K76" s="147"/>
      <c r="L76" s="147"/>
      <c r="M76" s="147"/>
      <c r="N76" s="147"/>
      <c r="O76" s="147"/>
      <c r="P76" s="147"/>
      <c r="Q76" s="147"/>
      <c r="R76" s="551">
        <f>SUM(E76:Q76)</f>
        <v>206000</v>
      </c>
      <c r="S76" s="148"/>
      <c r="T76" s="148"/>
      <c r="U76" s="143"/>
    </row>
    <row r="77" spans="1:21" s="144" customFormat="1" ht="12">
      <c r="A77" s="149" t="s">
        <v>615</v>
      </c>
      <c r="B77" s="146">
        <f>SUM(C77:D77)</f>
        <v>885802</v>
      </c>
      <c r="C77" s="146">
        <f>SUM(C72:C76)</f>
        <v>885802</v>
      </c>
      <c r="D77" s="146">
        <f>SUM(D72:D76)</f>
        <v>0</v>
      </c>
      <c r="E77" s="146">
        <f t="shared" ref="E77:Q77" si="22">SUM(E72:E76)</f>
        <v>0</v>
      </c>
      <c r="F77" s="146">
        <f t="shared" si="22"/>
        <v>0</v>
      </c>
      <c r="G77" s="146">
        <f t="shared" si="22"/>
        <v>0</v>
      </c>
      <c r="H77" s="146">
        <f t="shared" si="22"/>
        <v>0</v>
      </c>
      <c r="I77" s="146">
        <f t="shared" si="22"/>
        <v>322105</v>
      </c>
      <c r="J77" s="146">
        <f t="shared" si="22"/>
        <v>563697</v>
      </c>
      <c r="K77" s="146">
        <f t="shared" si="22"/>
        <v>0</v>
      </c>
      <c r="L77" s="146">
        <f t="shared" si="22"/>
        <v>0</v>
      </c>
      <c r="M77" s="146">
        <f t="shared" si="22"/>
        <v>0</v>
      </c>
      <c r="N77" s="146">
        <f t="shared" si="22"/>
        <v>0</v>
      </c>
      <c r="O77" s="146">
        <f t="shared" si="22"/>
        <v>0</v>
      </c>
      <c r="P77" s="146">
        <f t="shared" si="22"/>
        <v>0</v>
      </c>
      <c r="Q77" s="146">
        <f t="shared" si="22"/>
        <v>0</v>
      </c>
      <c r="R77" s="371">
        <f>SUM(R72:R76)</f>
        <v>885802</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2654487</v>
      </c>
      <c r="C79" s="147">
        <v>2654487</v>
      </c>
      <c r="D79" s="147"/>
      <c r="E79" s="147">
        <f>C79-SUM(F79:L79)</f>
        <v>2654487</v>
      </c>
      <c r="F79" s="147"/>
      <c r="G79" s="147"/>
      <c r="H79" s="147"/>
      <c r="I79" s="147"/>
      <c r="J79" s="147"/>
      <c r="K79" s="147"/>
      <c r="L79" s="147"/>
      <c r="M79" s="147"/>
      <c r="N79" s="147"/>
      <c r="O79" s="147"/>
      <c r="P79" s="147"/>
      <c r="Q79" s="147"/>
      <c r="R79" s="551">
        <f>SUM(E79:Q79)</f>
        <v>2654487</v>
      </c>
      <c r="S79" s="147">
        <f>R79</f>
        <v>2654487</v>
      </c>
      <c r="T79" s="147"/>
      <c r="U79" s="143"/>
    </row>
    <row r="80" spans="1:21" s="144" customFormat="1">
      <c r="A80" s="304" t="s">
        <v>58</v>
      </c>
      <c r="B80" s="146">
        <f>SUM(C80:D80)</f>
        <v>286893</v>
      </c>
      <c r="C80" s="147">
        <v>286893</v>
      </c>
      <c r="D80" s="147"/>
      <c r="E80" s="147">
        <f>C80-SUM(F80:L80)</f>
        <v>286893</v>
      </c>
      <c r="F80" s="147"/>
      <c r="G80" s="147"/>
      <c r="H80" s="147"/>
      <c r="I80" s="147"/>
      <c r="J80" s="147"/>
      <c r="K80" s="147"/>
      <c r="L80" s="147"/>
      <c r="M80" s="147"/>
      <c r="N80" s="147"/>
      <c r="O80" s="147"/>
      <c r="P80" s="147"/>
      <c r="Q80" s="147"/>
      <c r="R80" s="551">
        <f>SUM(E80:Q80)</f>
        <v>286893</v>
      </c>
      <c r="S80" s="147">
        <f>R80</f>
        <v>286893</v>
      </c>
      <c r="T80" s="147"/>
      <c r="U80" s="143"/>
    </row>
    <row r="81" spans="1:21" s="144" customFormat="1" ht="12">
      <c r="A81" s="149" t="s">
        <v>1352</v>
      </c>
      <c r="B81" s="146">
        <f>SUM(C81:D81)</f>
        <v>2941380</v>
      </c>
      <c r="C81" s="544">
        <f>SUM(C79:C80)</f>
        <v>2941380</v>
      </c>
      <c r="D81" s="544">
        <f t="shared" ref="D81:T81" si="23">SUM(D79:D80)</f>
        <v>0</v>
      </c>
      <c r="E81" s="544">
        <f t="shared" si="23"/>
        <v>2941380</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2941380</v>
      </c>
      <c r="S81" s="544">
        <f t="shared" si="23"/>
        <v>2941380</v>
      </c>
      <c r="T81" s="544">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2513</v>
      </c>
      <c r="B83" s="146">
        <f t="shared" ref="B83:B95" si="24">SUM(C83+D83)</f>
        <v>115681</v>
      </c>
      <c r="C83" s="147">
        <v>115681</v>
      </c>
      <c r="D83" s="147"/>
      <c r="E83" s="147">
        <f>C83-SUM(F83:L83)</f>
        <v>115681</v>
      </c>
      <c r="F83" s="147"/>
      <c r="G83" s="147"/>
      <c r="H83" s="147"/>
      <c r="I83" s="147"/>
      <c r="J83" s="147"/>
      <c r="K83" s="147"/>
      <c r="L83" s="147"/>
      <c r="M83" s="147"/>
      <c r="N83" s="147"/>
      <c r="O83" s="147"/>
      <c r="P83" s="147"/>
      <c r="Q83" s="147"/>
      <c r="R83" s="551">
        <f t="shared" ref="R83:R95" si="25">SUM(E83:Q83)</f>
        <v>115681</v>
      </c>
      <c r="S83" s="148"/>
      <c r="T83" s="148"/>
      <c r="U83" s="143"/>
    </row>
    <row r="84" spans="1:21" s="144" customFormat="1">
      <c r="A84" s="145" t="s">
        <v>791</v>
      </c>
      <c r="B84" s="146">
        <f t="shared" si="24"/>
        <v>103000</v>
      </c>
      <c r="C84" s="147">
        <v>103000</v>
      </c>
      <c r="D84" s="147"/>
      <c r="E84" s="147">
        <f t="shared" ref="E84:E95" si="26">C84-SUM(F84:L84)</f>
        <v>103000</v>
      </c>
      <c r="F84" s="147"/>
      <c r="G84" s="147"/>
      <c r="H84" s="147"/>
      <c r="I84" s="147"/>
      <c r="J84" s="147"/>
      <c r="K84" s="147"/>
      <c r="L84" s="147"/>
      <c r="M84" s="147"/>
      <c r="N84" s="147"/>
      <c r="O84" s="147"/>
      <c r="P84" s="147"/>
      <c r="Q84" s="147"/>
      <c r="R84" s="551">
        <f t="shared" si="25"/>
        <v>103000</v>
      </c>
      <c r="S84" s="147">
        <f>R84</f>
        <v>103000</v>
      </c>
      <c r="T84" s="147"/>
      <c r="U84" s="143"/>
    </row>
    <row r="85" spans="1:21" s="144" customFormat="1">
      <c r="A85" s="145" t="s">
        <v>792</v>
      </c>
      <c r="B85" s="146">
        <f t="shared" si="24"/>
        <v>0</v>
      </c>
      <c r="C85" s="147"/>
      <c r="D85" s="147"/>
      <c r="E85" s="147">
        <f t="shared" si="26"/>
        <v>0</v>
      </c>
      <c r="F85" s="147"/>
      <c r="G85" s="147"/>
      <c r="H85" s="147"/>
      <c r="I85" s="147"/>
      <c r="J85" s="147"/>
      <c r="K85" s="147"/>
      <c r="L85" s="147"/>
      <c r="M85" s="147"/>
      <c r="N85" s="147"/>
      <c r="O85" s="147"/>
      <c r="P85" s="147"/>
      <c r="Q85" s="147"/>
      <c r="R85" s="551">
        <f t="shared" si="25"/>
        <v>0</v>
      </c>
      <c r="S85" s="147"/>
      <c r="T85" s="147"/>
      <c r="U85" s="143"/>
    </row>
    <row r="86" spans="1:21" s="144" customFormat="1">
      <c r="A86" s="145" t="s">
        <v>793</v>
      </c>
      <c r="B86" s="146">
        <f t="shared" si="24"/>
        <v>360000</v>
      </c>
      <c r="C86" s="147">
        <v>360000</v>
      </c>
      <c r="D86" s="147"/>
      <c r="E86" s="147">
        <f t="shared" si="26"/>
        <v>360000</v>
      </c>
      <c r="F86" s="147"/>
      <c r="G86" s="147"/>
      <c r="H86" s="147"/>
      <c r="I86" s="147"/>
      <c r="J86" s="147"/>
      <c r="K86" s="147"/>
      <c r="L86" s="147"/>
      <c r="M86" s="147"/>
      <c r="N86" s="147"/>
      <c r="O86" s="147"/>
      <c r="P86" s="147"/>
      <c r="Q86" s="147"/>
      <c r="R86" s="551">
        <f t="shared" si="25"/>
        <v>360000</v>
      </c>
      <c r="S86" s="147">
        <f>R86</f>
        <v>360000</v>
      </c>
      <c r="T86" s="147"/>
      <c r="U86" s="143"/>
    </row>
    <row r="87" spans="1:21" s="144" customFormat="1">
      <c r="A87" s="145" t="s">
        <v>794</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9833</v>
      </c>
      <c r="C88" s="147">
        <v>9833</v>
      </c>
      <c r="D88" s="147"/>
      <c r="E88" s="147">
        <f t="shared" si="26"/>
        <v>9833</v>
      </c>
      <c r="F88" s="147"/>
      <c r="G88" s="147"/>
      <c r="H88" s="147"/>
      <c r="I88" s="147"/>
      <c r="J88" s="147"/>
      <c r="K88" s="147"/>
      <c r="L88" s="147"/>
      <c r="M88" s="147"/>
      <c r="N88" s="147"/>
      <c r="O88" s="147"/>
      <c r="P88" s="147"/>
      <c r="Q88" s="147"/>
      <c r="R88" s="551">
        <f t="shared" si="25"/>
        <v>9833</v>
      </c>
      <c r="S88" s="148"/>
      <c r="T88" s="148"/>
      <c r="U88" s="143"/>
    </row>
    <row r="89" spans="1:21" s="144" customFormat="1">
      <c r="A89" s="145" t="s">
        <v>796</v>
      </c>
      <c r="B89" s="146">
        <f t="shared" si="24"/>
        <v>26000</v>
      </c>
      <c r="C89" s="147">
        <v>26000</v>
      </c>
      <c r="D89" s="147"/>
      <c r="E89" s="147">
        <f t="shared" si="26"/>
        <v>0</v>
      </c>
      <c r="F89" s="147"/>
      <c r="G89" s="147"/>
      <c r="H89" s="147"/>
      <c r="I89" s="147"/>
      <c r="J89" s="147">
        <f>C89</f>
        <v>26000</v>
      </c>
      <c r="K89" s="147"/>
      <c r="L89" s="147"/>
      <c r="M89" s="147"/>
      <c r="N89" s="147"/>
      <c r="O89" s="147"/>
      <c r="P89" s="147"/>
      <c r="Q89" s="147"/>
      <c r="R89" s="551">
        <f t="shared" si="25"/>
        <v>26000</v>
      </c>
      <c r="S89" s="147">
        <f>R89</f>
        <v>26000</v>
      </c>
      <c r="T89" s="147"/>
      <c r="U89" s="143"/>
    </row>
    <row r="90" spans="1:21" s="144" customFormat="1">
      <c r="A90" s="145" t="s">
        <v>797</v>
      </c>
      <c r="B90" s="146">
        <f t="shared" si="24"/>
        <v>7500</v>
      </c>
      <c r="C90" s="147">
        <v>7500</v>
      </c>
      <c r="D90" s="147"/>
      <c r="E90" s="147">
        <f t="shared" si="26"/>
        <v>7500</v>
      </c>
      <c r="F90" s="147"/>
      <c r="G90" s="147"/>
      <c r="H90" s="147"/>
      <c r="I90" s="147"/>
      <c r="J90" s="147"/>
      <c r="K90" s="147"/>
      <c r="L90" s="147"/>
      <c r="M90" s="147"/>
      <c r="N90" s="147"/>
      <c r="O90" s="147"/>
      <c r="P90" s="147"/>
      <c r="Q90" s="147"/>
      <c r="R90" s="551">
        <f t="shared" si="25"/>
        <v>7500</v>
      </c>
      <c r="S90" s="147"/>
      <c r="T90" s="147"/>
      <c r="U90" s="143"/>
    </row>
    <row r="91" spans="1:21" s="144" customFormat="1">
      <c r="A91" s="145" t="s">
        <v>373</v>
      </c>
      <c r="B91" s="146">
        <f t="shared" si="24"/>
        <v>0</v>
      </c>
      <c r="C91" s="147"/>
      <c r="D91" s="147"/>
      <c r="E91" s="147">
        <f t="shared" si="26"/>
        <v>0</v>
      </c>
      <c r="F91" s="147"/>
      <c r="G91" s="147"/>
      <c r="H91" s="147"/>
      <c r="I91" s="147"/>
      <c r="J91" s="147"/>
      <c r="K91" s="147"/>
      <c r="L91" s="147"/>
      <c r="M91" s="147"/>
      <c r="N91" s="147"/>
      <c r="O91" s="147"/>
      <c r="P91" s="147"/>
      <c r="Q91" s="147"/>
      <c r="R91" s="551">
        <f t="shared" si="25"/>
        <v>0</v>
      </c>
      <c r="S91" s="147"/>
      <c r="T91" s="147"/>
      <c r="U91" s="143"/>
    </row>
    <row r="92" spans="1:21" s="144" customFormat="1">
      <c r="A92" s="304" t="s">
        <v>1354</v>
      </c>
      <c r="B92" s="146">
        <f t="shared" si="24"/>
        <v>7500</v>
      </c>
      <c r="C92" s="147">
        <v>7500</v>
      </c>
      <c r="D92" s="147"/>
      <c r="E92" s="147">
        <f t="shared" si="26"/>
        <v>7500</v>
      </c>
      <c r="F92" s="147"/>
      <c r="G92" s="147"/>
      <c r="H92" s="147"/>
      <c r="I92" s="147"/>
      <c r="J92" s="147"/>
      <c r="K92" s="147"/>
      <c r="L92" s="147"/>
      <c r="M92" s="147"/>
      <c r="N92" s="147"/>
      <c r="O92" s="147"/>
      <c r="P92" s="147"/>
      <c r="Q92" s="147"/>
      <c r="R92" s="551">
        <f t="shared" si="25"/>
        <v>7500</v>
      </c>
      <c r="S92" s="147">
        <f>R92</f>
        <v>7500</v>
      </c>
      <c r="T92" s="147"/>
      <c r="U92" s="143"/>
    </row>
    <row r="93" spans="1:21" s="144" customFormat="1">
      <c r="A93" s="1202" t="s">
        <v>2767</v>
      </c>
      <c r="B93" s="146">
        <f t="shared" si="24"/>
        <v>149000</v>
      </c>
      <c r="C93" s="147">
        <f>5000+20000+124000</f>
        <v>149000</v>
      </c>
      <c r="D93" s="147"/>
      <c r="E93" s="147">
        <f t="shared" si="26"/>
        <v>149000</v>
      </c>
      <c r="F93" s="147"/>
      <c r="G93" s="147"/>
      <c r="H93" s="147"/>
      <c r="I93" s="147"/>
      <c r="J93" s="147"/>
      <c r="K93" s="147"/>
      <c r="L93" s="147"/>
      <c r="M93" s="147"/>
      <c r="N93" s="147"/>
      <c r="O93" s="147"/>
      <c r="P93" s="147"/>
      <c r="Q93" s="147"/>
      <c r="R93" s="551">
        <f t="shared" si="25"/>
        <v>149000</v>
      </c>
      <c r="S93" s="147"/>
      <c r="T93" s="147">
        <f>4855+19419+120395</f>
        <v>144669</v>
      </c>
      <c r="U93" s="143"/>
    </row>
    <row r="94" spans="1:21" s="144" customFormat="1">
      <c r="A94" s="1202" t="s">
        <v>2761</v>
      </c>
      <c r="B94" s="146">
        <f t="shared" si="24"/>
        <v>150000</v>
      </c>
      <c r="C94" s="147">
        <v>150000</v>
      </c>
      <c r="D94" s="147"/>
      <c r="E94" s="147">
        <f t="shared" si="26"/>
        <v>150000</v>
      </c>
      <c r="F94" s="147"/>
      <c r="G94" s="147"/>
      <c r="H94" s="147"/>
      <c r="I94" s="147"/>
      <c r="J94" s="147"/>
      <c r="K94" s="147"/>
      <c r="L94" s="147"/>
      <c r="M94" s="147"/>
      <c r="N94" s="147"/>
      <c r="O94" s="147"/>
      <c r="P94" s="147"/>
      <c r="Q94" s="147"/>
      <c r="R94" s="551">
        <f t="shared" si="25"/>
        <v>150000</v>
      </c>
      <c r="S94" s="147">
        <f>R94</f>
        <v>150000</v>
      </c>
      <c r="T94" s="147"/>
      <c r="U94" s="143"/>
    </row>
    <row r="95" spans="1:21" s="144" customFormat="1">
      <c r="A95" s="1202" t="s">
        <v>2762</v>
      </c>
      <c r="B95" s="146">
        <f t="shared" si="24"/>
        <v>30000</v>
      </c>
      <c r="C95" s="147">
        <v>30000</v>
      </c>
      <c r="D95" s="147"/>
      <c r="E95" s="147">
        <f t="shared" si="26"/>
        <v>30000</v>
      </c>
      <c r="F95" s="147"/>
      <c r="G95" s="147"/>
      <c r="H95" s="147"/>
      <c r="I95" s="147"/>
      <c r="J95" s="147"/>
      <c r="K95" s="147"/>
      <c r="L95" s="147"/>
      <c r="M95" s="147"/>
      <c r="N95" s="147"/>
      <c r="O95" s="147"/>
      <c r="P95" s="147"/>
      <c r="Q95" s="147"/>
      <c r="R95" s="551">
        <f t="shared" si="25"/>
        <v>30000</v>
      </c>
      <c r="S95" s="147">
        <f>R95</f>
        <v>30000</v>
      </c>
      <c r="T95" s="147"/>
      <c r="U95" s="143"/>
    </row>
    <row r="96" spans="1:21" s="144" customFormat="1" ht="12">
      <c r="A96" s="149" t="s">
        <v>798</v>
      </c>
      <c r="B96" s="146">
        <f>SUM(C96:D96)</f>
        <v>958514</v>
      </c>
      <c r="C96" s="146">
        <f t="shared" ref="C96:R96" si="27">SUM(C83:C95)</f>
        <v>958514</v>
      </c>
      <c r="D96" s="146">
        <f t="shared" si="27"/>
        <v>0</v>
      </c>
      <c r="E96" s="146">
        <f t="shared" si="27"/>
        <v>932514</v>
      </c>
      <c r="F96" s="146">
        <f t="shared" si="27"/>
        <v>0</v>
      </c>
      <c r="G96" s="146">
        <f t="shared" si="27"/>
        <v>0</v>
      </c>
      <c r="H96" s="146">
        <f t="shared" si="27"/>
        <v>0</v>
      </c>
      <c r="I96" s="146">
        <f t="shared" si="27"/>
        <v>0</v>
      </c>
      <c r="J96" s="146">
        <f t="shared" si="27"/>
        <v>26000</v>
      </c>
      <c r="K96" s="146">
        <f t="shared" si="27"/>
        <v>0</v>
      </c>
      <c r="L96" s="146">
        <f t="shared" si="27"/>
        <v>0</v>
      </c>
      <c r="M96" s="146">
        <f t="shared" si="27"/>
        <v>0</v>
      </c>
      <c r="N96" s="146">
        <f t="shared" si="27"/>
        <v>0</v>
      </c>
      <c r="O96" s="146">
        <f t="shared" si="27"/>
        <v>0</v>
      </c>
      <c r="P96" s="146">
        <f t="shared" si="27"/>
        <v>0</v>
      </c>
      <c r="Q96" s="146">
        <f t="shared" si="27"/>
        <v>0</v>
      </c>
      <c r="R96" s="371">
        <f t="shared" si="27"/>
        <v>958514</v>
      </c>
      <c r="S96" s="150">
        <f>SUM(S84:S87,S89:S95)</f>
        <v>676500</v>
      </c>
      <c r="T96" s="146">
        <f>SUM(T84:T87,T89:T95)</f>
        <v>144669</v>
      </c>
      <c r="U96" s="143"/>
    </row>
    <row r="97" spans="1:21" s="144" customFormat="1" ht="12">
      <c r="A97" s="149" t="s">
        <v>799</v>
      </c>
      <c r="B97" s="146">
        <f>SUM(C97:D97)</f>
        <v>69170873</v>
      </c>
      <c r="C97" s="146">
        <f t="shared" ref="C97:R97" si="28">SUM(C63+C70+C77+C81+C96)</f>
        <v>69170873</v>
      </c>
      <c r="D97" s="146">
        <f t="shared" si="28"/>
        <v>0</v>
      </c>
      <c r="E97" s="146">
        <f t="shared" si="28"/>
        <v>27558871</v>
      </c>
      <c r="F97" s="146">
        <f t="shared" si="28"/>
        <v>11574000</v>
      </c>
      <c r="G97" s="146">
        <f t="shared" si="28"/>
        <v>23000465</v>
      </c>
      <c r="H97" s="146">
        <f t="shared" si="28"/>
        <v>1919839</v>
      </c>
      <c r="I97" s="146">
        <f t="shared" si="28"/>
        <v>322105</v>
      </c>
      <c r="J97" s="146">
        <f t="shared" si="28"/>
        <v>1295493</v>
      </c>
      <c r="K97" s="146">
        <f t="shared" si="28"/>
        <v>0</v>
      </c>
      <c r="L97" s="146">
        <f t="shared" si="28"/>
        <v>100</v>
      </c>
      <c r="M97" s="146">
        <f t="shared" si="28"/>
        <v>3500000</v>
      </c>
      <c r="N97" s="146">
        <f t="shared" si="28"/>
        <v>0</v>
      </c>
      <c r="O97" s="146">
        <f t="shared" si="28"/>
        <v>0</v>
      </c>
      <c r="P97" s="146">
        <f t="shared" si="28"/>
        <v>0</v>
      </c>
      <c r="Q97" s="146">
        <f t="shared" si="28"/>
        <v>0</v>
      </c>
      <c r="R97" s="146">
        <f t="shared" si="28"/>
        <v>69170873</v>
      </c>
      <c r="S97" s="146">
        <f>SUM(S63+S70+S81+S96)</f>
        <v>22321432</v>
      </c>
      <c r="T97" s="146">
        <f>SUM(T63+T70+T81+T96)</f>
        <v>38981669</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5297298</v>
      </c>
      <c r="C99" s="1016">
        <v>5297298</v>
      </c>
      <c r="D99" s="1016"/>
      <c r="E99" s="1016">
        <f>C99-K99</f>
        <v>1100000</v>
      </c>
      <c r="F99" s="147"/>
      <c r="G99" s="147"/>
      <c r="H99" s="147"/>
      <c r="I99" s="147"/>
      <c r="J99" s="147"/>
      <c r="K99" s="147">
        <v>4197298</v>
      </c>
      <c r="L99" s="147"/>
      <c r="M99" s="147"/>
      <c r="N99" s="147"/>
      <c r="O99" s="147"/>
      <c r="P99" s="147"/>
      <c r="Q99" s="147"/>
      <c r="R99" s="551">
        <f>SUM(E99:Q99)</f>
        <v>5297298</v>
      </c>
      <c r="S99" s="147">
        <f>R99-T99</f>
        <v>3348215</v>
      </c>
      <c r="T99" s="147">
        <v>1949083</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803</v>
      </c>
      <c r="B104" s="146">
        <f>SUM(C104:D104)</f>
        <v>5297298</v>
      </c>
      <c r="C104" s="146">
        <f>SUM(C99:C103)</f>
        <v>5297298</v>
      </c>
      <c r="D104" s="146">
        <f t="shared" ref="D104:T104" si="29">SUM(D99:D103)</f>
        <v>0</v>
      </c>
      <c r="E104" s="146">
        <f t="shared" si="29"/>
        <v>1100000</v>
      </c>
      <c r="F104" s="146">
        <f t="shared" si="29"/>
        <v>0</v>
      </c>
      <c r="G104" s="146">
        <f t="shared" si="29"/>
        <v>0</v>
      </c>
      <c r="H104" s="146">
        <f t="shared" si="29"/>
        <v>0</v>
      </c>
      <c r="I104" s="146">
        <f t="shared" si="29"/>
        <v>0</v>
      </c>
      <c r="J104" s="146">
        <f t="shared" si="29"/>
        <v>0</v>
      </c>
      <c r="K104" s="146">
        <f t="shared" si="29"/>
        <v>4197298</v>
      </c>
      <c r="L104" s="146">
        <f t="shared" si="29"/>
        <v>0</v>
      </c>
      <c r="M104" s="146">
        <f t="shared" si="29"/>
        <v>0</v>
      </c>
      <c r="N104" s="146">
        <f t="shared" si="29"/>
        <v>0</v>
      </c>
      <c r="O104" s="146">
        <f t="shared" si="29"/>
        <v>0</v>
      </c>
      <c r="P104" s="146">
        <f t="shared" si="29"/>
        <v>0</v>
      </c>
      <c r="Q104" s="146">
        <f t="shared" si="29"/>
        <v>0</v>
      </c>
      <c r="R104" s="371">
        <f t="shared" si="29"/>
        <v>5297298</v>
      </c>
      <c r="S104" s="150">
        <f t="shared" si="29"/>
        <v>3348215</v>
      </c>
      <c r="T104" s="150">
        <f t="shared" si="29"/>
        <v>1949083</v>
      </c>
      <c r="U104" s="143"/>
    </row>
    <row r="105" spans="1:21" s="144" customFormat="1" ht="12">
      <c r="A105" s="149" t="s">
        <v>804</v>
      </c>
      <c r="B105" s="150">
        <f>SUM(C105:D105)</f>
        <v>74468171</v>
      </c>
      <c r="C105" s="150">
        <f t="shared" ref="C105:R105" si="30">SUM(C97+C104)</f>
        <v>74468171</v>
      </c>
      <c r="D105" s="150">
        <f t="shared" si="30"/>
        <v>0</v>
      </c>
      <c r="E105" s="150">
        <f t="shared" si="30"/>
        <v>28658871</v>
      </c>
      <c r="F105" s="150">
        <f t="shared" si="30"/>
        <v>11574000</v>
      </c>
      <c r="G105" s="150">
        <f t="shared" si="30"/>
        <v>23000465</v>
      </c>
      <c r="H105" s="150">
        <f t="shared" si="30"/>
        <v>1919839</v>
      </c>
      <c r="I105" s="150">
        <f t="shared" si="30"/>
        <v>322105</v>
      </c>
      <c r="J105" s="150">
        <f t="shared" si="30"/>
        <v>1295493</v>
      </c>
      <c r="K105" s="150">
        <f t="shared" si="30"/>
        <v>4197298</v>
      </c>
      <c r="L105" s="150">
        <f t="shared" si="30"/>
        <v>100</v>
      </c>
      <c r="M105" s="150">
        <f t="shared" si="30"/>
        <v>3500000</v>
      </c>
      <c r="N105" s="150">
        <f t="shared" si="30"/>
        <v>0</v>
      </c>
      <c r="O105" s="150">
        <f t="shared" si="30"/>
        <v>0</v>
      </c>
      <c r="P105" s="150">
        <f t="shared" si="30"/>
        <v>0</v>
      </c>
      <c r="Q105" s="150">
        <f t="shared" si="30"/>
        <v>0</v>
      </c>
      <c r="R105" s="371">
        <f t="shared" si="30"/>
        <v>74468171</v>
      </c>
      <c r="S105" s="150">
        <f>S97+S104</f>
        <v>25669647</v>
      </c>
      <c r="T105" s="150">
        <f>T97+T104</f>
        <v>40930752</v>
      </c>
      <c r="U105" s="143"/>
    </row>
    <row r="106" spans="1:21" ht="12">
      <c r="A106" s="549" t="s">
        <v>1081</v>
      </c>
      <c r="B106" s="157"/>
      <c r="C106" s="157"/>
      <c r="D106" s="157"/>
      <c r="H106" s="159" t="s">
        <v>93</v>
      </c>
      <c r="I106" s="159"/>
      <c r="J106" s="159"/>
      <c r="R106" s="160" t="s">
        <v>94</v>
      </c>
      <c r="S106" s="147"/>
      <c r="T106" s="147"/>
    </row>
    <row r="107" spans="1:21" ht="12">
      <c r="A107" s="157" t="s">
        <v>184</v>
      </c>
      <c r="C107" s="157"/>
      <c r="D107" s="157"/>
      <c r="I107" s="162" t="s">
        <v>351</v>
      </c>
      <c r="J107" s="162"/>
      <c r="R107" s="160" t="s">
        <v>95</v>
      </c>
      <c r="S107" s="150">
        <f>S105+S106</f>
        <v>25669647</v>
      </c>
      <c r="T107" s="150">
        <f>T105+T106</f>
        <v>40930752</v>
      </c>
    </row>
    <row r="108" spans="1:21" s="201" customFormat="1" ht="12">
      <c r="A108" s="162" t="s">
        <v>908</v>
      </c>
      <c r="B108" s="157"/>
      <c r="C108" s="157"/>
      <c r="D108" s="157"/>
      <c r="E108" s="323">
        <f>Application!AO636</f>
        <v>28658871</v>
      </c>
      <c r="F108" s="323">
        <f>Application!AO623</f>
        <v>11574000</v>
      </c>
      <c r="G108" s="323">
        <f>Application!AO624</f>
        <v>23000465</v>
      </c>
      <c r="H108" s="323">
        <f>Application!AO625</f>
        <v>1919839</v>
      </c>
      <c r="I108" s="323">
        <f>Application!AO626</f>
        <v>322105</v>
      </c>
      <c r="J108" s="323">
        <f>Application!AO627</f>
        <v>1295493</v>
      </c>
      <c r="K108" s="323">
        <f>Application!AO628</f>
        <v>4197298</v>
      </c>
      <c r="L108" s="323">
        <f>Application!AO629</f>
        <v>100</v>
      </c>
      <c r="M108" s="323">
        <f>Application!AO630</f>
        <v>3500000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1077</v>
      </c>
      <c r="B113" s="157"/>
      <c r="C113" s="157"/>
      <c r="D113" s="157"/>
    </row>
    <row r="114" spans="1:21" ht="12">
      <c r="A114" s="156" t="s">
        <v>2514</v>
      </c>
      <c r="B114" s="157"/>
      <c r="C114" s="157"/>
      <c r="D114" s="157"/>
    </row>
    <row r="115" spans="1:21" ht="12" customHeight="1">
      <c r="A115" s="336"/>
      <c r="B115" s="157"/>
      <c r="C115" s="157"/>
      <c r="D115" s="157"/>
    </row>
    <row r="116" spans="1:21" ht="12">
      <c r="A116" s="374" t="s">
        <v>1083</v>
      </c>
      <c r="B116" s="157"/>
      <c r="C116" s="157"/>
      <c r="D116" s="157"/>
    </row>
    <row r="117" spans="1:21" ht="12">
      <c r="A117" s="374" t="s">
        <v>1370</v>
      </c>
      <c r="B117" s="157"/>
      <c r="C117" s="157"/>
      <c r="D117" s="157"/>
    </row>
    <row r="118" spans="1:21" ht="12">
      <c r="A118" s="374" t="s">
        <v>1082</v>
      </c>
      <c r="B118" s="157"/>
      <c r="C118" s="157"/>
      <c r="D118" s="157"/>
    </row>
    <row r="119" spans="1:21" ht="12">
      <c r="A119" s="374" t="s">
        <v>1084</v>
      </c>
      <c r="B119" s="157"/>
      <c r="C119" s="157"/>
      <c r="D119" s="157"/>
    </row>
    <row r="120" spans="1:21" ht="12" customHeight="1">
      <c r="A120" s="373"/>
      <c r="B120" s="157"/>
      <c r="C120" s="157"/>
      <c r="D120" s="157"/>
    </row>
    <row r="121" spans="1:21" ht="15.6">
      <c r="A121" s="367" t="s">
        <v>1062</v>
      </c>
      <c r="B121" s="157"/>
      <c r="C121" s="157"/>
      <c r="D121" s="157"/>
    </row>
    <row r="122" spans="1:21">
      <c r="A122" s="354" t="s">
        <v>1046</v>
      </c>
      <c r="B122" s="353"/>
      <c r="C122" s="353"/>
      <c r="D122" s="1868" t="s">
        <v>1047</v>
      </c>
      <c r="E122" s="1868"/>
      <c r="F122" s="186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3.2">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3.2">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3.2">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1053</v>
      </c>
      <c r="B128" s="362"/>
      <c r="C128" s="117"/>
      <c r="D128" s="1863"/>
      <c r="E128" s="1863"/>
      <c r="F128" s="1863"/>
      <c r="G128" s="1863"/>
      <c r="H128" s="1863"/>
      <c r="I128" s="117"/>
      <c r="J128" s="1858"/>
      <c r="K128" s="1858"/>
      <c r="L128" s="117"/>
      <c r="M128" s="117"/>
      <c r="N128" s="117"/>
      <c r="O128" s="117"/>
      <c r="P128" s="117"/>
      <c r="Q128" s="117"/>
      <c r="R128" s="117"/>
      <c r="S128" s="117"/>
      <c r="T128" s="353"/>
      <c r="U128" s="355"/>
    </row>
    <row r="129" spans="1:21" ht="13.2">
      <c r="A129" s="117" t="s">
        <v>301</v>
      </c>
      <c r="B129" s="362"/>
      <c r="C129" s="117"/>
      <c r="D129" s="1867" t="s">
        <v>1054</v>
      </c>
      <c r="E129" s="1867"/>
      <c r="F129" s="1867"/>
      <c r="G129" s="1867"/>
      <c r="H129" s="186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1056</v>
      </c>
      <c r="B131" s="363">
        <f>SUM(B123:B129)</f>
        <v>0</v>
      </c>
      <c r="C131" s="117"/>
      <c r="D131" s="1411"/>
      <c r="E131" s="1411"/>
      <c r="F131" s="1411"/>
      <c r="G131" s="1411"/>
      <c r="H131" s="1411"/>
      <c r="I131" s="117"/>
      <c r="J131" s="1411"/>
      <c r="K131" s="1411"/>
      <c r="L131" s="1411"/>
      <c r="M131" s="1411"/>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63"/>
      <c r="C138" s="1863"/>
      <c r="D138" s="357"/>
      <c r="E138" s="1858"/>
      <c r="F138" s="1858"/>
      <c r="G138" s="117"/>
      <c r="H138" s="117"/>
      <c r="I138" s="117"/>
      <c r="J138" s="117"/>
      <c r="K138" s="117"/>
      <c r="L138" s="117"/>
      <c r="M138" s="117"/>
      <c r="N138" s="117"/>
      <c r="O138" s="117"/>
      <c r="P138" s="117"/>
      <c r="Q138" s="117"/>
      <c r="R138" s="117"/>
      <c r="S138" s="117"/>
      <c r="T138" s="359"/>
      <c r="U138" s="360"/>
    </row>
    <row r="139" spans="1:21" ht="13.2">
      <c r="A139" s="1857" t="s">
        <v>1061</v>
      </c>
      <c r="B139" s="1857"/>
      <c r="C139" s="1857"/>
      <c r="D139" s="357"/>
      <c r="E139" s="117" t="s">
        <v>1055</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71" t="s">
        <v>1374</v>
      </c>
      <c r="B1" s="1872"/>
      <c r="C1" s="1872"/>
      <c r="D1" s="1872"/>
      <c r="E1" s="1872"/>
      <c r="F1" s="1872"/>
      <c r="G1" s="1872"/>
      <c r="H1" s="1872"/>
      <c r="I1" s="1872"/>
      <c r="J1" s="1873"/>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1163000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1163000</v>
      </c>
      <c r="C8" s="393">
        <f>SUM(C4:C7)</f>
        <v>0</v>
      </c>
      <c r="D8" s="393">
        <f>SUM(D4:D7)</f>
        <v>0</v>
      </c>
      <c r="E8" s="395"/>
      <c r="F8" s="395"/>
      <c r="G8" s="395"/>
      <c r="H8" s="395"/>
      <c r="I8" s="395"/>
      <c r="J8" s="395"/>
      <c r="K8" s="391"/>
    </row>
    <row r="9" spans="1:11" s="392" customFormat="1" ht="11.4">
      <c r="A9" s="396" t="s">
        <v>603</v>
      </c>
      <c r="B9" s="393">
        <f>'Sources and Uses Budget'!C9</f>
        <v>38837000</v>
      </c>
      <c r="C9" s="394"/>
      <c r="D9" s="394"/>
      <c r="E9" s="395"/>
      <c r="F9" s="395"/>
      <c r="G9" s="395"/>
      <c r="H9" s="393">
        <f>'Sources and Uses Budget'!T9</f>
        <v>38837000</v>
      </c>
      <c r="I9" s="394"/>
      <c r="J9" s="394"/>
      <c r="K9" s="391"/>
    </row>
    <row r="10" spans="1:11" s="392" customFormat="1" ht="11.4">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38837000</v>
      </c>
      <c r="C11" s="393">
        <f>SUM(C9:C10)</f>
        <v>0</v>
      </c>
      <c r="D11" s="393">
        <f>SUM(D9:D10)</f>
        <v>0</v>
      </c>
      <c r="E11" s="395"/>
      <c r="F11" s="395"/>
      <c r="G11" s="395"/>
      <c r="H11" s="393">
        <f>'Sources and Uses Budget'!T11</f>
        <v>38837000</v>
      </c>
      <c r="I11" s="393">
        <f>SUM(I9:I10)</f>
        <v>0</v>
      </c>
      <c r="J11" s="393">
        <f>SUM(J9:J10)</f>
        <v>0</v>
      </c>
      <c r="K11" s="391"/>
    </row>
    <row r="12" spans="1:11" s="392" customFormat="1">
      <c r="A12" s="397" t="s">
        <v>85</v>
      </c>
      <c r="B12" s="393">
        <f>'Sources and Uses Budget'!C12</f>
        <v>40000000</v>
      </c>
      <c r="C12" s="393">
        <f>SUM(C8+C11)</f>
        <v>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238744</v>
      </c>
      <c r="C14" s="394"/>
      <c r="D14" s="394"/>
      <c r="E14" s="393">
        <f>'Sources and Uses Budget'!S14</f>
        <v>0</v>
      </c>
      <c r="F14" s="394"/>
      <c r="G14" s="394"/>
      <c r="H14" s="393">
        <f>'Sources and Uses Budget'!T14</f>
        <v>0</v>
      </c>
      <c r="I14" s="394"/>
      <c r="J14" s="394"/>
      <c r="K14" s="391"/>
    </row>
    <row r="15" spans="1:11" s="392" customFormat="1" ht="11.4">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1173800</v>
      </c>
      <c r="C17" s="394"/>
      <c r="D17" s="394"/>
      <c r="E17" s="393">
        <f>'Sources and Uses Budget'!S17</f>
        <v>1173800</v>
      </c>
      <c r="F17" s="394"/>
      <c r="G17" s="394"/>
      <c r="H17" s="393">
        <f>'Sources and Uses Budget'!T17</f>
        <v>0</v>
      </c>
      <c r="I17" s="394"/>
      <c r="J17" s="394"/>
      <c r="K17" s="391"/>
    </row>
    <row r="18" spans="1:11" s="392" customFormat="1" ht="11.4">
      <c r="A18" s="396" t="s">
        <v>608</v>
      </c>
      <c r="B18" s="393">
        <f>'Sources and Uses Budget'!C18</f>
        <v>12020197</v>
      </c>
      <c r="C18" s="394"/>
      <c r="D18" s="394"/>
      <c r="E18" s="393">
        <f>'Sources and Uses Budget'!S18</f>
        <v>12020197</v>
      </c>
      <c r="F18" s="394"/>
      <c r="G18" s="394"/>
      <c r="H18" s="393">
        <f>'Sources and Uses Budget'!T18</f>
        <v>0</v>
      </c>
      <c r="I18" s="394"/>
      <c r="J18" s="394"/>
      <c r="K18" s="391"/>
    </row>
    <row r="19" spans="1:11" s="392" customFormat="1" ht="11.4">
      <c r="A19" s="396" t="s">
        <v>609</v>
      </c>
      <c r="B19" s="393">
        <f>'Sources and Uses Budget'!C19</f>
        <v>1089176</v>
      </c>
      <c r="C19" s="394"/>
      <c r="D19" s="394"/>
      <c r="E19" s="393">
        <f>'Sources and Uses Budget'!S19</f>
        <v>1089176</v>
      </c>
      <c r="F19" s="394"/>
      <c r="G19" s="394"/>
      <c r="H19" s="393">
        <f>'Sources and Uses Budget'!T19</f>
        <v>0</v>
      </c>
      <c r="I19" s="394"/>
      <c r="J19" s="394"/>
      <c r="K19" s="391"/>
    </row>
    <row r="20" spans="1:11" s="392" customFormat="1" ht="11.4">
      <c r="A20" s="396" t="s">
        <v>138</v>
      </c>
      <c r="B20" s="393">
        <f>'Sources and Uses Budget'!C20</f>
        <v>374933.5</v>
      </c>
      <c r="C20" s="394"/>
      <c r="D20" s="394"/>
      <c r="E20" s="393">
        <f>'Sources and Uses Budget'!S20</f>
        <v>374933.5</v>
      </c>
      <c r="F20" s="394"/>
      <c r="G20" s="394"/>
      <c r="H20" s="393">
        <f>'Sources and Uses Budget'!T20</f>
        <v>0</v>
      </c>
      <c r="I20" s="394"/>
      <c r="J20" s="394"/>
      <c r="K20" s="391"/>
    </row>
    <row r="21" spans="1:11" s="392" customFormat="1" ht="11.4">
      <c r="A21" s="396" t="s">
        <v>139</v>
      </c>
      <c r="B21" s="393">
        <f>'Sources and Uses Budget'!C21</f>
        <v>374933.5</v>
      </c>
      <c r="C21" s="394"/>
      <c r="D21" s="394"/>
      <c r="E21" s="393">
        <f>'Sources and Uses Budget'!S21</f>
        <v>374933.5</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300661</v>
      </c>
      <c r="C23" s="394"/>
      <c r="D23" s="394"/>
      <c r="E23" s="393">
        <f>'Sources and Uses Budget'!S23</f>
        <v>300661</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Bond Premium</v>
      </c>
      <c r="B25" s="393">
        <f>'Sources and Uses Budget'!C25</f>
        <v>153337</v>
      </c>
      <c r="C25" s="394"/>
      <c r="D25" s="394"/>
      <c r="E25" s="393">
        <f>'Sources and Uses Budget'!S25</f>
        <v>153337</v>
      </c>
      <c r="F25" s="394"/>
      <c r="G25" s="394"/>
      <c r="H25" s="393">
        <f>'Sources and Uses Budget'!T25</f>
        <v>0</v>
      </c>
      <c r="I25" s="394"/>
      <c r="J25" s="394"/>
      <c r="K25" s="391"/>
    </row>
    <row r="26" spans="1:11" s="392" customFormat="1">
      <c r="A26" s="397" t="s">
        <v>134</v>
      </c>
      <c r="B26" s="393">
        <f>'Sources and Uses Budget'!C26</f>
        <v>15487038</v>
      </c>
      <c r="C26" s="393">
        <f>SUM(C17:C25)</f>
        <v>0</v>
      </c>
      <c r="D26" s="393">
        <f>SUM(D17:D25)</f>
        <v>0</v>
      </c>
      <c r="E26" s="393">
        <f>'Sources and Uses Budget'!S26</f>
        <v>15487038</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625000</v>
      </c>
      <c r="C27" s="394"/>
      <c r="D27" s="394"/>
      <c r="E27" s="393">
        <f>'Sources and Uses Budget'!S27</f>
        <v>625000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842400</v>
      </c>
      <c r="C40" s="394"/>
      <c r="D40" s="394"/>
      <c r="E40" s="393">
        <f>'Sources and Uses Budget'!S40</f>
        <v>842400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842400</v>
      </c>
      <c r="C42" s="393">
        <f>SUM(C39:C41)</f>
        <v>0</v>
      </c>
      <c r="D42" s="393">
        <f>SUM(D39:D41)</f>
        <v>0</v>
      </c>
      <c r="E42" s="393">
        <f>'Sources and Uses Budget'!S42</f>
        <v>842400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280800</v>
      </c>
      <c r="C43" s="394"/>
      <c r="D43" s="394"/>
      <c r="E43" s="393">
        <f>'Sources and Uses Budget'!S43</f>
        <v>280800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5839306</v>
      </c>
      <c r="C45" s="394"/>
      <c r="D45" s="394"/>
      <c r="E45" s="393">
        <f>'Sources and Uses Budget'!S45</f>
        <v>1136054</v>
      </c>
      <c r="F45" s="394"/>
      <c r="G45" s="394"/>
      <c r="H45" s="393">
        <f>'Sources and Uses Budget'!T45</f>
        <v>0</v>
      </c>
      <c r="I45" s="394"/>
      <c r="J45" s="394"/>
      <c r="K45" s="391"/>
    </row>
    <row r="46" spans="1:11" s="392" customFormat="1" ht="11.4">
      <c r="A46" s="396" t="s">
        <v>152</v>
      </c>
      <c r="B46" s="393">
        <f>'Sources and Uses Budget'!C46</f>
        <v>301788</v>
      </c>
      <c r="C46" s="394"/>
      <c r="D46" s="394"/>
      <c r="E46" s="393">
        <f>'Sources and Uses Budget'!S46</f>
        <v>79574</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204591</v>
      </c>
      <c r="C49" s="394"/>
      <c r="D49" s="394"/>
      <c r="E49" s="393">
        <f>'Sources and Uses Budget'!S49</f>
        <v>10547</v>
      </c>
      <c r="F49" s="394"/>
      <c r="G49" s="394"/>
      <c r="H49" s="393">
        <f>'Sources and Uses Budget'!T49</f>
        <v>0</v>
      </c>
      <c r="I49" s="394"/>
      <c r="J49" s="394"/>
      <c r="K49" s="391"/>
    </row>
    <row r="50" spans="1:11" s="392" customFormat="1" ht="11.4">
      <c r="A50" s="396" t="s">
        <v>157</v>
      </c>
      <c r="B50" s="393">
        <f>'Sources and Uses Budget'!C50</f>
        <v>30000</v>
      </c>
      <c r="C50" s="394"/>
      <c r="D50" s="394"/>
      <c r="E50" s="393">
        <f>'Sources and Uses Budget'!S50</f>
        <v>30000</v>
      </c>
      <c r="F50" s="394"/>
      <c r="G50" s="394"/>
      <c r="H50" s="393">
        <f>'Sources and Uses Budget'!T50</f>
        <v>0</v>
      </c>
      <c r="I50" s="394"/>
      <c r="J50" s="394"/>
      <c r="K50" s="391"/>
    </row>
    <row r="51" spans="1:11" s="392" customFormat="1" ht="11.4">
      <c r="A51" s="396" t="s">
        <v>155</v>
      </c>
      <c r="B51" s="393">
        <f>'Sources and Uses Budget'!C51</f>
        <v>100000</v>
      </c>
      <c r="C51" s="394"/>
      <c r="D51" s="394"/>
      <c r="E51" s="393">
        <f>'Sources and Uses Budget'!S51</f>
        <v>100000</v>
      </c>
      <c r="F51" s="394"/>
      <c r="G51" s="394"/>
      <c r="H51" s="393">
        <f>'Sources and Uses Budget'!T51</f>
        <v>0</v>
      </c>
      <c r="I51" s="394"/>
      <c r="J51" s="394"/>
      <c r="K51" s="391"/>
    </row>
    <row r="52" spans="1:11" s="392" customFormat="1" ht="11.4">
      <c r="A52" s="396" t="s">
        <v>156</v>
      </c>
      <c r="B52" s="393">
        <f>'Sources and Uses Budget'!C52</f>
        <v>60000</v>
      </c>
      <c r="C52" s="394"/>
      <c r="D52" s="394"/>
      <c r="E52" s="393">
        <f>'Sources and Uses Budget'!S52</f>
        <v>60000</v>
      </c>
      <c r="F52" s="394"/>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6535685</v>
      </c>
      <c r="C54" s="399">
        <f>SUM(C45:C53)</f>
        <v>0</v>
      </c>
      <c r="D54" s="399">
        <f>SUM(D45:D53)</f>
        <v>0</v>
      </c>
      <c r="E54" s="393">
        <f>'Sources and Uses Budget'!S54</f>
        <v>1416175</v>
      </c>
      <c r="F54" s="399">
        <f>SUM(F45:F53)</f>
        <v>0</v>
      </c>
      <c r="G54" s="399">
        <f>SUM(G45:G53)</f>
        <v>0</v>
      </c>
      <c r="H54" s="393">
        <f>'Sources and Uses Budget'!T54</f>
        <v>0</v>
      </c>
      <c r="I54" s="399">
        <f>SUM(I45:I53)</f>
        <v>0</v>
      </c>
      <c r="J54" s="399">
        <f>SUM(J45:J53)</f>
        <v>0</v>
      </c>
      <c r="K54" s="400"/>
    </row>
    <row r="55" spans="1:11" s="392" customFormat="1" ht="11.4">
      <c r="A55" s="389" t="s">
        <v>419</v>
      </c>
      <c r="B55" s="390"/>
      <c r="C55" s="390"/>
      <c r="D55" s="390"/>
      <c r="E55" s="390"/>
      <c r="F55" s="390"/>
      <c r="G55" s="390"/>
      <c r="H55" s="390"/>
      <c r="I55" s="390"/>
      <c r="J55" s="390"/>
      <c r="K55" s="391"/>
    </row>
    <row r="56" spans="1:11" s="392" customFormat="1" ht="11.4">
      <c r="A56" s="396" t="s">
        <v>159</v>
      </c>
      <c r="B56" s="393">
        <f>'Sources and Uses Budget'!C56</f>
        <v>115740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15000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Conversion Fee</v>
      </c>
      <c r="B61" s="393">
        <f>'Sources and Uses Budget'!C61</f>
        <v>57870</v>
      </c>
      <c r="C61" s="394"/>
      <c r="D61" s="394"/>
      <c r="E61" s="395"/>
      <c r="F61" s="395"/>
      <c r="G61" s="395"/>
      <c r="H61" s="395"/>
      <c r="I61" s="395"/>
      <c r="J61" s="395"/>
      <c r="K61" s="391"/>
    </row>
    <row r="62" spans="1:11" s="392" customFormat="1" ht="13.8" customHeight="1">
      <c r="A62" s="397" t="s">
        <v>302</v>
      </c>
      <c r="B62" s="393">
        <f>'Sources and Uses Budget'!C62</f>
        <v>188610</v>
      </c>
      <c r="C62" s="393">
        <f>SUM(C56:C61)</f>
        <v>0</v>
      </c>
      <c r="D62" s="393">
        <f>SUM(D56:D61)</f>
        <v>0</v>
      </c>
      <c r="E62" s="395"/>
      <c r="F62" s="395"/>
      <c r="G62" s="395"/>
      <c r="H62" s="395"/>
      <c r="I62" s="395"/>
      <c r="J62" s="395"/>
      <c r="K62" s="391"/>
    </row>
    <row r="63" spans="1:11" s="392" customFormat="1" ht="11.4">
      <c r="A63" s="402" t="s">
        <v>303</v>
      </c>
      <c r="B63" s="393">
        <f>'Sources and Uses Budget'!C63</f>
        <v>64198277</v>
      </c>
      <c r="C63" s="393">
        <f>SUM(C8+C11+C13+C14+C15+C26+C27+C38+C42+C43+C54+C62)</f>
        <v>0</v>
      </c>
      <c r="D63" s="393">
        <f>SUM(D8+D11+D13+D14+D15+D26+D27+D38+D42+D43+D54+D62)</f>
        <v>0</v>
      </c>
      <c r="E63" s="393">
        <f>'Sources and Uses Budget'!S63</f>
        <v>18651413</v>
      </c>
      <c r="F63" s="393">
        <f>SUM(F10+F13+F14+F15+F26+F27+F38+F42+F43+F54)</f>
        <v>0</v>
      </c>
      <c r="G63" s="393">
        <f>SUM(G10+G13+G14+G15+G26+G27+G38+G42+G43+G54)</f>
        <v>0</v>
      </c>
      <c r="H63" s="393">
        <f>'Sources and Uses Budget'!T63</f>
        <v>38837000</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171</v>
      </c>
      <c r="B65" s="393">
        <f>'Sources and Uses Budget'!C65</f>
        <v>135000</v>
      </c>
      <c r="C65" s="394"/>
      <c r="D65" s="394"/>
      <c r="E65" s="393">
        <f>'Sources and Uses Budget'!S65</f>
        <v>17139</v>
      </c>
      <c r="F65" s="394"/>
      <c r="G65" s="394"/>
      <c r="H65" s="393">
        <f>'Sources and Uses Budget'!T65</f>
        <v>0</v>
      </c>
      <c r="I65" s="394"/>
      <c r="J65" s="394"/>
      <c r="K65" s="391"/>
    </row>
    <row r="66" spans="1:11" s="392" customFormat="1" ht="22.8">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Owner Legal</v>
      </c>
      <c r="B69" s="393">
        <f>'Sources and Uses Budget'!C69</f>
        <v>51900</v>
      </c>
      <c r="C69" s="394"/>
      <c r="D69" s="394"/>
      <c r="E69" s="393">
        <f>'Sources and Uses Budget'!S69</f>
        <v>35000</v>
      </c>
      <c r="F69" s="394"/>
      <c r="G69" s="394"/>
      <c r="H69" s="393">
        <f>'Sources and Uses Budget'!T69</f>
        <v>0</v>
      </c>
      <c r="I69" s="394"/>
      <c r="J69" s="394"/>
      <c r="K69" s="391"/>
    </row>
    <row r="70" spans="1:11" s="392" customFormat="1">
      <c r="A70" s="397" t="s">
        <v>610</v>
      </c>
      <c r="B70" s="393">
        <f>'Sources and Uses Budget'!C70</f>
        <v>186900</v>
      </c>
      <c r="C70" s="393">
        <f>SUM(C64:C69)</f>
        <v>0</v>
      </c>
      <c r="D70" s="393">
        <f>SUM(D64:D69)</f>
        <v>0</v>
      </c>
      <c r="E70" s="393">
        <f>'Sources and Uses Budget'!S70</f>
        <v>52139</v>
      </c>
      <c r="F70" s="399">
        <f>SUM(F65:F69)</f>
        <v>0</v>
      </c>
      <c r="G70" s="399">
        <f>SUM(G65:G69)</f>
        <v>0</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1040</v>
      </c>
      <c r="B74" s="393">
        <f>'Sources and Uses Budget'!C74</f>
        <v>0</v>
      </c>
      <c r="C74" s="394"/>
      <c r="D74" s="394"/>
      <c r="E74" s="395"/>
      <c r="F74" s="395"/>
      <c r="G74" s="395"/>
      <c r="H74" s="395"/>
      <c r="I74" s="395"/>
      <c r="J74" s="395"/>
      <c r="K74" s="391"/>
    </row>
    <row r="75" spans="1:11" s="392" customFormat="1" ht="11.4">
      <c r="A75" s="396" t="s">
        <v>614</v>
      </c>
      <c r="B75" s="393">
        <f>'Sources and Uses Budget'!C75</f>
        <v>679802</v>
      </c>
      <c r="C75" s="394"/>
      <c r="D75" s="394"/>
      <c r="E75" s="395"/>
      <c r="F75" s="395"/>
      <c r="G75" s="395"/>
      <c r="H75" s="395"/>
      <c r="I75" s="395"/>
      <c r="J75" s="395"/>
      <c r="K75" s="391"/>
    </row>
    <row r="76" spans="1:11" s="392" customFormat="1" ht="22.8">
      <c r="A76" s="396" t="str">
        <f>'Sources and Uses Budget'!$A76</f>
        <v>Other: Owner Acq/Capitalized Replacement Reserve</v>
      </c>
      <c r="B76" s="393">
        <f>'Sources and Uses Budget'!C76</f>
        <v>206000</v>
      </c>
      <c r="C76" s="394"/>
      <c r="D76" s="394"/>
      <c r="E76" s="395"/>
      <c r="F76" s="395"/>
      <c r="G76" s="395"/>
      <c r="H76" s="395"/>
      <c r="I76" s="395"/>
      <c r="J76" s="395"/>
      <c r="K76" s="391"/>
    </row>
    <row r="77" spans="1:11" s="392" customFormat="1">
      <c r="A77" s="397" t="s">
        <v>615</v>
      </c>
      <c r="B77" s="393">
        <f>'Sources and Uses Budget'!C77</f>
        <v>885802</v>
      </c>
      <c r="C77" s="393">
        <f>SUM(C72:C76)</f>
        <v>0</v>
      </c>
      <c r="D77" s="393">
        <f>SUM(D72:D76)</f>
        <v>0</v>
      </c>
      <c r="E77" s="395"/>
      <c r="F77" s="395"/>
      <c r="G77" s="395"/>
      <c r="H77" s="395"/>
      <c r="I77" s="395"/>
      <c r="J77" s="395"/>
      <c r="K77" s="391"/>
    </row>
    <row r="78" spans="1:11" s="392" customFormat="1" ht="11.4">
      <c r="A78" s="389" t="s">
        <v>1353</v>
      </c>
      <c r="B78" s="390"/>
      <c r="C78" s="390"/>
      <c r="D78" s="390"/>
      <c r="E78" s="390"/>
      <c r="F78" s="390"/>
      <c r="G78" s="390"/>
      <c r="H78" s="390"/>
      <c r="I78" s="390"/>
      <c r="J78" s="390"/>
      <c r="K78" s="391"/>
    </row>
    <row r="79" spans="1:11" s="392" customFormat="1" ht="11.4">
      <c r="A79" s="396" t="s">
        <v>1355</v>
      </c>
      <c r="B79" s="393">
        <f>'Sources and Uses Budget'!C79</f>
        <v>2654487</v>
      </c>
      <c r="C79" s="394"/>
      <c r="D79" s="394"/>
      <c r="E79" s="393">
        <f>'Sources and Uses Budget'!S79</f>
        <v>2654487</v>
      </c>
      <c r="F79" s="394"/>
      <c r="G79" s="394"/>
      <c r="H79" s="393">
        <f>'Sources and Uses Budget'!T79</f>
        <v>0</v>
      </c>
      <c r="I79" s="394"/>
      <c r="J79" s="394"/>
      <c r="K79" s="391"/>
    </row>
    <row r="80" spans="1:11" s="392" customFormat="1" ht="11.4">
      <c r="A80" s="396" t="s">
        <v>58</v>
      </c>
      <c r="B80" s="393">
        <f>'Sources and Uses Budget'!C80</f>
        <v>286893</v>
      </c>
      <c r="C80" s="394"/>
      <c r="D80" s="394"/>
      <c r="E80" s="393">
        <f>'Sources and Uses Budget'!S80</f>
        <v>286893</v>
      </c>
      <c r="F80" s="394"/>
      <c r="G80" s="394"/>
      <c r="H80" s="393">
        <f>'Sources and Uses Budget'!T80</f>
        <v>0</v>
      </c>
      <c r="I80" s="394"/>
      <c r="J80" s="394"/>
      <c r="K80" s="391"/>
    </row>
    <row r="81" spans="1:11" s="392" customFormat="1">
      <c r="A81" s="397" t="s">
        <v>1352</v>
      </c>
      <c r="B81" s="393">
        <f>'Sources and Uses Budget'!C81</f>
        <v>2941380</v>
      </c>
      <c r="C81" s="393">
        <f>SUM(C79:C80)</f>
        <v>0</v>
      </c>
      <c r="D81" s="393">
        <f>SUM(D79:D80)</f>
        <v>0</v>
      </c>
      <c r="E81" s="393">
        <f>'Sources and Uses Budget'!S81</f>
        <v>2941380</v>
      </c>
      <c r="F81" s="393">
        <f>SUM(F79:F80)</f>
        <v>0</v>
      </c>
      <c r="G81" s="393">
        <f>SUM(G79:G80)</f>
        <v>0</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8" customHeight="1">
      <c r="A83" s="145" t="s">
        <v>2513</v>
      </c>
      <c r="B83" s="393">
        <f>'Sources and Uses Budget'!C83</f>
        <v>115681</v>
      </c>
      <c r="C83" s="394"/>
      <c r="D83" s="394"/>
      <c r="E83" s="395"/>
      <c r="F83" s="395"/>
      <c r="G83" s="395"/>
      <c r="H83" s="395"/>
      <c r="I83" s="395"/>
      <c r="J83" s="395"/>
      <c r="K83" s="391"/>
    </row>
    <row r="84" spans="1:11" s="392" customFormat="1" ht="11.4">
      <c r="A84" s="145" t="s">
        <v>791</v>
      </c>
      <c r="B84" s="393">
        <f>'Sources and Uses Budget'!C84</f>
        <v>103000</v>
      </c>
      <c r="C84" s="394"/>
      <c r="D84" s="394"/>
      <c r="E84" s="393">
        <f>'Sources and Uses Budget'!S84</f>
        <v>103000</v>
      </c>
      <c r="F84" s="394"/>
      <c r="G84" s="394"/>
      <c r="H84" s="393">
        <f>'Sources and Uses Budget'!T84</f>
        <v>0</v>
      </c>
      <c r="I84" s="394"/>
      <c r="J84" s="394"/>
      <c r="K84" s="391"/>
    </row>
    <row r="85" spans="1:11" s="392" customFormat="1" ht="11.4">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793</v>
      </c>
      <c r="B86" s="393">
        <f>'Sources and Uses Budget'!C86</f>
        <v>360000</v>
      </c>
      <c r="C86" s="394"/>
      <c r="D86" s="394"/>
      <c r="E86" s="393">
        <f>'Sources and Uses Budget'!S86</f>
        <v>360000</v>
      </c>
      <c r="F86" s="394"/>
      <c r="G86" s="394"/>
      <c r="H86" s="393">
        <f>'Sources and Uses Budget'!T86</f>
        <v>0</v>
      </c>
      <c r="I86" s="394"/>
      <c r="J86" s="394"/>
      <c r="K86" s="391"/>
    </row>
    <row r="87" spans="1:11" s="392" customFormat="1" ht="11.4">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795</v>
      </c>
      <c r="B88" s="393">
        <f>'Sources and Uses Budget'!C88</f>
        <v>9833</v>
      </c>
      <c r="C88" s="394"/>
      <c r="D88" s="394"/>
      <c r="E88" s="395"/>
      <c r="F88" s="395"/>
      <c r="G88" s="395"/>
      <c r="H88" s="395"/>
      <c r="I88" s="395"/>
      <c r="J88" s="395"/>
      <c r="K88" s="391"/>
    </row>
    <row r="89" spans="1:11" s="392" customFormat="1" ht="11.4">
      <c r="A89" s="145" t="s">
        <v>796</v>
      </c>
      <c r="B89" s="393">
        <f>'Sources and Uses Budget'!C89</f>
        <v>26000</v>
      </c>
      <c r="C89" s="394"/>
      <c r="D89" s="394"/>
      <c r="E89" s="393">
        <f>'Sources and Uses Budget'!S89</f>
        <v>26000</v>
      </c>
      <c r="F89" s="394"/>
      <c r="G89" s="394"/>
      <c r="H89" s="393">
        <f>'Sources and Uses Budget'!T89</f>
        <v>0</v>
      </c>
      <c r="I89" s="394"/>
      <c r="J89" s="394"/>
      <c r="K89" s="391"/>
    </row>
    <row r="90" spans="1:11" s="392" customFormat="1" ht="11.4">
      <c r="A90" s="145" t="s">
        <v>797</v>
      </c>
      <c r="B90" s="393">
        <f>'Sources and Uses Budget'!C90</f>
        <v>7500</v>
      </c>
      <c r="C90" s="394"/>
      <c r="D90" s="394"/>
      <c r="E90" s="393">
        <f>'Sources and Uses Budget'!S90</f>
        <v>0</v>
      </c>
      <c r="F90" s="394"/>
      <c r="G90" s="394"/>
      <c r="H90" s="393">
        <f>'Sources and Uses Budget'!T90</f>
        <v>0</v>
      </c>
      <c r="I90" s="394"/>
      <c r="J90" s="394"/>
      <c r="K90" s="391"/>
    </row>
    <row r="91" spans="1:11" s="392" customFormat="1" ht="11.4">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ht="11.4">
      <c r="A92" s="543" t="s">
        <v>1354</v>
      </c>
      <c r="B92" s="393">
        <f>'Sources and Uses Budget'!C92</f>
        <v>7500</v>
      </c>
      <c r="C92" s="394"/>
      <c r="D92" s="394"/>
      <c r="E92" s="393">
        <f>'Sources and Uses Budget'!S92</f>
        <v>7500</v>
      </c>
      <c r="F92" s="394"/>
      <c r="G92" s="394"/>
      <c r="H92" s="393">
        <f>'Sources and Uses Budget'!T92</f>
        <v>0</v>
      </c>
      <c r="I92" s="394"/>
      <c r="J92" s="394"/>
      <c r="K92" s="391"/>
    </row>
    <row r="93" spans="1:11" s="392" customFormat="1" ht="11.4">
      <c r="A93" s="396" t="str">
        <f>'Sources and Uses Budget'!$A93</f>
        <v>Other: Acq legal/transfer tax/title</v>
      </c>
      <c r="B93" s="393">
        <f>'Sources and Uses Budget'!C93</f>
        <v>149000</v>
      </c>
      <c r="C93" s="394"/>
      <c r="D93" s="394"/>
      <c r="E93" s="393">
        <f>'Sources and Uses Budget'!S93</f>
        <v>0</v>
      </c>
      <c r="F93" s="394"/>
      <c r="G93" s="394"/>
      <c r="H93" s="393">
        <f>'Sources and Uses Budget'!T93</f>
        <v>144669</v>
      </c>
      <c r="I93" s="394"/>
      <c r="J93" s="394"/>
      <c r="K93" s="391"/>
    </row>
    <row r="94" spans="1:11" s="392" customFormat="1" ht="11.4">
      <c r="A94" s="396" t="str">
        <f>'Sources and Uses Budget'!$A94</f>
        <v>Other: Owner's Rep</v>
      </c>
      <c r="B94" s="393">
        <f>'Sources and Uses Budget'!C94</f>
        <v>150000</v>
      </c>
      <c r="C94" s="394"/>
      <c r="D94" s="394"/>
      <c r="E94" s="393">
        <f>'Sources and Uses Budget'!S94</f>
        <v>150000</v>
      </c>
      <c r="F94" s="394"/>
      <c r="G94" s="394"/>
      <c r="H94" s="393">
        <f>'Sources and Uses Budget'!T94</f>
        <v>0</v>
      </c>
      <c r="I94" s="394"/>
      <c r="J94" s="394"/>
      <c r="K94" s="391"/>
    </row>
    <row r="95" spans="1:11" s="392" customFormat="1" ht="11.4">
      <c r="A95" s="396" t="str">
        <f>'Sources and Uses Budget'!$A95</f>
        <v>Other: GC Consultant</v>
      </c>
      <c r="B95" s="393">
        <f>'Sources and Uses Budget'!C95</f>
        <v>30000</v>
      </c>
      <c r="C95" s="394"/>
      <c r="D95" s="394"/>
      <c r="E95" s="393">
        <f>'Sources and Uses Budget'!S95</f>
        <v>30000</v>
      </c>
      <c r="F95" s="394"/>
      <c r="G95" s="394"/>
      <c r="H95" s="393">
        <f>'Sources and Uses Budget'!T95</f>
        <v>0</v>
      </c>
      <c r="I95" s="394"/>
      <c r="J95" s="394"/>
      <c r="K95" s="391"/>
    </row>
    <row r="96" spans="1:11" s="392" customFormat="1">
      <c r="A96" s="397" t="s">
        <v>798</v>
      </c>
      <c r="B96" s="393">
        <f>'Sources and Uses Budget'!C96</f>
        <v>958514</v>
      </c>
      <c r="C96" s="393">
        <f>SUM(C83:C95)</f>
        <v>0</v>
      </c>
      <c r="D96" s="393">
        <f>SUM(D83:D95)</f>
        <v>0</v>
      </c>
      <c r="E96" s="393">
        <f>'Sources and Uses Budget'!S96</f>
        <v>676500</v>
      </c>
      <c r="F96" s="399">
        <f>SUM(F84:F87,F89:F95)</f>
        <v>0</v>
      </c>
      <c r="G96" s="399">
        <f>SUM(G84:G87,G89:G95)</f>
        <v>0</v>
      </c>
      <c r="H96" s="393">
        <f>'Sources and Uses Budget'!T96</f>
        <v>144669</v>
      </c>
      <c r="I96" s="393">
        <f>SUM(I84:I87,I89:I95)</f>
        <v>0</v>
      </c>
      <c r="J96" s="393">
        <f>SUM(J84:J87,J89:J95)</f>
        <v>0</v>
      </c>
      <c r="K96" s="391"/>
    </row>
    <row r="97" spans="1:11" s="392" customFormat="1">
      <c r="A97" s="397" t="s">
        <v>1090</v>
      </c>
      <c r="B97" s="393">
        <f>'Sources and Uses Budget'!C97</f>
        <v>69170873</v>
      </c>
      <c r="C97" s="393">
        <f>SUM(C63+C70+C77+C81+C96)</f>
        <v>0</v>
      </c>
      <c r="D97" s="393">
        <f>SUM(D63+D70+D77+D81+D96)</f>
        <v>0</v>
      </c>
      <c r="E97" s="393">
        <f>'Sources and Uses Budget'!S97</f>
        <v>22321432</v>
      </c>
      <c r="F97" s="399">
        <f>SUM(+F63+F70+F81+F96)</f>
        <v>0</v>
      </c>
      <c r="G97" s="399">
        <f>SUM(+G63+G70+G81+G96)</f>
        <v>0</v>
      </c>
      <c r="H97" s="393">
        <f>'Sources and Uses Budget'!T97</f>
        <v>38981669</v>
      </c>
      <c r="I97" s="399">
        <f>SUM(I63+I70+I81+I96)</f>
        <v>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5297298</v>
      </c>
      <c r="C99" s="394"/>
      <c r="D99" s="394"/>
      <c r="E99" s="393">
        <f>'Sources and Uses Budget'!S99</f>
        <v>3348215</v>
      </c>
      <c r="F99" s="394"/>
      <c r="G99" s="394"/>
      <c r="H99" s="393">
        <f>'Sources and Uses Budget'!T99</f>
        <v>1949083</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5297298</v>
      </c>
      <c r="C104" s="393">
        <f>SUM(C99:C103)</f>
        <v>0</v>
      </c>
      <c r="D104" s="393">
        <f>SUM(D99:D103)</f>
        <v>0</v>
      </c>
      <c r="E104" s="393">
        <f>'Sources and Uses Budget'!S104</f>
        <v>3348215</v>
      </c>
      <c r="F104" s="399">
        <f>SUM(F99:F103)</f>
        <v>0</v>
      </c>
      <c r="G104" s="399">
        <f>SUM(G99:G103)</f>
        <v>0</v>
      </c>
      <c r="H104" s="393">
        <f>'Sources and Uses Budget'!T104</f>
        <v>1949083</v>
      </c>
      <c r="I104" s="399">
        <f>SUM(I99:I103)</f>
        <v>0</v>
      </c>
      <c r="J104" s="399">
        <f>SUM(J99:J103)</f>
        <v>0</v>
      </c>
      <c r="K104" s="391"/>
    </row>
    <row r="105" spans="1:11" s="392" customFormat="1">
      <c r="A105" s="397" t="s">
        <v>1091</v>
      </c>
      <c r="B105" s="393">
        <f>'Sources and Uses Budget'!C105</f>
        <v>74468171</v>
      </c>
      <c r="C105" s="399">
        <f>SUM(C97+C104)</f>
        <v>0</v>
      </c>
      <c r="D105" s="399">
        <f>SUM(D97+D104)</f>
        <v>0</v>
      </c>
      <c r="E105" s="393">
        <f>'Sources and Uses Budget'!S105</f>
        <v>25669647</v>
      </c>
      <c r="F105" s="399">
        <f>F97+F104</f>
        <v>0</v>
      </c>
      <c r="G105" s="399">
        <f>G97+G104</f>
        <v>0</v>
      </c>
      <c r="H105" s="393">
        <f>'Sources and Uses Budget'!T105</f>
        <v>40930752</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25669647</v>
      </c>
      <c r="F107" s="399">
        <f>F105+F106</f>
        <v>0</v>
      </c>
      <c r="G107" s="399">
        <f>G105+G106</f>
        <v>0</v>
      </c>
      <c r="H107" s="393">
        <f>'Sources and Uses Budget'!T107</f>
        <v>40930752</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9"/>
      <c r="E124" s="1846"/>
      <c r="F124" s="1846"/>
      <c r="G124" s="1846"/>
      <c r="H124" s="1846"/>
      <c r="I124" s="1846"/>
      <c r="J124" s="408"/>
      <c r="K124" s="391"/>
    </row>
    <row r="125" spans="1:11" s="392" customFormat="1" ht="13.2">
      <c r="A125" s="417"/>
      <c r="B125" s="416"/>
      <c r="C125" s="417"/>
      <c r="D125" s="1846"/>
      <c r="E125" s="1846"/>
      <c r="F125" s="1846"/>
      <c r="G125" s="1846"/>
      <c r="H125" s="1846"/>
      <c r="I125" s="1846"/>
      <c r="J125" s="408"/>
      <c r="K125" s="391"/>
    </row>
    <row r="126" spans="1:11" s="392" customFormat="1" ht="13.2">
      <c r="A126" s="417"/>
      <c r="B126" s="416"/>
      <c r="C126" s="417"/>
      <c r="D126" s="1846"/>
      <c r="E126" s="1846"/>
      <c r="F126" s="1846"/>
      <c r="G126" s="1846"/>
      <c r="H126" s="1846"/>
      <c r="I126" s="1846"/>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846"/>
      <c r="C139" s="1846"/>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65" zoomScale="90" zoomScaleNormal="90" zoomScaleSheetLayoutView="100" workbookViewId="0">
      <selection activeCell="AM196" sqref="AM19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098" t="s">
        <v>1473</v>
      </c>
      <c r="B1" s="2098"/>
      <c r="C1" s="2098"/>
      <c r="D1" s="2098"/>
      <c r="E1" s="2098"/>
      <c r="F1" s="2098"/>
      <c r="G1" s="2098"/>
      <c r="H1" s="2098"/>
      <c r="I1" s="2098"/>
      <c r="J1" s="2098"/>
      <c r="K1" s="2098"/>
      <c r="L1" s="2098"/>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row>
    <row r="2" spans="1:42" s="571" customFormat="1" ht="12.75" customHeight="1" thickBot="1">
      <c r="A2" s="2099"/>
      <c r="B2" s="2099"/>
      <c r="C2" s="2099"/>
      <c r="D2" s="2099"/>
      <c r="E2" s="2099"/>
      <c r="F2" s="2099"/>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2099"/>
      <c r="AF2" s="2099"/>
      <c r="AG2" s="2099"/>
      <c r="AH2" s="2099"/>
      <c r="AI2" s="2099"/>
      <c r="AJ2" s="2099"/>
      <c r="AK2" s="2099"/>
      <c r="AL2" s="2099"/>
      <c r="AM2" s="209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4" t="s">
        <v>1478</v>
      </c>
      <c r="AF7" s="1914"/>
      <c r="AG7" s="1914"/>
      <c r="AH7" s="1914"/>
      <c r="AI7" s="1914"/>
      <c r="AJ7" s="1914"/>
      <c r="AK7" s="1914"/>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2" t="s">
        <v>600</v>
      </c>
      <c r="C13" s="2092"/>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0"/>
      <c r="AH13" s="2100"/>
      <c r="AI13" s="2100"/>
      <c r="AJ13" s="210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2" t="s">
        <v>600</v>
      </c>
      <c r="C16" s="2092"/>
      <c r="D16" s="582"/>
      <c r="E16" s="2084" t="s">
        <v>1480</v>
      </c>
      <c r="F16" s="2085"/>
      <c r="G16" s="2085"/>
      <c r="H16" s="2085"/>
      <c r="I16" s="2085"/>
      <c r="J16" s="2085"/>
      <c r="K16" s="2085"/>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6"/>
      <c r="AK16" s="575"/>
      <c r="AL16" s="575"/>
      <c r="AM16" s="575"/>
      <c r="AN16" s="570"/>
      <c r="AO16" s="585">
        <f>IF($B25="yes",20,0)</f>
        <v>0</v>
      </c>
      <c r="AP16" s="14"/>
    </row>
    <row r="17" spans="1:42" s="571" customFormat="1" ht="12.75" customHeight="1">
      <c r="A17" s="575"/>
      <c r="B17" s="575"/>
      <c r="C17" s="575"/>
      <c r="D17" s="586"/>
      <c r="E17" s="2087"/>
      <c r="F17" s="2088"/>
      <c r="G17" s="2088"/>
      <c r="H17" s="2088"/>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9"/>
      <c r="AK17" s="575"/>
      <c r="AL17" s="575"/>
      <c r="AM17" s="575"/>
      <c r="AN17" s="570"/>
      <c r="AO17" s="571">
        <f>IF(SUM(AO13:AO16)&gt;20,20,(SUM(AO13:AO16)))</f>
        <v>0</v>
      </c>
      <c r="AP17" s="571" t="s">
        <v>1481</v>
      </c>
    </row>
    <row r="18" spans="1:42" s="571" customFormat="1" ht="12.75" customHeight="1">
      <c r="A18" s="575"/>
      <c r="B18" s="575"/>
      <c r="C18" s="575"/>
      <c r="D18" s="586"/>
      <c r="E18" s="2087"/>
      <c r="F18" s="2088"/>
      <c r="G18" s="2088"/>
      <c r="H18" s="2088"/>
      <c r="I18" s="2088"/>
      <c r="J18" s="2088"/>
      <c r="K18" s="2088"/>
      <c r="L18" s="2088"/>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8"/>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1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2" t="s">
        <v>600</v>
      </c>
      <c r="C22" s="2092"/>
      <c r="D22" s="582"/>
      <c r="E22" s="2102" t="s">
        <v>1483</v>
      </c>
      <c r="F22" s="2103"/>
      <c r="G22" s="2103"/>
      <c r="H22" s="2103"/>
      <c r="I22" s="2103"/>
      <c r="J22" s="2103"/>
      <c r="K22" s="2103"/>
      <c r="L22" s="210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4"/>
      <c r="AK22" s="575"/>
      <c r="AL22" s="575"/>
      <c r="AM22" s="575"/>
      <c r="AN22" s="570"/>
      <c r="AO22" s="571">
        <f>IF(SUM(AO20:AO21)&gt;14,14,SUM(AO20:AO21))</f>
        <v>0</v>
      </c>
      <c r="AP22" s="571" t="s">
        <v>1481</v>
      </c>
    </row>
    <row r="23" spans="1:42" s="571" customFormat="1" ht="12.75" customHeight="1">
      <c r="A23" s="575"/>
      <c r="B23" s="575"/>
      <c r="C23" s="575"/>
      <c r="D23" s="585"/>
      <c r="E23" s="2105"/>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2" t="s">
        <v>600</v>
      </c>
      <c r="C25" s="2092"/>
      <c r="D25" s="582"/>
      <c r="E25" s="2020" t="s">
        <v>2430</v>
      </c>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2"/>
      <c r="AK25" s="575"/>
      <c r="AL25" s="575"/>
      <c r="AM25" s="575"/>
      <c r="AN25" s="570"/>
      <c r="AO25" s="571">
        <f>IF(AO24&gt;6,6,AO24)</f>
        <v>0</v>
      </c>
      <c r="AP25" s="571" t="s">
        <v>1481</v>
      </c>
    </row>
    <row r="26" spans="1:42" s="571" customFormat="1" ht="12.75" customHeight="1">
      <c r="A26" s="575"/>
      <c r="B26" s="575"/>
      <c r="C26" s="575"/>
      <c r="D26" s="585"/>
      <c r="E26" s="2045"/>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092" t="s">
        <v>600</v>
      </c>
      <c r="C30" s="2092"/>
      <c r="D30" s="582"/>
      <c r="E30" s="2102" t="s">
        <v>2402</v>
      </c>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4"/>
      <c r="AK30" s="575"/>
      <c r="AL30" s="575"/>
      <c r="AM30" s="575"/>
      <c r="AN30" s="570"/>
      <c r="AO30" s="585"/>
    </row>
    <row r="31" spans="1:42" s="571" customFormat="1" ht="12.75" customHeight="1">
      <c r="A31" s="575"/>
      <c r="B31" s="575"/>
      <c r="C31" s="575"/>
      <c r="E31" s="2105"/>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2" t="s">
        <v>600</v>
      </c>
      <c r="C33" s="2092"/>
      <c r="D33" s="582"/>
      <c r="E33" s="2020" t="s">
        <v>2403</v>
      </c>
      <c r="F33" s="2021"/>
      <c r="G33" s="2021"/>
      <c r="H33" s="2021"/>
      <c r="I33" s="2021"/>
      <c r="J33" s="2021"/>
      <c r="K33" s="2021"/>
      <c r="L33" s="202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2"/>
      <c r="AK33" s="575"/>
      <c r="AL33" s="575"/>
      <c r="AM33" s="575"/>
      <c r="AN33" s="570"/>
    </row>
    <row r="34" spans="1:41" s="571" customFormat="1" ht="12.75" customHeight="1">
      <c r="A34" s="575"/>
      <c r="B34" s="575"/>
      <c r="C34" s="575"/>
      <c r="E34" s="2023"/>
      <c r="F34" s="2024"/>
      <c r="G34" s="2024"/>
      <c r="H34" s="2024"/>
      <c r="I34" s="2024"/>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5"/>
      <c r="AK34" s="575"/>
      <c r="AL34" s="575"/>
      <c r="AM34" s="575"/>
      <c r="AN34" s="570"/>
    </row>
    <row r="35" spans="1:41" s="571" customFormat="1" ht="12.75" customHeight="1">
      <c r="A35" s="575"/>
      <c r="B35" s="575"/>
      <c r="C35" s="575"/>
      <c r="E35" s="2045"/>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2" t="s">
        <v>600</v>
      </c>
      <c r="C39" s="2092"/>
      <c r="D39" s="1195"/>
      <c r="E39" s="2020" t="s">
        <v>2404</v>
      </c>
      <c r="F39" s="2021"/>
      <c r="G39" s="2021"/>
      <c r="H39" s="2021"/>
      <c r="I39" s="2021"/>
      <c r="J39" s="2021"/>
      <c r="K39" s="2021"/>
      <c r="L39" s="202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2"/>
      <c r="AK39" s="1195"/>
      <c r="AL39" s="575"/>
      <c r="AM39" s="575"/>
      <c r="AN39" s="570"/>
    </row>
    <row r="40" spans="1:41" s="571" customFormat="1" ht="12.75" customHeight="1">
      <c r="A40" s="575"/>
      <c r="B40" s="575"/>
      <c r="C40" s="575"/>
      <c r="E40" s="2023"/>
      <c r="F40" s="2024"/>
      <c r="G40" s="2024"/>
      <c r="H40" s="2024"/>
      <c r="I40" s="2024"/>
      <c r="J40" s="2024"/>
      <c r="K40" s="2024"/>
      <c r="L40" s="2024"/>
      <c r="M40" s="2024"/>
      <c r="N40" s="2024"/>
      <c r="O40" s="2024"/>
      <c r="P40" s="2024"/>
      <c r="Q40" s="2024"/>
      <c r="R40" s="2024"/>
      <c r="S40" s="2024"/>
      <c r="T40" s="2024"/>
      <c r="U40" s="2024"/>
      <c r="V40" s="2024"/>
      <c r="W40" s="2024"/>
      <c r="X40" s="2024"/>
      <c r="Y40" s="2024"/>
      <c r="Z40" s="2024"/>
      <c r="AA40" s="2024"/>
      <c r="AB40" s="2024"/>
      <c r="AC40" s="2024"/>
      <c r="AD40" s="2024"/>
      <c r="AE40" s="2024"/>
      <c r="AF40" s="2024"/>
      <c r="AG40" s="2024"/>
      <c r="AH40" s="2024"/>
      <c r="AI40" s="2024"/>
      <c r="AJ40" s="2025"/>
      <c r="AK40" s="575"/>
      <c r="AL40" s="575"/>
      <c r="AM40" s="575"/>
      <c r="AN40" s="570"/>
    </row>
    <row r="41" spans="1:41" s="571" customFormat="1" ht="12.75" customHeight="1">
      <c r="A41" s="575"/>
      <c r="D41" s="582"/>
      <c r="E41" s="2045"/>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2" t="s">
        <v>554</v>
      </c>
      <c r="C46" s="2092"/>
      <c r="D46" s="575"/>
      <c r="E46" s="2020" t="s">
        <v>2409</v>
      </c>
      <c r="F46" s="2021"/>
      <c r="G46" s="2021"/>
      <c r="H46" s="2021"/>
      <c r="I46" s="2021"/>
      <c r="J46" s="2021"/>
      <c r="K46" s="2021"/>
      <c r="L46" s="202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2"/>
      <c r="AK46" s="575"/>
      <c r="AL46" s="575"/>
      <c r="AM46" s="575"/>
      <c r="AN46" s="570"/>
      <c r="AO46" s="594"/>
    </row>
    <row r="47" spans="1:41" s="571" customFormat="1" ht="12.75" customHeight="1">
      <c r="A47" s="575"/>
      <c r="D47" s="582"/>
      <c r="E47" s="2023"/>
      <c r="F47" s="2024"/>
      <c r="G47" s="2024"/>
      <c r="H47" s="2024"/>
      <c r="I47" s="2024"/>
      <c r="J47" s="2024"/>
      <c r="K47" s="2024"/>
      <c r="L47" s="2024"/>
      <c r="M47" s="2024"/>
      <c r="N47" s="2024"/>
      <c r="O47" s="2024"/>
      <c r="P47" s="2024"/>
      <c r="Q47" s="2024"/>
      <c r="R47" s="2024"/>
      <c r="S47" s="2024"/>
      <c r="T47" s="2024"/>
      <c r="U47" s="2024"/>
      <c r="V47" s="2024"/>
      <c r="W47" s="2024"/>
      <c r="X47" s="2024"/>
      <c r="Y47" s="2024"/>
      <c r="Z47" s="2024"/>
      <c r="AA47" s="2024"/>
      <c r="AB47" s="2024"/>
      <c r="AC47" s="2024"/>
      <c r="AD47" s="2024"/>
      <c r="AE47" s="2024"/>
      <c r="AF47" s="2024"/>
      <c r="AG47" s="2024"/>
      <c r="AH47" s="2024"/>
      <c r="AI47" s="2024"/>
      <c r="AJ47" s="2025"/>
      <c r="AK47" s="575"/>
      <c r="AL47" s="575"/>
      <c r="AM47" s="575"/>
      <c r="AN47" s="570"/>
      <c r="AO47" s="594"/>
    </row>
    <row r="48" spans="1:41" s="571" customFormat="1" ht="12.75" customHeight="1">
      <c r="A48" s="575"/>
      <c r="D48" s="575"/>
      <c r="E48" s="2045"/>
      <c r="F48" s="2046"/>
      <c r="G48" s="2046"/>
      <c r="H48" s="2046"/>
      <c r="I48" s="2046"/>
      <c r="J48" s="2046"/>
      <c r="K48" s="2046"/>
      <c r="L48" s="2046"/>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2" t="s">
        <v>554</v>
      </c>
      <c r="C50" s="2092"/>
      <c r="D50" s="575"/>
      <c r="E50" s="2118" t="s">
        <v>2410</v>
      </c>
      <c r="F50" s="2119"/>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2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2" t="s">
        <v>554</v>
      </c>
      <c r="C52" s="2092"/>
      <c r="D52" s="575"/>
      <c r="E52" s="2020" t="s">
        <v>2411</v>
      </c>
      <c r="F52" s="2021"/>
      <c r="G52" s="2021"/>
      <c r="H52" s="2021"/>
      <c r="I52" s="2021"/>
      <c r="J52" s="2021"/>
      <c r="K52" s="2021"/>
      <c r="L52" s="202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2"/>
      <c r="AK52" s="575"/>
      <c r="AL52" s="575"/>
      <c r="AM52" s="575"/>
      <c r="AN52" s="570"/>
    </row>
    <row r="53" spans="1:50" s="571" customFormat="1" ht="12.75" customHeight="1">
      <c r="A53" s="575"/>
      <c r="B53" s="582"/>
      <c r="C53" s="582"/>
      <c r="D53" s="582"/>
      <c r="E53" s="2045"/>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6">
        <f>AO36</f>
        <v>20</v>
      </c>
      <c r="AL56" s="2067"/>
      <c r="AM56" s="206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4" t="s">
        <v>1487</v>
      </c>
      <c r="AF59" s="1914"/>
      <c r="AG59" s="1914"/>
      <c r="AH59" s="1914"/>
      <c r="AI59" s="1914"/>
      <c r="AJ59" s="1914"/>
      <c r="AK59" s="1914"/>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2" t="s">
        <v>600</v>
      </c>
      <c r="C62" s="2092"/>
      <c r="D62" s="582" t="s">
        <v>1488</v>
      </c>
      <c r="E62" s="2084" t="s">
        <v>2412</v>
      </c>
      <c r="F62" s="2085"/>
      <c r="G62" s="2085"/>
      <c r="H62" s="2085"/>
      <c r="I62" s="2085"/>
      <c r="J62" s="2085"/>
      <c r="K62" s="2085"/>
      <c r="L62" s="2085"/>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6"/>
      <c r="AK62" s="578"/>
      <c r="AL62" s="575"/>
      <c r="AM62" s="575"/>
      <c r="AN62" s="570"/>
      <c r="AO62" s="585">
        <f>IF($B62="yes",10,0)</f>
        <v>0</v>
      </c>
    </row>
    <row r="63" spans="1:50" s="571" customFormat="1" ht="12.75" customHeight="1">
      <c r="A63" s="573"/>
      <c r="B63" s="575"/>
      <c r="C63" s="575"/>
      <c r="D63" s="586"/>
      <c r="E63" s="2087"/>
      <c r="F63" s="2088"/>
      <c r="G63" s="2088"/>
      <c r="H63" s="2088"/>
      <c r="I63" s="2088"/>
      <c r="J63" s="2088"/>
      <c r="K63" s="2088"/>
      <c r="L63" s="2088"/>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9"/>
      <c r="AK63" s="578"/>
      <c r="AL63" s="575"/>
      <c r="AM63" s="575"/>
      <c r="AN63" s="570"/>
      <c r="AO63" s="585">
        <f>IF($B68="yes",10,0)</f>
        <v>0</v>
      </c>
    </row>
    <row r="64" spans="1:50" s="571" customFormat="1" ht="12.75" customHeight="1">
      <c r="A64" s="573"/>
      <c r="B64" s="575"/>
      <c r="C64" s="575"/>
      <c r="D64" s="586"/>
      <c r="E64" s="2087"/>
      <c r="F64" s="2088"/>
      <c r="G64" s="2088"/>
      <c r="H64" s="2088"/>
      <c r="I64" s="2088"/>
      <c r="J64" s="2088"/>
      <c r="K64" s="2088"/>
      <c r="L64" s="2088"/>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9"/>
      <c r="AK64" s="578"/>
      <c r="AL64" s="575"/>
      <c r="AM64" s="575"/>
      <c r="AN64" s="570"/>
      <c r="AO64" s="585">
        <f>IF($B75="yes",10,0)</f>
        <v>0</v>
      </c>
    </row>
    <row r="65" spans="1:42" s="571" customFormat="1" ht="12.75" customHeight="1">
      <c r="A65" s="573"/>
      <c r="B65" s="575"/>
      <c r="C65" s="575"/>
      <c r="D65" s="586"/>
      <c r="E65" s="2087"/>
      <c r="F65" s="2088"/>
      <c r="G65" s="2088"/>
      <c r="H65" s="2088"/>
      <c r="I65" s="2088"/>
      <c r="J65" s="2088"/>
      <c r="K65" s="2088"/>
      <c r="L65" s="2088"/>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9"/>
      <c r="AK65" s="578"/>
      <c r="AL65" s="575"/>
      <c r="AM65" s="575"/>
      <c r="AN65" s="570"/>
      <c r="AO65" s="571">
        <f>IF(SUM(AO62:AO64)&gt;10,10,(SUM(AO62:AO64)))</f>
        <v>0</v>
      </c>
      <c r="AP65" s="609" t="s">
        <v>1489</v>
      </c>
    </row>
    <row r="66" spans="1:42" s="571" customFormat="1" ht="12.75" customHeight="1">
      <c r="A66" s="573"/>
      <c r="B66" s="575"/>
      <c r="C66" s="575"/>
      <c r="D66" s="586"/>
      <c r="E66" s="2114"/>
      <c r="F66" s="2115"/>
      <c r="G66" s="2115"/>
      <c r="H66" s="2115"/>
      <c r="I66" s="2115"/>
      <c r="J66" s="2115"/>
      <c r="K66" s="2115"/>
      <c r="L66" s="211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2" t="s">
        <v>600</v>
      </c>
      <c r="C68" s="2092"/>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7" t="s">
        <v>600</v>
      </c>
      <c r="F69" s="2092"/>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2" t="s">
        <v>600</v>
      </c>
      <c r="F70" s="2113"/>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2" t="s">
        <v>600</v>
      </c>
      <c r="F71" s="2113"/>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7" t="s">
        <v>600</v>
      </c>
      <c r="F73" s="2092"/>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2" t="s">
        <v>600</v>
      </c>
      <c r="C75" s="2092"/>
      <c r="D75" s="582" t="s">
        <v>1493</v>
      </c>
      <c r="E75" s="2020" t="s">
        <v>2001</v>
      </c>
      <c r="F75" s="2021"/>
      <c r="G75" s="2021"/>
      <c r="H75" s="2021"/>
      <c r="I75" s="2021"/>
      <c r="J75" s="2021"/>
      <c r="K75" s="2021"/>
      <c r="L75" s="2021"/>
      <c r="M75" s="2021"/>
      <c r="N75" s="2021"/>
      <c r="O75" s="2021"/>
      <c r="P75" s="2021"/>
      <c r="Q75" s="2021"/>
      <c r="R75" s="2021"/>
      <c r="S75" s="2021"/>
      <c r="T75" s="2021"/>
      <c r="U75" s="2021"/>
      <c r="V75" s="2021"/>
      <c r="W75" s="2021"/>
      <c r="X75" s="2021"/>
      <c r="Y75" s="2021"/>
      <c r="Z75" s="2021"/>
      <c r="AA75" s="2021"/>
      <c r="AB75" s="2021"/>
      <c r="AC75" s="2021"/>
      <c r="AD75" s="2021"/>
      <c r="AE75" s="2021"/>
      <c r="AF75" s="2021"/>
      <c r="AG75" s="2021"/>
      <c r="AH75" s="2021"/>
      <c r="AI75" s="2021"/>
      <c r="AJ75" s="2022"/>
      <c r="AK75" s="578"/>
      <c r="AL75" s="575"/>
      <c r="AM75" s="575"/>
      <c r="AN75" s="570"/>
    </row>
    <row r="76" spans="1:42" s="571" customFormat="1" ht="12.75" customHeight="1">
      <c r="A76" s="573"/>
      <c r="B76" s="575"/>
      <c r="C76" s="575"/>
      <c r="D76" s="585"/>
      <c r="E76" s="2045"/>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6">
        <f>IF(AK56&gt;0,0,AO65)</f>
        <v>0</v>
      </c>
      <c r="AL78" s="2067"/>
      <c r="AM78" s="206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4" t="s">
        <v>1478</v>
      </c>
      <c r="AF81" s="1914"/>
      <c r="AG81" s="1914"/>
      <c r="AH81" s="1914"/>
      <c r="AI81" s="1914"/>
      <c r="AJ81" s="1914"/>
      <c r="AK81" s="1914"/>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2" t="s">
        <v>554</v>
      </c>
      <c r="C84" s="2092"/>
      <c r="D84" s="582" t="s">
        <v>1488</v>
      </c>
      <c r="E84" s="2084" t="s">
        <v>1498</v>
      </c>
      <c r="F84" s="2085"/>
      <c r="G84" s="2085"/>
      <c r="H84" s="2085"/>
      <c r="I84" s="2085"/>
      <c r="J84" s="2085"/>
      <c r="K84" s="2085"/>
      <c r="L84" s="2085"/>
      <c r="M84" s="2085"/>
      <c r="N84" s="2085"/>
      <c r="O84" s="2085"/>
      <c r="P84" s="2085"/>
      <c r="Q84" s="2085"/>
      <c r="R84" s="2085"/>
      <c r="S84" s="2085"/>
      <c r="T84" s="2085"/>
      <c r="U84" s="2085"/>
      <c r="V84" s="2085"/>
      <c r="W84" s="2085"/>
      <c r="X84" s="2085"/>
      <c r="Y84" s="2085"/>
      <c r="Z84" s="2085"/>
      <c r="AA84" s="2085"/>
      <c r="AB84" s="2085"/>
      <c r="AC84" s="2085"/>
      <c r="AD84" s="2085"/>
      <c r="AE84" s="2085"/>
      <c r="AF84" s="2085"/>
      <c r="AG84" s="2085"/>
      <c r="AH84" s="2085"/>
      <c r="AI84" s="2085"/>
      <c r="AJ84" s="2086"/>
      <c r="AK84" s="578"/>
      <c r="AL84" s="575"/>
      <c r="AM84" s="575"/>
      <c r="AN84" s="570"/>
    </row>
    <row r="85" spans="1:43" s="571" customFormat="1" ht="12.75" customHeight="1">
      <c r="A85" s="573"/>
      <c r="B85" s="574"/>
      <c r="C85" s="574"/>
      <c r="D85" s="574"/>
      <c r="E85" s="2087"/>
      <c r="F85" s="2088"/>
      <c r="G85" s="2088"/>
      <c r="H85" s="2088"/>
      <c r="I85" s="2088"/>
      <c r="J85" s="2088"/>
      <c r="K85" s="2088"/>
      <c r="L85" s="2088"/>
      <c r="M85" s="2088"/>
      <c r="N85" s="2088"/>
      <c r="O85" s="2088"/>
      <c r="P85" s="2088"/>
      <c r="Q85" s="2088"/>
      <c r="R85" s="2088"/>
      <c r="S85" s="2088"/>
      <c r="T85" s="2088"/>
      <c r="U85" s="2088"/>
      <c r="V85" s="2088"/>
      <c r="W85" s="2088"/>
      <c r="X85" s="2088"/>
      <c r="Y85" s="2088"/>
      <c r="Z85" s="2088"/>
      <c r="AA85" s="2088"/>
      <c r="AB85" s="2088"/>
      <c r="AC85" s="2088"/>
      <c r="AD85" s="2088"/>
      <c r="AE85" s="2088"/>
      <c r="AF85" s="2088"/>
      <c r="AG85" s="2088"/>
      <c r="AH85" s="2088"/>
      <c r="AI85" s="2088"/>
      <c r="AJ85" s="20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0">
        <f>Application!AC739</f>
        <v>0.55196078431372553</v>
      </c>
      <c r="F87" s="2081"/>
      <c r="G87" s="2081"/>
      <c r="H87" s="2081"/>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1">
        <f>0.6-ROUNDUP(E87,2)</f>
        <v>3.9999999999999925E-2</v>
      </c>
      <c r="F88" s="1888"/>
      <c r="G88" s="1888"/>
      <c r="H88" s="1888"/>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6">
        <f>IF(E88*200&gt;20,20,E88*200)</f>
        <v>7.9999999999999849</v>
      </c>
      <c r="F89" s="2097"/>
      <c r="G89" s="2097"/>
      <c r="H89" s="2097"/>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7.9999999999999849</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2" t="s">
        <v>600</v>
      </c>
      <c r="C92" s="2092"/>
      <c r="D92" s="582" t="s">
        <v>1490</v>
      </c>
      <c r="E92" s="2084" t="s">
        <v>1986</v>
      </c>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5"/>
      <c r="AI92" s="2085"/>
      <c r="AJ92" s="2086"/>
      <c r="AK92" s="578"/>
      <c r="AL92" s="575"/>
      <c r="AM92" s="575"/>
      <c r="AN92" s="570"/>
    </row>
    <row r="93" spans="1:43" s="571" customFormat="1" ht="12.75" customHeight="1">
      <c r="A93" s="573"/>
      <c r="B93" s="574"/>
      <c r="C93" s="574"/>
      <c r="D93" s="574"/>
      <c r="E93" s="2087"/>
      <c r="F93" s="2088"/>
      <c r="G93" s="2088"/>
      <c r="H93" s="2088"/>
      <c r="I93" s="2088"/>
      <c r="J93" s="2088"/>
      <c r="K93" s="2088"/>
      <c r="L93" s="2088"/>
      <c r="M93" s="2088"/>
      <c r="N93" s="2088"/>
      <c r="O93" s="2088"/>
      <c r="P93" s="2088"/>
      <c r="Q93" s="2088"/>
      <c r="R93" s="2088"/>
      <c r="S93" s="2088"/>
      <c r="T93" s="2088"/>
      <c r="U93" s="2088"/>
      <c r="V93" s="2088"/>
      <c r="W93" s="2088"/>
      <c r="X93" s="2088"/>
      <c r="Y93" s="2088"/>
      <c r="Z93" s="2088"/>
      <c r="AA93" s="2088"/>
      <c r="AB93" s="2088"/>
      <c r="AC93" s="2088"/>
      <c r="AD93" s="2088"/>
      <c r="AE93" s="2088"/>
      <c r="AF93" s="2088"/>
      <c r="AG93" s="2088"/>
      <c r="AH93" s="2088"/>
      <c r="AI93" s="2088"/>
      <c r="AJ93" s="2089"/>
      <c r="AK93" s="578"/>
      <c r="AL93" s="575"/>
      <c r="AM93" s="575"/>
      <c r="AN93" s="570"/>
    </row>
    <row r="94" spans="1:43" s="571" customFormat="1" ht="12.75" customHeight="1">
      <c r="A94" s="573"/>
      <c r="B94" s="574"/>
      <c r="C94" s="574"/>
      <c r="D94" s="574"/>
      <c r="E94" s="2087"/>
      <c r="F94" s="2088"/>
      <c r="G94" s="2088"/>
      <c r="H94" s="2088"/>
      <c r="I94" s="2088"/>
      <c r="J94" s="2088"/>
      <c r="K94" s="2088"/>
      <c r="L94" s="2088"/>
      <c r="M94" s="2088"/>
      <c r="N94" s="2088"/>
      <c r="O94" s="2088"/>
      <c r="P94" s="2088"/>
      <c r="Q94" s="2088"/>
      <c r="R94" s="2088"/>
      <c r="S94" s="2088"/>
      <c r="T94" s="2088"/>
      <c r="U94" s="2088"/>
      <c r="V94" s="2088"/>
      <c r="W94" s="2088"/>
      <c r="X94" s="2088"/>
      <c r="Y94" s="2088"/>
      <c r="Z94" s="2088"/>
      <c r="AA94" s="2088"/>
      <c r="AB94" s="2088"/>
      <c r="AC94" s="2088"/>
      <c r="AD94" s="2088"/>
      <c r="AE94" s="2088"/>
      <c r="AF94" s="2088"/>
      <c r="AG94" s="2088"/>
      <c r="AH94" s="2088"/>
      <c r="AI94" s="2088"/>
      <c r="AJ94" s="2089"/>
      <c r="AK94" s="578"/>
      <c r="AL94" s="575"/>
      <c r="AM94" s="575"/>
      <c r="AN94" s="570"/>
    </row>
    <row r="95" spans="1:43" s="571" customFormat="1" ht="12.75" customHeight="1">
      <c r="A95" s="573"/>
      <c r="B95" s="574"/>
      <c r="C95" s="574"/>
      <c r="D95" s="574"/>
      <c r="E95" s="2087"/>
      <c r="F95" s="2088"/>
      <c r="G95" s="2088"/>
      <c r="H95" s="2088"/>
      <c r="I95" s="2088"/>
      <c r="J95" s="2088"/>
      <c r="K95" s="2088"/>
      <c r="L95" s="2088"/>
      <c r="M95" s="2088"/>
      <c r="N95" s="2088"/>
      <c r="O95" s="2088"/>
      <c r="P95" s="2088"/>
      <c r="Q95" s="2088"/>
      <c r="R95" s="2088"/>
      <c r="S95" s="2088"/>
      <c r="T95" s="2088"/>
      <c r="U95" s="2088"/>
      <c r="V95" s="2088"/>
      <c r="W95" s="2088"/>
      <c r="X95" s="2088"/>
      <c r="Y95" s="2088"/>
      <c r="Z95" s="2088"/>
      <c r="AA95" s="2088"/>
      <c r="AB95" s="2088"/>
      <c r="AC95" s="2088"/>
      <c r="AD95" s="2088"/>
      <c r="AE95" s="2088"/>
      <c r="AF95" s="2088"/>
      <c r="AG95" s="2088"/>
      <c r="AH95" s="2088"/>
      <c r="AI95" s="2088"/>
      <c r="AJ95" s="20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0">
        <f>Application!AC739</f>
        <v>0.55196078431372553</v>
      </c>
      <c r="F97" s="2081"/>
      <c r="G97" s="2081"/>
      <c r="H97" s="2081"/>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0">
        <f ca="1">SUMIF(Application!AC714:AG738,0.2,Application!G714:J738)/Application!G739+SUMIF(Application!AC714:AG738,0.25,Application!G714:J738)/Application!G739+SUMIF(Application!AC714:AG738,0.3,Application!G714:J738)/Application!G739</f>
        <v>0.14705882352941177</v>
      </c>
      <c r="F98" s="2081"/>
      <c r="G98" s="2081"/>
      <c r="H98" s="2081"/>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0">
        <f ca="1">SUMIF(Application!AC714:AG738,0.35,Application!G714:J738)/Application!G739+SUMIF(Application!AC714:AG738,0.4,Application!G714:J738)/Application!G739+SUMIF(Application!AC714:AG738,0.45,Application!G714:J738)/Application!G739+SUMIF(Application!AC714:AG738,0.5,Application!G714:J738)/Application!G739</f>
        <v>3.9215686274509803E-2</v>
      </c>
      <c r="F99" s="2081"/>
      <c r="G99" s="2081"/>
      <c r="H99" s="2081"/>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8">
        <f ca="1">IF(AND(E97&lt;=0.6,E98&gt;=0.1,OR(E99&gt;=0.1,E98&gt;=0.2)),20,0)</f>
        <v>0</v>
      </c>
      <c r="F100" s="2079"/>
      <c r="G100" s="2079"/>
      <c r="H100" s="2079"/>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6">
        <f>MAX(AP89,AP100)</f>
        <v>7.9999999999999849</v>
      </c>
      <c r="AL103" s="2067"/>
      <c r="AM103" s="206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4" t="s">
        <v>1487</v>
      </c>
      <c r="AF106" s="1914"/>
      <c r="AG106" s="1914"/>
      <c r="AH106" s="1914"/>
      <c r="AI106" s="1914"/>
      <c r="AJ106" s="1914"/>
      <c r="AK106" s="1914"/>
      <c r="AL106" s="575"/>
      <c r="AM106" s="575"/>
      <c r="AN106" s="570"/>
      <c r="AO106" s="571" t="str">
        <f>Application!B714</f>
        <v>SRO/Studio</v>
      </c>
      <c r="AQ106" s="571">
        <f>Application!O714</f>
        <v>453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420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560</v>
      </c>
    </row>
    <row r="109" spans="1:49" s="571" customFormat="1" ht="12.75" customHeight="1">
      <c r="A109" s="575"/>
      <c r="B109" s="2092" t="s">
        <v>554</v>
      </c>
      <c r="C109" s="2092"/>
      <c r="D109" s="582" t="s">
        <v>1488</v>
      </c>
      <c r="E109" s="2084" t="s">
        <v>2121</v>
      </c>
      <c r="F109" s="2085"/>
      <c r="G109" s="2085"/>
      <c r="H109" s="2085"/>
      <c r="I109" s="2085"/>
      <c r="J109" s="2085"/>
      <c r="K109" s="2085"/>
      <c r="L109" s="2085"/>
      <c r="M109" s="2085"/>
      <c r="N109" s="2085"/>
      <c r="O109" s="2085"/>
      <c r="P109" s="2085"/>
      <c r="Q109" s="2085"/>
      <c r="R109" s="2085"/>
      <c r="S109" s="2085"/>
      <c r="T109" s="2085"/>
      <c r="U109" s="2085"/>
      <c r="V109" s="2085"/>
      <c r="W109" s="2085"/>
      <c r="X109" s="2085"/>
      <c r="Y109" s="2085"/>
      <c r="Z109" s="2085"/>
      <c r="AA109" s="2085"/>
      <c r="AB109" s="2085"/>
      <c r="AC109" s="2085"/>
      <c r="AD109" s="2085"/>
      <c r="AE109" s="2085"/>
      <c r="AF109" s="2085"/>
      <c r="AG109" s="2085"/>
      <c r="AH109" s="2085"/>
      <c r="AI109" s="2085"/>
      <c r="AJ109" s="2086"/>
      <c r="AK109" s="575"/>
      <c r="AL109" s="575"/>
      <c r="AM109" s="575"/>
      <c r="AN109" s="570"/>
      <c r="AO109" s="571" t="str">
        <f>Application!B717</f>
        <v>SRO/Studio</v>
      </c>
      <c r="AQ109" s="571">
        <f>Application!O717</f>
        <v>1228</v>
      </c>
      <c r="AU109" s="571" t="s">
        <v>2103</v>
      </c>
      <c r="AV109" s="630" t="s">
        <v>2104</v>
      </c>
      <c r="AW109" s="571" t="s">
        <v>2105</v>
      </c>
    </row>
    <row r="110" spans="1:49" s="571" customFormat="1" ht="12.75" customHeight="1">
      <c r="A110" s="575"/>
      <c r="B110" s="574"/>
      <c r="C110" s="574"/>
      <c r="D110" s="574"/>
      <c r="E110" s="2087"/>
      <c r="F110" s="2088"/>
      <c r="G110" s="2088"/>
      <c r="H110" s="2088"/>
      <c r="I110" s="2088"/>
      <c r="J110" s="2088"/>
      <c r="K110" s="2088"/>
      <c r="L110" s="2088"/>
      <c r="M110" s="2088"/>
      <c r="N110" s="2088"/>
      <c r="O110" s="2088"/>
      <c r="P110" s="2088"/>
      <c r="Q110" s="2088"/>
      <c r="R110" s="2088"/>
      <c r="S110" s="2088"/>
      <c r="T110" s="2088"/>
      <c r="U110" s="2088"/>
      <c r="V110" s="2088"/>
      <c r="W110" s="2088"/>
      <c r="X110" s="2088"/>
      <c r="Y110" s="2088"/>
      <c r="Z110" s="2088"/>
      <c r="AA110" s="2088"/>
      <c r="AB110" s="2088"/>
      <c r="AC110" s="2088"/>
      <c r="AD110" s="2088"/>
      <c r="AE110" s="2088"/>
      <c r="AF110" s="2088"/>
      <c r="AG110" s="2088"/>
      <c r="AH110" s="2088"/>
      <c r="AI110" s="2088"/>
      <c r="AJ110" s="2089"/>
      <c r="AK110" s="575"/>
      <c r="AL110" s="575"/>
      <c r="AM110" s="575"/>
      <c r="AN110" s="570"/>
      <c r="AO110" s="571" t="str">
        <f>Application!B718</f>
        <v>1 Bedroom</v>
      </c>
      <c r="AQ110" s="571">
        <f>Application!O718</f>
        <v>1084</v>
      </c>
      <c r="AU110" s="892" t="str">
        <f>E118</f>
        <v>Studio/SRO</v>
      </c>
      <c r="AV110" s="571">
        <f t="array" ref="AV110">SUM(IF(Application!B714:F738="SRO/Studio",Application!G714:J738))</f>
        <v>59</v>
      </c>
      <c r="AW110" s="1048">
        <f>AV110/AV116</f>
        <v>0.28921568627450983</v>
      </c>
    </row>
    <row r="111" spans="1:49" s="571" customFormat="1" ht="12.75" customHeight="1">
      <c r="A111" s="575"/>
      <c r="B111" s="574"/>
      <c r="C111" s="574"/>
      <c r="D111" s="574"/>
      <c r="E111" s="2087"/>
      <c r="F111" s="2088"/>
      <c r="G111" s="2088"/>
      <c r="H111" s="2088"/>
      <c r="I111" s="2088"/>
      <c r="J111" s="2088"/>
      <c r="K111" s="2088"/>
      <c r="L111" s="2088"/>
      <c r="M111" s="2088"/>
      <c r="N111" s="2088"/>
      <c r="O111" s="2088"/>
      <c r="P111" s="2088"/>
      <c r="Q111" s="2088"/>
      <c r="R111" s="2088"/>
      <c r="S111" s="2088"/>
      <c r="T111" s="2088"/>
      <c r="U111" s="2088"/>
      <c r="V111" s="2088"/>
      <c r="W111" s="2088"/>
      <c r="X111" s="2088"/>
      <c r="Y111" s="2088"/>
      <c r="Z111" s="2088"/>
      <c r="AA111" s="2088"/>
      <c r="AB111" s="2088"/>
      <c r="AC111" s="2088"/>
      <c r="AD111" s="2088"/>
      <c r="AE111" s="2088"/>
      <c r="AF111" s="2088"/>
      <c r="AG111" s="2088"/>
      <c r="AH111" s="2088"/>
      <c r="AI111" s="2088"/>
      <c r="AJ111" s="2089"/>
      <c r="AK111" s="575"/>
      <c r="AL111" s="575"/>
      <c r="AM111" s="575"/>
      <c r="AN111" s="570"/>
      <c r="AO111" s="571">
        <f>Application!B719</f>
        <v>0</v>
      </c>
      <c r="AQ111" s="571">
        <f>Application!O719</f>
        <v>0</v>
      </c>
      <c r="AU111" s="892" t="str">
        <f>J118</f>
        <v>1-bedroom</v>
      </c>
      <c r="AV111" s="571">
        <f t="array" ref="AV111">SUM(IF(Application!B714:F738="1 Bedroom",Application!G714:J738))</f>
        <v>145</v>
      </c>
      <c r="AW111" s="1048">
        <f>AV111/AV116</f>
        <v>0.71078431372549022</v>
      </c>
    </row>
    <row r="112" spans="1:49" s="571" customFormat="1" ht="12.75" customHeight="1">
      <c r="A112" s="575"/>
      <c r="B112" s="574"/>
      <c r="C112" s="574"/>
      <c r="D112" s="574"/>
      <c r="E112" s="2087"/>
      <c r="F112" s="2088"/>
      <c r="G112" s="2088"/>
      <c r="H112" s="2088"/>
      <c r="I112" s="2088"/>
      <c r="J112" s="2088"/>
      <c r="K112" s="2088"/>
      <c r="L112" s="2088"/>
      <c r="M112" s="2088"/>
      <c r="N112" s="2088"/>
      <c r="O112" s="2088"/>
      <c r="P112" s="2088"/>
      <c r="Q112" s="2088"/>
      <c r="R112" s="2088"/>
      <c r="S112" s="2088"/>
      <c r="T112" s="2088"/>
      <c r="U112" s="2088"/>
      <c r="V112" s="2088"/>
      <c r="W112" s="2088"/>
      <c r="X112" s="2088"/>
      <c r="Y112" s="2088"/>
      <c r="Z112" s="2088"/>
      <c r="AA112" s="2088"/>
      <c r="AB112" s="2088"/>
      <c r="AC112" s="2088"/>
      <c r="AD112" s="2088"/>
      <c r="AE112" s="2088"/>
      <c r="AF112" s="2088"/>
      <c r="AG112" s="2088"/>
      <c r="AH112" s="2088"/>
      <c r="AI112" s="2088"/>
      <c r="AJ112" s="2089"/>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7"/>
      <c r="F113" s="2088"/>
      <c r="G113" s="2088"/>
      <c r="H113" s="2088"/>
      <c r="I113" s="2088"/>
      <c r="J113" s="2088"/>
      <c r="K113" s="2088"/>
      <c r="L113" s="2088"/>
      <c r="M113" s="2088"/>
      <c r="N113" s="2088"/>
      <c r="O113" s="2088"/>
      <c r="P113" s="2088"/>
      <c r="Q113" s="2088"/>
      <c r="R113" s="2088"/>
      <c r="S113" s="2088"/>
      <c r="T113" s="2088"/>
      <c r="U113" s="2088"/>
      <c r="V113" s="2088"/>
      <c r="W113" s="2088"/>
      <c r="X113" s="2088"/>
      <c r="Y113" s="2088"/>
      <c r="Z113" s="2088"/>
      <c r="AA113" s="2088"/>
      <c r="AB113" s="2088"/>
      <c r="AC113" s="2088"/>
      <c r="AD113" s="2088"/>
      <c r="AE113" s="2088"/>
      <c r="AF113" s="2088"/>
      <c r="AG113" s="2088"/>
      <c r="AH113" s="2088"/>
      <c r="AI113" s="2088"/>
      <c r="AJ113" s="2089"/>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7"/>
      <c r="F114" s="2088"/>
      <c r="G114" s="2088"/>
      <c r="H114" s="2088"/>
      <c r="I114" s="2088"/>
      <c r="J114" s="2088"/>
      <c r="K114" s="2088"/>
      <c r="L114" s="2088"/>
      <c r="M114" s="2088"/>
      <c r="N114" s="2088"/>
      <c r="O114" s="2088"/>
      <c r="P114" s="2088"/>
      <c r="Q114" s="2088"/>
      <c r="R114" s="2088"/>
      <c r="S114" s="2088"/>
      <c r="T114" s="2088"/>
      <c r="U114" s="2088"/>
      <c r="V114" s="2088"/>
      <c r="W114" s="2088"/>
      <c r="X114" s="2088"/>
      <c r="Y114" s="2088"/>
      <c r="Z114" s="2088"/>
      <c r="AA114" s="2088"/>
      <c r="AB114" s="2088"/>
      <c r="AC114" s="2088"/>
      <c r="AD114" s="2088"/>
      <c r="AE114" s="2088"/>
      <c r="AF114" s="2088"/>
      <c r="AG114" s="2088"/>
      <c r="AH114" s="2088"/>
      <c r="AI114" s="2088"/>
      <c r="AJ114" s="208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7"/>
      <c r="F115" s="2088"/>
      <c r="G115" s="2088"/>
      <c r="H115" s="2088"/>
      <c r="I115" s="2088"/>
      <c r="J115" s="2088"/>
      <c r="K115" s="2088"/>
      <c r="L115" s="2088"/>
      <c r="M115" s="2088"/>
      <c r="N115" s="2088"/>
      <c r="O115" s="2088"/>
      <c r="P115" s="2088"/>
      <c r="Q115" s="2088"/>
      <c r="R115" s="2088"/>
      <c r="S115" s="2088"/>
      <c r="T115" s="2088"/>
      <c r="U115" s="2088"/>
      <c r="V115" s="2088"/>
      <c r="W115" s="2088"/>
      <c r="X115" s="2088"/>
      <c r="Y115" s="2088"/>
      <c r="Z115" s="2088"/>
      <c r="AA115" s="2088"/>
      <c r="AB115" s="2088"/>
      <c r="AC115" s="2088"/>
      <c r="AD115" s="2088"/>
      <c r="AE115" s="2088"/>
      <c r="AF115" s="2088"/>
      <c r="AG115" s="2088"/>
      <c r="AH115" s="2088"/>
      <c r="AI115" s="2088"/>
      <c r="AJ115" s="208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7"/>
      <c r="F116" s="2088"/>
      <c r="G116" s="2088"/>
      <c r="H116" s="2088"/>
      <c r="I116" s="2088"/>
      <c r="J116" s="2088"/>
      <c r="K116" s="2088"/>
      <c r="L116" s="2088"/>
      <c r="M116" s="2088"/>
      <c r="N116" s="2088"/>
      <c r="O116" s="2088"/>
      <c r="P116" s="2088"/>
      <c r="Q116" s="2088"/>
      <c r="R116" s="2088"/>
      <c r="S116" s="2088"/>
      <c r="T116" s="2088"/>
      <c r="U116" s="2088"/>
      <c r="V116" s="2088"/>
      <c r="W116" s="2088"/>
      <c r="X116" s="2088"/>
      <c r="Y116" s="2088"/>
      <c r="Z116" s="2088"/>
      <c r="AA116" s="2088"/>
      <c r="AB116" s="2088"/>
      <c r="AC116" s="2088"/>
      <c r="AD116" s="2088"/>
      <c r="AE116" s="2088"/>
      <c r="AF116" s="2088"/>
      <c r="AG116" s="2088"/>
      <c r="AH116" s="2088"/>
      <c r="AI116" s="2088"/>
      <c r="AJ116" s="2089"/>
      <c r="AK116" s="575"/>
      <c r="AL116" s="575"/>
      <c r="AM116" s="575"/>
      <c r="AN116" s="570"/>
      <c r="AO116" s="571">
        <f>Application!B724</f>
        <v>0</v>
      </c>
      <c r="AQ116" s="571">
        <f>Application!O724</f>
        <v>0</v>
      </c>
      <c r="AV116" s="571">
        <f>SUM(AV110:AV115)</f>
        <v>204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0" t="s">
        <v>1766</v>
      </c>
      <c r="F118" s="2081"/>
      <c r="G118" s="2081"/>
      <c r="H118" s="2081"/>
      <c r="I118" s="612"/>
      <c r="J118" s="2081" t="s">
        <v>1811</v>
      </c>
      <c r="K118" s="2081"/>
      <c r="L118" s="2081"/>
      <c r="M118" s="2081"/>
      <c r="N118" s="612"/>
      <c r="O118" s="2081" t="s">
        <v>1812</v>
      </c>
      <c r="P118" s="2081"/>
      <c r="Q118" s="2081"/>
      <c r="R118" s="2081"/>
      <c r="S118" s="612"/>
      <c r="T118" s="2081" t="s">
        <v>1507</v>
      </c>
      <c r="U118" s="2081"/>
      <c r="V118" s="2081"/>
      <c r="W118" s="2081"/>
      <c r="X118" s="612"/>
      <c r="Y118" s="2081" t="s">
        <v>1813</v>
      </c>
      <c r="Z118" s="2081"/>
      <c r="AA118" s="2081"/>
      <c r="AB118" s="2081"/>
      <c r="AC118" s="612"/>
      <c r="AD118" s="2081" t="s">
        <v>1814</v>
      </c>
      <c r="AE118" s="2081"/>
      <c r="AF118" s="2081"/>
      <c r="AG118" s="2081"/>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2">
        <v>1910</v>
      </c>
      <c r="F121" s="2083"/>
      <c r="G121" s="2083"/>
      <c r="H121" s="2083"/>
      <c r="I121" s="900"/>
      <c r="J121" s="2083">
        <v>1790</v>
      </c>
      <c r="K121" s="2083"/>
      <c r="L121" s="2083"/>
      <c r="M121" s="2083"/>
      <c r="N121" s="900"/>
      <c r="O121" s="2083"/>
      <c r="P121" s="2083"/>
      <c r="Q121" s="2083"/>
      <c r="R121" s="2083"/>
      <c r="S121" s="900"/>
      <c r="T121" s="2083"/>
      <c r="U121" s="2083"/>
      <c r="V121" s="2083"/>
      <c r="W121" s="2083"/>
      <c r="X121" s="900"/>
      <c r="Y121" s="2083"/>
      <c r="Z121" s="2083"/>
      <c r="AA121" s="2083"/>
      <c r="AB121" s="2083"/>
      <c r="AC121" s="900"/>
      <c r="AD121" s="2083"/>
      <c r="AE121" s="2083"/>
      <c r="AF121" s="2083"/>
      <c r="AG121" s="208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0">
        <f>Application!DX649</f>
        <v>1070.3728813559321</v>
      </c>
      <c r="F124" s="2091"/>
      <c r="G124" s="2091"/>
      <c r="H124" s="2091"/>
      <c r="I124" s="900"/>
      <c r="J124" s="2091">
        <f>Application!EC649</f>
        <v>972.66206896551728</v>
      </c>
      <c r="K124" s="2091"/>
      <c r="L124" s="2091"/>
      <c r="M124" s="2091"/>
      <c r="N124" s="900"/>
      <c r="O124" s="2091">
        <f>Application!EH649</f>
        <v>0</v>
      </c>
      <c r="P124" s="2091"/>
      <c r="Q124" s="2091"/>
      <c r="R124" s="2091"/>
      <c r="S124" s="904"/>
      <c r="T124" s="2091">
        <f>Application!EM649</f>
        <v>0</v>
      </c>
      <c r="U124" s="2091"/>
      <c r="V124" s="2091"/>
      <c r="W124" s="2091"/>
      <c r="X124" s="904"/>
      <c r="Y124" s="2091">
        <f>Application!ER649</f>
        <v>0</v>
      </c>
      <c r="Z124" s="2091"/>
      <c r="AA124" s="2091"/>
      <c r="AB124" s="2091"/>
      <c r="AC124" s="904"/>
      <c r="AD124" s="2091">
        <f>Application!EW649</f>
        <v>0</v>
      </c>
      <c r="AE124" s="2091"/>
      <c r="AF124" s="2091"/>
      <c r="AG124" s="2091"/>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7">
        <f>(E121-E124)/E121</f>
        <v>0.43959535007542822</v>
      </c>
      <c r="F127" s="1888"/>
      <c r="G127" s="1888"/>
      <c r="H127" s="1889"/>
      <c r="I127" s="612"/>
      <c r="J127" s="1887">
        <f>(J121-J124)/J121</f>
        <v>0.45661336929300711</v>
      </c>
      <c r="K127" s="1888"/>
      <c r="L127" s="1888"/>
      <c r="M127" s="1889"/>
      <c r="N127" s="612"/>
      <c r="O127" s="1887" t="e">
        <f>(O121-O124)/O121</f>
        <v>#DIV/0!</v>
      </c>
      <c r="P127" s="1888"/>
      <c r="Q127" s="1888"/>
      <c r="R127" s="1889"/>
      <c r="S127" s="612"/>
      <c r="T127" s="1887" t="e">
        <f>(T121-T124)/T121</f>
        <v>#DIV/0!</v>
      </c>
      <c r="U127" s="1888"/>
      <c r="V127" s="1888"/>
      <c r="W127" s="1889"/>
      <c r="X127" s="612"/>
      <c r="Y127" s="1887" t="e">
        <f>(Y121-Y124)/Y121</f>
        <v>#DIV/0!</v>
      </c>
      <c r="Z127" s="1888"/>
      <c r="AA127" s="1888"/>
      <c r="AB127" s="1889"/>
      <c r="AC127" s="612"/>
      <c r="AD127" s="1887" t="e">
        <f>(AD121-AD124)/AD121</f>
        <v>#DIV/0!</v>
      </c>
      <c r="AE127" s="1888"/>
      <c r="AF127" s="1888"/>
      <c r="AG127" s="188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3">
        <f>IF(((E127-0.1)*AW110)&gt;0,((E127-0.1)*AW110),0)</f>
        <v>9.821630222769738E-2</v>
      </c>
      <c r="F130" s="2094"/>
      <c r="G130" s="2094"/>
      <c r="H130" s="2095"/>
      <c r="I130" s="612"/>
      <c r="J130" s="2093">
        <f>IF(((J127-0.1)*AW111)&gt;0,((J127-0.1)*AW111),0)</f>
        <v>0.25347518895826487</v>
      </c>
      <c r="K130" s="2094"/>
      <c r="L130" s="2094"/>
      <c r="M130" s="2095"/>
      <c r="N130" s="612"/>
      <c r="O130" s="2093" t="e">
        <f>IF(((O127-0.1)*AW112)&gt;0,((O127-0.1)*AW112),0)</f>
        <v>#DIV/0!</v>
      </c>
      <c r="P130" s="2094"/>
      <c r="Q130" s="2094"/>
      <c r="R130" s="2095"/>
      <c r="S130" s="612"/>
      <c r="T130" s="2093" t="e">
        <f>IF(((T127-0.1)*AW113)&gt;0,((T127-0.1)*AW113),0)</f>
        <v>#DIV/0!</v>
      </c>
      <c r="U130" s="2094"/>
      <c r="V130" s="2094"/>
      <c r="W130" s="2095"/>
      <c r="X130" s="612"/>
      <c r="Y130" s="2093" t="e">
        <f>IF(((Y127-0.1)*AW114)&gt;0,((Y127-0.1)*AW114),0)</f>
        <v>#DIV/0!</v>
      </c>
      <c r="Z130" s="2094"/>
      <c r="AA130" s="2094"/>
      <c r="AB130" s="2095"/>
      <c r="AC130" s="612"/>
      <c r="AD130" s="2093" t="e">
        <f>IF(((AD127-0.1)*AW115)&gt;0,((AD127-0.1)*AW115),0)</f>
        <v>#DIV/0!</v>
      </c>
      <c r="AE130" s="2094"/>
      <c r="AF130" s="2094"/>
      <c r="AG130" s="209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7">
        <f>ROUNDDOWN(SUMIF(E130:AG130,"&gt;0"),2)</f>
        <v>0.35</v>
      </c>
      <c r="F132" s="1888"/>
      <c r="G132" s="1888"/>
      <c r="H132" s="1889"/>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6">
        <f>IF((E132*100)&gt;10,10,E132*100)</f>
        <v>10</v>
      </c>
      <c r="F133" s="2067"/>
      <c r="G133" s="2067"/>
      <c r="H133" s="2068"/>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6">
        <f>E133</f>
        <v>10</v>
      </c>
      <c r="AL137" s="2067"/>
      <c r="AM137" s="206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4" t="s">
        <v>1487</v>
      </c>
      <c r="AF140" s="1914"/>
      <c r="AG140" s="1914"/>
      <c r="AH140" s="1914"/>
      <c r="AI140" s="1914"/>
      <c r="AJ140" s="1914"/>
      <c r="AK140" s="1914"/>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1" t="s">
        <v>1511</v>
      </c>
      <c r="AG142" s="1981"/>
      <c r="AH142" s="1981"/>
      <c r="AI142" s="1981"/>
      <c r="AJ142" s="1981"/>
      <c r="AK142" s="1981"/>
      <c r="AL142" s="1981"/>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1" t="s">
        <v>2680</v>
      </c>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2" t="s">
        <v>1514</v>
      </c>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M147" s="574"/>
      <c r="AN147" s="570"/>
      <c r="AO147" s="511" t="s">
        <v>1514</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16" t="s">
        <v>600</v>
      </c>
      <c r="AC149" s="201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2" t="s">
        <v>1516</v>
      </c>
      <c r="C152" s="2072"/>
      <c r="D152" s="2072"/>
      <c r="E152" s="2072"/>
      <c r="F152" s="2072"/>
      <c r="G152" s="2072"/>
      <c r="H152" s="2072"/>
      <c r="I152" s="2072"/>
      <c r="J152" s="2072"/>
      <c r="K152" s="2072"/>
      <c r="L152" s="2072"/>
      <c r="M152" s="2072"/>
      <c r="N152" s="2072"/>
      <c r="O152" s="2072"/>
      <c r="P152" s="2072"/>
      <c r="Q152" s="2072"/>
      <c r="R152" s="2072"/>
      <c r="S152" s="2072"/>
      <c r="T152" s="2072"/>
      <c r="U152" s="2072"/>
      <c r="V152" s="2072"/>
      <c r="W152" s="2072"/>
      <c r="X152" s="2072"/>
      <c r="Y152" s="2072"/>
      <c r="Z152" s="2072"/>
      <c r="AA152" s="2072"/>
      <c r="AB152" s="2072"/>
      <c r="AC152" s="2072"/>
      <c r="AD152" s="2072"/>
      <c r="AE152" s="2072"/>
      <c r="AF152" s="2072"/>
      <c r="AG152" s="2072"/>
      <c r="AH152" s="2072"/>
      <c r="AI152" s="2072"/>
      <c r="AJ152" s="2072"/>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1">
        <f>IF($AB$149="N/A",VLOOKUP($B$147,$AO$145:$AP$148,2,FALSE),VLOOKUP($B$152,$AO$150:$AP$153,2,FALSE))</f>
        <v>7</v>
      </c>
      <c r="AK155" s="194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1" t="s">
        <v>1525</v>
      </c>
      <c r="AG157" s="1981"/>
      <c r="AH157" s="1981"/>
      <c r="AI157" s="1981"/>
      <c r="AJ157" s="1981"/>
      <c r="AK157" s="1981"/>
      <c r="AL157" s="1981"/>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2" t="s">
        <v>1523</v>
      </c>
      <c r="D159" s="2072"/>
      <c r="E159" s="2072"/>
      <c r="F159" s="2072"/>
      <c r="G159" s="2072"/>
      <c r="H159" s="2072"/>
      <c r="I159" s="2072"/>
      <c r="J159" s="2072"/>
      <c r="K159" s="2072"/>
      <c r="L159" s="2072"/>
      <c r="M159" s="2072"/>
      <c r="N159" s="2072"/>
      <c r="O159" s="2072"/>
      <c r="P159" s="2072"/>
      <c r="Q159" s="2072"/>
      <c r="R159" s="2072"/>
      <c r="S159" s="2072"/>
      <c r="T159" s="2072"/>
      <c r="U159" s="2072"/>
      <c r="V159" s="2072"/>
      <c r="W159" s="2072"/>
      <c r="X159" s="2072"/>
      <c r="Y159" s="2072"/>
      <c r="Z159" s="2072"/>
      <c r="AA159" s="2072"/>
      <c r="AB159" s="2072"/>
      <c r="AC159" s="2072"/>
      <c r="AD159" s="2072"/>
      <c r="AE159" s="2072"/>
      <c r="AF159" s="2072"/>
      <c r="AG159" s="2072"/>
      <c r="AH159" s="2072"/>
      <c r="AI159" s="2072"/>
      <c r="AJ159" s="571"/>
      <c r="AK159" s="571"/>
      <c r="AL159" s="571"/>
      <c r="AM159" s="638"/>
      <c r="AN159" s="632"/>
      <c r="AO159" s="511" t="s">
        <v>308</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6" t="s">
        <v>600</v>
      </c>
      <c r="AD161" s="2016"/>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2" t="s">
        <v>1516</v>
      </c>
      <c r="D163" s="2072"/>
      <c r="E163" s="2072"/>
      <c r="F163" s="2072"/>
      <c r="G163" s="2072"/>
      <c r="H163" s="2072"/>
      <c r="I163" s="2072"/>
      <c r="J163" s="2072"/>
      <c r="K163" s="2072"/>
      <c r="L163" s="2072"/>
      <c r="M163" s="2072"/>
      <c r="N163" s="2072"/>
      <c r="O163" s="2072"/>
      <c r="P163" s="2072"/>
      <c r="Q163" s="2072"/>
      <c r="R163" s="2072"/>
      <c r="S163" s="2072"/>
      <c r="T163" s="2072"/>
      <c r="U163" s="2072"/>
      <c r="V163" s="2072"/>
      <c r="W163" s="2072"/>
      <c r="X163" s="2072"/>
      <c r="Y163" s="2072"/>
      <c r="Z163" s="2072"/>
      <c r="AA163" s="2072"/>
      <c r="AB163" s="2072"/>
      <c r="AC163" s="2072"/>
      <c r="AD163" s="2072"/>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1" t="s">
        <v>2749</v>
      </c>
      <c r="D167" s="2071"/>
      <c r="E167" s="2071"/>
      <c r="F167" s="2071"/>
      <c r="G167" s="2071"/>
      <c r="H167" s="2071"/>
      <c r="I167" s="2071"/>
      <c r="J167" s="2071"/>
      <c r="K167" s="2071"/>
      <c r="L167" s="2071"/>
      <c r="M167" s="2071"/>
      <c r="N167" s="2071"/>
      <c r="O167" s="2071"/>
      <c r="P167" s="2071"/>
      <c r="Q167" s="2071"/>
      <c r="R167" s="2071"/>
      <c r="S167" s="2071"/>
      <c r="T167" s="2071"/>
      <c r="U167" s="2071"/>
      <c r="V167" s="2071"/>
      <c r="W167" s="2071"/>
      <c r="X167" s="2071"/>
      <c r="Y167" s="2071"/>
      <c r="Z167" s="2071"/>
      <c r="AA167" s="2071"/>
      <c r="AB167" s="2071"/>
      <c r="AC167" s="2071"/>
      <c r="AD167" s="2071"/>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0">
        <f>IF($AC$161="N/A",VLOOKUP($C$159,$AO$159:$AP$162,2,FALSE),VLOOKUP($C$163,$AO$166:$AP$168,2,FALSE))</f>
        <v>3</v>
      </c>
      <c r="AK169" s="194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6">
        <f>$AJ$155+$AJ$169</f>
        <v>10</v>
      </c>
      <c r="AL172" s="2067"/>
      <c r="AM172" s="206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4" t="s">
        <v>1487</v>
      </c>
      <c r="AF175" s="1914"/>
      <c r="AG175" s="1914"/>
      <c r="AH175" s="1914"/>
      <c r="AI175" s="1914"/>
      <c r="AJ175" s="1914"/>
      <c r="AK175" s="1914"/>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9" t="s">
        <v>1533</v>
      </c>
      <c r="C177" s="2069"/>
      <c r="D177" s="2069"/>
      <c r="E177" s="2069"/>
      <c r="F177" s="2069"/>
      <c r="G177" s="2069"/>
      <c r="H177" s="2069"/>
      <c r="I177" s="2069"/>
      <c r="J177" s="2069"/>
      <c r="K177" s="2069"/>
      <c r="L177" s="2069"/>
      <c r="M177" s="2069"/>
      <c r="N177" s="2069"/>
      <c r="O177" s="2069"/>
      <c r="P177" s="2069"/>
      <c r="Q177" s="2069"/>
      <c r="R177" s="2069"/>
      <c r="S177" s="2069"/>
      <c r="T177" s="2069"/>
      <c r="U177" s="2069"/>
      <c r="V177" s="2069"/>
      <c r="W177" s="2069"/>
      <c r="X177" s="2069"/>
      <c r="Y177" s="2069"/>
      <c r="Z177" s="2069"/>
      <c r="AA177" s="2069"/>
      <c r="AB177" s="2069"/>
      <c r="AC177" s="2069"/>
      <c r="AD177" s="571"/>
      <c r="AE177" s="571"/>
      <c r="AF177" s="1981" t="s">
        <v>1536</v>
      </c>
      <c r="AG177" s="1981"/>
      <c r="AH177" s="1981"/>
      <c r="AI177" s="1981"/>
      <c r="AJ177" s="1981"/>
      <c r="AK177" s="1981"/>
      <c r="AL177" s="1981"/>
      <c r="AN177" s="632"/>
      <c r="AP177" s="585" t="s">
        <v>1104</v>
      </c>
      <c r="AQ177" s="585">
        <v>10</v>
      </c>
    </row>
    <row r="178" spans="1:45" s="585" customFormat="1" ht="12.75" customHeight="1">
      <c r="A178" s="571"/>
      <c r="B178" s="2070" t="s">
        <v>1987</v>
      </c>
      <c r="C178" s="2070"/>
      <c r="D178" s="2070"/>
      <c r="E178" s="2070"/>
      <c r="F178" s="2070"/>
      <c r="G178" s="2070"/>
      <c r="H178" s="2070"/>
      <c r="I178" s="2070"/>
      <c r="J178" s="2070"/>
      <c r="K178" s="2070"/>
      <c r="L178" s="2070"/>
      <c r="M178" s="2070"/>
      <c r="N178" s="2070"/>
      <c r="O178" s="2070"/>
      <c r="P178" s="2070"/>
      <c r="Q178" s="2070"/>
      <c r="R178" s="2070"/>
      <c r="S178" s="2070"/>
      <c r="T178" s="2071" t="s">
        <v>600</v>
      </c>
      <c r="U178" s="2071"/>
      <c r="V178" s="2071"/>
      <c r="W178" s="2071"/>
      <c r="X178" s="2071"/>
      <c r="Y178" s="2071"/>
      <c r="Z178" s="2071"/>
      <c r="AA178" s="2071"/>
      <c r="AB178" s="2071"/>
      <c r="AC178" s="2071"/>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8">
        <f>IF(AK78&gt;0,VLOOKUP($B$177,AP174:AQ180,2,FALSE),0)</f>
        <v>0</v>
      </c>
      <c r="AL180" s="1909"/>
      <c r="AM180" s="191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4" t="s">
        <v>1545</v>
      </c>
      <c r="AF183" s="1914"/>
      <c r="AG183" s="1914"/>
      <c r="AH183" s="1914"/>
      <c r="AI183" s="1914"/>
      <c r="AJ183" s="1914"/>
      <c r="AK183" s="191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3" t="str">
        <f>Application!C551</f>
        <v>US Bank TE Recycled Bonds Construction Loan</v>
      </c>
      <c r="C188" s="2063"/>
      <c r="D188" s="2063"/>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882"/>
      <c r="AD188" s="2053">
        <f>Application!AM551</f>
        <v>2998854</v>
      </c>
      <c r="AE188" s="2053"/>
      <c r="AF188" s="2053"/>
      <c r="AG188" s="2053"/>
      <c r="AH188" s="2053"/>
      <c r="AI188" s="2053"/>
      <c r="AJ188" s="2053"/>
      <c r="AK188" s="645"/>
    </row>
    <row r="189" spans="1:45">
      <c r="A189" s="640"/>
      <c r="B189" s="2063"/>
      <c r="C189" s="2063"/>
      <c r="D189" s="2063"/>
      <c r="E189" s="2063"/>
      <c r="F189" s="2063"/>
      <c r="G189" s="2063"/>
      <c r="H189" s="2063"/>
      <c r="I189" s="2063"/>
      <c r="J189" s="2063"/>
      <c r="K189" s="2063"/>
      <c r="L189" s="2063"/>
      <c r="M189" s="2063"/>
      <c r="N189" s="2063"/>
      <c r="O189" s="2063"/>
      <c r="P189" s="2063"/>
      <c r="Q189" s="2063"/>
      <c r="R189" s="2063"/>
      <c r="S189" s="2063"/>
      <c r="T189" s="2063"/>
      <c r="U189" s="2063"/>
      <c r="V189" s="2063"/>
      <c r="W189" s="2063"/>
      <c r="X189" s="2063"/>
      <c r="Y189" s="2063"/>
      <c r="Z189" s="2063"/>
      <c r="AA189" s="2063"/>
      <c r="AB189" s="2063"/>
      <c r="AC189" s="882"/>
      <c r="AD189" s="2053"/>
      <c r="AE189" s="2053"/>
      <c r="AF189" s="2053"/>
      <c r="AG189" s="2053"/>
      <c r="AH189" s="2053"/>
      <c r="AI189" s="2053"/>
      <c r="AJ189" s="2053"/>
      <c r="AK189" s="645"/>
    </row>
    <row r="190" spans="1:45">
      <c r="A190" s="640"/>
      <c r="B190" s="2063"/>
      <c r="C190" s="2063"/>
      <c r="D190" s="2063"/>
      <c r="E190" s="2063"/>
      <c r="F190" s="2063"/>
      <c r="G190" s="2063"/>
      <c r="H190" s="2063"/>
      <c r="I190" s="2063"/>
      <c r="J190" s="2063"/>
      <c r="K190" s="2063"/>
      <c r="L190" s="2063"/>
      <c r="M190" s="2063"/>
      <c r="N190" s="2063"/>
      <c r="O190" s="2063"/>
      <c r="P190" s="2063"/>
      <c r="Q190" s="2063"/>
      <c r="R190" s="2063"/>
      <c r="S190" s="2063"/>
      <c r="T190" s="2063"/>
      <c r="U190" s="2063"/>
      <c r="V190" s="2063"/>
      <c r="W190" s="2063"/>
      <c r="X190" s="2063"/>
      <c r="Y190" s="2063"/>
      <c r="Z190" s="2063"/>
      <c r="AA190" s="2063"/>
      <c r="AB190" s="2063"/>
      <c r="AC190" s="882"/>
      <c r="AD190" s="2053"/>
      <c r="AE190" s="2053"/>
      <c r="AF190" s="2053"/>
      <c r="AG190" s="2053"/>
      <c r="AH190" s="2053"/>
      <c r="AI190" s="2053"/>
      <c r="AJ190" s="2053"/>
      <c r="AK190" s="645"/>
    </row>
    <row r="191" spans="1:45">
      <c r="A191" s="640"/>
      <c r="B191" s="2063"/>
      <c r="C191" s="2063"/>
      <c r="D191" s="2063"/>
      <c r="E191" s="2063"/>
      <c r="F191" s="2063"/>
      <c r="G191" s="2063"/>
      <c r="H191" s="2063"/>
      <c r="I191" s="2063"/>
      <c r="J191" s="2063"/>
      <c r="K191" s="2063"/>
      <c r="L191" s="2063"/>
      <c r="M191" s="2063"/>
      <c r="N191" s="2063"/>
      <c r="O191" s="2063"/>
      <c r="P191" s="2063"/>
      <c r="Q191" s="2063"/>
      <c r="R191" s="2063"/>
      <c r="S191" s="2063"/>
      <c r="T191" s="2063"/>
      <c r="U191" s="2063"/>
      <c r="V191" s="2063"/>
      <c r="W191" s="2063"/>
      <c r="X191" s="2063"/>
      <c r="Y191" s="2063"/>
      <c r="Z191" s="2063"/>
      <c r="AA191" s="2063"/>
      <c r="AB191" s="2063"/>
      <c r="AC191" s="882"/>
      <c r="AD191" s="2053"/>
      <c r="AE191" s="2053"/>
      <c r="AF191" s="2053"/>
      <c r="AG191" s="2053"/>
      <c r="AH191" s="2053"/>
      <c r="AI191" s="2053"/>
      <c r="AJ191" s="2053"/>
      <c r="AK191" s="645"/>
    </row>
    <row r="192" spans="1:45">
      <c r="A192" s="640"/>
      <c r="B192" s="2063"/>
      <c r="C192" s="2063"/>
      <c r="D192" s="2063"/>
      <c r="E192" s="2063"/>
      <c r="F192" s="2063"/>
      <c r="G192" s="2063"/>
      <c r="H192" s="2063"/>
      <c r="I192" s="2063"/>
      <c r="J192" s="2063"/>
      <c r="K192" s="2063"/>
      <c r="L192" s="2063"/>
      <c r="M192" s="2063"/>
      <c r="N192" s="2063"/>
      <c r="O192" s="2063"/>
      <c r="P192" s="2063"/>
      <c r="Q192" s="2063"/>
      <c r="R192" s="2063"/>
      <c r="S192" s="2063"/>
      <c r="T192" s="2063"/>
      <c r="U192" s="2063"/>
      <c r="V192" s="2063"/>
      <c r="W192" s="2063"/>
      <c r="X192" s="2063"/>
      <c r="Y192" s="2063"/>
      <c r="Z192" s="2063"/>
      <c r="AA192" s="2063"/>
      <c r="AB192" s="2063"/>
      <c r="AC192" s="882"/>
      <c r="AD192" s="2053"/>
      <c r="AE192" s="2053"/>
      <c r="AF192" s="2053"/>
      <c r="AG192" s="2053"/>
      <c r="AH192" s="2053"/>
      <c r="AI192" s="2053"/>
      <c r="AJ192" s="2053"/>
      <c r="AK192" s="645"/>
    </row>
    <row r="193" spans="1:37">
      <c r="A193" s="640"/>
      <c r="B193" s="2063"/>
      <c r="C193" s="2063"/>
      <c r="D193" s="2063"/>
      <c r="E193" s="2063"/>
      <c r="F193" s="2063"/>
      <c r="G193" s="2063"/>
      <c r="H193" s="2063"/>
      <c r="I193" s="2063"/>
      <c r="J193" s="2063"/>
      <c r="K193" s="2063"/>
      <c r="L193" s="2063"/>
      <c r="M193" s="2063"/>
      <c r="N193" s="2063"/>
      <c r="O193" s="2063"/>
      <c r="P193" s="2063"/>
      <c r="Q193" s="2063"/>
      <c r="R193" s="2063"/>
      <c r="S193" s="2063"/>
      <c r="T193" s="2063"/>
      <c r="U193" s="2063"/>
      <c r="V193" s="2063"/>
      <c r="W193" s="2063"/>
      <c r="X193" s="2063"/>
      <c r="Y193" s="2063"/>
      <c r="Z193" s="2063"/>
      <c r="AA193" s="2063"/>
      <c r="AB193" s="2063"/>
      <c r="AC193" s="882"/>
      <c r="AD193" s="2053"/>
      <c r="AE193" s="2053"/>
      <c r="AF193" s="2053"/>
      <c r="AG193" s="2053"/>
      <c r="AH193" s="2053"/>
      <c r="AI193" s="2053"/>
      <c r="AJ193" s="2053"/>
      <c r="AK193" s="645"/>
    </row>
    <row r="194" spans="1:37">
      <c r="A194" s="640"/>
      <c r="B194" s="2063"/>
      <c r="C194" s="2063"/>
      <c r="D194" s="2063"/>
      <c r="E194" s="2063"/>
      <c r="F194" s="2063"/>
      <c r="G194" s="2063"/>
      <c r="H194" s="2063"/>
      <c r="I194" s="2063"/>
      <c r="J194" s="2063"/>
      <c r="K194" s="2063"/>
      <c r="L194" s="2063"/>
      <c r="M194" s="2063"/>
      <c r="N194" s="2063"/>
      <c r="O194" s="2063"/>
      <c r="P194" s="2063"/>
      <c r="Q194" s="2063"/>
      <c r="R194" s="2063"/>
      <c r="S194" s="2063"/>
      <c r="T194" s="2063"/>
      <c r="U194" s="2063"/>
      <c r="V194" s="2063"/>
      <c r="W194" s="2063"/>
      <c r="X194" s="2063"/>
      <c r="Y194" s="2063"/>
      <c r="Z194" s="2063"/>
      <c r="AA194" s="2063"/>
      <c r="AB194" s="2063"/>
      <c r="AC194" s="882"/>
      <c r="AD194" s="2053"/>
      <c r="AE194" s="2053"/>
      <c r="AF194" s="2053"/>
      <c r="AG194" s="2053"/>
      <c r="AH194" s="2053"/>
      <c r="AI194" s="2053"/>
      <c r="AJ194" s="2053"/>
      <c r="AK194" s="645"/>
    </row>
    <row r="195" spans="1:37">
      <c r="A195" s="640"/>
      <c r="B195" s="2063"/>
      <c r="C195" s="2063"/>
      <c r="D195" s="2063"/>
      <c r="E195" s="2063"/>
      <c r="F195" s="2063"/>
      <c r="G195" s="2063"/>
      <c r="H195" s="2063"/>
      <c r="I195" s="2063"/>
      <c r="J195" s="2063"/>
      <c r="K195" s="2063"/>
      <c r="L195" s="2063"/>
      <c r="M195" s="2063"/>
      <c r="N195" s="2063"/>
      <c r="O195" s="2063"/>
      <c r="P195" s="2063"/>
      <c r="Q195" s="2063"/>
      <c r="R195" s="2063"/>
      <c r="S195" s="2063"/>
      <c r="T195" s="2063"/>
      <c r="U195" s="2063"/>
      <c r="V195" s="2063"/>
      <c r="W195" s="2063"/>
      <c r="X195" s="2063"/>
      <c r="Y195" s="2063"/>
      <c r="Z195" s="2063"/>
      <c r="AA195" s="2063"/>
      <c r="AB195" s="2063"/>
      <c r="AC195" s="882"/>
      <c r="AD195" s="2053"/>
      <c r="AE195" s="2053"/>
      <c r="AF195" s="2053"/>
      <c r="AG195" s="2053"/>
      <c r="AH195" s="2053"/>
      <c r="AI195" s="2053"/>
      <c r="AJ195" s="2053"/>
      <c r="AK195" s="645"/>
    </row>
    <row r="196" spans="1:37">
      <c r="A196" s="640"/>
      <c r="B196" s="2063"/>
      <c r="C196" s="2063"/>
      <c r="D196" s="2063"/>
      <c r="E196" s="2063"/>
      <c r="F196" s="2063"/>
      <c r="G196" s="2063"/>
      <c r="H196" s="2063"/>
      <c r="I196" s="2063"/>
      <c r="J196" s="2063"/>
      <c r="K196" s="2063"/>
      <c r="L196" s="2063"/>
      <c r="M196" s="2063"/>
      <c r="N196" s="2063"/>
      <c r="O196" s="2063"/>
      <c r="P196" s="2063"/>
      <c r="Q196" s="2063"/>
      <c r="R196" s="2063"/>
      <c r="S196" s="2063"/>
      <c r="T196" s="2063"/>
      <c r="U196" s="2063"/>
      <c r="V196" s="2063"/>
      <c r="W196" s="2063"/>
      <c r="X196" s="2063"/>
      <c r="Y196" s="2063"/>
      <c r="Z196" s="2063"/>
      <c r="AA196" s="2063"/>
      <c r="AB196" s="2063"/>
      <c r="AC196" s="882"/>
      <c r="AD196" s="2053"/>
      <c r="AE196" s="2053"/>
      <c r="AF196" s="2053"/>
      <c r="AG196" s="2053"/>
      <c r="AH196" s="2053"/>
      <c r="AI196" s="2053"/>
      <c r="AJ196" s="2053"/>
      <c r="AK196" s="645"/>
    </row>
    <row r="197" spans="1:37">
      <c r="A197" s="640"/>
      <c r="B197" s="2063"/>
      <c r="C197" s="2063"/>
      <c r="D197" s="2063"/>
      <c r="E197" s="2063"/>
      <c r="F197" s="2063"/>
      <c r="G197" s="2063"/>
      <c r="H197" s="2063"/>
      <c r="I197" s="2063"/>
      <c r="J197" s="2063"/>
      <c r="K197" s="2063"/>
      <c r="L197" s="2063"/>
      <c r="M197" s="2063"/>
      <c r="N197" s="2063"/>
      <c r="O197" s="2063"/>
      <c r="P197" s="2063"/>
      <c r="Q197" s="2063"/>
      <c r="R197" s="2063"/>
      <c r="S197" s="2063"/>
      <c r="T197" s="2063"/>
      <c r="U197" s="2063"/>
      <c r="V197" s="2063"/>
      <c r="W197" s="2063"/>
      <c r="X197" s="2063"/>
      <c r="Y197" s="2063"/>
      <c r="Z197" s="2063"/>
      <c r="AA197" s="2063"/>
      <c r="AB197" s="2063"/>
      <c r="AC197" s="882"/>
      <c r="AD197" s="2053"/>
      <c r="AE197" s="2053"/>
      <c r="AF197" s="2053"/>
      <c r="AG197" s="2053"/>
      <c r="AH197" s="2053"/>
      <c r="AI197" s="2053"/>
      <c r="AJ197" s="2053"/>
      <c r="AK197" s="645"/>
    </row>
    <row r="198" spans="1:37">
      <c r="A198" s="640"/>
      <c r="B198" s="1928" t="s">
        <v>1805</v>
      </c>
      <c r="C198" s="1928"/>
      <c r="D198" s="1928"/>
      <c r="E198" s="1928"/>
      <c r="F198" s="1928"/>
      <c r="G198" s="1928"/>
      <c r="H198" s="1928"/>
      <c r="I198" s="1928"/>
      <c r="J198" s="1928"/>
      <c r="K198" s="1928"/>
      <c r="L198" s="1928"/>
      <c r="M198" s="1928"/>
      <c r="N198" s="1928"/>
      <c r="O198" s="1928"/>
      <c r="P198" s="1928"/>
      <c r="Q198" s="1928"/>
      <c r="R198" s="1928"/>
      <c r="S198" s="1928"/>
      <c r="T198" s="1928"/>
      <c r="U198" s="1928"/>
      <c r="V198" s="1928"/>
      <c r="W198" s="1928"/>
      <c r="X198" s="1928"/>
      <c r="Y198" s="1928"/>
      <c r="Z198" s="1928"/>
      <c r="AA198" s="1928"/>
      <c r="AB198" s="1928"/>
      <c r="AC198" s="571"/>
      <c r="AD198" s="2051">
        <f>AB249</f>
        <v>3590973.8526719613</v>
      </c>
      <c r="AE198" s="2051"/>
      <c r="AF198" s="2051"/>
      <c r="AG198" s="2051"/>
      <c r="AH198" s="2051"/>
      <c r="AI198" s="2051"/>
      <c r="AJ198" s="2051"/>
      <c r="AK198" s="645"/>
    </row>
    <row r="199" spans="1:37">
      <c r="A199" s="640"/>
      <c r="B199" s="1926" t="s">
        <v>1768</v>
      </c>
      <c r="C199" s="1926"/>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882"/>
      <c r="AD199" s="2052">
        <f>'Sources and Uses Budget'!B15</f>
        <v>0</v>
      </c>
      <c r="AE199" s="2052"/>
      <c r="AF199" s="2052"/>
      <c r="AG199" s="2052"/>
      <c r="AH199" s="2052"/>
      <c r="AI199" s="2052"/>
      <c r="AJ199" s="205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7">
        <f>SUM(AD188:AJ198)-AD199</f>
        <v>6589827.8526719613</v>
      </c>
      <c r="AE200" s="2057"/>
      <c r="AF200" s="2057"/>
      <c r="AG200" s="2057"/>
      <c r="AH200" s="2057"/>
      <c r="AI200" s="2057"/>
      <c r="AJ200" s="205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6" t="s">
        <v>1785</v>
      </c>
      <c r="J211" s="2076"/>
      <c r="K211" s="2076"/>
      <c r="L211" s="571"/>
      <c r="M211" s="571"/>
      <c r="N211" s="571"/>
      <c r="O211" s="571"/>
      <c r="P211" s="571"/>
      <c r="Q211" s="571"/>
      <c r="R211" s="571"/>
      <c r="S211" s="571"/>
      <c r="T211" s="1892" t="s">
        <v>1779</v>
      </c>
      <c r="U211" s="1892"/>
      <c r="V211" s="1892"/>
      <c r="W211" s="1892"/>
      <c r="X211" s="1892"/>
      <c r="Y211" s="1892"/>
      <c r="Z211" s="885"/>
      <c r="AA211" s="524"/>
      <c r="AB211" s="2073" t="s">
        <v>1780</v>
      </c>
      <c r="AC211" s="2073"/>
      <c r="AD211" s="2073"/>
      <c r="AE211" s="2073"/>
      <c r="AF211" s="2073"/>
      <c r="AG211" s="2073"/>
      <c r="AH211" s="863"/>
      <c r="AI211" s="863"/>
      <c r="AJ211" s="863"/>
      <c r="AK211" s="645"/>
    </row>
    <row r="212" spans="1:37">
      <c r="A212" s="640"/>
      <c r="B212" s="2074" t="s">
        <v>1765</v>
      </c>
      <c r="C212" s="2074"/>
      <c r="D212" s="2074"/>
      <c r="E212" s="2074"/>
      <c r="F212" s="2074"/>
      <c r="G212" s="2074"/>
      <c r="I212" s="2075" t="s">
        <v>1786</v>
      </c>
      <c r="J212" s="2075"/>
      <c r="K212" s="2075"/>
      <c r="L212" s="1045"/>
      <c r="N212" s="1927" t="s">
        <v>1781</v>
      </c>
      <c r="O212" s="1927"/>
      <c r="P212" s="1927"/>
      <c r="Q212" s="1927"/>
      <c r="R212" s="1927"/>
      <c r="T212" s="1927" t="s">
        <v>1782</v>
      </c>
      <c r="U212" s="1927"/>
      <c r="V212" s="1927"/>
      <c r="W212" s="1927"/>
      <c r="X212" s="1927"/>
      <c r="Y212" s="1927"/>
      <c r="Z212" s="886"/>
      <c r="AA212" s="524"/>
      <c r="AB212" s="1930" t="s">
        <v>1783</v>
      </c>
      <c r="AC212" s="1930"/>
      <c r="AD212" s="1930"/>
      <c r="AE212" s="1930"/>
      <c r="AF212" s="1930"/>
      <c r="AG212" s="1930"/>
      <c r="AH212" s="863"/>
      <c r="AI212" s="863"/>
      <c r="AJ212" s="863"/>
      <c r="AK212" s="645"/>
    </row>
    <row r="213" spans="1:37">
      <c r="A213" s="640"/>
      <c r="B213" s="1929" t="s">
        <v>325</v>
      </c>
      <c r="C213" s="1929"/>
      <c r="D213" s="1929"/>
      <c r="E213" s="1929"/>
      <c r="F213" s="1929"/>
      <c r="G213" s="1929"/>
      <c r="H213" s="888"/>
      <c r="I213" s="1897">
        <v>12</v>
      </c>
      <c r="J213" s="1897"/>
      <c r="K213" s="1897"/>
      <c r="L213" s="1045"/>
      <c r="N213" s="1894">
        <v>634</v>
      </c>
      <c r="O213" s="1894"/>
      <c r="P213" s="1894"/>
      <c r="Q213" s="1894"/>
      <c r="R213" s="1894"/>
      <c r="T213" s="1893">
        <v>1437</v>
      </c>
      <c r="U213" s="1893"/>
      <c r="V213" s="1893"/>
      <c r="W213" s="1893"/>
      <c r="X213" s="1893"/>
      <c r="Y213" s="1893"/>
      <c r="Z213" s="887"/>
      <c r="AA213" s="887"/>
      <c r="AB213" s="1891">
        <f t="shared" ref="AB213:AB222" si="0">MAX(($T213-$N213)*$I213*12,0)</f>
        <v>115632</v>
      </c>
      <c r="AC213" s="1891"/>
      <c r="AD213" s="1891"/>
      <c r="AE213" s="1891"/>
      <c r="AF213" s="1891"/>
      <c r="AG213" s="1891"/>
      <c r="AH213" s="863"/>
      <c r="AI213" s="863"/>
      <c r="AJ213" s="863"/>
      <c r="AK213" s="645"/>
    </row>
    <row r="214" spans="1:37">
      <c r="A214" s="640"/>
      <c r="B214" s="1929" t="s">
        <v>2750</v>
      </c>
      <c r="C214" s="1929"/>
      <c r="D214" s="1929"/>
      <c r="E214" s="1929"/>
      <c r="F214" s="1929"/>
      <c r="G214" s="1929"/>
      <c r="I214" s="1897">
        <v>18</v>
      </c>
      <c r="J214" s="1897"/>
      <c r="K214" s="1897"/>
      <c r="L214" s="1045"/>
      <c r="N214" s="1894">
        <v>708</v>
      </c>
      <c r="O214" s="1894"/>
      <c r="P214" s="1894"/>
      <c r="Q214" s="1894"/>
      <c r="R214" s="1894"/>
      <c r="T214" s="1893">
        <v>1643</v>
      </c>
      <c r="U214" s="1893"/>
      <c r="V214" s="1893"/>
      <c r="W214" s="1893"/>
      <c r="X214" s="1893"/>
      <c r="Y214" s="1893"/>
      <c r="Z214" s="887"/>
      <c r="AA214" s="887"/>
      <c r="AB214" s="1891">
        <f t="shared" si="0"/>
        <v>201960</v>
      </c>
      <c r="AC214" s="1891"/>
      <c r="AD214" s="1891"/>
      <c r="AE214" s="1891"/>
      <c r="AF214" s="1891"/>
      <c r="AG214" s="1891"/>
      <c r="AH214" s="863"/>
      <c r="AI214" s="863"/>
      <c r="AJ214" s="863"/>
      <c r="AK214" s="645"/>
    </row>
    <row r="215" spans="1:37">
      <c r="A215" s="640"/>
      <c r="B215" s="1929" t="s">
        <v>2750</v>
      </c>
      <c r="C215" s="1929"/>
      <c r="D215" s="1929"/>
      <c r="E215" s="1929"/>
      <c r="F215" s="1929"/>
      <c r="G215" s="1929"/>
      <c r="I215" s="1897">
        <v>8</v>
      </c>
      <c r="J215" s="1897"/>
      <c r="K215" s="1897"/>
      <c r="L215" s="1045"/>
      <c r="N215" s="1894">
        <v>1147</v>
      </c>
      <c r="O215" s="1894"/>
      <c r="P215" s="1894"/>
      <c r="Q215" s="1894"/>
      <c r="R215" s="1894"/>
      <c r="T215" s="1893">
        <v>1858</v>
      </c>
      <c r="U215" s="1893"/>
      <c r="V215" s="1893"/>
      <c r="W215" s="1893"/>
      <c r="X215" s="1893"/>
      <c r="Y215" s="1893"/>
      <c r="Z215" s="887"/>
      <c r="AA215" s="887"/>
      <c r="AB215" s="1891">
        <f t="shared" si="0"/>
        <v>68256</v>
      </c>
      <c r="AC215" s="1891"/>
      <c r="AD215" s="1891"/>
      <c r="AE215" s="1891"/>
      <c r="AF215" s="1891"/>
      <c r="AG215" s="1891"/>
      <c r="AH215" s="863"/>
      <c r="AI215" s="863"/>
      <c r="AJ215" s="863"/>
      <c r="AK215" s="645"/>
    </row>
    <row r="216" spans="1:37">
      <c r="A216" s="640"/>
      <c r="B216" s="1929" t="s">
        <v>1327</v>
      </c>
      <c r="C216" s="1929"/>
      <c r="D216" s="1929"/>
      <c r="E216" s="1929"/>
      <c r="F216" s="1929"/>
      <c r="G216" s="1929"/>
      <c r="I216" s="1897"/>
      <c r="J216" s="1897"/>
      <c r="K216" s="1897"/>
      <c r="L216" s="1045"/>
      <c r="N216" s="1894"/>
      <c r="O216" s="1894"/>
      <c r="P216" s="1894"/>
      <c r="Q216" s="1894"/>
      <c r="R216" s="1894"/>
      <c r="T216" s="1893"/>
      <c r="U216" s="1893"/>
      <c r="V216" s="1893"/>
      <c r="W216" s="1893"/>
      <c r="X216" s="1893"/>
      <c r="Y216" s="1893"/>
      <c r="Z216" s="887"/>
      <c r="AA216" s="887"/>
      <c r="AB216" s="1891">
        <f t="shared" si="0"/>
        <v>0</v>
      </c>
      <c r="AC216" s="1891"/>
      <c r="AD216" s="1891"/>
      <c r="AE216" s="1891"/>
      <c r="AF216" s="1891"/>
      <c r="AG216" s="1891"/>
      <c r="AH216" s="863"/>
      <c r="AI216" s="863"/>
      <c r="AJ216" s="863"/>
      <c r="AK216" s="645"/>
    </row>
    <row r="217" spans="1:37">
      <c r="A217" s="640"/>
      <c r="B217" s="1929" t="s">
        <v>1327</v>
      </c>
      <c r="C217" s="1929"/>
      <c r="D217" s="1929"/>
      <c r="E217" s="1929"/>
      <c r="F217" s="1929"/>
      <c r="G217" s="1929"/>
      <c r="I217" s="1897"/>
      <c r="J217" s="1897"/>
      <c r="K217" s="1897"/>
      <c r="L217" s="1052"/>
      <c r="N217" s="1894"/>
      <c r="O217" s="1894"/>
      <c r="P217" s="1894"/>
      <c r="Q217" s="1894"/>
      <c r="R217" s="1894"/>
      <c r="T217" s="1893"/>
      <c r="U217" s="1893"/>
      <c r="V217" s="1893"/>
      <c r="W217" s="1893"/>
      <c r="X217" s="1893"/>
      <c r="Y217" s="1893"/>
      <c r="Z217" s="887"/>
      <c r="AA217" s="887"/>
      <c r="AB217" s="1891">
        <f t="shared" si="0"/>
        <v>0</v>
      </c>
      <c r="AC217" s="1891"/>
      <c r="AD217" s="1891"/>
      <c r="AE217" s="1891"/>
      <c r="AF217" s="1891"/>
      <c r="AG217" s="1891"/>
      <c r="AH217" s="863"/>
      <c r="AI217" s="863"/>
      <c r="AJ217" s="863"/>
      <c r="AK217" s="645"/>
    </row>
    <row r="218" spans="1:37">
      <c r="A218" s="640"/>
      <c r="B218" s="1929" t="s">
        <v>1327</v>
      </c>
      <c r="C218" s="1929"/>
      <c r="D218" s="1929"/>
      <c r="E218" s="1929"/>
      <c r="F218" s="1929"/>
      <c r="G218" s="1929"/>
      <c r="I218" s="1897"/>
      <c r="J218" s="1897"/>
      <c r="K218" s="1897"/>
      <c r="L218" s="1052"/>
      <c r="N218" s="1894"/>
      <c r="O218" s="1894"/>
      <c r="P218" s="1894"/>
      <c r="Q218" s="1894"/>
      <c r="R218" s="1894"/>
      <c r="T218" s="1893"/>
      <c r="U218" s="1893"/>
      <c r="V218" s="1893"/>
      <c r="W218" s="1893"/>
      <c r="X218" s="1893"/>
      <c r="Y218" s="1893"/>
      <c r="Z218" s="887"/>
      <c r="AA218" s="887"/>
      <c r="AB218" s="1891">
        <f t="shared" si="0"/>
        <v>0</v>
      </c>
      <c r="AC218" s="1891"/>
      <c r="AD218" s="1891"/>
      <c r="AE218" s="1891"/>
      <c r="AF218" s="1891"/>
      <c r="AG218" s="1891"/>
      <c r="AH218" s="863"/>
      <c r="AI218" s="863"/>
      <c r="AJ218" s="863"/>
      <c r="AK218" s="645"/>
    </row>
    <row r="219" spans="1:37">
      <c r="A219" s="640"/>
      <c r="B219" s="1929" t="s">
        <v>1327</v>
      </c>
      <c r="C219" s="1929"/>
      <c r="D219" s="1929"/>
      <c r="E219" s="1929"/>
      <c r="F219" s="1929"/>
      <c r="G219" s="1929"/>
      <c r="I219" s="1897"/>
      <c r="J219" s="1897"/>
      <c r="K219" s="1897"/>
      <c r="L219" s="1052"/>
      <c r="N219" s="1894"/>
      <c r="O219" s="1894"/>
      <c r="P219" s="1894"/>
      <c r="Q219" s="1894"/>
      <c r="R219" s="1894"/>
      <c r="T219" s="1893"/>
      <c r="U219" s="1893"/>
      <c r="V219" s="1893"/>
      <c r="W219" s="1893"/>
      <c r="X219" s="1893"/>
      <c r="Y219" s="1893"/>
      <c r="Z219" s="887"/>
      <c r="AA219" s="887"/>
      <c r="AB219" s="1891">
        <f t="shared" si="0"/>
        <v>0</v>
      </c>
      <c r="AC219" s="1891"/>
      <c r="AD219" s="1891"/>
      <c r="AE219" s="1891"/>
      <c r="AF219" s="1891"/>
      <c r="AG219" s="1891"/>
      <c r="AH219" s="863"/>
      <c r="AI219" s="863"/>
      <c r="AJ219" s="863"/>
      <c r="AK219" s="645"/>
    </row>
    <row r="220" spans="1:37">
      <c r="A220" s="640"/>
      <c r="B220" s="1929" t="s">
        <v>1327</v>
      </c>
      <c r="C220" s="1929"/>
      <c r="D220" s="1929"/>
      <c r="E220" s="1929"/>
      <c r="F220" s="1929"/>
      <c r="G220" s="1929"/>
      <c r="I220" s="1897"/>
      <c r="J220" s="1897"/>
      <c r="K220" s="1897"/>
      <c r="L220" s="1052"/>
      <c r="N220" s="1894"/>
      <c r="O220" s="1894"/>
      <c r="P220" s="1894"/>
      <c r="Q220" s="1894"/>
      <c r="R220" s="1894"/>
      <c r="T220" s="1893"/>
      <c r="U220" s="1893"/>
      <c r="V220" s="1893"/>
      <c r="W220" s="1893"/>
      <c r="X220" s="1893"/>
      <c r="Y220" s="1893"/>
      <c r="Z220" s="887"/>
      <c r="AA220" s="887"/>
      <c r="AB220" s="1891">
        <f t="shared" si="0"/>
        <v>0</v>
      </c>
      <c r="AC220" s="1891"/>
      <c r="AD220" s="1891"/>
      <c r="AE220" s="1891"/>
      <c r="AF220" s="1891"/>
      <c r="AG220" s="1891"/>
      <c r="AH220" s="863"/>
      <c r="AI220" s="863"/>
      <c r="AJ220" s="863"/>
      <c r="AK220" s="645"/>
    </row>
    <row r="221" spans="1:37">
      <c r="A221" s="640"/>
      <c r="B221" s="1929" t="s">
        <v>1327</v>
      </c>
      <c r="C221" s="1929"/>
      <c r="D221" s="1929"/>
      <c r="E221" s="1929"/>
      <c r="F221" s="1929"/>
      <c r="G221" s="1929"/>
      <c r="I221" s="1897"/>
      <c r="J221" s="1897"/>
      <c r="K221" s="1897"/>
      <c r="L221" s="1052"/>
      <c r="N221" s="1894"/>
      <c r="O221" s="1894"/>
      <c r="P221" s="1894"/>
      <c r="Q221" s="1894"/>
      <c r="R221" s="1894"/>
      <c r="T221" s="1893"/>
      <c r="U221" s="1893"/>
      <c r="V221" s="1893"/>
      <c r="W221" s="1893"/>
      <c r="X221" s="1893"/>
      <c r="Y221" s="1893"/>
      <c r="Z221" s="887"/>
      <c r="AA221" s="887"/>
      <c r="AB221" s="1891">
        <f t="shared" si="0"/>
        <v>0</v>
      </c>
      <c r="AC221" s="1891"/>
      <c r="AD221" s="1891"/>
      <c r="AE221" s="1891"/>
      <c r="AF221" s="1891"/>
      <c r="AG221" s="1891"/>
      <c r="AH221" s="863"/>
      <c r="AI221" s="863"/>
      <c r="AJ221" s="863"/>
      <c r="AK221" s="645"/>
    </row>
    <row r="222" spans="1:37">
      <c r="A222" s="640"/>
      <c r="B222" s="1929" t="s">
        <v>1327</v>
      </c>
      <c r="C222" s="1929"/>
      <c r="D222" s="1929"/>
      <c r="E222" s="1929"/>
      <c r="F222" s="1929"/>
      <c r="G222" s="1929"/>
      <c r="I222" s="2077"/>
      <c r="J222" s="2077"/>
      <c r="K222" s="2077"/>
      <c r="L222" s="1052"/>
      <c r="N222" s="1894"/>
      <c r="O222" s="1894"/>
      <c r="P222" s="1894"/>
      <c r="Q222" s="1894"/>
      <c r="R222" s="1894"/>
      <c r="T222" s="1893"/>
      <c r="U222" s="1893"/>
      <c r="V222" s="1893"/>
      <c r="W222" s="1893"/>
      <c r="X222" s="1893"/>
      <c r="Y222" s="1893"/>
      <c r="Z222" s="887"/>
      <c r="AA222" s="887"/>
      <c r="AB222" s="1898">
        <f t="shared" si="0"/>
        <v>0</v>
      </c>
      <c r="AC222" s="1898"/>
      <c r="AD222" s="1898"/>
      <c r="AE222" s="1898"/>
      <c r="AF222" s="1898"/>
      <c r="AG222" s="189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1">
        <f>SUM(AB213:AB222)</f>
        <v>385848</v>
      </c>
      <c r="AC223" s="1891"/>
      <c r="AD223" s="1891"/>
      <c r="AE223" s="1891"/>
      <c r="AF223" s="1891"/>
      <c r="AG223" s="189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1"/>
      <c r="AC229" s="1931"/>
      <c r="AD229" s="1931"/>
      <c r="AE229" s="1931"/>
      <c r="AF229" s="1931"/>
      <c r="AG229" s="1931"/>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1"/>
      <c r="AC232" s="1931"/>
      <c r="AD232" s="1931"/>
      <c r="AE232" s="1931"/>
      <c r="AF232" s="1931"/>
      <c r="AG232" s="1931"/>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0"/>
      <c r="AC233" s="1890"/>
      <c r="AD233" s="1890"/>
      <c r="AE233" s="1890"/>
      <c r="AF233" s="1890"/>
      <c r="AG233" s="1890"/>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9">
        <f>IFERROR(AB232/AB233,0)</f>
        <v>0</v>
      </c>
      <c r="AC234" s="1899"/>
      <c r="AD234" s="1899"/>
      <c r="AE234" s="1899"/>
      <c r="AF234" s="1899"/>
      <c r="AG234" s="189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8">
        <f>MAX(AB229,AB234)</f>
        <v>0</v>
      </c>
      <c r="AC236" s="1898"/>
      <c r="AD236" s="1898"/>
      <c r="AE236" s="1898"/>
      <c r="AF236" s="1898"/>
      <c r="AG236" s="189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1">
        <f>AB223+AB236</f>
        <v>385848</v>
      </c>
      <c r="AC239" s="1891"/>
      <c r="AD239" s="1891"/>
      <c r="AE239" s="1891"/>
      <c r="AF239" s="1891"/>
      <c r="AG239" s="189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1">
        <v>0.05</v>
      </c>
      <c r="AC240" s="2061"/>
      <c r="AD240" s="2061"/>
      <c r="AE240" s="2061"/>
      <c r="AF240" s="2061"/>
      <c r="AG240" s="2061"/>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2">
        <f>AB239-(AB239*AB240)</f>
        <v>366555.6</v>
      </c>
      <c r="AC241" s="2062"/>
      <c r="AD241" s="2062"/>
      <c r="AE241" s="2062"/>
      <c r="AF241" s="2062"/>
      <c r="AG241" s="2062"/>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1">
        <f>AB241/AB247</f>
        <v>318744</v>
      </c>
      <c r="AC243" s="1891"/>
      <c r="AD243" s="1891"/>
      <c r="AE243" s="1891"/>
      <c r="AF243" s="1891"/>
      <c r="AG243" s="189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3">
        <v>15</v>
      </c>
      <c r="AC245" s="2073"/>
      <c r="AD245" s="2073"/>
      <c r="AE245" s="2073"/>
      <c r="AF245" s="2073"/>
      <c r="AG245" s="2073"/>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4">
        <v>0.04</v>
      </c>
      <c r="AC246" s="2064"/>
      <c r="AD246" s="2064"/>
      <c r="AE246" s="2064"/>
      <c r="AF246" s="2064"/>
      <c r="AG246" s="2064"/>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5">
        <v>1.1499999999999999</v>
      </c>
      <c r="AC247" s="2065"/>
      <c r="AD247" s="2065"/>
      <c r="AE247" s="2065"/>
      <c r="AF247" s="2065"/>
      <c r="AG247" s="206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4">
        <f>PV(AB246/12,AB245*12,-AB243/12, ,0)</f>
        <v>3590973.8526719613</v>
      </c>
      <c r="AC249" s="2055"/>
      <c r="AD249" s="2055"/>
      <c r="AE249" s="2055"/>
      <c r="AF249" s="2055"/>
      <c r="AG249" s="205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8">
        <f>IFERROR(('Sources and Uses Budget'!D105/'Sources and Uses Budget'!B105),0)</f>
        <v>0</v>
      </c>
      <c r="AC255" s="2059"/>
      <c r="AD255" s="2059"/>
      <c r="AE255" s="2059"/>
      <c r="AF255" s="2059"/>
      <c r="AG255" s="206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5">
        <f>AD200*(1-AB255)</f>
        <v>6589827.8526719613</v>
      </c>
      <c r="AH257" s="1905"/>
      <c r="AI257" s="1905"/>
      <c r="AJ257" s="1905"/>
      <c r="AK257" s="1905"/>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5">
        <f>'Sources and Uses Budget'!C105</f>
        <v>74468171</v>
      </c>
      <c r="AH258" s="1905"/>
      <c r="AI258" s="1905"/>
      <c r="AJ258" s="1905"/>
      <c r="AK258" s="190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0">
        <f>ROUNDDOWN(IF(AND(C281="Yes",AK78=10),((AG257*2)/AG258),AG257/AG258),2)</f>
        <v>0.08</v>
      </c>
      <c r="AH259" s="2050"/>
      <c r="AI259" s="2050"/>
      <c r="AJ259" s="2050"/>
      <c r="AK259" s="2050"/>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9">
        <f>IFERROR(IF(AG259=0,0,IF((AG259*100)&gt;8,8,(AG259*100))),0)</f>
        <v>8</v>
      </c>
      <c r="AL262" s="2039"/>
      <c r="AM262" s="2040"/>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23" t="s">
        <v>554</v>
      </c>
      <c r="D267" s="1923"/>
      <c r="E267" s="582"/>
      <c r="F267" s="1874" t="s">
        <v>2421</v>
      </c>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6"/>
      <c r="AE267" s="585"/>
      <c r="AF267" s="670"/>
      <c r="AG267" s="2048" t="s">
        <v>1536</v>
      </c>
      <c r="AH267" s="2048"/>
      <c r="AI267" s="2048"/>
      <c r="AJ267" s="2048"/>
      <c r="AK267" s="585"/>
      <c r="AL267" s="585"/>
      <c r="AM267" s="585"/>
      <c r="AO267" s="585"/>
    </row>
    <row r="268" spans="1:52" ht="13.8" customHeight="1">
      <c r="A268" s="585"/>
      <c r="B268" s="631"/>
      <c r="C268" s="671"/>
      <c r="D268" s="585"/>
      <c r="E268" s="582"/>
      <c r="F268" s="1877"/>
      <c r="G268" s="1878"/>
      <c r="H268" s="1878"/>
      <c r="I268" s="1878"/>
      <c r="J268" s="1878"/>
      <c r="K268" s="1878"/>
      <c r="L268" s="1878"/>
      <c r="M268" s="1878"/>
      <c r="N268" s="1878"/>
      <c r="O268" s="1878"/>
      <c r="P268" s="1878"/>
      <c r="Q268" s="1878"/>
      <c r="R268" s="1878"/>
      <c r="S268" s="1878"/>
      <c r="T268" s="1878"/>
      <c r="U268" s="1878"/>
      <c r="V268" s="1878"/>
      <c r="W268" s="1878"/>
      <c r="X268" s="1878"/>
      <c r="Y268" s="1878"/>
      <c r="Z268" s="1878"/>
      <c r="AA268" s="1878"/>
      <c r="AB268" s="1878"/>
      <c r="AC268" s="1878"/>
      <c r="AD268" s="1879"/>
      <c r="AE268" s="585"/>
      <c r="AF268" s="670"/>
      <c r="AG268" s="670"/>
      <c r="AH268" s="670"/>
      <c r="AI268" s="670"/>
      <c r="AJ268" s="585"/>
      <c r="AK268" s="585"/>
      <c r="AL268" s="585"/>
      <c r="AM268" s="585"/>
      <c r="AO268" s="585"/>
    </row>
    <row r="269" spans="1:52">
      <c r="A269" s="585"/>
      <c r="B269" s="631"/>
      <c r="C269" s="671"/>
      <c r="D269" s="585"/>
      <c r="E269" s="582"/>
      <c r="F269" s="1877"/>
      <c r="G269" s="1878"/>
      <c r="H269" s="1878"/>
      <c r="I269" s="1878"/>
      <c r="J269" s="1878"/>
      <c r="K269" s="1878"/>
      <c r="L269" s="1878"/>
      <c r="M269" s="1878"/>
      <c r="N269" s="1878"/>
      <c r="O269" s="1878"/>
      <c r="P269" s="1878"/>
      <c r="Q269" s="1878"/>
      <c r="R269" s="1878"/>
      <c r="S269" s="1878"/>
      <c r="T269" s="1878"/>
      <c r="U269" s="1878"/>
      <c r="V269" s="1878"/>
      <c r="W269" s="1878"/>
      <c r="X269" s="1878"/>
      <c r="Y269" s="1878"/>
      <c r="Z269" s="1878"/>
      <c r="AA269" s="1878"/>
      <c r="AB269" s="1878"/>
      <c r="AC269" s="1878"/>
      <c r="AD269" s="1879"/>
      <c r="AE269" s="585"/>
      <c r="AF269" s="670"/>
      <c r="AG269" s="670"/>
      <c r="AH269" s="670"/>
      <c r="AI269" s="670"/>
      <c r="AJ269" s="585"/>
      <c r="AK269" s="585"/>
      <c r="AL269" s="585"/>
      <c r="AM269" s="585"/>
      <c r="AO269" s="585"/>
      <c r="AP269" s="672"/>
    </row>
    <row r="270" spans="1:52">
      <c r="A270" s="585"/>
      <c r="B270" s="631"/>
      <c r="C270" s="671"/>
      <c r="D270" s="585"/>
      <c r="E270" s="582"/>
      <c r="F270" s="1877"/>
      <c r="G270" s="1878"/>
      <c r="H270" s="1878"/>
      <c r="I270" s="1878"/>
      <c r="J270" s="1878"/>
      <c r="K270" s="1878"/>
      <c r="L270" s="1878"/>
      <c r="M270" s="1878"/>
      <c r="N270" s="1878"/>
      <c r="O270" s="1878"/>
      <c r="P270" s="1878"/>
      <c r="Q270" s="1878"/>
      <c r="R270" s="1878"/>
      <c r="S270" s="1878"/>
      <c r="T270" s="1878"/>
      <c r="U270" s="1878"/>
      <c r="V270" s="1878"/>
      <c r="W270" s="1878"/>
      <c r="X270" s="1878"/>
      <c r="Y270" s="1878"/>
      <c r="Z270" s="1878"/>
      <c r="AA270" s="1878"/>
      <c r="AB270" s="1878"/>
      <c r="AC270" s="1878"/>
      <c r="AD270" s="1879"/>
      <c r="AE270" s="585"/>
      <c r="AF270" s="670"/>
      <c r="AG270" s="670"/>
      <c r="AH270" s="670"/>
      <c r="AI270" s="670"/>
      <c r="AJ270" s="585"/>
      <c r="AK270" s="585"/>
      <c r="AL270" s="585"/>
      <c r="AM270" s="585"/>
      <c r="AO270" s="585"/>
      <c r="AP270" s="672"/>
    </row>
    <row r="271" spans="1:52" ht="13.8" customHeight="1">
      <c r="A271" s="585"/>
      <c r="B271" s="631"/>
      <c r="C271" s="2049"/>
      <c r="D271" s="2049"/>
      <c r="E271" s="582"/>
      <c r="F271" s="1880"/>
      <c r="G271" s="1881"/>
      <c r="H271" s="1881"/>
      <c r="I271" s="1881"/>
      <c r="J271" s="1881"/>
      <c r="K271" s="1881"/>
      <c r="L271" s="1881"/>
      <c r="M271" s="1881"/>
      <c r="N271" s="1881"/>
      <c r="O271" s="1881"/>
      <c r="P271" s="1881"/>
      <c r="Q271" s="1881"/>
      <c r="R271" s="1881"/>
      <c r="S271" s="1881"/>
      <c r="T271" s="1881"/>
      <c r="U271" s="1881"/>
      <c r="V271" s="1881"/>
      <c r="W271" s="1881"/>
      <c r="X271" s="1881"/>
      <c r="Y271" s="1881"/>
      <c r="Z271" s="1881"/>
      <c r="AA271" s="1881"/>
      <c r="AB271" s="1881"/>
      <c r="AC271" s="1881"/>
      <c r="AD271" s="1882"/>
      <c r="AE271" s="585"/>
      <c r="AF271" s="670"/>
      <c r="AG271" s="2048"/>
      <c r="AH271" s="2048"/>
      <c r="AI271" s="2048"/>
      <c r="AJ271" s="2048"/>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9">
        <f>IF($C$267="yes",10,0)</f>
        <v>10</v>
      </c>
      <c r="AL274" s="2039"/>
      <c r="AM274" s="2040"/>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590" t="s">
        <v>1555</v>
      </c>
      <c r="B281" s="1590"/>
      <c r="C281" s="2016" t="s">
        <v>600</v>
      </c>
      <c r="D281" s="1923"/>
      <c r="E281" s="582"/>
      <c r="F281" s="2041" t="s">
        <v>1556</v>
      </c>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3"/>
      <c r="AE281" s="677"/>
      <c r="AF281" s="585"/>
      <c r="AG281" s="2044" t="s">
        <v>2414</v>
      </c>
      <c r="AH281" s="2044"/>
      <c r="AI281" s="2044"/>
      <c r="AJ281" s="2044"/>
      <c r="AK281" s="2044"/>
      <c r="AL281" s="585"/>
      <c r="AM281" s="585"/>
      <c r="AN281" s="73"/>
      <c r="AO281" s="14"/>
      <c r="AP281" s="30"/>
      <c r="AS281" s="605"/>
      <c r="AT281" s="605"/>
      <c r="AU281" s="605"/>
      <c r="AV281" s="32"/>
      <c r="AW281" s="32"/>
    </row>
    <row r="282" spans="1:49">
      <c r="A282" s="675"/>
      <c r="B282" s="631"/>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0" t="s">
        <v>2422</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0" t="s">
        <v>1557</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0" t="s">
        <v>1558</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203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590" t="s">
        <v>1559</v>
      </c>
      <c r="B291" s="1590"/>
      <c r="C291" s="1923" t="s">
        <v>600</v>
      </c>
      <c r="D291" s="1923"/>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3" t="s">
        <v>2416</v>
      </c>
      <c r="G292" s="2024"/>
      <c r="H292" s="2024"/>
      <c r="I292" s="2024"/>
      <c r="J292" s="2024"/>
      <c r="K292" s="2024"/>
      <c r="L292" s="2024"/>
      <c r="M292" s="2024"/>
      <c r="N292" s="2024"/>
      <c r="O292" s="2024"/>
      <c r="P292" s="2024"/>
      <c r="Q292" s="2024"/>
      <c r="R292" s="2024"/>
      <c r="S292" s="2024"/>
      <c r="T292" s="2024"/>
      <c r="U292" s="2024"/>
      <c r="V292" s="2024"/>
      <c r="W292" s="2024"/>
      <c r="X292" s="2024"/>
      <c r="Y292" s="2024"/>
      <c r="Z292" s="2024"/>
      <c r="AA292" s="2024"/>
      <c r="AB292" s="2024"/>
      <c r="AC292" s="2024"/>
      <c r="AD292" s="2025"/>
      <c r="AE292" s="586"/>
      <c r="AF292" s="586"/>
      <c r="AG292" s="586"/>
      <c r="AH292" s="586"/>
      <c r="AI292" s="586"/>
      <c r="AJ292" s="585"/>
      <c r="AK292" s="585"/>
      <c r="AL292" s="585"/>
      <c r="AM292" s="585"/>
      <c r="AR292" s="683"/>
    </row>
    <row r="293" spans="1:49" ht="15" customHeight="1">
      <c r="A293" s="585"/>
      <c r="B293" s="586"/>
      <c r="C293" s="585"/>
      <c r="D293" s="586"/>
      <c r="E293" s="585"/>
      <c r="F293" s="2023"/>
      <c r="G293" s="2024"/>
      <c r="H293" s="2024"/>
      <c r="I293" s="2024"/>
      <c r="J293" s="2024"/>
      <c r="K293" s="2024"/>
      <c r="L293" s="2024"/>
      <c r="M293" s="2024"/>
      <c r="N293" s="2024"/>
      <c r="O293" s="2024"/>
      <c r="P293" s="2024"/>
      <c r="Q293" s="2024"/>
      <c r="R293" s="2024"/>
      <c r="S293" s="2024"/>
      <c r="T293" s="2024"/>
      <c r="U293" s="2024"/>
      <c r="V293" s="2024"/>
      <c r="W293" s="2024"/>
      <c r="X293" s="2024"/>
      <c r="Y293" s="2024"/>
      <c r="Z293" s="2024"/>
      <c r="AA293" s="2024"/>
      <c r="AB293" s="2024"/>
      <c r="AC293" s="2024"/>
      <c r="AD293" s="2025"/>
      <c r="AE293" s="586"/>
      <c r="AF293" s="586"/>
      <c r="AG293" s="586"/>
      <c r="AH293" s="586"/>
      <c r="AI293" s="586"/>
      <c r="AJ293" s="585"/>
      <c r="AK293" s="585"/>
      <c r="AL293" s="585"/>
      <c r="AM293" s="585"/>
      <c r="AR293" s="683"/>
    </row>
    <row r="294" spans="1:49">
      <c r="A294" s="585"/>
      <c r="B294" s="586"/>
      <c r="C294" s="585"/>
      <c r="D294" s="586"/>
      <c r="E294" s="585"/>
      <c r="F294" s="2023"/>
      <c r="G294" s="2024"/>
      <c r="H294" s="2024"/>
      <c r="I294" s="2024"/>
      <c r="J294" s="2024"/>
      <c r="K294" s="2024"/>
      <c r="L294" s="2024"/>
      <c r="M294" s="2024"/>
      <c r="N294" s="2024"/>
      <c r="O294" s="2024"/>
      <c r="P294" s="2024"/>
      <c r="Q294" s="2024"/>
      <c r="R294" s="2024"/>
      <c r="S294" s="2024"/>
      <c r="T294" s="2024"/>
      <c r="U294" s="2024"/>
      <c r="V294" s="2024"/>
      <c r="W294" s="2024"/>
      <c r="X294" s="2024"/>
      <c r="Y294" s="2024"/>
      <c r="Z294" s="2024"/>
      <c r="AA294" s="2024"/>
      <c r="AB294" s="2024"/>
      <c r="AC294" s="2024"/>
      <c r="AD294" s="202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5"/>
      <c r="G295" s="2046"/>
      <c r="H295" s="2046"/>
      <c r="I295" s="2046"/>
      <c r="J295" s="2046"/>
      <c r="K295" s="2046"/>
      <c r="L295" s="2046"/>
      <c r="M295" s="2046"/>
      <c r="N295" s="2046"/>
      <c r="O295" s="2046"/>
      <c r="P295" s="2046"/>
      <c r="Q295" s="2046"/>
      <c r="R295" s="2046"/>
      <c r="S295" s="2046"/>
      <c r="T295" s="2046"/>
      <c r="U295" s="2046"/>
      <c r="V295" s="2046"/>
      <c r="W295" s="2046"/>
      <c r="X295" s="2046"/>
      <c r="Y295" s="2046"/>
      <c r="Z295" s="2046"/>
      <c r="AA295" s="2046"/>
      <c r="AB295" s="2046"/>
      <c r="AC295" s="2046"/>
      <c r="AD295" s="204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590" t="s">
        <v>1562</v>
      </c>
      <c r="B299" s="1590"/>
      <c r="C299" s="1923" t="s">
        <v>600</v>
      </c>
      <c r="D299" s="1923"/>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0" t="s">
        <v>2423</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586"/>
      <c r="AF300" s="586"/>
      <c r="AG300" s="574"/>
      <c r="AH300" s="586"/>
      <c r="AI300" s="586"/>
      <c r="AJ300" s="585"/>
      <c r="AK300" s="585"/>
      <c r="AL300" s="585"/>
      <c r="AM300" s="585"/>
      <c r="AN300" s="73"/>
      <c r="AO300" s="14"/>
      <c r="AP300" s="592" t="s">
        <v>1327</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6" t="s">
        <v>1327</v>
      </c>
      <c r="G305" s="2027"/>
      <c r="H305" s="2027"/>
      <c r="I305" s="2027"/>
      <c r="J305" s="2027"/>
      <c r="K305" s="2027"/>
      <c r="L305" s="2027"/>
      <c r="M305" s="2027"/>
      <c r="N305" s="2027"/>
      <c r="O305" s="2027"/>
      <c r="P305" s="2027"/>
      <c r="Q305" s="2027"/>
      <c r="R305" s="2027"/>
      <c r="S305" s="2027"/>
      <c r="T305" s="2027"/>
      <c r="U305" s="2027"/>
      <c r="V305" s="2027"/>
      <c r="W305" s="2027"/>
      <c r="X305" s="2027"/>
      <c r="Y305" s="2027"/>
      <c r="Z305" s="2027"/>
      <c r="AA305" s="2027"/>
      <c r="AB305" s="2027"/>
      <c r="AC305" s="2027"/>
      <c r="AD305" s="2028"/>
      <c r="AE305" s="677"/>
      <c r="AF305" s="677"/>
      <c r="AG305" s="677"/>
      <c r="AH305" s="677"/>
      <c r="AI305" s="677"/>
      <c r="AJ305" s="677"/>
      <c r="AK305" s="677"/>
      <c r="AL305" s="585"/>
      <c r="AM305" s="585"/>
      <c r="AN305" s="73"/>
      <c r="AO305" s="14"/>
      <c r="AP305" s="30"/>
    </row>
    <row r="306" spans="1:42" hidden="1">
      <c r="A306" s="585"/>
      <c r="B306" s="586"/>
      <c r="C306" s="765"/>
      <c r="D306" s="765"/>
      <c r="E306" s="582"/>
      <c r="F306" s="2026"/>
      <c r="G306" s="2027"/>
      <c r="H306" s="2027"/>
      <c r="I306" s="2027"/>
      <c r="J306" s="2027"/>
      <c r="K306" s="2027"/>
      <c r="L306" s="2027"/>
      <c r="M306" s="2027"/>
      <c r="N306" s="2027"/>
      <c r="O306" s="2027"/>
      <c r="P306" s="2027"/>
      <c r="Q306" s="2027"/>
      <c r="R306" s="2027"/>
      <c r="S306" s="2027"/>
      <c r="T306" s="2027"/>
      <c r="U306" s="2027"/>
      <c r="V306" s="2027"/>
      <c r="W306" s="2027"/>
      <c r="X306" s="2027"/>
      <c r="Y306" s="2027"/>
      <c r="Z306" s="2027"/>
      <c r="AA306" s="2027"/>
      <c r="AB306" s="2027"/>
      <c r="AC306" s="2027"/>
      <c r="AD306" s="2028"/>
      <c r="AE306" s="586"/>
      <c r="AF306" s="586"/>
      <c r="AG306" s="574"/>
      <c r="AH306" s="586"/>
      <c r="AI306" s="586"/>
      <c r="AJ306" s="585"/>
      <c r="AK306" s="585"/>
      <c r="AL306" s="585"/>
      <c r="AM306" s="585"/>
      <c r="AN306" s="73"/>
      <c r="AO306" s="14"/>
      <c r="AP306" s="30"/>
    </row>
    <row r="307" spans="1:42" hidden="1">
      <c r="A307" s="585"/>
      <c r="B307" s="586"/>
      <c r="C307" s="765"/>
      <c r="D307" s="765"/>
      <c r="E307" s="582"/>
      <c r="F307" s="2026"/>
      <c r="G307" s="2027"/>
      <c r="H307" s="2027"/>
      <c r="I307" s="2027"/>
      <c r="J307" s="2027"/>
      <c r="K307" s="2027"/>
      <c r="L307" s="2027"/>
      <c r="M307" s="2027"/>
      <c r="N307" s="2027"/>
      <c r="O307" s="2027"/>
      <c r="P307" s="2027"/>
      <c r="Q307" s="2027"/>
      <c r="R307" s="2027"/>
      <c r="S307" s="2027"/>
      <c r="T307" s="2027"/>
      <c r="U307" s="2027"/>
      <c r="V307" s="2027"/>
      <c r="W307" s="2027"/>
      <c r="X307" s="2027"/>
      <c r="Y307" s="2027"/>
      <c r="Z307" s="2027"/>
      <c r="AA307" s="2027"/>
      <c r="AB307" s="2027"/>
      <c r="AC307" s="2027"/>
      <c r="AD307" s="2028"/>
      <c r="AE307" s="586"/>
      <c r="AF307" s="586"/>
      <c r="AG307" s="574"/>
      <c r="AH307" s="586"/>
      <c r="AI307" s="586"/>
      <c r="AJ307" s="585"/>
      <c r="AK307" s="585"/>
      <c r="AL307" s="585"/>
      <c r="AM307" s="585"/>
      <c r="AN307" s="73"/>
      <c r="AO307" s="14"/>
      <c r="AP307" s="30"/>
    </row>
    <row r="308" spans="1:42" hidden="1">
      <c r="A308" s="585"/>
      <c r="B308" s="586"/>
      <c r="C308" s="765"/>
      <c r="D308" s="765"/>
      <c r="E308" s="582"/>
      <c r="F308" s="2026"/>
      <c r="G308" s="2027"/>
      <c r="H308" s="2027"/>
      <c r="I308" s="2027"/>
      <c r="J308" s="2027"/>
      <c r="K308" s="2027"/>
      <c r="L308" s="2027"/>
      <c r="M308" s="2027"/>
      <c r="N308" s="2027"/>
      <c r="O308" s="2027"/>
      <c r="P308" s="2027"/>
      <c r="Q308" s="2027"/>
      <c r="R308" s="2027"/>
      <c r="S308" s="2027"/>
      <c r="T308" s="2027"/>
      <c r="U308" s="2027"/>
      <c r="V308" s="2027"/>
      <c r="W308" s="2027"/>
      <c r="X308" s="2027"/>
      <c r="Y308" s="2027"/>
      <c r="Z308" s="2027"/>
      <c r="AA308" s="2027"/>
      <c r="AB308" s="2027"/>
      <c r="AC308" s="2027"/>
      <c r="AD308" s="2028"/>
      <c r="AE308" s="586"/>
      <c r="AF308" s="586"/>
      <c r="AG308" s="574"/>
      <c r="AH308" s="586"/>
      <c r="AI308" s="586"/>
      <c r="AJ308" s="585"/>
      <c r="AK308" s="585"/>
      <c r="AL308" s="585"/>
      <c r="AM308" s="585"/>
      <c r="AN308" s="73"/>
      <c r="AO308" s="14"/>
      <c r="AP308" s="30"/>
    </row>
    <row r="309" spans="1:42" hidden="1">
      <c r="A309" s="585"/>
      <c r="B309" s="586"/>
      <c r="C309" s="765"/>
      <c r="D309" s="765"/>
      <c r="E309" s="582"/>
      <c r="F309" s="2029"/>
      <c r="G309" s="2030"/>
      <c r="H309" s="2030"/>
      <c r="I309" s="2030"/>
      <c r="J309" s="2030"/>
      <c r="K309" s="2030"/>
      <c r="L309" s="2030"/>
      <c r="M309" s="2030"/>
      <c r="N309" s="2030"/>
      <c r="O309" s="2030"/>
      <c r="P309" s="2030"/>
      <c r="Q309" s="2030"/>
      <c r="R309" s="2030"/>
      <c r="S309" s="2030"/>
      <c r="T309" s="2030"/>
      <c r="U309" s="2030"/>
      <c r="V309" s="2030"/>
      <c r="W309" s="2030"/>
      <c r="X309" s="2030"/>
      <c r="Y309" s="2030"/>
      <c r="Z309" s="2030"/>
      <c r="AA309" s="2030"/>
      <c r="AB309" s="2030"/>
      <c r="AC309" s="2030"/>
      <c r="AD309" s="203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2" t="s">
        <v>1327</v>
      </c>
      <c r="J313" s="2032"/>
      <c r="K313" s="2032"/>
      <c r="L313" s="2032"/>
      <c r="M313" s="2032"/>
      <c r="N313" s="2032"/>
      <c r="O313" s="2032"/>
      <c r="P313" s="2032"/>
      <c r="Q313" s="2032"/>
      <c r="R313" s="2032"/>
      <c r="S313" s="2032"/>
      <c r="T313" s="2032"/>
      <c r="U313" s="2032"/>
      <c r="V313" s="2032"/>
      <c r="W313" s="2032"/>
      <c r="X313" s="2032"/>
      <c r="Y313" s="2032"/>
      <c r="Z313" s="2032"/>
      <c r="AA313" s="2032"/>
      <c r="AB313" s="2032"/>
      <c r="AC313" s="2032"/>
      <c r="AD313" s="2033"/>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2"/>
      <c r="J314" s="2032"/>
      <c r="K314" s="2032"/>
      <c r="L314" s="2032"/>
      <c r="M314" s="2032"/>
      <c r="N314" s="2032"/>
      <c r="O314" s="2032"/>
      <c r="P314" s="2032"/>
      <c r="Q314" s="2032"/>
      <c r="R314" s="2032"/>
      <c r="S314" s="2032"/>
      <c r="T314" s="2032"/>
      <c r="U314" s="2032"/>
      <c r="V314" s="2032"/>
      <c r="W314" s="2032"/>
      <c r="X314" s="2032"/>
      <c r="Y314" s="2032"/>
      <c r="Z314" s="2032"/>
      <c r="AA314" s="2032"/>
      <c r="AB314" s="2032"/>
      <c r="AC314" s="2032"/>
      <c r="AD314" s="2033"/>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2"/>
      <c r="J315" s="2032"/>
      <c r="K315" s="2032"/>
      <c r="L315" s="2032"/>
      <c r="M315" s="2032"/>
      <c r="N315" s="2032"/>
      <c r="O315" s="2032"/>
      <c r="P315" s="2032"/>
      <c r="Q315" s="2032"/>
      <c r="R315" s="2032"/>
      <c r="S315" s="2032"/>
      <c r="T315" s="2032"/>
      <c r="U315" s="2032"/>
      <c r="V315" s="2032"/>
      <c r="W315" s="2032"/>
      <c r="X315" s="2032"/>
      <c r="Y315" s="2032"/>
      <c r="Z315" s="2032"/>
      <c r="AA315" s="2032"/>
      <c r="AB315" s="2032"/>
      <c r="AC315" s="2032"/>
      <c r="AD315" s="2033"/>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4"/>
      <c r="J316" s="2034"/>
      <c r="K316" s="2034"/>
      <c r="L316" s="2034"/>
      <c r="M316" s="2034"/>
      <c r="N316" s="2034"/>
      <c r="O316" s="2034"/>
      <c r="P316" s="2034"/>
      <c r="Q316" s="2034"/>
      <c r="R316" s="2034"/>
      <c r="S316" s="2034"/>
      <c r="T316" s="2034"/>
      <c r="U316" s="2034"/>
      <c r="V316" s="2034"/>
      <c r="W316" s="2034"/>
      <c r="X316" s="2034"/>
      <c r="Y316" s="2034"/>
      <c r="Z316" s="2034"/>
      <c r="AA316" s="2034"/>
      <c r="AB316" s="2034"/>
      <c r="AC316" s="2034"/>
      <c r="AD316" s="2035"/>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2" t="s">
        <v>1327</v>
      </c>
      <c r="J318" s="2032"/>
      <c r="K318" s="2032"/>
      <c r="L318" s="2032"/>
      <c r="M318" s="2032"/>
      <c r="N318" s="2032"/>
      <c r="O318" s="2032"/>
      <c r="P318" s="2032"/>
      <c r="Q318" s="2032"/>
      <c r="R318" s="2032"/>
      <c r="S318" s="2032"/>
      <c r="T318" s="2032"/>
      <c r="U318" s="2032"/>
      <c r="V318" s="2032"/>
      <c r="W318" s="2032"/>
      <c r="X318" s="2032"/>
      <c r="Y318" s="2032"/>
      <c r="Z318" s="2032"/>
      <c r="AA318" s="2032"/>
      <c r="AB318" s="2032"/>
      <c r="AC318" s="2032"/>
      <c r="AD318" s="203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2"/>
      <c r="J319" s="2032"/>
      <c r="K319" s="2032"/>
      <c r="L319" s="2032"/>
      <c r="M319" s="2032"/>
      <c r="N319" s="2032"/>
      <c r="O319" s="2032"/>
      <c r="P319" s="2032"/>
      <c r="Q319" s="2032"/>
      <c r="R319" s="2032"/>
      <c r="S319" s="2032"/>
      <c r="T319" s="2032"/>
      <c r="U319" s="2032"/>
      <c r="V319" s="2032"/>
      <c r="W319" s="2032"/>
      <c r="X319" s="2032"/>
      <c r="Y319" s="2032"/>
      <c r="Z319" s="2032"/>
      <c r="AA319" s="2032"/>
      <c r="AB319" s="2032"/>
      <c r="AC319" s="2032"/>
      <c r="AD319" s="2033"/>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4"/>
      <c r="J320" s="2034"/>
      <c r="K320" s="2034"/>
      <c r="L320" s="2034"/>
      <c r="M320" s="2034"/>
      <c r="N320" s="2034"/>
      <c r="O320" s="2034"/>
      <c r="P320" s="2034"/>
      <c r="Q320" s="2034"/>
      <c r="R320" s="2034"/>
      <c r="S320" s="2034"/>
      <c r="T320" s="2034"/>
      <c r="U320" s="2034"/>
      <c r="V320" s="2034"/>
      <c r="W320" s="2034"/>
      <c r="X320" s="2034"/>
      <c r="Y320" s="2034"/>
      <c r="Z320" s="2034"/>
      <c r="AA320" s="2034"/>
      <c r="AB320" s="2034"/>
      <c r="AC320" s="2034"/>
      <c r="AD320" s="2035"/>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590" t="s">
        <v>1565</v>
      </c>
      <c r="B322" s="1590"/>
      <c r="C322" s="1923" t="s">
        <v>600</v>
      </c>
      <c r="D322" s="1923"/>
      <c r="E322" s="582"/>
      <c r="F322" s="2020" t="s">
        <v>2424</v>
      </c>
      <c r="G322" s="2021"/>
      <c r="H322" s="2021"/>
      <c r="I322" s="2021"/>
      <c r="J322" s="2021"/>
      <c r="K322" s="2021"/>
      <c r="L322" s="2021"/>
      <c r="M322" s="2021"/>
      <c r="N322" s="2021"/>
      <c r="O322" s="2021"/>
      <c r="P322" s="2021"/>
      <c r="Q322" s="2021"/>
      <c r="R322" s="2021"/>
      <c r="S322" s="2021"/>
      <c r="T322" s="2021"/>
      <c r="U322" s="2021"/>
      <c r="V322" s="2021"/>
      <c r="W322" s="2021"/>
      <c r="X322" s="2021"/>
      <c r="Y322" s="2021"/>
      <c r="Z322" s="2021"/>
      <c r="AA322" s="2021"/>
      <c r="AB322" s="2021"/>
      <c r="AC322" s="2021"/>
      <c r="AD322" s="2022"/>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3"/>
      <c r="G323" s="2024"/>
      <c r="H323" s="2024"/>
      <c r="I323" s="2024"/>
      <c r="J323" s="2024"/>
      <c r="K323" s="2024"/>
      <c r="L323" s="2024"/>
      <c r="M323" s="2024"/>
      <c r="N323" s="2024"/>
      <c r="O323" s="2024"/>
      <c r="P323" s="2024"/>
      <c r="Q323" s="2024"/>
      <c r="R323" s="2024"/>
      <c r="S323" s="2024"/>
      <c r="T323" s="2024"/>
      <c r="U323" s="2024"/>
      <c r="V323" s="2024"/>
      <c r="W323" s="2024"/>
      <c r="X323" s="2024"/>
      <c r="Y323" s="2024"/>
      <c r="Z323" s="2024"/>
      <c r="AA323" s="2024"/>
      <c r="AB323" s="2024"/>
      <c r="AC323" s="2024"/>
      <c r="AD323" s="2025"/>
      <c r="AE323" s="586"/>
      <c r="AF323" s="586"/>
      <c r="AG323" s="586"/>
      <c r="AH323" s="586"/>
      <c r="AI323" s="586"/>
      <c r="AJ323" s="585"/>
      <c r="AK323" s="585"/>
      <c r="AL323" s="585"/>
      <c r="AM323" s="585"/>
      <c r="AN323" s="73"/>
      <c r="AO323" s="14"/>
    </row>
    <row r="324" spans="1:44" ht="15" hidden="1" customHeight="1">
      <c r="A324" s="585"/>
      <c r="B324" s="586"/>
      <c r="C324" s="586"/>
      <c r="D324" s="586"/>
      <c r="E324" s="586"/>
      <c r="F324" s="2023"/>
      <c r="G324" s="2024"/>
      <c r="H324" s="2024"/>
      <c r="I324" s="2024"/>
      <c r="J324" s="2024"/>
      <c r="K324" s="2024"/>
      <c r="L324" s="2024"/>
      <c r="M324" s="2024"/>
      <c r="N324" s="2024"/>
      <c r="O324" s="2024"/>
      <c r="P324" s="2024"/>
      <c r="Q324" s="2024"/>
      <c r="R324" s="2024"/>
      <c r="S324" s="2024"/>
      <c r="T324" s="2024"/>
      <c r="U324" s="2024"/>
      <c r="V324" s="2024"/>
      <c r="W324" s="2024"/>
      <c r="X324" s="2024"/>
      <c r="Y324" s="2024"/>
      <c r="Z324" s="2024"/>
      <c r="AA324" s="2024"/>
      <c r="AB324" s="2024"/>
      <c r="AC324" s="2024"/>
      <c r="AD324" s="2025"/>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8">
        <f>IF(NOT(OR(Application!M354="Yes",Application!M355="Yes")),0,AP284)</f>
        <v>0</v>
      </c>
      <c r="AL327" s="1909"/>
      <c r="AM327" s="191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4" t="s">
        <v>1487</v>
      </c>
      <c r="AF330" s="1914"/>
      <c r="AG330" s="1914"/>
      <c r="AH330" s="1914"/>
      <c r="AI330" s="1914"/>
      <c r="AJ330" s="1914"/>
      <c r="AK330" s="191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8" t="s">
        <v>1627</v>
      </c>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c r="AF332" s="1918"/>
      <c r="AG332" s="1918"/>
      <c r="AH332" s="1918"/>
      <c r="AI332" s="1918"/>
      <c r="AJ332" s="1918"/>
      <c r="AK332" s="638"/>
      <c r="AL332" s="638"/>
      <c r="AM332" s="638"/>
      <c r="AN332" s="632"/>
    </row>
    <row r="333" spans="1:44" s="585" customFormat="1" ht="12.75" customHeight="1">
      <c r="A333" s="638"/>
      <c r="B333" s="646"/>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c r="AF333" s="1918"/>
      <c r="AG333" s="1918"/>
      <c r="AH333" s="1918"/>
      <c r="AI333" s="1918"/>
      <c r="AJ333" s="1918"/>
      <c r="AK333" s="638"/>
      <c r="AL333" s="638"/>
      <c r="AM333" s="638"/>
      <c r="AN333" s="632"/>
    </row>
    <row r="334" spans="1:44" s="585" customFormat="1" ht="12.75" customHeight="1">
      <c r="A334" s="638"/>
      <c r="B334" s="646"/>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c r="AF334" s="1918"/>
      <c r="AG334" s="1918"/>
      <c r="AH334" s="1918"/>
      <c r="AI334" s="1918"/>
      <c r="AJ334" s="1918"/>
      <c r="AK334" s="638"/>
      <c r="AL334" s="638"/>
      <c r="AM334" s="638"/>
      <c r="AN334" s="632"/>
      <c r="AQ334" s="605"/>
    </row>
    <row r="335" spans="1:44" s="585" customFormat="1" ht="12.75" customHeight="1">
      <c r="A335" s="638"/>
      <c r="B335" s="646"/>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c r="AF335" s="1918"/>
      <c r="AG335" s="1918"/>
      <c r="AH335" s="1918"/>
      <c r="AI335" s="1918"/>
      <c r="AJ335" s="1918"/>
      <c r="AK335" s="638"/>
      <c r="AL335" s="638"/>
      <c r="AM335" s="638"/>
      <c r="AN335" s="632"/>
      <c r="AQ335" s="605"/>
    </row>
    <row r="336" spans="1:44" s="585" customFormat="1" ht="12.45" customHeight="1">
      <c r="A336" s="638"/>
      <c r="B336" s="646"/>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c r="AF336" s="1918"/>
      <c r="AG336" s="1918"/>
      <c r="AH336" s="1918"/>
      <c r="AI336" s="1918"/>
      <c r="AJ336" s="1918"/>
      <c r="AK336" s="638"/>
      <c r="AL336" s="638"/>
      <c r="AM336" s="638"/>
      <c r="AN336" s="632"/>
      <c r="AQ336" s="605"/>
      <c r="AR336" s="605"/>
    </row>
    <row r="337" spans="1:46" s="585" customFormat="1" ht="45.75" customHeight="1">
      <c r="A337" s="638"/>
      <c r="B337" s="646"/>
      <c r="C337" s="1918" t="s">
        <v>2511</v>
      </c>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c r="AF337" s="1918"/>
      <c r="AG337" s="1918"/>
      <c r="AH337" s="1918"/>
      <c r="AI337" s="1918"/>
      <c r="AJ337" s="1918"/>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8" t="s">
        <v>2128</v>
      </c>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c r="AF339" s="1918"/>
      <c r="AG339" s="1918"/>
      <c r="AH339" s="1918"/>
      <c r="AI339" s="1918"/>
      <c r="AJ339" s="1918"/>
      <c r="AK339" s="638"/>
      <c r="AL339" s="638"/>
      <c r="AM339" s="638"/>
      <c r="AN339" s="632"/>
      <c r="AQ339" s="605"/>
      <c r="AR339" s="605"/>
    </row>
    <row r="340" spans="1:46" s="585" customFormat="1" ht="30" customHeight="1">
      <c r="A340" s="638"/>
      <c r="B340" s="646"/>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c r="AF340" s="1918"/>
      <c r="AG340" s="1918"/>
      <c r="AH340" s="1918"/>
      <c r="AI340" s="1918"/>
      <c r="AJ340" s="1918"/>
      <c r="AK340" s="638"/>
      <c r="AL340" s="638"/>
      <c r="AM340" s="638"/>
      <c r="AN340" s="632"/>
      <c r="AR340" s="605"/>
    </row>
    <row r="341" spans="1:46" s="585" customFormat="1" ht="12.75" customHeight="1">
      <c r="A341" s="638"/>
      <c r="B341" s="646"/>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c r="AF341" s="1918"/>
      <c r="AG341" s="1918"/>
      <c r="AH341" s="1918"/>
      <c r="AI341" s="1918"/>
      <c r="AJ341" s="1918"/>
      <c r="AK341" s="638"/>
      <c r="AL341" s="638"/>
      <c r="AM341" s="638"/>
      <c r="AN341" s="632"/>
      <c r="AR341" s="605"/>
    </row>
    <row r="342" spans="1:46" s="585" customFormat="1" ht="12.75" customHeight="1">
      <c r="A342" s="638"/>
      <c r="B342" s="646"/>
      <c r="C342" s="1918" t="s">
        <v>1628</v>
      </c>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c r="AF342" s="1918"/>
      <c r="AG342" s="1918"/>
      <c r="AH342" s="1918"/>
      <c r="AI342" s="1918"/>
      <c r="AJ342" s="1918"/>
      <c r="AK342" s="638"/>
      <c r="AL342" s="638"/>
      <c r="AM342" s="638"/>
      <c r="AN342" s="632"/>
      <c r="AQ342" s="605"/>
      <c r="AR342" s="605"/>
    </row>
    <row r="343" spans="1:46" s="585" customFormat="1" ht="12.75" customHeight="1">
      <c r="A343" s="638"/>
      <c r="B343" s="646"/>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c r="AF343" s="1918"/>
      <c r="AG343" s="1918"/>
      <c r="AH343" s="1918"/>
      <c r="AI343" s="1918"/>
      <c r="AJ343" s="1918"/>
      <c r="AK343" s="638"/>
      <c r="AL343" s="638"/>
      <c r="AM343" s="638"/>
      <c r="AN343" s="632"/>
      <c r="AQ343" s="605"/>
      <c r="AR343" s="605"/>
    </row>
    <row r="344" spans="1:46" s="585" customFormat="1" ht="13.2" customHeight="1">
      <c r="A344" s="638"/>
      <c r="B344" s="646"/>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c r="AF344" s="1918"/>
      <c r="AG344" s="1918"/>
      <c r="AH344" s="1918"/>
      <c r="AI344" s="1918"/>
      <c r="AJ344" s="1918"/>
      <c r="AK344" s="638"/>
      <c r="AL344" s="638"/>
      <c r="AM344" s="638"/>
      <c r="AN344" s="632"/>
      <c r="AQ344" s="605"/>
      <c r="AR344" s="605"/>
    </row>
    <row r="345" spans="1:46" s="585" customFormat="1" ht="12.75" customHeight="1">
      <c r="A345" s="638"/>
      <c r="B345" s="646"/>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c r="AF345" s="1918"/>
      <c r="AG345" s="1918"/>
      <c r="AH345" s="1918"/>
      <c r="AI345" s="1918"/>
      <c r="AJ345" s="1918"/>
      <c r="AK345" s="638"/>
      <c r="AL345" s="638"/>
      <c r="AM345" s="638"/>
      <c r="AN345" s="632"/>
      <c r="AO345" s="729"/>
      <c r="AP345" s="729"/>
      <c r="AQ345" s="605"/>
    </row>
    <row r="346" spans="1:46" s="585" customFormat="1" ht="11.7" customHeight="1">
      <c r="A346" s="638"/>
      <c r="B346" s="646"/>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c r="AF346" s="1918"/>
      <c r="AG346" s="1918"/>
      <c r="AH346" s="1918"/>
      <c r="AI346" s="1918"/>
      <c r="AJ346" s="1918"/>
      <c r="AK346" s="638"/>
      <c r="AL346" s="638"/>
      <c r="AM346" s="638"/>
      <c r="AN346" s="632"/>
      <c r="AO346" s="730" t="s">
        <v>113</v>
      </c>
      <c r="AP346" s="731">
        <f>IF(C370="Yes",5,0)</f>
        <v>5</v>
      </c>
      <c r="AS346" s="574" t="s">
        <v>1629</v>
      </c>
    </row>
    <row r="347" spans="1:46" s="585" customFormat="1" ht="12.75" customHeight="1">
      <c r="A347" s="638"/>
      <c r="B347" s="646"/>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c r="AF347" s="1918"/>
      <c r="AG347" s="1918"/>
      <c r="AH347" s="1918"/>
      <c r="AI347" s="1918"/>
      <c r="AJ347" s="1918"/>
      <c r="AK347" s="638"/>
      <c r="AL347" s="638"/>
      <c r="AM347" s="638"/>
      <c r="AN347" s="632"/>
      <c r="AO347" s="730" t="s">
        <v>114</v>
      </c>
      <c r="AP347" s="731">
        <f>IF(C378="Yes",5,0)</f>
        <v>0</v>
      </c>
      <c r="AS347" s="1883">
        <f>IF(Application!D210="Non-Targeted",(SUM(AQ355+AQ364)),AS351)</f>
        <v>10</v>
      </c>
      <c r="AT347" s="1883"/>
    </row>
    <row r="348" spans="1:46" s="585" customFormat="1" ht="12.75" customHeight="1">
      <c r="A348" s="638"/>
      <c r="B348" s="646"/>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c r="AF348" s="1918"/>
      <c r="AG348" s="1918"/>
      <c r="AH348" s="1918"/>
      <c r="AI348" s="1918"/>
      <c r="AJ348" s="1918"/>
      <c r="AK348" s="638"/>
      <c r="AL348" s="638"/>
      <c r="AM348" s="638"/>
      <c r="AN348" s="632"/>
      <c r="AO348" s="730" t="s">
        <v>120</v>
      </c>
      <c r="AP348" s="731">
        <f>IF(C386="Yes",7,0)</f>
        <v>0</v>
      </c>
      <c r="AS348" s="574" t="s">
        <v>1630</v>
      </c>
    </row>
    <row r="349" spans="1:46" s="585" customFormat="1" ht="12.75" customHeight="1">
      <c r="A349" s="638"/>
      <c r="B349" s="646"/>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c r="AF349" s="1918"/>
      <c r="AG349" s="1918"/>
      <c r="AH349" s="1918"/>
      <c r="AI349" s="1918"/>
      <c r="AJ349" s="1918"/>
      <c r="AK349" s="638"/>
      <c r="AL349" s="638"/>
      <c r="AM349" s="638"/>
      <c r="AN349" s="632"/>
      <c r="AO349" s="632"/>
      <c r="AP349" s="731">
        <f>IF(C388="Yes",5,0)</f>
        <v>5</v>
      </c>
      <c r="AS349" s="1883">
        <f>IF(AND(AQ355&gt;0,AQ364&gt;0),(AQ355+AQ364)/2,0)</f>
        <v>0</v>
      </c>
      <c r="AT349" s="1883"/>
    </row>
    <row r="350" spans="1:46" s="585" customFormat="1" ht="12.75" customHeight="1">
      <c r="A350" s="638"/>
      <c r="B350" s="646"/>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c r="AF350" s="1918"/>
      <c r="AG350" s="1918"/>
      <c r="AH350" s="1918"/>
      <c r="AI350" s="1918"/>
      <c r="AJ350" s="1918"/>
      <c r="AK350" s="638"/>
      <c r="AL350" s="638"/>
      <c r="AM350" s="638"/>
      <c r="AN350" s="632"/>
      <c r="AO350" s="730" t="s">
        <v>590</v>
      </c>
      <c r="AP350" s="731">
        <f>IF(C396="Yes",5,0)</f>
        <v>0</v>
      </c>
      <c r="AS350" s="574" t="s">
        <v>2145</v>
      </c>
    </row>
    <row r="351" spans="1:46" s="585" customFormat="1" ht="12.75" customHeight="1">
      <c r="A351" s="638"/>
      <c r="B351" s="646"/>
      <c r="C351" s="2012" t="s">
        <v>1631</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0</v>
      </c>
      <c r="AS351" s="1883">
        <f>IF(AQ355=0,AQ364,AQ355)</f>
        <v>10</v>
      </c>
      <c r="AT351" s="1883"/>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1.7"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4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228</v>
      </c>
      <c r="AP355" s="735">
        <f>SUM(AP346:AP354)</f>
        <v>10</v>
      </c>
      <c r="AQ355" s="1921">
        <f>IF(AP355&gt;0,AP355,0)</f>
        <v>10</v>
      </c>
      <c r="AR355" s="1921"/>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8" t="s">
        <v>1632</v>
      </c>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c r="AF358" s="1918"/>
      <c r="AG358" s="1918"/>
      <c r="AH358" s="1918"/>
      <c r="AI358" s="1918"/>
      <c r="AJ358" s="1918"/>
      <c r="AK358" s="638"/>
      <c r="AL358" s="638"/>
      <c r="AM358" s="638"/>
      <c r="AN358" s="632"/>
      <c r="AO358" s="730" t="s">
        <v>465</v>
      </c>
      <c r="AP358" s="731">
        <f>IF(C431="Yes",5,0)</f>
        <v>0</v>
      </c>
    </row>
    <row r="359" spans="1:81" s="585" customFormat="1" ht="12.75" customHeight="1">
      <c r="A359" s="638"/>
      <c r="B359" s="646"/>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c r="AF359" s="1918"/>
      <c r="AG359" s="1918"/>
      <c r="AH359" s="1918"/>
      <c r="AI359" s="1918"/>
      <c r="AJ359" s="1918"/>
      <c r="AK359" s="638"/>
      <c r="AL359" s="638"/>
      <c r="AM359" s="638"/>
      <c r="AN359" s="632"/>
      <c r="AO359" s="730" t="s">
        <v>470</v>
      </c>
      <c r="AP359" s="731">
        <f>IF(C438="Yes",5,0)</f>
        <v>0</v>
      </c>
    </row>
    <row r="360" spans="1:81" s="585" customFormat="1" ht="67.95" customHeight="1">
      <c r="A360" s="638"/>
      <c r="B360" s="646"/>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c r="AF360" s="1918"/>
      <c r="AG360" s="1918"/>
      <c r="AH360" s="1918"/>
      <c r="AI360" s="1918"/>
      <c r="AJ360" s="1918"/>
      <c r="AK360" s="638"/>
      <c r="AL360" s="638"/>
      <c r="AM360" s="638"/>
      <c r="AN360" s="632"/>
      <c r="AO360" s="730" t="s">
        <v>655</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9">
        <f>Application!CS649-U363</f>
        <v>204</v>
      </c>
      <c r="V362" s="1919"/>
      <c r="W362" s="191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0">
        <f>Application!AG742</f>
        <v>0</v>
      </c>
      <c r="V363" s="1920"/>
      <c r="W363" s="192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21">
        <f>IF(AP364&gt;0,AP364,0)</f>
        <v>0</v>
      </c>
      <c r="AR364" s="1921"/>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2" t="s">
        <v>1637</v>
      </c>
      <c r="G366" s="1912"/>
      <c r="H366" s="1912"/>
      <c r="I366" s="1912"/>
      <c r="J366" s="1912"/>
      <c r="K366" s="1912"/>
      <c r="L366" s="1912"/>
      <c r="M366" s="1912"/>
      <c r="N366" s="1912"/>
      <c r="O366" s="1912"/>
      <c r="P366" s="1912"/>
      <c r="Q366" s="1912"/>
      <c r="R366" s="1912"/>
      <c r="S366" s="1912"/>
      <c r="T366" s="1912"/>
      <c r="U366" s="1912"/>
      <c r="V366" s="1912"/>
      <c r="W366" s="1912"/>
      <c r="X366" s="1912"/>
      <c r="Y366" s="1912"/>
      <c r="Z366" s="1912"/>
      <c r="AA366" s="1912"/>
      <c r="AB366" s="1912"/>
      <c r="AC366" s="1912"/>
      <c r="AD366" s="1912"/>
      <c r="AE366" s="1912"/>
      <c r="AF366" s="191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3"/>
      <c r="G367" s="1913"/>
      <c r="H367" s="1913"/>
      <c r="I367" s="1913"/>
      <c r="J367" s="1913"/>
      <c r="K367" s="1913"/>
      <c r="L367" s="1913"/>
      <c r="M367" s="1913"/>
      <c r="N367" s="1913"/>
      <c r="O367" s="1913"/>
      <c r="P367" s="1913"/>
      <c r="Q367" s="1913"/>
      <c r="R367" s="1913"/>
      <c r="S367" s="1913"/>
      <c r="T367" s="1913"/>
      <c r="U367" s="1913"/>
      <c r="V367" s="1913"/>
      <c r="W367" s="1913"/>
      <c r="X367" s="1913"/>
      <c r="Y367" s="1913"/>
      <c r="Z367" s="1913"/>
      <c r="AA367" s="1913"/>
      <c r="AB367" s="1913"/>
      <c r="AC367" s="1913"/>
      <c r="AD367" s="1913"/>
      <c r="AE367" s="1913"/>
      <c r="AF367" s="191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3"/>
      <c r="G368" s="1913"/>
      <c r="H368" s="1913"/>
      <c r="I368" s="1913"/>
      <c r="J368" s="1913"/>
      <c r="K368" s="1913"/>
      <c r="L368" s="1913"/>
      <c r="M368" s="1913"/>
      <c r="N368" s="1913"/>
      <c r="O368" s="1913"/>
      <c r="P368" s="1913"/>
      <c r="Q368" s="1913"/>
      <c r="R368" s="1913"/>
      <c r="S368" s="1913"/>
      <c r="T368" s="1913"/>
      <c r="U368" s="1913"/>
      <c r="V368" s="1913"/>
      <c r="W368" s="1913"/>
      <c r="X368" s="1913"/>
      <c r="Y368" s="1913"/>
      <c r="Z368" s="1913"/>
      <c r="AA368" s="1913"/>
      <c r="AB368" s="1913"/>
      <c r="AC368" s="1913"/>
      <c r="AD368" s="1913"/>
      <c r="AE368" s="1913"/>
      <c r="AF368" s="191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3"/>
      <c r="G369" s="1913"/>
      <c r="H369" s="1913"/>
      <c r="I369" s="1913"/>
      <c r="J369" s="1913"/>
      <c r="K369" s="1913"/>
      <c r="L369" s="1913"/>
      <c r="M369" s="1913"/>
      <c r="N369" s="1913"/>
      <c r="O369" s="1913"/>
      <c r="P369" s="1913"/>
      <c r="Q369" s="1913"/>
      <c r="R369" s="1913"/>
      <c r="S369" s="1913"/>
      <c r="T369" s="1913"/>
      <c r="U369" s="1913"/>
      <c r="V369" s="1913"/>
      <c r="W369" s="1913"/>
      <c r="X369" s="1913"/>
      <c r="Y369" s="1913"/>
      <c r="Z369" s="1913"/>
      <c r="AA369" s="1913"/>
      <c r="AB369" s="1913"/>
      <c r="AC369" s="1913"/>
      <c r="AD369" s="1913"/>
      <c r="AE369" s="1913"/>
      <c r="AF369" s="191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2" t="s">
        <v>554</v>
      </c>
      <c r="D370" s="1923"/>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1" t="s">
        <v>1639</v>
      </c>
      <c r="AG370" s="1911"/>
      <c r="AH370" s="1911"/>
      <c r="AI370" s="1911"/>
      <c r="AJ370" s="1911"/>
      <c r="AK370" s="1911"/>
      <c r="AL370" s="192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2" t="s">
        <v>1640</v>
      </c>
      <c r="G373" s="1912"/>
      <c r="H373" s="1912"/>
      <c r="I373" s="1912"/>
      <c r="J373" s="1912"/>
      <c r="K373" s="1912"/>
      <c r="L373" s="1912"/>
      <c r="M373" s="1912"/>
      <c r="N373" s="1912"/>
      <c r="O373" s="1912"/>
      <c r="P373" s="1912"/>
      <c r="Q373" s="1912"/>
      <c r="R373" s="1912"/>
      <c r="S373" s="1912"/>
      <c r="T373" s="1912"/>
      <c r="U373" s="1912"/>
      <c r="V373" s="1912"/>
      <c r="W373" s="1912"/>
      <c r="X373" s="1912"/>
      <c r="Y373" s="1912"/>
      <c r="Z373" s="1912"/>
      <c r="AA373" s="1912"/>
      <c r="AB373" s="1912"/>
      <c r="AC373" s="1912"/>
      <c r="AD373" s="1912"/>
      <c r="AE373" s="1912"/>
      <c r="AF373" s="191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3"/>
      <c r="G374" s="1913"/>
      <c r="H374" s="1913"/>
      <c r="I374" s="1913"/>
      <c r="J374" s="1913"/>
      <c r="K374" s="1913"/>
      <c r="L374" s="1913"/>
      <c r="M374" s="1913"/>
      <c r="N374" s="1913"/>
      <c r="O374" s="1913"/>
      <c r="P374" s="1913"/>
      <c r="Q374" s="1913"/>
      <c r="R374" s="1913"/>
      <c r="S374" s="1913"/>
      <c r="T374" s="1913"/>
      <c r="U374" s="1913"/>
      <c r="V374" s="1913"/>
      <c r="W374" s="1913"/>
      <c r="X374" s="1913"/>
      <c r="Y374" s="1913"/>
      <c r="Z374" s="1913"/>
      <c r="AA374" s="1913"/>
      <c r="AB374" s="1913"/>
      <c r="AC374" s="1913"/>
      <c r="AD374" s="1913"/>
      <c r="AE374" s="1913"/>
      <c r="AF374" s="191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3"/>
      <c r="G375" s="1913"/>
      <c r="H375" s="1913"/>
      <c r="I375" s="1913"/>
      <c r="J375" s="1913"/>
      <c r="K375" s="1913"/>
      <c r="L375" s="1913"/>
      <c r="M375" s="1913"/>
      <c r="N375" s="1913"/>
      <c r="O375" s="1913"/>
      <c r="P375" s="1913"/>
      <c r="Q375" s="1913"/>
      <c r="R375" s="1913"/>
      <c r="S375" s="1913"/>
      <c r="T375" s="1913"/>
      <c r="U375" s="1913"/>
      <c r="V375" s="1913"/>
      <c r="W375" s="1913"/>
      <c r="X375" s="1913"/>
      <c r="Y375" s="1913"/>
      <c r="Z375" s="1913"/>
      <c r="AA375" s="1913"/>
      <c r="AB375" s="1913"/>
      <c r="AC375" s="1913"/>
      <c r="AD375" s="1913"/>
      <c r="AE375" s="1913"/>
      <c r="AF375" s="191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3"/>
      <c r="G376" s="1913"/>
      <c r="H376" s="1913"/>
      <c r="I376" s="1913"/>
      <c r="J376" s="1913"/>
      <c r="K376" s="1913"/>
      <c r="L376" s="1913"/>
      <c r="M376" s="1913"/>
      <c r="N376" s="1913"/>
      <c r="O376" s="1913"/>
      <c r="P376" s="1913"/>
      <c r="Q376" s="1913"/>
      <c r="R376" s="1913"/>
      <c r="S376" s="1913"/>
      <c r="T376" s="1913"/>
      <c r="U376" s="1913"/>
      <c r="V376" s="1913"/>
      <c r="W376" s="1913"/>
      <c r="X376" s="1913"/>
      <c r="Y376" s="1913"/>
      <c r="Z376" s="1913"/>
      <c r="AA376" s="1913"/>
      <c r="AB376" s="1913"/>
      <c r="AC376" s="1913"/>
      <c r="AD376" s="1913"/>
      <c r="AE376" s="1913"/>
      <c r="AF376" s="191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3"/>
      <c r="G377" s="1913"/>
      <c r="H377" s="1913"/>
      <c r="I377" s="1913"/>
      <c r="J377" s="1913"/>
      <c r="K377" s="1913"/>
      <c r="L377" s="1913"/>
      <c r="M377" s="1913"/>
      <c r="N377" s="1913"/>
      <c r="O377" s="1913"/>
      <c r="P377" s="1913"/>
      <c r="Q377" s="1913"/>
      <c r="R377" s="1913"/>
      <c r="S377" s="1913"/>
      <c r="T377" s="1913"/>
      <c r="U377" s="1913"/>
      <c r="V377" s="1913"/>
      <c r="W377" s="1913"/>
      <c r="X377" s="1913"/>
      <c r="Y377" s="1913"/>
      <c r="Z377" s="1913"/>
      <c r="AA377" s="1913"/>
      <c r="AB377" s="1913"/>
      <c r="AC377" s="1913"/>
      <c r="AD377" s="1913"/>
      <c r="AE377" s="1913"/>
      <c r="AF377" s="1913"/>
      <c r="AL377" s="767"/>
      <c r="AN377" s="632"/>
      <c r="BS377" s="30"/>
      <c r="BT377" s="30"/>
      <c r="BU377" s="14"/>
      <c r="BV377" s="14"/>
      <c r="BW377" s="14"/>
      <c r="BX377" s="14"/>
      <c r="BY377" s="14"/>
      <c r="BZ377" s="14"/>
      <c r="CA377" s="14"/>
      <c r="CB377" s="14"/>
      <c r="CC377" s="14"/>
    </row>
    <row r="378" spans="1:81" s="585" customFormat="1" ht="12.75" customHeight="1">
      <c r="A378" s="571"/>
      <c r="B378" s="14"/>
      <c r="C378" s="1922" t="s">
        <v>600</v>
      </c>
      <c r="D378" s="1923"/>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1" t="s">
        <v>1639</v>
      </c>
      <c r="AG378" s="1911"/>
      <c r="AH378" s="1911"/>
      <c r="AI378" s="1911"/>
      <c r="AJ378" s="1911"/>
      <c r="AK378" s="1911"/>
      <c r="AL378" s="192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2" t="s">
        <v>1642</v>
      </c>
      <c r="G381" s="1912"/>
      <c r="H381" s="1912"/>
      <c r="I381" s="1912"/>
      <c r="J381" s="1912"/>
      <c r="K381" s="1912"/>
      <c r="L381" s="1912"/>
      <c r="M381" s="1912"/>
      <c r="N381" s="1912"/>
      <c r="O381" s="1912"/>
      <c r="P381" s="1912"/>
      <c r="Q381" s="1912"/>
      <c r="R381" s="1912"/>
      <c r="S381" s="1912"/>
      <c r="T381" s="1912"/>
      <c r="U381" s="1912"/>
      <c r="V381" s="1912"/>
      <c r="W381" s="1912"/>
      <c r="X381" s="1912"/>
      <c r="Y381" s="1912"/>
      <c r="Z381" s="1912"/>
      <c r="AA381" s="1912"/>
      <c r="AB381" s="1912"/>
      <c r="AC381" s="1912"/>
      <c r="AD381" s="1912"/>
      <c r="AE381" s="1912"/>
      <c r="AF381" s="191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3"/>
      <c r="G382" s="1913"/>
      <c r="H382" s="1913"/>
      <c r="I382" s="1913"/>
      <c r="J382" s="1913"/>
      <c r="K382" s="1913"/>
      <c r="L382" s="1913"/>
      <c r="M382" s="1913"/>
      <c r="N382" s="1913"/>
      <c r="O382" s="1913"/>
      <c r="P382" s="1913"/>
      <c r="Q382" s="1913"/>
      <c r="R382" s="1913"/>
      <c r="S382" s="1913"/>
      <c r="T382" s="1913"/>
      <c r="U382" s="1913"/>
      <c r="V382" s="1913"/>
      <c r="W382" s="1913"/>
      <c r="X382" s="1913"/>
      <c r="Y382" s="1913"/>
      <c r="Z382" s="1913"/>
      <c r="AA382" s="1913"/>
      <c r="AB382" s="1913"/>
      <c r="AC382" s="1913"/>
      <c r="AD382" s="1913"/>
      <c r="AE382" s="1913"/>
      <c r="AF382" s="191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3"/>
      <c r="G383" s="1913"/>
      <c r="H383" s="1913"/>
      <c r="I383" s="1913"/>
      <c r="J383" s="1913"/>
      <c r="K383" s="1913"/>
      <c r="L383" s="1913"/>
      <c r="M383" s="1913"/>
      <c r="N383" s="1913"/>
      <c r="O383" s="1913"/>
      <c r="P383" s="1913"/>
      <c r="Q383" s="1913"/>
      <c r="R383" s="1913"/>
      <c r="S383" s="1913"/>
      <c r="T383" s="1913"/>
      <c r="U383" s="1913"/>
      <c r="V383" s="1913"/>
      <c r="W383" s="1913"/>
      <c r="X383" s="1913"/>
      <c r="Y383" s="1913"/>
      <c r="Z383" s="1913"/>
      <c r="AA383" s="1913"/>
      <c r="AB383" s="1913"/>
      <c r="AC383" s="1913"/>
      <c r="AD383" s="1913"/>
      <c r="AE383" s="1913"/>
      <c r="AF383" s="191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3"/>
      <c r="G384" s="1913"/>
      <c r="H384" s="1913"/>
      <c r="I384" s="1913"/>
      <c r="J384" s="1913"/>
      <c r="K384" s="1913"/>
      <c r="L384" s="1913"/>
      <c r="M384" s="1913"/>
      <c r="N384" s="1913"/>
      <c r="O384" s="1913"/>
      <c r="P384" s="1913"/>
      <c r="Q384" s="1913"/>
      <c r="R384" s="1913"/>
      <c r="S384" s="1913"/>
      <c r="T384" s="1913"/>
      <c r="U384" s="1913"/>
      <c r="V384" s="1913"/>
      <c r="W384" s="1913"/>
      <c r="X384" s="1913"/>
      <c r="Y384" s="1913"/>
      <c r="Z384" s="1913"/>
      <c r="AA384" s="1913"/>
      <c r="AB384" s="1913"/>
      <c r="AC384" s="1913"/>
      <c r="AD384" s="1913"/>
      <c r="AE384" s="1913"/>
      <c r="AF384" s="191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3"/>
      <c r="G385" s="1913"/>
      <c r="H385" s="1913"/>
      <c r="I385" s="1913"/>
      <c r="J385" s="1913"/>
      <c r="K385" s="1913"/>
      <c r="L385" s="1913"/>
      <c r="M385" s="1913"/>
      <c r="N385" s="1913"/>
      <c r="O385" s="1913"/>
      <c r="P385" s="1913"/>
      <c r="Q385" s="1913"/>
      <c r="R385" s="1913"/>
      <c r="S385" s="1913"/>
      <c r="T385" s="1913"/>
      <c r="U385" s="1913"/>
      <c r="V385" s="1913"/>
      <c r="W385" s="1913"/>
      <c r="X385" s="1913"/>
      <c r="Y385" s="1913"/>
      <c r="Z385" s="1913"/>
      <c r="AA385" s="1913"/>
      <c r="AB385" s="1913"/>
      <c r="AC385" s="1913"/>
      <c r="AD385" s="1913"/>
      <c r="AE385" s="1913"/>
      <c r="AF385" s="191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2" t="s">
        <v>600</v>
      </c>
      <c r="D386" s="1923"/>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1" t="s">
        <v>1644</v>
      </c>
      <c r="AG386" s="1911"/>
      <c r="AH386" s="1911"/>
      <c r="AI386" s="1911"/>
      <c r="AJ386" s="1911"/>
      <c r="AK386" s="1911"/>
      <c r="AL386" s="192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2" t="s">
        <v>554</v>
      </c>
      <c r="D388" s="1923"/>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1" t="s">
        <v>1639</v>
      </c>
      <c r="AG388" s="1911"/>
      <c r="AH388" s="1911"/>
      <c r="AI388" s="1911"/>
      <c r="AJ388" s="1911"/>
      <c r="AK388" s="1911"/>
      <c r="AL388" s="192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2" t="s">
        <v>1648</v>
      </c>
      <c r="G392" s="1912"/>
      <c r="H392" s="1912"/>
      <c r="I392" s="1912"/>
      <c r="J392" s="1912"/>
      <c r="K392" s="1912"/>
      <c r="L392" s="1912"/>
      <c r="M392" s="1912"/>
      <c r="N392" s="1912"/>
      <c r="O392" s="1912"/>
      <c r="P392" s="1912"/>
      <c r="Q392" s="1912"/>
      <c r="R392" s="1912"/>
      <c r="S392" s="1912"/>
      <c r="T392" s="1912"/>
      <c r="U392" s="1912"/>
      <c r="V392" s="1912"/>
      <c r="W392" s="1912"/>
      <c r="X392" s="1912"/>
      <c r="Y392" s="1912"/>
      <c r="Z392" s="1912"/>
      <c r="AA392" s="1912"/>
      <c r="AB392" s="1912"/>
      <c r="AC392" s="1912"/>
      <c r="AD392" s="1912"/>
      <c r="AE392" s="1912"/>
      <c r="AF392" s="191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3"/>
      <c r="G393" s="1913"/>
      <c r="H393" s="1913"/>
      <c r="I393" s="1913"/>
      <c r="J393" s="1913"/>
      <c r="K393" s="1913"/>
      <c r="L393" s="1913"/>
      <c r="M393" s="1913"/>
      <c r="N393" s="1913"/>
      <c r="O393" s="1913"/>
      <c r="P393" s="1913"/>
      <c r="Q393" s="1913"/>
      <c r="R393" s="1913"/>
      <c r="S393" s="1913"/>
      <c r="T393" s="1913"/>
      <c r="U393" s="1913"/>
      <c r="V393" s="1913"/>
      <c r="W393" s="1913"/>
      <c r="X393" s="1913"/>
      <c r="Y393" s="1913"/>
      <c r="Z393" s="1913"/>
      <c r="AA393" s="1913"/>
      <c r="AB393" s="1913"/>
      <c r="AC393" s="1913"/>
      <c r="AD393" s="1913"/>
      <c r="AE393" s="1913"/>
      <c r="AF393" s="191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3"/>
      <c r="G394" s="1913"/>
      <c r="H394" s="1913"/>
      <c r="I394" s="1913"/>
      <c r="J394" s="1913"/>
      <c r="K394" s="1913"/>
      <c r="L394" s="1913"/>
      <c r="M394" s="1913"/>
      <c r="N394" s="1913"/>
      <c r="O394" s="1913"/>
      <c r="P394" s="1913"/>
      <c r="Q394" s="1913"/>
      <c r="R394" s="1913"/>
      <c r="S394" s="1913"/>
      <c r="T394" s="1913"/>
      <c r="U394" s="1913"/>
      <c r="V394" s="1913"/>
      <c r="W394" s="1913"/>
      <c r="X394" s="1913"/>
      <c r="Y394" s="1913"/>
      <c r="Z394" s="1913"/>
      <c r="AA394" s="1913"/>
      <c r="AB394" s="1913"/>
      <c r="AC394" s="1913"/>
      <c r="AD394" s="1913"/>
      <c r="AE394" s="1913"/>
      <c r="AF394" s="191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3"/>
      <c r="G395" s="1913"/>
      <c r="H395" s="1913"/>
      <c r="I395" s="1913"/>
      <c r="J395" s="1913"/>
      <c r="K395" s="1913"/>
      <c r="L395" s="1913"/>
      <c r="M395" s="1913"/>
      <c r="N395" s="1913"/>
      <c r="O395" s="1913"/>
      <c r="P395" s="1913"/>
      <c r="Q395" s="1913"/>
      <c r="R395" s="1913"/>
      <c r="S395" s="1913"/>
      <c r="T395" s="1913"/>
      <c r="U395" s="1913"/>
      <c r="V395" s="1913"/>
      <c r="W395" s="1913"/>
      <c r="X395" s="1913"/>
      <c r="Y395" s="1913"/>
      <c r="Z395" s="1913"/>
      <c r="AA395" s="1913"/>
      <c r="AB395" s="1913"/>
      <c r="AC395" s="1913"/>
      <c r="AD395" s="1913"/>
      <c r="AE395" s="1913"/>
      <c r="AF395" s="191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2" t="s">
        <v>600</v>
      </c>
      <c r="D396" s="1923"/>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1" t="s">
        <v>1639</v>
      </c>
      <c r="AG396" s="1911"/>
      <c r="AH396" s="1911"/>
      <c r="AI396" s="1911"/>
      <c r="AJ396" s="1911"/>
      <c r="AK396" s="1911"/>
      <c r="AL396" s="192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2" t="s">
        <v>600</v>
      </c>
      <c r="D398" s="1923"/>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1" t="s">
        <v>1651</v>
      </c>
      <c r="AG398" s="1911"/>
      <c r="AH398" s="1911"/>
      <c r="AI398" s="1911"/>
      <c r="AJ398" s="1911"/>
      <c r="AK398" s="1911"/>
      <c r="AL398" s="192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2" t="s">
        <v>600</v>
      </c>
      <c r="D401" s="1923"/>
      <c r="E401" s="750" t="s">
        <v>1652</v>
      </c>
      <c r="F401" s="1912" t="s">
        <v>1653</v>
      </c>
      <c r="G401" s="1912"/>
      <c r="H401" s="1912"/>
      <c r="I401" s="1912"/>
      <c r="J401" s="1912"/>
      <c r="K401" s="1912"/>
      <c r="L401" s="1912"/>
      <c r="M401" s="1912"/>
      <c r="N401" s="1912"/>
      <c r="O401" s="1912"/>
      <c r="P401" s="1912"/>
      <c r="Q401" s="1912"/>
      <c r="R401" s="1912"/>
      <c r="S401" s="1912"/>
      <c r="T401" s="1912"/>
      <c r="U401" s="1912"/>
      <c r="V401" s="1912"/>
      <c r="W401" s="1912"/>
      <c r="X401" s="1912"/>
      <c r="Y401" s="1912"/>
      <c r="Z401" s="1912"/>
      <c r="AA401" s="1912"/>
      <c r="AB401" s="1912"/>
      <c r="AC401" s="1912"/>
      <c r="AD401" s="1912"/>
      <c r="AE401" s="191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3"/>
      <c r="G402" s="1913"/>
      <c r="H402" s="1913"/>
      <c r="I402" s="1913"/>
      <c r="J402" s="1913"/>
      <c r="K402" s="1913"/>
      <c r="L402" s="1913"/>
      <c r="M402" s="1913"/>
      <c r="N402" s="1913"/>
      <c r="O402" s="1913"/>
      <c r="P402" s="1913"/>
      <c r="Q402" s="1913"/>
      <c r="R402" s="1913"/>
      <c r="S402" s="1913"/>
      <c r="T402" s="1913"/>
      <c r="U402" s="1913"/>
      <c r="V402" s="1913"/>
      <c r="W402" s="1913"/>
      <c r="X402" s="1913"/>
      <c r="Y402" s="1913"/>
      <c r="Z402" s="1913"/>
      <c r="AA402" s="1913"/>
      <c r="AB402" s="1913"/>
      <c r="AC402" s="1913"/>
      <c r="AD402" s="1913"/>
      <c r="AE402" s="1913"/>
      <c r="AF402" s="1981" t="s">
        <v>1639</v>
      </c>
      <c r="AG402" s="1981"/>
      <c r="AH402" s="1981"/>
      <c r="AI402" s="1981"/>
      <c r="AJ402" s="1981"/>
      <c r="AK402" s="1981"/>
      <c r="AL402" s="2011"/>
      <c r="AM402" s="605"/>
      <c r="AN402" s="632"/>
      <c r="BS402" s="605"/>
      <c r="BT402" s="605"/>
      <c r="BY402" s="605"/>
      <c r="BZ402" s="605"/>
      <c r="CA402" s="605"/>
      <c r="CB402" s="605"/>
      <c r="CC402" s="605"/>
    </row>
    <row r="403" spans="1:81" s="585" customFormat="1" ht="12.75" customHeight="1">
      <c r="A403" s="571"/>
      <c r="B403" s="14"/>
      <c r="C403" s="766"/>
      <c r="D403" s="14"/>
      <c r="E403" s="726"/>
      <c r="F403" s="1913"/>
      <c r="G403" s="1913"/>
      <c r="H403" s="1913"/>
      <c r="I403" s="1913"/>
      <c r="J403" s="1913"/>
      <c r="K403" s="1913"/>
      <c r="L403" s="1913"/>
      <c r="M403" s="1913"/>
      <c r="N403" s="1913"/>
      <c r="O403" s="1913"/>
      <c r="P403" s="1913"/>
      <c r="Q403" s="1913"/>
      <c r="R403" s="1913"/>
      <c r="S403" s="1913"/>
      <c r="T403" s="1913"/>
      <c r="U403" s="1913"/>
      <c r="V403" s="1913"/>
      <c r="W403" s="1913"/>
      <c r="X403" s="1913"/>
      <c r="Y403" s="1913"/>
      <c r="Z403" s="1913"/>
      <c r="AA403" s="1913"/>
      <c r="AB403" s="1913"/>
      <c r="AC403" s="1913"/>
      <c r="AD403" s="1913"/>
      <c r="AE403" s="191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5"/>
      <c r="G404" s="1995"/>
      <c r="H404" s="1995"/>
      <c r="I404" s="1995"/>
      <c r="J404" s="1995"/>
      <c r="K404" s="1995"/>
      <c r="L404" s="1995"/>
      <c r="M404" s="1995"/>
      <c r="N404" s="1995"/>
      <c r="O404" s="1995"/>
      <c r="P404" s="1995"/>
      <c r="Q404" s="1995"/>
      <c r="R404" s="1995"/>
      <c r="S404" s="1995"/>
      <c r="T404" s="1995"/>
      <c r="U404" s="1995"/>
      <c r="V404" s="1995"/>
      <c r="W404" s="1995"/>
      <c r="X404" s="1995"/>
      <c r="Y404" s="1995"/>
      <c r="Z404" s="1995"/>
      <c r="AA404" s="1995"/>
      <c r="AB404" s="1995"/>
      <c r="AC404" s="1995"/>
      <c r="AD404" s="1995"/>
      <c r="AE404" s="199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2" t="s">
        <v>1655</v>
      </c>
      <c r="G406" s="1912"/>
      <c r="H406" s="1912"/>
      <c r="I406" s="1912"/>
      <c r="J406" s="1912"/>
      <c r="K406" s="1912"/>
      <c r="L406" s="1912"/>
      <c r="M406" s="1912"/>
      <c r="N406" s="1912"/>
      <c r="O406" s="1912"/>
      <c r="P406" s="1912"/>
      <c r="Q406" s="1912"/>
      <c r="R406" s="1912"/>
      <c r="S406" s="1912"/>
      <c r="T406" s="1912"/>
      <c r="U406" s="1912"/>
      <c r="V406" s="1912"/>
      <c r="W406" s="1912"/>
      <c r="X406" s="1912"/>
      <c r="Y406" s="1912"/>
      <c r="Z406" s="1912"/>
      <c r="AA406" s="1912"/>
      <c r="AB406" s="1912"/>
      <c r="AC406" s="1912"/>
      <c r="AD406" s="1912"/>
      <c r="AE406" s="1912"/>
      <c r="AF406" s="782"/>
      <c r="AG406" s="782"/>
      <c r="AH406" s="782"/>
      <c r="AI406" s="782"/>
      <c r="AJ406" s="782"/>
      <c r="AK406" s="782"/>
      <c r="AL406" s="783"/>
      <c r="AM406" s="605"/>
    </row>
    <row r="407" spans="1:81">
      <c r="A407" s="571"/>
      <c r="C407" s="766"/>
      <c r="E407" s="726"/>
      <c r="F407" s="1913"/>
      <c r="G407" s="1913"/>
      <c r="H407" s="1913"/>
      <c r="I407" s="1913"/>
      <c r="J407" s="1913"/>
      <c r="K407" s="1913"/>
      <c r="L407" s="1913"/>
      <c r="M407" s="1913"/>
      <c r="N407" s="1913"/>
      <c r="O407" s="1913"/>
      <c r="P407" s="1913"/>
      <c r="Q407" s="1913"/>
      <c r="R407" s="1913"/>
      <c r="S407" s="1913"/>
      <c r="T407" s="1913"/>
      <c r="U407" s="1913"/>
      <c r="V407" s="1913"/>
      <c r="W407" s="1913"/>
      <c r="X407" s="1913"/>
      <c r="Y407" s="1913"/>
      <c r="Z407" s="1913"/>
      <c r="AA407" s="1913"/>
      <c r="AB407" s="1913"/>
      <c r="AC407" s="1913"/>
      <c r="AD407" s="1913"/>
      <c r="AE407" s="1913"/>
      <c r="AF407" s="574"/>
      <c r="AG407" s="571"/>
      <c r="AH407" s="585"/>
      <c r="AI407" s="585"/>
      <c r="AJ407" s="585"/>
      <c r="AK407" s="585"/>
      <c r="AL407" s="767"/>
      <c r="AM407" s="605"/>
    </row>
    <row r="408" spans="1:81" s="585" customFormat="1" ht="12.75" customHeight="1">
      <c r="A408" s="571"/>
      <c r="B408" s="14"/>
      <c r="C408" s="766"/>
      <c r="D408" s="14"/>
      <c r="E408" s="726"/>
      <c r="F408" s="1913"/>
      <c r="G408" s="1913"/>
      <c r="H408" s="1913"/>
      <c r="I408" s="1913"/>
      <c r="J408" s="1913"/>
      <c r="K408" s="1913"/>
      <c r="L408" s="1913"/>
      <c r="M408" s="1913"/>
      <c r="N408" s="1913"/>
      <c r="O408" s="1913"/>
      <c r="P408" s="1913"/>
      <c r="Q408" s="1913"/>
      <c r="R408" s="1913"/>
      <c r="S408" s="1913"/>
      <c r="T408" s="1913"/>
      <c r="U408" s="1913"/>
      <c r="V408" s="1913"/>
      <c r="W408" s="1913"/>
      <c r="X408" s="1913"/>
      <c r="Y408" s="1913"/>
      <c r="Z408" s="1913"/>
      <c r="AA408" s="1913"/>
      <c r="AB408" s="1913"/>
      <c r="AC408" s="1913"/>
      <c r="AD408" s="1913"/>
      <c r="AE408" s="1913"/>
      <c r="AL408" s="767"/>
      <c r="AM408" s="605"/>
      <c r="AN408" s="632"/>
    </row>
    <row r="409" spans="1:81" s="585" customFormat="1" ht="12.75" customHeight="1">
      <c r="A409" s="571"/>
      <c r="B409" s="14"/>
      <c r="C409" s="774"/>
      <c r="F409" s="1913"/>
      <c r="G409" s="1913"/>
      <c r="H409" s="1913"/>
      <c r="I409" s="1913"/>
      <c r="J409" s="1913"/>
      <c r="K409" s="1913"/>
      <c r="L409" s="1913"/>
      <c r="M409" s="1913"/>
      <c r="N409" s="1913"/>
      <c r="O409" s="1913"/>
      <c r="P409" s="1913"/>
      <c r="Q409" s="1913"/>
      <c r="R409" s="1913"/>
      <c r="S409" s="1913"/>
      <c r="T409" s="1913"/>
      <c r="U409" s="1913"/>
      <c r="V409" s="1913"/>
      <c r="W409" s="1913"/>
      <c r="X409" s="1913"/>
      <c r="Y409" s="1913"/>
      <c r="Z409" s="1913"/>
      <c r="AA409" s="1913"/>
      <c r="AB409" s="1913"/>
      <c r="AC409" s="1913"/>
      <c r="AD409" s="1913"/>
      <c r="AE409" s="1913"/>
      <c r="AL409" s="767"/>
      <c r="AM409" s="605"/>
      <c r="AN409" s="632"/>
    </row>
    <row r="410" spans="1:81" s="585" customFormat="1" ht="12.75" customHeight="1">
      <c r="A410" s="571"/>
      <c r="B410" s="14"/>
      <c r="C410" s="1922" t="s">
        <v>600</v>
      </c>
      <c r="D410" s="1923"/>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1" t="s">
        <v>1639</v>
      </c>
      <c r="AG410" s="1981"/>
      <c r="AH410" s="1981"/>
      <c r="AI410" s="1981"/>
      <c r="AJ410" s="1981"/>
      <c r="AK410" s="1981"/>
      <c r="AL410" s="2011"/>
      <c r="AM410" s="605"/>
      <c r="AN410" s="632"/>
    </row>
    <row r="411" spans="1:81" s="585" customFormat="1" ht="12.75" customHeight="1">
      <c r="A411" s="571"/>
      <c r="B411" s="14"/>
      <c r="C411" s="774"/>
      <c r="AL411" s="767"/>
      <c r="AM411" s="605"/>
      <c r="AN411" s="632"/>
    </row>
    <row r="412" spans="1:81" s="585" customFormat="1" ht="12.75" customHeight="1">
      <c r="A412" s="571"/>
      <c r="B412" s="14"/>
      <c r="C412" s="1922" t="s">
        <v>600</v>
      </c>
      <c r="D412" s="1923"/>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1" t="s">
        <v>1651</v>
      </c>
      <c r="AG412" s="1981"/>
      <c r="AH412" s="1981"/>
      <c r="AI412" s="1981"/>
      <c r="AJ412" s="1981"/>
      <c r="AK412" s="1981"/>
      <c r="AL412" s="201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2" t="s">
        <v>1660</v>
      </c>
      <c r="G416" s="1912"/>
      <c r="H416" s="1912"/>
      <c r="I416" s="1912"/>
      <c r="J416" s="1912"/>
      <c r="K416" s="1912"/>
      <c r="L416" s="1912"/>
      <c r="M416" s="1912"/>
      <c r="N416" s="1912"/>
      <c r="O416" s="1912"/>
      <c r="P416" s="1912"/>
      <c r="Q416" s="1912"/>
      <c r="R416" s="1912"/>
      <c r="S416" s="1912"/>
      <c r="T416" s="1912"/>
      <c r="U416" s="1912"/>
      <c r="V416" s="1912"/>
      <c r="W416" s="1912"/>
      <c r="X416" s="1912"/>
      <c r="Y416" s="1912"/>
      <c r="Z416" s="1912"/>
      <c r="AA416" s="1912"/>
      <c r="AB416" s="1912"/>
      <c r="AC416" s="1912"/>
      <c r="AD416" s="1912"/>
      <c r="AE416" s="1912"/>
      <c r="AF416" s="749"/>
      <c r="AG416" s="749"/>
      <c r="AH416" s="749"/>
      <c r="AI416" s="749"/>
      <c r="AJ416" s="749"/>
      <c r="AK416" s="749"/>
      <c r="AL416" s="780"/>
      <c r="AM416" s="605"/>
      <c r="AN416" s="632"/>
    </row>
    <row r="417" spans="1:60" s="585" customFormat="1" ht="12.75" customHeight="1">
      <c r="A417" s="571"/>
      <c r="B417" s="14"/>
      <c r="C417" s="766"/>
      <c r="D417" s="14"/>
      <c r="E417" s="726"/>
      <c r="F417" s="1913"/>
      <c r="G417" s="1913"/>
      <c r="H417" s="1913"/>
      <c r="I417" s="1913"/>
      <c r="J417" s="1913"/>
      <c r="K417" s="1913"/>
      <c r="L417" s="1913"/>
      <c r="M417" s="1913"/>
      <c r="N417" s="1913"/>
      <c r="O417" s="1913"/>
      <c r="P417" s="1913"/>
      <c r="Q417" s="1913"/>
      <c r="R417" s="1913"/>
      <c r="S417" s="1913"/>
      <c r="T417" s="1913"/>
      <c r="U417" s="1913"/>
      <c r="V417" s="1913"/>
      <c r="W417" s="1913"/>
      <c r="X417" s="1913"/>
      <c r="Y417" s="1913"/>
      <c r="Z417" s="1913"/>
      <c r="AA417" s="1913"/>
      <c r="AB417" s="1913"/>
      <c r="AC417" s="1913"/>
      <c r="AD417" s="1913"/>
      <c r="AE417" s="1913"/>
      <c r="AF417" s="574"/>
      <c r="AG417" s="571"/>
      <c r="AL417" s="767"/>
      <c r="AM417" s="605"/>
      <c r="AN417" s="632"/>
    </row>
    <row r="418" spans="1:60" s="585" customFormat="1" ht="12.45" customHeight="1">
      <c r="A418" s="571"/>
      <c r="B418" s="14"/>
      <c r="C418" s="766"/>
      <c r="D418" s="14"/>
      <c r="E418" s="726"/>
      <c r="F418" s="1913"/>
      <c r="G418" s="1913"/>
      <c r="H418" s="1913"/>
      <c r="I418" s="1913"/>
      <c r="J418" s="1913"/>
      <c r="K418" s="1913"/>
      <c r="L418" s="1913"/>
      <c r="M418" s="1913"/>
      <c r="N418" s="1913"/>
      <c r="O418" s="1913"/>
      <c r="P418" s="1913"/>
      <c r="Q418" s="1913"/>
      <c r="R418" s="1913"/>
      <c r="S418" s="1913"/>
      <c r="T418" s="1913"/>
      <c r="U418" s="1913"/>
      <c r="V418" s="1913"/>
      <c r="W418" s="1913"/>
      <c r="X418" s="1913"/>
      <c r="Y418" s="1913"/>
      <c r="Z418" s="1913"/>
      <c r="AA418" s="1913"/>
      <c r="AB418" s="1913"/>
      <c r="AC418" s="1913"/>
      <c r="AD418" s="1913"/>
      <c r="AE418" s="1913"/>
      <c r="AL418" s="767"/>
      <c r="AM418" s="605"/>
      <c r="AN418" s="632"/>
    </row>
    <row r="419" spans="1:60" s="585" customFormat="1" ht="12.75" customHeight="1">
      <c r="A419" s="571"/>
      <c r="B419" s="14"/>
      <c r="C419" s="1922" t="s">
        <v>600</v>
      </c>
      <c r="D419" s="1923"/>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1" t="s">
        <v>1639</v>
      </c>
      <c r="AG419" s="1981"/>
      <c r="AH419" s="1981"/>
      <c r="AI419" s="1981"/>
      <c r="AJ419" s="1981"/>
      <c r="AK419" s="1981"/>
      <c r="AL419" s="201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12" t="s">
        <v>1663</v>
      </c>
      <c r="G422" s="1912"/>
      <c r="H422" s="1912"/>
      <c r="I422" s="1912"/>
      <c r="J422" s="1912"/>
      <c r="K422" s="1912"/>
      <c r="L422" s="1912"/>
      <c r="M422" s="1912"/>
      <c r="N422" s="1912"/>
      <c r="O422" s="1912"/>
      <c r="P422" s="1912"/>
      <c r="Q422" s="1912"/>
      <c r="R422" s="1912"/>
      <c r="S422" s="1912"/>
      <c r="T422" s="1912"/>
      <c r="U422" s="1912"/>
      <c r="V422" s="1912"/>
      <c r="W422" s="1912"/>
      <c r="X422" s="1912"/>
      <c r="Y422" s="1912"/>
      <c r="Z422" s="1912"/>
      <c r="AA422" s="1912"/>
      <c r="AB422" s="1912"/>
      <c r="AC422" s="1912"/>
      <c r="AD422" s="1912"/>
      <c r="AE422" s="1912"/>
      <c r="AF422" s="782"/>
      <c r="AG422" s="782"/>
      <c r="AH422" s="782"/>
      <c r="AI422" s="782"/>
      <c r="AJ422" s="782"/>
      <c r="AK422" s="782"/>
      <c r="AL422" s="783"/>
      <c r="AM422" s="605"/>
      <c r="AO422" s="585"/>
      <c r="AP422" s="585"/>
      <c r="BD422" s="14"/>
      <c r="BE422" s="14"/>
      <c r="BF422" s="14"/>
      <c r="BG422" s="14"/>
      <c r="BH422" s="14"/>
    </row>
    <row r="423" spans="1:60">
      <c r="A423" s="571"/>
      <c r="C423" s="766"/>
      <c r="E423" s="726"/>
      <c r="F423" s="1913"/>
      <c r="G423" s="1913"/>
      <c r="H423" s="1913"/>
      <c r="I423" s="1913"/>
      <c r="J423" s="1913"/>
      <c r="K423" s="1913"/>
      <c r="L423" s="1913"/>
      <c r="M423" s="1913"/>
      <c r="N423" s="1913"/>
      <c r="O423" s="1913"/>
      <c r="P423" s="1913"/>
      <c r="Q423" s="1913"/>
      <c r="R423" s="1913"/>
      <c r="S423" s="1913"/>
      <c r="T423" s="1913"/>
      <c r="U423" s="1913"/>
      <c r="V423" s="1913"/>
      <c r="W423" s="1913"/>
      <c r="X423" s="1913"/>
      <c r="Y423" s="1913"/>
      <c r="Z423" s="1913"/>
      <c r="AA423" s="1913"/>
      <c r="AB423" s="1913"/>
      <c r="AC423" s="1913"/>
      <c r="AD423" s="1913"/>
      <c r="AE423" s="1913"/>
      <c r="AF423" s="629"/>
      <c r="AG423" s="629"/>
      <c r="AH423" s="629"/>
      <c r="AI423" s="629"/>
      <c r="AJ423" s="629"/>
      <c r="AK423" s="629"/>
      <c r="AL423" s="786"/>
      <c r="AM423" s="605"/>
      <c r="AO423" s="585"/>
      <c r="AP423" s="585"/>
    </row>
    <row r="424" spans="1:60" s="585" customFormat="1" ht="12.75" customHeight="1">
      <c r="A424" s="571"/>
      <c r="B424" s="14"/>
      <c r="C424" s="766"/>
      <c r="D424" s="14"/>
      <c r="E424" s="726"/>
      <c r="F424" s="1913"/>
      <c r="G424" s="1913"/>
      <c r="H424" s="1913"/>
      <c r="I424" s="1913"/>
      <c r="J424" s="1913"/>
      <c r="K424" s="1913"/>
      <c r="L424" s="1913"/>
      <c r="M424" s="1913"/>
      <c r="N424" s="1913"/>
      <c r="O424" s="1913"/>
      <c r="P424" s="1913"/>
      <c r="Q424" s="1913"/>
      <c r="R424" s="1913"/>
      <c r="S424" s="1913"/>
      <c r="T424" s="1913"/>
      <c r="U424" s="1913"/>
      <c r="V424" s="1913"/>
      <c r="W424" s="1913"/>
      <c r="X424" s="1913"/>
      <c r="Y424" s="1913"/>
      <c r="Z424" s="1913"/>
      <c r="AA424" s="1913"/>
      <c r="AB424" s="1913"/>
      <c r="AC424" s="1913"/>
      <c r="AD424" s="1913"/>
      <c r="AE424" s="1913"/>
      <c r="AF424" s="629"/>
      <c r="AG424" s="629"/>
      <c r="AH424" s="629"/>
      <c r="AI424" s="629"/>
      <c r="AJ424" s="629"/>
      <c r="AK424" s="629"/>
      <c r="AL424" s="786"/>
      <c r="AM424" s="605"/>
      <c r="AN424" s="632"/>
    </row>
    <row r="425" spans="1:60" s="585" customFormat="1" ht="12.75" customHeight="1">
      <c r="A425" s="571"/>
      <c r="B425" s="14"/>
      <c r="C425" s="787"/>
      <c r="D425" s="765"/>
      <c r="E425" s="754"/>
      <c r="F425" s="1913"/>
      <c r="G425" s="1913"/>
      <c r="H425" s="1913"/>
      <c r="I425" s="1913"/>
      <c r="J425" s="1913"/>
      <c r="K425" s="1913"/>
      <c r="L425" s="1913"/>
      <c r="M425" s="1913"/>
      <c r="N425" s="1913"/>
      <c r="O425" s="1913"/>
      <c r="P425" s="1913"/>
      <c r="Q425" s="1913"/>
      <c r="R425" s="1913"/>
      <c r="S425" s="1913"/>
      <c r="T425" s="1913"/>
      <c r="U425" s="1913"/>
      <c r="V425" s="1913"/>
      <c r="W425" s="1913"/>
      <c r="X425" s="1913"/>
      <c r="Y425" s="1913"/>
      <c r="Z425" s="1913"/>
      <c r="AA425" s="1913"/>
      <c r="AB425" s="1913"/>
      <c r="AC425" s="1913"/>
      <c r="AD425" s="1913"/>
      <c r="AE425" s="191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3"/>
      <c r="G426" s="1913"/>
      <c r="H426" s="1913"/>
      <c r="I426" s="1913"/>
      <c r="J426" s="1913"/>
      <c r="K426" s="1913"/>
      <c r="L426" s="1913"/>
      <c r="M426" s="1913"/>
      <c r="N426" s="1913"/>
      <c r="O426" s="1913"/>
      <c r="P426" s="1913"/>
      <c r="Q426" s="1913"/>
      <c r="R426" s="1913"/>
      <c r="S426" s="1913"/>
      <c r="T426" s="1913"/>
      <c r="U426" s="1913"/>
      <c r="V426" s="1913"/>
      <c r="W426" s="1913"/>
      <c r="X426" s="1913"/>
      <c r="Y426" s="1913"/>
      <c r="Z426" s="1913"/>
      <c r="AA426" s="1913"/>
      <c r="AB426" s="1913"/>
      <c r="AC426" s="1913"/>
      <c r="AD426" s="1913"/>
      <c r="AE426" s="1913"/>
      <c r="AF426" s="629"/>
      <c r="AG426" s="629"/>
      <c r="AH426" s="629"/>
      <c r="AI426" s="629"/>
      <c r="AJ426" s="629"/>
      <c r="AK426" s="629"/>
      <c r="AL426" s="786"/>
      <c r="AM426" s="605"/>
      <c r="AN426" s="632"/>
    </row>
    <row r="427" spans="1:60" s="585" customFormat="1" ht="12.75" customHeight="1">
      <c r="A427" s="571"/>
      <c r="B427" s="14"/>
      <c r="C427" s="787"/>
      <c r="D427" s="765"/>
      <c r="E427" s="754"/>
      <c r="F427" s="1913"/>
      <c r="G427" s="1913"/>
      <c r="H427" s="1913"/>
      <c r="I427" s="1913"/>
      <c r="J427" s="1913"/>
      <c r="K427" s="1913"/>
      <c r="L427" s="1913"/>
      <c r="M427" s="1913"/>
      <c r="N427" s="1913"/>
      <c r="O427" s="1913"/>
      <c r="P427" s="1913"/>
      <c r="Q427" s="1913"/>
      <c r="R427" s="1913"/>
      <c r="S427" s="1913"/>
      <c r="T427" s="1913"/>
      <c r="U427" s="1913"/>
      <c r="V427" s="1913"/>
      <c r="W427" s="1913"/>
      <c r="X427" s="1913"/>
      <c r="Y427" s="1913"/>
      <c r="Z427" s="1913"/>
      <c r="AA427" s="1913"/>
      <c r="AB427" s="1913"/>
      <c r="AC427" s="1913"/>
      <c r="AD427" s="1913"/>
      <c r="AE427" s="1913"/>
      <c r="AF427" s="629"/>
      <c r="AG427" s="629"/>
      <c r="AH427" s="629"/>
      <c r="AI427" s="629"/>
      <c r="AJ427" s="629"/>
      <c r="AK427" s="629"/>
      <c r="AL427" s="786"/>
      <c r="AM427" s="605"/>
      <c r="AN427" s="632"/>
    </row>
    <row r="428" spans="1:60" s="585" customFormat="1" ht="12.75" customHeight="1">
      <c r="A428" s="571"/>
      <c r="B428" s="14"/>
      <c r="C428" s="787"/>
      <c r="D428" s="765"/>
      <c r="E428" s="754"/>
      <c r="F428" s="1913"/>
      <c r="G428" s="1913"/>
      <c r="H428" s="1913"/>
      <c r="I428" s="1913"/>
      <c r="J428" s="1913"/>
      <c r="K428" s="1913"/>
      <c r="L428" s="1913"/>
      <c r="M428" s="1913"/>
      <c r="N428" s="1913"/>
      <c r="O428" s="1913"/>
      <c r="P428" s="1913"/>
      <c r="Q428" s="1913"/>
      <c r="R428" s="1913"/>
      <c r="S428" s="1913"/>
      <c r="T428" s="1913"/>
      <c r="U428" s="1913"/>
      <c r="V428" s="1913"/>
      <c r="W428" s="1913"/>
      <c r="X428" s="1913"/>
      <c r="Y428" s="1913"/>
      <c r="Z428" s="1913"/>
      <c r="AA428" s="1913"/>
      <c r="AB428" s="1913"/>
      <c r="AC428" s="1913"/>
      <c r="AD428" s="1913"/>
      <c r="AE428" s="1913"/>
      <c r="AF428" s="629"/>
      <c r="AG428" s="629"/>
      <c r="AH428" s="629"/>
      <c r="AI428" s="629"/>
      <c r="AJ428" s="629"/>
      <c r="AK428" s="629"/>
      <c r="AL428" s="786"/>
      <c r="AM428" s="605"/>
      <c r="AN428" s="632"/>
    </row>
    <row r="429" spans="1:60" s="585" customFormat="1" ht="12.75" customHeight="1">
      <c r="A429" s="571"/>
      <c r="B429" s="14"/>
      <c r="C429" s="787"/>
      <c r="D429" s="765"/>
      <c r="E429" s="754"/>
      <c r="F429" s="1913"/>
      <c r="G429" s="1913"/>
      <c r="H429" s="1913"/>
      <c r="I429" s="1913"/>
      <c r="J429" s="1913"/>
      <c r="K429" s="1913"/>
      <c r="L429" s="1913"/>
      <c r="M429" s="1913"/>
      <c r="N429" s="1913"/>
      <c r="O429" s="1913"/>
      <c r="P429" s="1913"/>
      <c r="Q429" s="1913"/>
      <c r="R429" s="1913"/>
      <c r="S429" s="1913"/>
      <c r="T429" s="1913"/>
      <c r="U429" s="1913"/>
      <c r="V429" s="1913"/>
      <c r="W429" s="1913"/>
      <c r="X429" s="1913"/>
      <c r="Y429" s="1913"/>
      <c r="Z429" s="1913"/>
      <c r="AA429" s="1913"/>
      <c r="AB429" s="1913"/>
      <c r="AC429" s="1913"/>
      <c r="AD429" s="1913"/>
      <c r="AE429" s="1913"/>
      <c r="AF429" s="629"/>
      <c r="AG429" s="629"/>
      <c r="AH429" s="629"/>
      <c r="AI429" s="629"/>
      <c r="AJ429" s="629"/>
      <c r="AK429" s="629"/>
      <c r="AL429" s="786"/>
      <c r="AM429" s="605"/>
      <c r="AN429" s="632"/>
    </row>
    <row r="430" spans="1:60" s="585" customFormat="1" ht="17.25" customHeight="1">
      <c r="A430" s="571"/>
      <c r="B430" s="14"/>
      <c r="C430" s="787"/>
      <c r="D430" s="765"/>
      <c r="E430" s="754"/>
      <c r="F430" s="1913"/>
      <c r="G430" s="1913"/>
      <c r="H430" s="1913"/>
      <c r="I430" s="1913"/>
      <c r="J430" s="1913"/>
      <c r="K430" s="1913"/>
      <c r="L430" s="1913"/>
      <c r="M430" s="1913"/>
      <c r="N430" s="1913"/>
      <c r="O430" s="1913"/>
      <c r="P430" s="1913"/>
      <c r="Q430" s="1913"/>
      <c r="R430" s="1913"/>
      <c r="S430" s="1913"/>
      <c r="T430" s="1913"/>
      <c r="U430" s="1913"/>
      <c r="V430" s="1913"/>
      <c r="W430" s="1913"/>
      <c r="X430" s="1913"/>
      <c r="Y430" s="1913"/>
      <c r="Z430" s="1913"/>
      <c r="AA430" s="1913"/>
      <c r="AB430" s="1913"/>
      <c r="AC430" s="1913"/>
      <c r="AD430" s="1913"/>
      <c r="AE430" s="1913"/>
      <c r="AL430" s="767"/>
      <c r="AM430" s="605"/>
      <c r="AN430" s="632"/>
    </row>
    <row r="431" spans="1:60" s="585" customFormat="1" ht="12.75" customHeight="1">
      <c r="A431" s="571"/>
      <c r="B431" s="14"/>
      <c r="C431" s="1922" t="s">
        <v>600</v>
      </c>
      <c r="D431" s="1923"/>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1" t="s">
        <v>1639</v>
      </c>
      <c r="AG431" s="1981"/>
      <c r="AH431" s="1981"/>
      <c r="AI431" s="1981"/>
      <c r="AJ431" s="1981"/>
      <c r="AK431" s="1981"/>
      <c r="AL431" s="201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2" t="s">
        <v>1666</v>
      </c>
      <c r="G434" s="1912"/>
      <c r="H434" s="1912"/>
      <c r="I434" s="1912"/>
      <c r="J434" s="1912"/>
      <c r="K434" s="1912"/>
      <c r="L434" s="1912"/>
      <c r="M434" s="1912"/>
      <c r="N434" s="1912"/>
      <c r="O434" s="1912"/>
      <c r="P434" s="1912"/>
      <c r="Q434" s="1912"/>
      <c r="R434" s="1912"/>
      <c r="S434" s="1912"/>
      <c r="T434" s="1912"/>
      <c r="U434" s="1912"/>
      <c r="V434" s="1912"/>
      <c r="W434" s="1912"/>
      <c r="X434" s="1912"/>
      <c r="Y434" s="1912"/>
      <c r="Z434" s="1912"/>
      <c r="AA434" s="1912"/>
      <c r="AB434" s="1912"/>
      <c r="AC434" s="1912"/>
      <c r="AD434" s="1912"/>
      <c r="AE434" s="1912"/>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3"/>
      <c r="G435" s="1913"/>
      <c r="H435" s="1913"/>
      <c r="I435" s="1913"/>
      <c r="J435" s="1913"/>
      <c r="K435" s="1913"/>
      <c r="L435" s="1913"/>
      <c r="M435" s="1913"/>
      <c r="N435" s="1913"/>
      <c r="O435" s="1913"/>
      <c r="P435" s="1913"/>
      <c r="Q435" s="1913"/>
      <c r="R435" s="1913"/>
      <c r="S435" s="1913"/>
      <c r="T435" s="1913"/>
      <c r="U435" s="1913"/>
      <c r="V435" s="1913"/>
      <c r="W435" s="1913"/>
      <c r="X435" s="1913"/>
      <c r="Y435" s="1913"/>
      <c r="Z435" s="1913"/>
      <c r="AA435" s="1913"/>
      <c r="AB435" s="1913"/>
      <c r="AC435" s="1913"/>
      <c r="AD435" s="1913"/>
      <c r="AE435" s="1913"/>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3"/>
      <c r="G436" s="1913"/>
      <c r="H436" s="1913"/>
      <c r="I436" s="1913"/>
      <c r="J436" s="1913"/>
      <c r="K436" s="1913"/>
      <c r="L436" s="1913"/>
      <c r="M436" s="1913"/>
      <c r="N436" s="1913"/>
      <c r="O436" s="1913"/>
      <c r="P436" s="1913"/>
      <c r="Q436" s="1913"/>
      <c r="R436" s="1913"/>
      <c r="S436" s="1913"/>
      <c r="T436" s="1913"/>
      <c r="U436" s="1913"/>
      <c r="V436" s="1913"/>
      <c r="W436" s="1913"/>
      <c r="X436" s="1913"/>
      <c r="Y436" s="1913"/>
      <c r="Z436" s="1913"/>
      <c r="AA436" s="1913"/>
      <c r="AB436" s="1913"/>
      <c r="AC436" s="1913"/>
      <c r="AD436" s="1913"/>
      <c r="AE436" s="1913"/>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3"/>
      <c r="G437" s="1913"/>
      <c r="H437" s="1913"/>
      <c r="I437" s="1913"/>
      <c r="J437" s="1913"/>
      <c r="K437" s="1913"/>
      <c r="L437" s="1913"/>
      <c r="M437" s="1913"/>
      <c r="N437" s="1913"/>
      <c r="O437" s="1913"/>
      <c r="P437" s="1913"/>
      <c r="Q437" s="1913"/>
      <c r="R437" s="1913"/>
      <c r="S437" s="1913"/>
      <c r="T437" s="1913"/>
      <c r="U437" s="1913"/>
      <c r="V437" s="1913"/>
      <c r="W437" s="1913"/>
      <c r="X437" s="1913"/>
      <c r="Y437" s="1913"/>
      <c r="Z437" s="1913"/>
      <c r="AA437" s="1913"/>
      <c r="AB437" s="1913"/>
      <c r="AC437" s="1913"/>
      <c r="AD437" s="1913"/>
      <c r="AE437" s="1913"/>
      <c r="AL437" s="767"/>
      <c r="AM437" s="605"/>
      <c r="AN437" s="632"/>
      <c r="AO437" s="585" t="s">
        <v>1669</v>
      </c>
      <c r="AP437" s="585">
        <v>5</v>
      </c>
      <c r="AQ437" s="571"/>
    </row>
    <row r="438" spans="1:54" s="585" customFormat="1" ht="12.75" customHeight="1">
      <c r="A438" s="571"/>
      <c r="B438" s="14"/>
      <c r="C438" s="1922" t="s">
        <v>600</v>
      </c>
      <c r="D438" s="1923"/>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1" t="s">
        <v>1639</v>
      </c>
      <c r="AG438" s="1981"/>
      <c r="AH438" s="1981"/>
      <c r="AI438" s="1981"/>
      <c r="AJ438" s="1981"/>
      <c r="AK438" s="1981"/>
      <c r="AL438" s="2011"/>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6" t="s">
        <v>600</v>
      </c>
      <c r="D442" s="2037"/>
      <c r="E442" s="750" t="s">
        <v>1675</v>
      </c>
      <c r="F442" s="1912" t="s">
        <v>1676</v>
      </c>
      <c r="G442" s="1912"/>
      <c r="H442" s="1912"/>
      <c r="I442" s="1912"/>
      <c r="J442" s="1912"/>
      <c r="K442" s="1912"/>
      <c r="L442" s="1912"/>
      <c r="M442" s="1912"/>
      <c r="N442" s="1912"/>
      <c r="O442" s="1912"/>
      <c r="P442" s="1912"/>
      <c r="Q442" s="1912"/>
      <c r="R442" s="1912"/>
      <c r="S442" s="1912"/>
      <c r="T442" s="1912"/>
      <c r="U442" s="1912"/>
      <c r="V442" s="1912"/>
      <c r="W442" s="1912"/>
      <c r="X442" s="1912"/>
      <c r="Y442" s="1912"/>
      <c r="Z442" s="1912"/>
      <c r="AA442" s="1912"/>
      <c r="AB442" s="1912"/>
      <c r="AC442" s="1912"/>
      <c r="AD442" s="1912"/>
      <c r="AE442" s="1912"/>
      <c r="AF442" s="2007" t="s">
        <v>1639</v>
      </c>
      <c r="AG442" s="2007"/>
      <c r="AH442" s="2007"/>
      <c r="AI442" s="2007"/>
      <c r="AJ442" s="2007"/>
      <c r="AK442" s="2007"/>
      <c r="AL442" s="2008"/>
      <c r="AM442" s="605"/>
      <c r="AN442" s="789"/>
      <c r="AO442" s="585" t="s">
        <v>1677</v>
      </c>
      <c r="AP442" s="585">
        <v>1</v>
      </c>
    </row>
    <row r="443" spans="1:54" s="585" customFormat="1" ht="12.75" customHeight="1">
      <c r="A443" s="571"/>
      <c r="B443" s="14"/>
      <c r="C443" s="787"/>
      <c r="D443" s="765"/>
      <c r="E443" s="754"/>
      <c r="F443" s="1913"/>
      <c r="G443" s="1913"/>
      <c r="H443" s="1913"/>
      <c r="I443" s="1913"/>
      <c r="J443" s="1913"/>
      <c r="K443" s="1913"/>
      <c r="L443" s="1913"/>
      <c r="M443" s="1913"/>
      <c r="N443" s="1913"/>
      <c r="O443" s="1913"/>
      <c r="P443" s="1913"/>
      <c r="Q443" s="1913"/>
      <c r="R443" s="1913"/>
      <c r="S443" s="1913"/>
      <c r="T443" s="1913"/>
      <c r="U443" s="1913"/>
      <c r="V443" s="1913"/>
      <c r="W443" s="1913"/>
      <c r="X443" s="1913"/>
      <c r="Y443" s="1913"/>
      <c r="Z443" s="1913"/>
      <c r="AA443" s="1913"/>
      <c r="AB443" s="1913"/>
      <c r="AC443" s="1913"/>
      <c r="AD443" s="1913"/>
      <c r="AE443" s="1913"/>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1995"/>
      <c r="G444" s="1995"/>
      <c r="H444" s="1995"/>
      <c r="I444" s="1995"/>
      <c r="J444" s="1995"/>
      <c r="K444" s="1995"/>
      <c r="L444" s="1995"/>
      <c r="M444" s="1995"/>
      <c r="N444" s="1995"/>
      <c r="O444" s="1995"/>
      <c r="P444" s="1995"/>
      <c r="Q444" s="1995"/>
      <c r="R444" s="1995"/>
      <c r="S444" s="1995"/>
      <c r="T444" s="1995"/>
      <c r="U444" s="1995"/>
      <c r="V444" s="1995"/>
      <c r="W444" s="1995"/>
      <c r="X444" s="1995"/>
      <c r="Y444" s="1995"/>
      <c r="Z444" s="1995"/>
      <c r="AA444" s="1995"/>
      <c r="AB444" s="1995"/>
      <c r="AC444" s="1995"/>
      <c r="AD444" s="1995"/>
      <c r="AE444" s="1995"/>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2" t="s">
        <v>600</v>
      </c>
      <c r="D446" s="1923"/>
      <c r="E446" s="750" t="s">
        <v>1681</v>
      </c>
      <c r="F446" s="1912" t="s">
        <v>1682</v>
      </c>
      <c r="G446" s="1912"/>
      <c r="H446" s="1912"/>
      <c r="I446" s="1912"/>
      <c r="J446" s="1912"/>
      <c r="K446" s="1912"/>
      <c r="L446" s="1912"/>
      <c r="M446" s="1912"/>
      <c r="N446" s="1912"/>
      <c r="O446" s="1912"/>
      <c r="P446" s="1912"/>
      <c r="Q446" s="1912"/>
      <c r="R446" s="1912"/>
      <c r="S446" s="1912"/>
      <c r="T446" s="1912"/>
      <c r="U446" s="1912"/>
      <c r="V446" s="1912"/>
      <c r="W446" s="1912"/>
      <c r="X446" s="1912"/>
      <c r="Y446" s="1912"/>
      <c r="Z446" s="1912"/>
      <c r="AA446" s="1912"/>
      <c r="AB446" s="1912"/>
      <c r="AC446" s="1912"/>
      <c r="AD446" s="1912"/>
      <c r="AE446" s="1912"/>
      <c r="AF446" s="2007" t="s">
        <v>1639</v>
      </c>
      <c r="AG446" s="2007"/>
      <c r="AH446" s="2007"/>
      <c r="AI446" s="2007"/>
      <c r="AJ446" s="2007"/>
      <c r="AK446" s="2007"/>
      <c r="AL446" s="2008"/>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3"/>
      <c r="G447" s="1913"/>
      <c r="H447" s="1913"/>
      <c r="I447" s="1913"/>
      <c r="J447" s="1913"/>
      <c r="K447" s="1913"/>
      <c r="L447" s="1913"/>
      <c r="M447" s="1913"/>
      <c r="N447" s="1913"/>
      <c r="O447" s="1913"/>
      <c r="P447" s="1913"/>
      <c r="Q447" s="1913"/>
      <c r="R447" s="1913"/>
      <c r="S447" s="1913"/>
      <c r="T447" s="1913"/>
      <c r="U447" s="1913"/>
      <c r="V447" s="1913"/>
      <c r="W447" s="1913"/>
      <c r="X447" s="1913"/>
      <c r="Y447" s="1913"/>
      <c r="Z447" s="1913"/>
      <c r="AA447" s="1913"/>
      <c r="AB447" s="1913"/>
      <c r="AC447" s="1913"/>
      <c r="AD447" s="1913"/>
      <c r="AE447" s="191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3"/>
      <c r="G448" s="1913"/>
      <c r="H448" s="1913"/>
      <c r="I448" s="1913"/>
      <c r="J448" s="1913"/>
      <c r="K448" s="1913"/>
      <c r="L448" s="1913"/>
      <c r="M448" s="1913"/>
      <c r="N448" s="1913"/>
      <c r="O448" s="1913"/>
      <c r="P448" s="1913"/>
      <c r="Q448" s="1913"/>
      <c r="R448" s="1913"/>
      <c r="S448" s="1913"/>
      <c r="T448" s="1913"/>
      <c r="U448" s="1913"/>
      <c r="V448" s="1913"/>
      <c r="W448" s="1913"/>
      <c r="X448" s="1913"/>
      <c r="Y448" s="1913"/>
      <c r="Z448" s="1913"/>
      <c r="AA448" s="1913"/>
      <c r="AB448" s="1913"/>
      <c r="AC448" s="1913"/>
      <c r="AD448" s="1913"/>
      <c r="AE448" s="1913"/>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5"/>
      <c r="G449" s="1995"/>
      <c r="H449" s="1995"/>
      <c r="I449" s="1995"/>
      <c r="J449" s="1995"/>
      <c r="K449" s="1995"/>
      <c r="L449" s="1995"/>
      <c r="M449" s="1995"/>
      <c r="N449" s="1995"/>
      <c r="O449" s="1995"/>
      <c r="P449" s="1995"/>
      <c r="Q449" s="1995"/>
      <c r="R449" s="1995"/>
      <c r="S449" s="1995"/>
      <c r="T449" s="1995"/>
      <c r="U449" s="1995"/>
      <c r="V449" s="1995"/>
      <c r="W449" s="1995"/>
      <c r="X449" s="1995"/>
      <c r="Y449" s="1995"/>
      <c r="Z449" s="1995"/>
      <c r="AA449" s="1995"/>
      <c r="AB449" s="1995"/>
      <c r="AC449" s="1995"/>
      <c r="AD449" s="1995"/>
      <c r="AE449" s="199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2" t="s">
        <v>1685</v>
      </c>
      <c r="G451" s="1912"/>
      <c r="H451" s="1912"/>
      <c r="I451" s="1912"/>
      <c r="J451" s="1912"/>
      <c r="K451" s="1912"/>
      <c r="L451" s="1912"/>
      <c r="M451" s="1912"/>
      <c r="N451" s="1912"/>
      <c r="O451" s="1912"/>
      <c r="P451" s="1912"/>
      <c r="Q451" s="1912"/>
      <c r="R451" s="1912"/>
      <c r="S451" s="1912"/>
      <c r="T451" s="1912"/>
      <c r="U451" s="1912"/>
      <c r="V451" s="1912"/>
      <c r="W451" s="1912"/>
      <c r="X451" s="1912"/>
      <c r="Y451" s="1912"/>
      <c r="Z451" s="1912"/>
      <c r="AA451" s="1912"/>
      <c r="AB451" s="1912"/>
      <c r="AC451" s="1912"/>
      <c r="AD451" s="1912"/>
      <c r="AE451" s="1912"/>
      <c r="AF451" s="1912"/>
      <c r="AG451" s="779"/>
      <c r="AH451" s="749"/>
      <c r="AI451" s="749"/>
      <c r="AJ451" s="749"/>
      <c r="AK451" s="749"/>
      <c r="AL451" s="780"/>
      <c r="AM451" s="605"/>
      <c r="AN451" s="632"/>
    </row>
    <row r="452" spans="1:49" s="585" customFormat="1" ht="12.75" customHeight="1">
      <c r="A452" s="571"/>
      <c r="B452" s="14"/>
      <c r="C452" s="766"/>
      <c r="D452" s="14"/>
      <c r="E452" s="726"/>
      <c r="F452" s="1913"/>
      <c r="G452" s="1913"/>
      <c r="H452" s="1913"/>
      <c r="I452" s="1913"/>
      <c r="J452" s="1913"/>
      <c r="K452" s="1913"/>
      <c r="L452" s="1913"/>
      <c r="M452" s="1913"/>
      <c r="N452" s="1913"/>
      <c r="O452" s="1913"/>
      <c r="P452" s="1913"/>
      <c r="Q452" s="1913"/>
      <c r="R452" s="1913"/>
      <c r="S452" s="1913"/>
      <c r="T452" s="1913"/>
      <c r="U452" s="1913"/>
      <c r="V452" s="1913"/>
      <c r="W452" s="1913"/>
      <c r="X452" s="1913"/>
      <c r="Y452" s="1913"/>
      <c r="Z452" s="1913"/>
      <c r="AA452" s="1913"/>
      <c r="AB452" s="1913"/>
      <c r="AC452" s="1913"/>
      <c r="AD452" s="1913"/>
      <c r="AE452" s="1913"/>
      <c r="AF452" s="1913"/>
      <c r="AL452" s="767"/>
      <c r="AM452" s="605"/>
      <c r="AN452" s="632"/>
    </row>
    <row r="453" spans="1:49" s="585" customFormat="1" ht="12.75" customHeight="1">
      <c r="A453" s="571"/>
      <c r="B453" s="14"/>
      <c r="C453" s="774"/>
      <c r="F453" s="1913"/>
      <c r="G453" s="1913"/>
      <c r="H453" s="1913"/>
      <c r="I453" s="1913"/>
      <c r="J453" s="1913"/>
      <c r="K453" s="1913"/>
      <c r="L453" s="1913"/>
      <c r="M453" s="1913"/>
      <c r="N453" s="1913"/>
      <c r="O453" s="1913"/>
      <c r="P453" s="1913"/>
      <c r="Q453" s="1913"/>
      <c r="R453" s="1913"/>
      <c r="S453" s="1913"/>
      <c r="T453" s="1913"/>
      <c r="U453" s="1913"/>
      <c r="V453" s="1913"/>
      <c r="W453" s="1913"/>
      <c r="X453" s="1913"/>
      <c r="Y453" s="1913"/>
      <c r="Z453" s="1913"/>
      <c r="AA453" s="1913"/>
      <c r="AB453" s="1913"/>
      <c r="AC453" s="1913"/>
      <c r="AD453" s="1913"/>
      <c r="AE453" s="1913"/>
      <c r="AF453" s="1913"/>
      <c r="AL453" s="767"/>
      <c r="AM453" s="605"/>
      <c r="AN453" s="632"/>
    </row>
    <row r="454" spans="1:49" s="585" customFormat="1" ht="12.75" customHeight="1">
      <c r="A454" s="571"/>
      <c r="B454" s="14"/>
      <c r="C454" s="774"/>
      <c r="F454" s="1913"/>
      <c r="G454" s="1913"/>
      <c r="H454" s="1913"/>
      <c r="I454" s="1913"/>
      <c r="J454" s="1913"/>
      <c r="K454" s="1913"/>
      <c r="L454" s="1913"/>
      <c r="M454" s="1913"/>
      <c r="N454" s="1913"/>
      <c r="O454" s="1913"/>
      <c r="P454" s="1913"/>
      <c r="Q454" s="1913"/>
      <c r="R454" s="1913"/>
      <c r="S454" s="1913"/>
      <c r="T454" s="1913"/>
      <c r="U454" s="1913"/>
      <c r="V454" s="1913"/>
      <c r="W454" s="1913"/>
      <c r="X454" s="1913"/>
      <c r="Y454" s="1913"/>
      <c r="Z454" s="1913"/>
      <c r="AA454" s="1913"/>
      <c r="AB454" s="1913"/>
      <c r="AC454" s="1913"/>
      <c r="AD454" s="1913"/>
      <c r="AE454" s="1913"/>
      <c r="AF454" s="1913"/>
      <c r="AL454" s="767"/>
      <c r="AM454" s="605"/>
      <c r="AN454" s="632"/>
    </row>
    <row r="455" spans="1:49" s="585" customFormat="1" ht="12.75" customHeight="1">
      <c r="A455" s="571"/>
      <c r="B455" s="14"/>
      <c r="C455" s="1922" t="s">
        <v>600</v>
      </c>
      <c r="D455" s="1923"/>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1" t="s">
        <v>1639</v>
      </c>
      <c r="AG455" s="1911"/>
      <c r="AH455" s="1911"/>
      <c r="AI455" s="1911"/>
      <c r="AJ455" s="1911"/>
      <c r="AK455" s="1911"/>
      <c r="AL455" s="192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8">
        <f>IF(Application!D213="N/A",AS347,AS349)</f>
        <v>10</v>
      </c>
      <c r="AL458" s="1909"/>
      <c r="AM458" s="191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1" t="s">
        <v>1689</v>
      </c>
      <c r="AF461" s="1911"/>
      <c r="AG461" s="1911"/>
      <c r="AH461" s="1911"/>
      <c r="AI461" s="1911"/>
      <c r="AJ461" s="1911"/>
      <c r="AK461" s="1911"/>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8" t="s">
        <v>600</v>
      </c>
      <c r="D467" s="1989"/>
      <c r="E467" s="797" t="s">
        <v>516</v>
      </c>
      <c r="F467" s="2009" t="s">
        <v>1695</v>
      </c>
      <c r="G467" s="2009"/>
      <c r="H467" s="2009"/>
      <c r="I467" s="2009"/>
      <c r="J467" s="2009"/>
      <c r="K467" s="2009"/>
      <c r="L467" s="2009"/>
      <c r="M467" s="2009"/>
      <c r="N467" s="2009"/>
      <c r="O467" s="2009"/>
      <c r="P467" s="2009"/>
      <c r="Q467" s="2009"/>
      <c r="R467" s="2009"/>
      <c r="S467" s="2009"/>
      <c r="T467" s="2009"/>
      <c r="U467" s="2009"/>
      <c r="V467" s="2009"/>
      <c r="W467" s="2009"/>
      <c r="X467" s="2009"/>
      <c r="Y467" s="2009"/>
      <c r="Z467" s="2009"/>
      <c r="AA467" s="2009"/>
      <c r="AB467" s="2009"/>
      <c r="AC467" s="2009"/>
      <c r="AD467" s="2009"/>
      <c r="AE467" s="2009"/>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0"/>
      <c r="G468" s="2010"/>
      <c r="H468" s="2010"/>
      <c r="I468" s="2010"/>
      <c r="J468" s="2010"/>
      <c r="K468" s="2010"/>
      <c r="L468" s="2010"/>
      <c r="M468" s="2010"/>
      <c r="N468" s="2010"/>
      <c r="O468" s="2010"/>
      <c r="P468" s="2010"/>
      <c r="Q468" s="2010"/>
      <c r="R468" s="2010"/>
      <c r="S468" s="2010"/>
      <c r="T468" s="2010"/>
      <c r="U468" s="2010"/>
      <c r="V468" s="2010"/>
      <c r="W468" s="2010"/>
      <c r="X468" s="2010"/>
      <c r="Y468" s="2010"/>
      <c r="Z468" s="2010"/>
      <c r="AA468" s="2010"/>
      <c r="AB468" s="2010"/>
      <c r="AC468" s="2010"/>
      <c r="AD468" s="2010"/>
      <c r="AE468" s="2010"/>
      <c r="AG468" s="586"/>
      <c r="AH468" s="586"/>
      <c r="AI468" s="586"/>
      <c r="AJ468" s="586"/>
      <c r="AK468" s="767"/>
      <c r="AN468" s="632"/>
      <c r="AO468" s="585" t="s">
        <v>1677</v>
      </c>
      <c r="AP468" s="585">
        <v>1</v>
      </c>
    </row>
    <row r="469" spans="1:50" s="585" customFormat="1" ht="12.75" hidden="1" customHeight="1">
      <c r="C469" s="800"/>
      <c r="D469" s="762"/>
      <c r="E469" s="801"/>
      <c r="F469" s="2004" t="s">
        <v>600</v>
      </c>
      <c r="G469" s="2004"/>
      <c r="H469" s="2004"/>
      <c r="I469" s="2004"/>
      <c r="J469" s="2004"/>
      <c r="K469" s="2004"/>
      <c r="L469" s="2004"/>
      <c r="M469" s="2004"/>
      <c r="N469" s="2004"/>
      <c r="O469" s="2004"/>
      <c r="P469" s="2004"/>
      <c r="Q469" s="2004"/>
      <c r="R469" s="2004"/>
      <c r="S469" s="2004"/>
      <c r="T469" s="2004"/>
      <c r="U469" s="2004"/>
      <c r="V469" s="2004"/>
      <c r="W469" s="2004"/>
      <c r="X469" s="2004"/>
      <c r="Y469" s="2004"/>
      <c r="Z469" s="200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5" t="s">
        <v>554</v>
      </c>
      <c r="D471" s="2006"/>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7" t="s">
        <v>600</v>
      </c>
      <c r="W474" s="1917"/>
      <c r="X474" s="1917"/>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7" t="s">
        <v>600</v>
      </c>
      <c r="W476" s="1917"/>
      <c r="X476" s="1917"/>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7" t="s">
        <v>600</v>
      </c>
      <c r="W481" s="1917"/>
      <c r="X481" s="1917"/>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1"/>
      <c r="E484" s="199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7" t="s">
        <v>600</v>
      </c>
      <c r="W485" s="1917"/>
      <c r="X485" s="1917"/>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7" t="s">
        <v>600</v>
      </c>
      <c r="W487" s="1917"/>
      <c r="X487" s="1917"/>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8" t="s">
        <v>600</v>
      </c>
      <c r="D490" s="1989"/>
      <c r="E490" s="797" t="s">
        <v>516</v>
      </c>
      <c r="F490" s="2009" t="s">
        <v>1695</v>
      </c>
      <c r="G490" s="2009"/>
      <c r="H490" s="2009"/>
      <c r="I490" s="2009"/>
      <c r="J490" s="2009"/>
      <c r="K490" s="2009"/>
      <c r="L490" s="2009"/>
      <c r="M490" s="2009"/>
      <c r="N490" s="2009"/>
      <c r="O490" s="2009"/>
      <c r="P490" s="2009"/>
      <c r="Q490" s="2009"/>
      <c r="R490" s="2009"/>
      <c r="S490" s="2009"/>
      <c r="T490" s="2009"/>
      <c r="U490" s="2009"/>
      <c r="V490" s="2009"/>
      <c r="W490" s="2009"/>
      <c r="X490" s="2009"/>
      <c r="Y490" s="2009"/>
      <c r="Z490" s="2009"/>
      <c r="AA490" s="2009"/>
      <c r="AB490" s="2009"/>
      <c r="AC490" s="2009"/>
      <c r="AD490" s="2009"/>
      <c r="AE490" s="200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0"/>
      <c r="G491" s="2010"/>
      <c r="H491" s="2010"/>
      <c r="I491" s="2010"/>
      <c r="J491" s="2010"/>
      <c r="K491" s="2010"/>
      <c r="L491" s="2010"/>
      <c r="M491" s="2010"/>
      <c r="N491" s="2010"/>
      <c r="O491" s="2010"/>
      <c r="P491" s="2010"/>
      <c r="Q491" s="2010"/>
      <c r="R491" s="2010"/>
      <c r="S491" s="2010"/>
      <c r="T491" s="2010"/>
      <c r="U491" s="2010"/>
      <c r="V491" s="2010"/>
      <c r="W491" s="2010"/>
      <c r="X491" s="2010"/>
      <c r="Y491" s="2010"/>
      <c r="Z491" s="2010"/>
      <c r="AA491" s="2010"/>
      <c r="AB491" s="2010"/>
      <c r="AC491" s="2010"/>
      <c r="AD491" s="2010"/>
      <c r="AE491" s="201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6" t="s">
        <v>600</v>
      </c>
      <c r="G492" s="1996"/>
      <c r="H492" s="1996"/>
      <c r="I492" s="1996"/>
      <c r="J492" s="1996"/>
      <c r="K492" s="1996"/>
      <c r="L492" s="1996"/>
      <c r="M492" s="1996"/>
      <c r="N492" s="1996"/>
      <c r="O492" s="1996"/>
      <c r="P492" s="1996"/>
      <c r="Q492" s="1996"/>
      <c r="R492" s="1996"/>
      <c r="S492" s="1996"/>
      <c r="T492" s="1996"/>
      <c r="U492" s="1996"/>
      <c r="V492" s="1996"/>
      <c r="W492" s="1996"/>
      <c r="X492" s="1996"/>
      <c r="Y492" s="1996"/>
      <c r="Z492" s="1996"/>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8" t="s">
        <v>600</v>
      </c>
      <c r="D494" s="1989"/>
      <c r="E494" s="797" t="s">
        <v>769</v>
      </c>
      <c r="F494" s="1997" t="s">
        <v>1717</v>
      </c>
      <c r="G494" s="1997"/>
      <c r="H494" s="1997"/>
      <c r="I494" s="1997"/>
      <c r="J494" s="1997"/>
      <c r="K494" s="1997"/>
      <c r="L494" s="1997"/>
      <c r="M494" s="1997"/>
      <c r="N494" s="1997"/>
      <c r="O494" s="1997"/>
      <c r="P494" s="1997"/>
      <c r="Q494" s="1997"/>
      <c r="R494" s="1997"/>
      <c r="S494" s="1997"/>
      <c r="T494" s="1997"/>
      <c r="U494" s="1997"/>
      <c r="V494" s="1997"/>
      <c r="W494" s="1997"/>
      <c r="X494" s="1997"/>
      <c r="Y494" s="1997"/>
      <c r="Z494" s="1997"/>
      <c r="AA494" s="1997"/>
      <c r="AB494" s="1997"/>
      <c r="AC494" s="1997"/>
      <c r="AD494" s="1997"/>
      <c r="AE494" s="199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8"/>
      <c r="G495" s="1998"/>
      <c r="H495" s="1998"/>
      <c r="I495" s="1998"/>
      <c r="J495" s="1998"/>
      <c r="K495" s="1998"/>
      <c r="L495" s="1998"/>
      <c r="M495" s="1998"/>
      <c r="N495" s="1998"/>
      <c r="O495" s="1998"/>
      <c r="P495" s="1998"/>
      <c r="Q495" s="1998"/>
      <c r="R495" s="1998"/>
      <c r="S495" s="1998"/>
      <c r="T495" s="1998"/>
      <c r="U495" s="1998"/>
      <c r="V495" s="1998"/>
      <c r="W495" s="1998"/>
      <c r="X495" s="1998"/>
      <c r="Y495" s="1998"/>
      <c r="Z495" s="1998"/>
      <c r="AA495" s="1998"/>
      <c r="AB495" s="1998"/>
      <c r="AC495" s="1998"/>
      <c r="AD495" s="1998"/>
      <c r="AE495" s="199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9" t="s">
        <v>600</v>
      </c>
      <c r="G497" s="1999"/>
      <c r="H497" s="199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8" t="s">
        <v>600</v>
      </c>
      <c r="D499" s="1989"/>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90"/>
      <c r="D501" s="199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92" t="s">
        <v>600</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3" t="s">
        <v>600</v>
      </c>
      <c r="D504" s="1994"/>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3" t="s">
        <v>600</v>
      </c>
      <c r="D508" s="1994"/>
      <c r="F508" s="831" t="s">
        <v>1725</v>
      </c>
      <c r="G508" s="1913" t="s">
        <v>1726</v>
      </c>
      <c r="H508" s="1913"/>
      <c r="I508" s="1913"/>
      <c r="J508" s="1913"/>
      <c r="K508" s="1913"/>
      <c r="L508" s="1913"/>
      <c r="M508" s="1913"/>
      <c r="N508" s="1913"/>
      <c r="O508" s="1913"/>
      <c r="P508" s="1913"/>
      <c r="Q508" s="1913"/>
      <c r="R508" s="1913"/>
      <c r="S508" s="1913"/>
      <c r="T508" s="1913"/>
      <c r="U508" s="1913"/>
      <c r="V508" s="1913"/>
      <c r="W508" s="1913"/>
      <c r="X508" s="1913"/>
      <c r="Y508" s="1913"/>
      <c r="Z508" s="1913"/>
      <c r="AA508" s="1913"/>
      <c r="AB508" s="1913"/>
      <c r="AC508" s="1913"/>
      <c r="AD508" s="1913"/>
      <c r="AE508" s="1913"/>
      <c r="AF508" s="1913"/>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5"/>
      <c r="H509" s="1995"/>
      <c r="I509" s="1995"/>
      <c r="J509" s="1995"/>
      <c r="K509" s="1995"/>
      <c r="L509" s="1995"/>
      <c r="M509" s="1995"/>
      <c r="N509" s="1995"/>
      <c r="O509" s="1995"/>
      <c r="P509" s="1995"/>
      <c r="Q509" s="1995"/>
      <c r="R509" s="1995"/>
      <c r="S509" s="1995"/>
      <c r="T509" s="1995"/>
      <c r="U509" s="1995"/>
      <c r="V509" s="1995"/>
      <c r="W509" s="1995"/>
      <c r="X509" s="1995"/>
      <c r="Y509" s="1995"/>
      <c r="Z509" s="1995"/>
      <c r="AA509" s="1995"/>
      <c r="AB509" s="1995"/>
      <c r="AC509" s="1995"/>
      <c r="AD509" s="1995"/>
      <c r="AE509" s="1995"/>
      <c r="AF509" s="199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0" t="s">
        <v>600</v>
      </c>
      <c r="D512" s="2001"/>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2" t="s">
        <v>600</v>
      </c>
      <c r="G513" s="2002"/>
      <c r="H513" s="2002"/>
      <c r="I513" s="2002"/>
      <c r="J513" s="2002"/>
      <c r="K513" s="2002"/>
      <c r="L513" s="2002"/>
      <c r="M513" s="2002"/>
      <c r="N513" s="2002"/>
      <c r="O513" s="2002"/>
      <c r="P513" s="2002"/>
      <c r="Q513" s="2002"/>
      <c r="R513" s="2002"/>
      <c r="S513" s="2002"/>
      <c r="T513" s="2002"/>
      <c r="U513" s="2002"/>
      <c r="V513" s="2002"/>
      <c r="W513" s="2002"/>
      <c r="X513" s="2002"/>
      <c r="Y513" s="2002"/>
      <c r="Z513" s="2002"/>
      <c r="AA513" s="2002"/>
      <c r="AB513" s="2002"/>
      <c r="AC513" s="2002"/>
      <c r="AD513" s="2002"/>
      <c r="AE513" s="2002"/>
      <c r="AF513" s="200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3"/>
      <c r="G514" s="2003"/>
      <c r="H514" s="2003"/>
      <c r="I514" s="2003"/>
      <c r="J514" s="2003"/>
      <c r="K514" s="2003"/>
      <c r="L514" s="2003"/>
      <c r="M514" s="2003"/>
      <c r="N514" s="2003"/>
      <c r="O514" s="2003"/>
      <c r="P514" s="2003"/>
      <c r="Q514" s="2003"/>
      <c r="R514" s="2003"/>
      <c r="S514" s="2003"/>
      <c r="T514" s="2003"/>
      <c r="U514" s="2003"/>
      <c r="V514" s="2003"/>
      <c r="W514" s="2003"/>
      <c r="X514" s="2003"/>
      <c r="Y514" s="2003"/>
      <c r="Z514" s="2003"/>
      <c r="AA514" s="2003"/>
      <c r="AB514" s="2003"/>
      <c r="AC514" s="2003"/>
      <c r="AD514" s="2003"/>
      <c r="AE514" s="2003"/>
      <c r="AF514" s="200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8">
        <f>SUM(AG468:AG513)</f>
        <v>0</v>
      </c>
      <c r="AL524" s="1909"/>
      <c r="AM524" s="191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4" t="s">
        <v>1738</v>
      </c>
      <c r="AF527" s="1914"/>
      <c r="AG527" s="1914"/>
      <c r="AH527" s="1914"/>
      <c r="AI527" s="1914"/>
      <c r="AJ527" s="1914"/>
      <c r="AK527" s="1914"/>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3" t="s">
        <v>554</v>
      </c>
      <c r="D530" s="1923"/>
      <c r="E530" s="586"/>
      <c r="F530" s="1982" t="s">
        <v>1739</v>
      </c>
      <c r="G530" s="1983"/>
      <c r="H530" s="1983"/>
      <c r="I530" s="1983"/>
      <c r="J530" s="1983"/>
      <c r="K530" s="1983"/>
      <c r="L530" s="1983"/>
      <c r="M530" s="1983"/>
      <c r="N530" s="1983"/>
      <c r="O530" s="1983"/>
      <c r="P530" s="1983"/>
      <c r="Q530" s="1983"/>
      <c r="R530" s="1983"/>
      <c r="S530" s="1983"/>
      <c r="T530" s="1983"/>
      <c r="U530" s="1983"/>
      <c r="V530" s="1983"/>
      <c r="W530" s="1983"/>
      <c r="X530" s="1983"/>
      <c r="Y530" s="1983"/>
      <c r="Z530" s="1983"/>
      <c r="AA530" s="1983"/>
      <c r="AB530" s="1983"/>
      <c r="AC530" s="1983"/>
      <c r="AD530" s="1983"/>
      <c r="AE530" s="1983"/>
      <c r="AF530" s="1983"/>
      <c r="AG530" s="1983"/>
      <c r="AH530" s="1983"/>
      <c r="AI530" s="1983"/>
      <c r="AJ530" s="1983"/>
      <c r="AK530" s="1983"/>
      <c r="AL530" s="1984"/>
      <c r="AM530" s="630"/>
      <c r="AN530" s="632"/>
    </row>
    <row r="531" spans="1:49" s="585" customFormat="1" ht="12.75" customHeight="1">
      <c r="A531" s="574"/>
      <c r="B531" s="574"/>
      <c r="C531" s="586"/>
      <c r="D531" s="586"/>
      <c r="E531" s="586"/>
      <c r="F531" s="1985"/>
      <c r="G531" s="1986"/>
      <c r="H531" s="1986"/>
      <c r="I531" s="1986"/>
      <c r="J531" s="1986"/>
      <c r="K531" s="1986"/>
      <c r="L531" s="1986"/>
      <c r="M531" s="1986"/>
      <c r="N531" s="1986"/>
      <c r="O531" s="1986"/>
      <c r="P531" s="1986"/>
      <c r="Q531" s="1986"/>
      <c r="R531" s="1986"/>
      <c r="S531" s="1986"/>
      <c r="T531" s="1986"/>
      <c r="U531" s="1986"/>
      <c r="V531" s="1986"/>
      <c r="W531" s="1986"/>
      <c r="X531" s="1986"/>
      <c r="Y531" s="1986"/>
      <c r="Z531" s="1986"/>
      <c r="AA531" s="1986"/>
      <c r="AB531" s="1986"/>
      <c r="AC531" s="1986"/>
      <c r="AD531" s="1986"/>
      <c r="AE531" s="1986"/>
      <c r="AF531" s="1986"/>
      <c r="AG531" s="1986"/>
      <c r="AH531" s="1986"/>
      <c r="AI531" s="1986"/>
      <c r="AJ531" s="1986"/>
      <c r="AK531" s="1986"/>
      <c r="AL531" s="198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3" t="s">
        <v>600</v>
      </c>
      <c r="D533" s="1923"/>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0" t="s">
        <v>1741</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630"/>
      <c r="AN534" s="632"/>
      <c r="AS534" s="906"/>
      <c r="AT534" s="906"/>
      <c r="AU534" s="906"/>
      <c r="AV534" s="906"/>
      <c r="AW534" s="906"/>
    </row>
    <row r="535" spans="1:49" s="585" customFormat="1" ht="12.75" customHeight="1">
      <c r="B535" s="842"/>
      <c r="C535" s="842"/>
      <c r="D535" s="842"/>
      <c r="E535" s="842"/>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0" t="s">
        <v>1742</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849"/>
      <c r="AM537" s="630"/>
      <c r="AN537" s="632"/>
    </row>
    <row r="538" spans="1:49" s="585" customFormat="1" ht="12.75" customHeight="1">
      <c r="B538" s="842"/>
      <c r="C538" s="842"/>
      <c r="D538" s="842"/>
      <c r="E538" s="842"/>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5">
        <f>Application!AJ961</f>
        <v>87884834</v>
      </c>
      <c r="AQ539" s="1895"/>
      <c r="AR539" s="1895"/>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5">
        <f>'Sources and Uses Budget'!S107+'Sources and Uses Budget'!T107</f>
        <v>66600399</v>
      </c>
      <c r="AG540" s="1905"/>
      <c r="AH540" s="1905"/>
      <c r="AI540" s="1905"/>
      <c r="AJ540" s="1905"/>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6">
        <f>IFERROR(AP548,0)</f>
        <v>115129132.54000001</v>
      </c>
      <c r="AG541" s="1906"/>
      <c r="AH541" s="1906"/>
      <c r="AI541" s="1906"/>
      <c r="AJ541" s="1906"/>
      <c r="AK541" s="630"/>
      <c r="AL541" s="630"/>
      <c r="AM541" s="630"/>
      <c r="AN541" s="632"/>
      <c r="AP541" s="1895">
        <f>Application!AJ1010</f>
        <v>2636545.02</v>
      </c>
      <c r="AQ541" s="1895"/>
      <c r="AR541" s="189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7">
        <f>IFERROR(ROUNDDOWN(IF(C533="YES",((1-(AF540/AF541))*2),(1-(AF540/AF541))),2),0)</f>
        <v>0.42</v>
      </c>
      <c r="AG542" s="1907"/>
      <c r="AH542" s="1907"/>
      <c r="AI542" s="1907"/>
      <c r="AJ542" s="1907"/>
      <c r="AK542" s="630"/>
      <c r="AL542" s="630"/>
      <c r="AM542" s="630"/>
      <c r="AN542" s="632"/>
      <c r="AP542" s="1896">
        <f>Application!AJ1014</f>
        <v>24607753.520000003</v>
      </c>
      <c r="AQ542" s="1896"/>
      <c r="AR542" s="18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5">
        <f>IF(((AP541+AP542)/AP539)&gt;0.8,0.8,((AP541+AP542)/AP539))</f>
        <v>0.31000000000000005</v>
      </c>
      <c r="AQ543" s="1915"/>
      <c r="AR543" s="1915"/>
    </row>
    <row r="544" spans="1:49" s="585" customFormat="1" ht="12.75" customHeight="1">
      <c r="A544" s="659"/>
      <c r="B544" s="1961" t="s">
        <v>2428</v>
      </c>
      <c r="C544" s="1962"/>
      <c r="D544" s="1962"/>
      <c r="E544" s="1962"/>
      <c r="F544" s="1962"/>
      <c r="G544" s="1962"/>
      <c r="H544" s="1962"/>
      <c r="I544" s="1962"/>
      <c r="J544" s="1962"/>
      <c r="K544" s="1962"/>
      <c r="L544" s="1962"/>
      <c r="M544" s="1962"/>
      <c r="N544" s="1962"/>
      <c r="O544" s="1962"/>
      <c r="P544" s="1962"/>
      <c r="Q544" s="1962"/>
      <c r="R544" s="1962"/>
      <c r="S544" s="1962"/>
      <c r="T544" s="1962"/>
      <c r="U544" s="1962"/>
      <c r="V544" s="1962"/>
      <c r="W544" s="1962"/>
      <c r="X544" s="1962"/>
      <c r="Y544" s="1962"/>
      <c r="Z544" s="1962"/>
      <c r="AA544" s="1962"/>
      <c r="AB544" s="1962"/>
      <c r="AC544" s="1962"/>
      <c r="AD544" s="1962"/>
      <c r="AE544" s="1962"/>
      <c r="AF544" s="1962"/>
      <c r="AG544" s="1962"/>
      <c r="AH544" s="1962"/>
      <c r="AI544" s="1962"/>
      <c r="AJ544" s="1963"/>
      <c r="AK544" s="630"/>
      <c r="AL544" s="630"/>
      <c r="AM544" s="630"/>
      <c r="AN544" s="632"/>
    </row>
    <row r="545" spans="1:44" s="585" customFormat="1" ht="12.75" customHeight="1">
      <c r="A545" s="659"/>
      <c r="B545" s="1964"/>
      <c r="C545" s="1965"/>
      <c r="D545" s="1965"/>
      <c r="E545" s="1965"/>
      <c r="F545" s="1965"/>
      <c r="G545" s="1965"/>
      <c r="H545" s="1965"/>
      <c r="I545" s="1965"/>
      <c r="J545" s="1965"/>
      <c r="K545" s="1965"/>
      <c r="L545" s="1965"/>
      <c r="M545" s="1965"/>
      <c r="N545" s="1965"/>
      <c r="O545" s="1965"/>
      <c r="P545" s="1965"/>
      <c r="Q545" s="1965"/>
      <c r="R545" s="1965"/>
      <c r="S545" s="1965"/>
      <c r="T545" s="1965"/>
      <c r="U545" s="1965"/>
      <c r="V545" s="1965"/>
      <c r="W545" s="1965"/>
      <c r="X545" s="1965"/>
      <c r="Y545" s="1965"/>
      <c r="Z545" s="1965"/>
      <c r="AA545" s="1965"/>
      <c r="AB545" s="1965"/>
      <c r="AC545" s="1965"/>
      <c r="AD545" s="1965"/>
      <c r="AE545" s="1965"/>
      <c r="AF545" s="1965"/>
      <c r="AG545" s="1965"/>
      <c r="AH545" s="1965"/>
      <c r="AI545" s="1965"/>
      <c r="AJ545" s="1966"/>
      <c r="AK545" s="630"/>
      <c r="AL545" s="630"/>
      <c r="AM545" s="630"/>
      <c r="AN545" s="632"/>
      <c r="AP545" s="1895">
        <f>AP546-AP541-AP542</f>
        <v>87884834</v>
      </c>
      <c r="AQ545" s="1916"/>
      <c r="AR545" s="1916"/>
    </row>
    <row r="546" spans="1:44" s="585" customFormat="1" ht="12.75" customHeight="1">
      <c r="A546" s="659"/>
      <c r="B546" s="1967"/>
      <c r="C546" s="1968"/>
      <c r="D546" s="1968"/>
      <c r="E546" s="1968"/>
      <c r="F546" s="1968"/>
      <c r="G546" s="1968"/>
      <c r="H546" s="1968"/>
      <c r="I546" s="1968"/>
      <c r="J546" s="1968"/>
      <c r="K546" s="1968"/>
      <c r="L546" s="1968"/>
      <c r="M546" s="1968"/>
      <c r="N546" s="1968"/>
      <c r="O546" s="1968"/>
      <c r="P546" s="1968"/>
      <c r="Q546" s="1968"/>
      <c r="R546" s="1968"/>
      <c r="S546" s="1968"/>
      <c r="T546" s="1968"/>
      <c r="U546" s="1968"/>
      <c r="V546" s="1968"/>
      <c r="W546" s="1968"/>
      <c r="X546" s="1968"/>
      <c r="Y546" s="1968"/>
      <c r="Z546" s="1968"/>
      <c r="AA546" s="1968"/>
      <c r="AB546" s="1968"/>
      <c r="AC546" s="1968"/>
      <c r="AD546" s="1968"/>
      <c r="AE546" s="1968"/>
      <c r="AF546" s="1968"/>
      <c r="AG546" s="1968"/>
      <c r="AH546" s="1968"/>
      <c r="AI546" s="1968"/>
      <c r="AJ546" s="1969"/>
      <c r="AK546" s="630"/>
      <c r="AL546" s="630"/>
      <c r="AM546" s="630"/>
      <c r="AN546" s="632"/>
      <c r="AP546" s="1895">
        <f>Application!AJ1018</f>
        <v>115129132.53999999</v>
      </c>
      <c r="AQ546" s="1895"/>
      <c r="AR546" s="189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0">
        <f>IFERROR(IF(AND(C530="N/A",C533="N/A"),0,IF(AF542=0,0,IF((AF542*100)&gt;12,12,(AF542*100)))),0)</f>
        <v>12</v>
      </c>
      <c r="AL548" s="1970"/>
      <c r="AM548" s="1971"/>
      <c r="AN548" s="632"/>
      <c r="AP548" s="1884">
        <f>AP545+(AP539*AP543)</f>
        <v>115129132.54000001</v>
      </c>
      <c r="AQ548" s="1885"/>
      <c r="AR548" s="188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4" t="s">
        <v>1487</v>
      </c>
      <c r="AF551" s="1914"/>
      <c r="AG551" s="1914"/>
      <c r="AH551" s="1914"/>
      <c r="AI551" s="1914"/>
      <c r="AJ551" s="1914"/>
      <c r="AK551" s="191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1" t="s">
        <v>2419</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677"/>
      <c r="AL553" s="608"/>
      <c r="AM553" s="638"/>
      <c r="AN553" s="632"/>
    </row>
    <row r="554" spans="1:44" s="585" customFormat="1" ht="12.75" customHeight="1">
      <c r="A554" s="638"/>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677"/>
      <c r="AL554" s="608"/>
      <c r="AM554" s="638"/>
      <c r="AN554" s="632"/>
    </row>
    <row r="555" spans="1:44" s="585" customFormat="1" ht="12.75" customHeight="1">
      <c r="A555" s="638"/>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677"/>
      <c r="AL555" s="608"/>
      <c r="AM555" s="638"/>
      <c r="AN555" s="632"/>
    </row>
    <row r="556" spans="1:44" s="585" customFormat="1" ht="12.75" customHeight="1">
      <c r="A556" s="638"/>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677"/>
      <c r="AL556" s="608"/>
      <c r="AM556" s="638"/>
      <c r="AN556" s="632"/>
    </row>
    <row r="557" spans="1:44" s="585" customFormat="1" ht="12.75" customHeight="1">
      <c r="A557" s="638"/>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677"/>
      <c r="AL557" s="608"/>
      <c r="AM557" s="638"/>
      <c r="AN557" s="632"/>
    </row>
    <row r="558" spans="1:44" s="585" customFormat="1" ht="12.75" customHeight="1">
      <c r="A558" s="638"/>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677"/>
      <c r="AL558" s="608"/>
      <c r="AM558" s="638"/>
      <c r="AN558" s="632"/>
    </row>
    <row r="559" spans="1:44" s="585" customFormat="1" ht="12.75" customHeight="1">
      <c r="A559" s="638"/>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677"/>
      <c r="AL559" s="608"/>
      <c r="AM559" s="638"/>
      <c r="AN559" s="632"/>
    </row>
    <row r="560" spans="1:44" ht="12.75" customHeight="1">
      <c r="A560" s="638"/>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677"/>
      <c r="AL560" s="608"/>
      <c r="AM560" s="638"/>
    </row>
    <row r="561" spans="1:42" s="585"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1" t="s">
        <v>1511</v>
      </c>
      <c r="AG567" s="1981"/>
      <c r="AH567" s="1981"/>
      <c r="AI567" s="1981"/>
      <c r="AJ567" s="1981"/>
      <c r="AK567" s="1981"/>
      <c r="AL567" s="1981"/>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1" t="s">
        <v>1569</v>
      </c>
      <c r="AG574" s="1981"/>
      <c r="AH574" s="1981"/>
      <c r="AI574" s="1981"/>
      <c r="AJ574" s="1981"/>
      <c r="AK574" s="1981"/>
      <c r="AL574" s="1981"/>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1" t="s">
        <v>1551</v>
      </c>
      <c r="AG580" s="1981"/>
      <c r="AH580" s="1981"/>
      <c r="AI580" s="1981"/>
      <c r="AJ580" s="1981"/>
      <c r="AK580" s="1981"/>
      <c r="AL580" s="1981"/>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1" t="s">
        <v>1572</v>
      </c>
      <c r="AG586" s="1981"/>
      <c r="AH586" s="1981"/>
      <c r="AI586" s="1981"/>
      <c r="AJ586" s="1981"/>
      <c r="AK586" s="1981"/>
      <c r="AL586" s="1981"/>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9" t="s">
        <v>1327</v>
      </c>
      <c r="P590" s="2019"/>
      <c r="Q590" s="2019"/>
      <c r="R590" s="2019"/>
      <c r="S590" s="2019"/>
      <c r="T590" s="2019"/>
      <c r="U590" s="2019"/>
      <c r="V590" s="2019"/>
      <c r="W590" s="2019"/>
      <c r="X590" s="2019"/>
      <c r="Y590" s="2019"/>
      <c r="Z590" s="2019"/>
      <c r="AA590" s="2019"/>
      <c r="AB590" s="201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1" t="s">
        <v>1525</v>
      </c>
      <c r="AG592" s="1981"/>
      <c r="AH592" s="1981"/>
      <c r="AI592" s="1981"/>
      <c r="AJ592" s="1981"/>
      <c r="AK592" s="1981"/>
      <c r="AL592" s="1981"/>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5" t="s">
        <v>518</v>
      </c>
      <c r="I595" s="192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8" t="s">
        <v>600</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6" t="s">
        <v>600</v>
      </c>
      <c r="C605" s="2016"/>
      <c r="D605" s="677"/>
      <c r="E605" s="1901" t="s">
        <v>1576</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677"/>
      <c r="AI605" s="677"/>
      <c r="AJ605" s="677"/>
      <c r="AK605" s="677"/>
      <c r="AL605" s="677"/>
      <c r="AN605" s="632"/>
    </row>
    <row r="606" spans="2:47" s="585" customFormat="1" ht="12.75" customHeight="1">
      <c r="B606" s="571"/>
      <c r="C606" s="970"/>
      <c r="D606" s="677"/>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677"/>
      <c r="AI606" s="677"/>
      <c r="AJ606" s="677"/>
      <c r="AK606" s="677"/>
      <c r="AL606" s="677"/>
      <c r="AN606" s="632"/>
    </row>
    <row r="607" spans="2:47" s="585" customFormat="1" ht="12.75" customHeight="1">
      <c r="B607" s="571"/>
      <c r="C607" s="970"/>
      <c r="D607" s="677"/>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677"/>
      <c r="AI607" s="677"/>
      <c r="AJ607" s="677"/>
      <c r="AK607" s="677"/>
      <c r="AL607" s="677"/>
      <c r="AN607" s="632"/>
    </row>
    <row r="608" spans="2:47" s="585" customFormat="1" ht="12.75" customHeight="1">
      <c r="B608" s="571"/>
      <c r="C608" s="970"/>
      <c r="D608" s="677"/>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8">
        <f>VLOOKUP($H$595,$AO$575:$AP$580,2,FALSE)+VLOOKUP($I$603,$AO$602:$AP$604,2,FALSE)</f>
        <v>6</v>
      </c>
      <c r="AK610" s="191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7" t="s">
        <v>1955</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4"/>
      <c r="AF614" s="1981" t="s">
        <v>1525</v>
      </c>
      <c r="AG614" s="1981"/>
      <c r="AH614" s="1981"/>
      <c r="AI614" s="1981"/>
      <c r="AJ614" s="1981"/>
      <c r="AK614" s="1981"/>
      <c r="AL614" s="1981"/>
      <c r="AM614" s="585"/>
      <c r="AN614" s="713"/>
    </row>
    <row r="615" spans="1:42" s="585" customFormat="1" ht="12.75" customHeight="1">
      <c r="A615" s="714"/>
      <c r="B615" s="571"/>
      <c r="C615" s="970"/>
      <c r="D615" s="698"/>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1"/>
      <c r="AF615" s="571"/>
      <c r="AG615" s="571"/>
      <c r="AH615" s="571"/>
      <c r="AI615" s="571"/>
      <c r="AJ615" s="571"/>
      <c r="AK615" s="571"/>
      <c r="AL615" s="571"/>
      <c r="AN615" s="632"/>
    </row>
    <row r="616" spans="1:42" s="585" customFormat="1" ht="12.75" customHeight="1">
      <c r="B616" s="571"/>
      <c r="C616" s="968"/>
      <c r="D616" s="698"/>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1"/>
      <c r="AF616" s="571"/>
      <c r="AG616" s="571"/>
      <c r="AH616" s="571"/>
      <c r="AI616" s="571"/>
      <c r="AJ616" s="571"/>
      <c r="AK616" s="571"/>
      <c r="AL616" s="571"/>
      <c r="AN616" s="632"/>
    </row>
    <row r="617" spans="1:42" s="585" customFormat="1" ht="12.75" customHeight="1">
      <c r="B617" s="571"/>
      <c r="C617" s="968"/>
      <c r="D617" s="698"/>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1"/>
      <c r="AF617" s="571"/>
      <c r="AG617" s="571"/>
      <c r="AH617" s="571"/>
      <c r="AI617" s="571"/>
      <c r="AJ617" s="571"/>
      <c r="AK617" s="571"/>
      <c r="AL617" s="571"/>
      <c r="AN617" s="632"/>
    </row>
    <row r="618" spans="1:42" s="585" customFormat="1" ht="12.75" customHeight="1">
      <c r="B618" s="571"/>
      <c r="C618" s="968"/>
      <c r="D618" s="698"/>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1"/>
      <c r="AF618" s="571"/>
      <c r="AG618" s="571"/>
      <c r="AH618" s="571"/>
      <c r="AI618" s="571"/>
      <c r="AJ618" s="571"/>
      <c r="AK618" s="571"/>
      <c r="AL618" s="571"/>
      <c r="AN618" s="632"/>
    </row>
    <row r="619" spans="1:42" s="585" customFormat="1" ht="12.75" customHeight="1">
      <c r="B619" s="571"/>
      <c r="C619" s="968"/>
      <c r="D619" s="698"/>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1"/>
      <c r="AF619" s="571"/>
      <c r="AG619" s="571"/>
      <c r="AH619" s="571"/>
      <c r="AI619" s="571"/>
      <c r="AJ619" s="571"/>
      <c r="AK619" s="571"/>
      <c r="AL619" s="571"/>
      <c r="AN619" s="632"/>
    </row>
    <row r="620" spans="1:42" s="585" customFormat="1" ht="12.75" customHeight="1">
      <c r="A620" s="672"/>
      <c r="B620" s="651"/>
      <c r="C620" s="977"/>
      <c r="D620" s="698"/>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1"/>
      <c r="AF620" s="651"/>
      <c r="AG620" s="651"/>
      <c r="AH620" s="651"/>
      <c r="AI620" s="651"/>
      <c r="AJ620" s="651"/>
      <c r="AK620" s="571"/>
      <c r="AL620" s="571"/>
      <c r="AN620" s="632"/>
    </row>
    <row r="621" spans="1:42" s="585" customFormat="1" ht="12.75" customHeight="1">
      <c r="B621" s="651"/>
      <c r="C621" s="977"/>
      <c r="D621" s="698"/>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6" t="s">
        <v>600</v>
      </c>
      <c r="Y623" s="2016"/>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1" t="s">
        <v>1581</v>
      </c>
      <c r="AG625" s="1981"/>
      <c r="AH625" s="1981"/>
      <c r="AI625" s="1981"/>
      <c r="AJ625" s="1981"/>
      <c r="AK625" s="1981"/>
      <c r="AL625" s="1981"/>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5" t="s">
        <v>697</v>
      </c>
      <c r="I627" s="192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8">
        <f>VLOOKUP($H$627,$AO$594:$AP$596,2,FALSE)</f>
        <v>3</v>
      </c>
      <c r="AK629" s="191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1" t="s">
        <v>2519</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571"/>
      <c r="AF633" s="1981" t="s">
        <v>1525</v>
      </c>
      <c r="AG633" s="1981"/>
      <c r="AH633" s="1981"/>
      <c r="AI633" s="1981"/>
      <c r="AJ633" s="1981"/>
      <c r="AK633" s="1981"/>
      <c r="AL633" s="1981"/>
      <c r="AN633" s="632"/>
    </row>
    <row r="634" spans="1:42" s="585" customFormat="1" ht="12.75" customHeight="1">
      <c r="B634" s="571"/>
      <c r="C634" s="571"/>
      <c r="D634" s="698"/>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1" t="s">
        <v>1581</v>
      </c>
      <c r="AG636" s="1981"/>
      <c r="AH636" s="1981"/>
      <c r="AI636" s="1981"/>
      <c r="AJ636" s="1981"/>
      <c r="AK636" s="1981"/>
      <c r="AL636" s="1981"/>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5" t="s">
        <v>518</v>
      </c>
      <c r="I639" s="192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8">
        <f>VLOOKUP(H639,AT594:AU596,2,FALSE)</f>
        <v>2</v>
      </c>
      <c r="AK641" s="1910"/>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1" t="s">
        <v>1591</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571"/>
      <c r="AE646" s="571"/>
      <c r="AF646" s="1981" t="s">
        <v>1551</v>
      </c>
      <c r="AG646" s="1981"/>
      <c r="AH646" s="1981"/>
      <c r="AI646" s="1981"/>
      <c r="AJ646" s="1981"/>
      <c r="AK646" s="1981"/>
      <c r="AL646" s="1981"/>
      <c r="AN646" s="632"/>
    </row>
    <row r="647" spans="1:42" s="585" customFormat="1" ht="12.75" customHeight="1">
      <c r="B647" s="571"/>
      <c r="C647" s="574"/>
      <c r="D647" s="571"/>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571"/>
      <c r="AE647" s="571"/>
      <c r="AF647" s="571"/>
      <c r="AG647" s="571"/>
      <c r="AH647" s="571"/>
      <c r="AI647" s="571"/>
      <c r="AJ647" s="571"/>
      <c r="AK647" s="571"/>
      <c r="AL647" s="571"/>
      <c r="AN647" s="632"/>
    </row>
    <row r="648" spans="1:42" s="585" customFormat="1" ht="12.75" customHeight="1">
      <c r="B648" s="571"/>
      <c r="C648" s="574"/>
      <c r="D648" s="698"/>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1" t="s">
        <v>1592</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571"/>
      <c r="AE650" s="571"/>
      <c r="AF650" s="1981" t="s">
        <v>1572</v>
      </c>
      <c r="AG650" s="1981"/>
      <c r="AH650" s="1981"/>
      <c r="AI650" s="1981"/>
      <c r="AJ650" s="1981"/>
      <c r="AK650" s="1981"/>
      <c r="AL650" s="1981"/>
      <c r="AN650" s="632"/>
    </row>
    <row r="651" spans="1:42" s="585" customFormat="1" ht="12.75" customHeight="1">
      <c r="B651" s="571"/>
      <c r="C651" s="574"/>
      <c r="D651" s="571"/>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571"/>
      <c r="AE651" s="571"/>
      <c r="AF651" s="571"/>
      <c r="AG651" s="571"/>
      <c r="AH651" s="571"/>
      <c r="AI651" s="571"/>
      <c r="AJ651" s="571"/>
      <c r="AK651" s="571"/>
      <c r="AL651" s="571"/>
      <c r="AN651" s="632"/>
    </row>
    <row r="652" spans="1:42" s="585" customFormat="1" ht="15" customHeight="1">
      <c r="B652" s="571"/>
      <c r="C652" s="574"/>
      <c r="D652" s="698"/>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1" t="s">
        <v>1593</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571"/>
      <c r="AE654" s="571"/>
      <c r="AF654" s="1981" t="s">
        <v>1525</v>
      </c>
      <c r="AG654" s="1981"/>
      <c r="AH654" s="1981"/>
      <c r="AI654" s="1981"/>
      <c r="AJ654" s="1981"/>
      <c r="AK654" s="1981"/>
      <c r="AL654" s="1981"/>
      <c r="AN654" s="632"/>
    </row>
    <row r="655" spans="1:42" s="585" customFormat="1" ht="12.75" customHeight="1">
      <c r="B655" s="571"/>
      <c r="C655" s="968"/>
      <c r="D655" s="57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571"/>
      <c r="AE655" s="1981"/>
      <c r="AF655" s="1981"/>
      <c r="AG655" s="1981"/>
      <c r="AH655" s="1981"/>
      <c r="AI655" s="1981"/>
      <c r="AJ655" s="1981"/>
      <c r="AK655" s="1981"/>
      <c r="AL655" s="629"/>
      <c r="AN655" s="632"/>
      <c r="AO655" s="585" t="s">
        <v>600</v>
      </c>
      <c r="AP655" s="708">
        <v>0</v>
      </c>
    </row>
    <row r="656" spans="1:42" s="585" customFormat="1" ht="12.75" customHeight="1">
      <c r="A656" s="714"/>
      <c r="B656" s="571"/>
      <c r="C656" s="571"/>
      <c r="D656" s="698"/>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1" t="s">
        <v>1594</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571"/>
      <c r="AE658" s="571"/>
      <c r="AF658" s="1981" t="s">
        <v>1572</v>
      </c>
      <c r="AG658" s="1981"/>
      <c r="AH658" s="1981"/>
      <c r="AI658" s="1981"/>
      <c r="AJ658" s="1981"/>
      <c r="AK658" s="1981"/>
      <c r="AL658" s="1981"/>
      <c r="AN658" s="632"/>
    </row>
    <row r="659" spans="1:42" s="585" customFormat="1" ht="12.75" customHeight="1">
      <c r="A659" s="705"/>
      <c r="B659" s="571"/>
      <c r="C659" s="984"/>
      <c r="D659" s="698"/>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1" t="s">
        <v>1595</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571"/>
      <c r="AE662" s="571"/>
      <c r="AF662" s="1981" t="s">
        <v>1525</v>
      </c>
      <c r="AG662" s="1981"/>
      <c r="AH662" s="1981"/>
      <c r="AI662" s="1981"/>
      <c r="AJ662" s="1981"/>
      <c r="AK662" s="1981"/>
      <c r="AL662" s="1981"/>
      <c r="AM662" s="631"/>
      <c r="AN662" s="632"/>
    </row>
    <row r="663" spans="1:42" s="585" customFormat="1" ht="12.75" customHeight="1">
      <c r="B663" s="571"/>
      <c r="C663" s="968"/>
      <c r="D663" s="698"/>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571"/>
      <c r="AE663" s="571"/>
      <c r="AF663" s="571"/>
      <c r="AG663" s="571"/>
      <c r="AH663" s="571"/>
      <c r="AI663" s="571"/>
      <c r="AJ663" s="571"/>
      <c r="AK663" s="571"/>
      <c r="AL663" s="571"/>
      <c r="AM663" s="631"/>
      <c r="AN663" s="632"/>
    </row>
    <row r="664" spans="1:42" s="585" customFormat="1" ht="12.75" customHeight="1">
      <c r="B664" s="571"/>
      <c r="C664" s="968"/>
      <c r="D664" s="698"/>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1" t="s">
        <v>1596</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571"/>
      <c r="AE666" s="571"/>
      <c r="AF666" s="1981" t="s">
        <v>1581</v>
      </c>
      <c r="AG666" s="1981"/>
      <c r="AH666" s="1981"/>
      <c r="AI666" s="1981"/>
      <c r="AJ666" s="1981"/>
      <c r="AK666" s="1981"/>
      <c r="AL666" s="1981"/>
      <c r="AM666" s="631"/>
      <c r="AN666" s="632"/>
    </row>
    <row r="667" spans="1:42" s="585" customFormat="1" ht="12.75" customHeight="1">
      <c r="A667" s="714"/>
      <c r="B667" s="571"/>
      <c r="C667" s="968"/>
      <c r="D667" s="698"/>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1" t="s">
        <v>1597</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571"/>
      <c r="AE670" s="571"/>
      <c r="AF670" s="1981" t="s">
        <v>1598</v>
      </c>
      <c r="AG670" s="1981"/>
      <c r="AH670" s="1981"/>
      <c r="AI670" s="1981"/>
      <c r="AJ670" s="1981"/>
      <c r="AK670" s="1981"/>
      <c r="AL670" s="1981"/>
      <c r="AM670" s="631"/>
      <c r="AN670" s="632"/>
      <c r="AO670" s="646" t="s">
        <v>697</v>
      </c>
      <c r="AP670" s="585">
        <v>3</v>
      </c>
    </row>
    <row r="671" spans="1:42" s="585" customFormat="1" ht="12.75" customHeight="1">
      <c r="A671" s="714"/>
      <c r="B671" s="571"/>
      <c r="C671" s="968"/>
      <c r="D671" s="698"/>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5" t="s">
        <v>697</v>
      </c>
      <c r="I674" s="192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8">
        <f>VLOOKUP($H$674,$AO$622:$AP$629,2,FALSE)</f>
        <v>5</v>
      </c>
      <c r="AK676" s="191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1" t="s">
        <v>2556</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571"/>
      <c r="AD680" s="571"/>
      <c r="AE680" s="571"/>
      <c r="AF680" s="1981" t="s">
        <v>1525</v>
      </c>
      <c r="AG680" s="1981"/>
      <c r="AH680" s="1981"/>
      <c r="AI680" s="1981"/>
      <c r="AJ680" s="1981"/>
      <c r="AK680" s="1981"/>
      <c r="AL680" s="1981"/>
      <c r="AN680" s="632"/>
    </row>
    <row r="681" spans="1:42" s="585" customFormat="1" ht="12.75" customHeight="1">
      <c r="B681" s="571"/>
      <c r="C681" s="977"/>
      <c r="D681" s="698"/>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571"/>
      <c r="AD681" s="571"/>
      <c r="AE681" s="651"/>
      <c r="AF681" s="571"/>
      <c r="AG681" s="571"/>
      <c r="AH681" s="571"/>
      <c r="AI681" s="571"/>
      <c r="AJ681" s="571"/>
      <c r="AK681" s="571"/>
      <c r="AL681" s="571"/>
      <c r="AN681" s="632"/>
      <c r="AO681" s="1916"/>
      <c r="AP681" s="1916"/>
    </row>
    <row r="682" spans="1:42" s="585" customFormat="1" ht="12.75" customHeight="1">
      <c r="B682" s="571"/>
      <c r="C682" s="977"/>
      <c r="D682" s="698"/>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571"/>
      <c r="AD682" s="571"/>
      <c r="AE682" s="651"/>
      <c r="AF682" s="651"/>
      <c r="AG682" s="651"/>
      <c r="AH682" s="651"/>
      <c r="AI682" s="651"/>
      <c r="AJ682" s="651"/>
      <c r="AK682" s="651"/>
      <c r="AL682" s="651"/>
      <c r="AN682" s="632"/>
    </row>
    <row r="683" spans="1:42" s="585" customFormat="1" ht="28.5" customHeight="1">
      <c r="B683" s="571"/>
      <c r="C683" s="977"/>
      <c r="D683" s="698"/>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1" t="s">
        <v>2557</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571"/>
      <c r="AD685" s="571"/>
      <c r="AE685" s="571"/>
      <c r="AF685" s="1981" t="s">
        <v>1581</v>
      </c>
      <c r="AG685" s="1981"/>
      <c r="AH685" s="1981"/>
      <c r="AI685" s="1981"/>
      <c r="AJ685" s="1981"/>
      <c r="AK685" s="1981"/>
      <c r="AL685" s="1981"/>
      <c r="AN685" s="632"/>
      <c r="AO685" s="646" t="s">
        <v>518</v>
      </c>
      <c r="AP685" s="585">
        <v>1</v>
      </c>
    </row>
    <row r="686" spans="1:42" s="585" customFormat="1" ht="12" customHeight="1">
      <c r="B686" s="571"/>
      <c r="C686" s="968"/>
      <c r="D686" s="571"/>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571"/>
      <c r="AD686" s="571"/>
      <c r="AE686" s="651"/>
      <c r="AF686" s="571"/>
      <c r="AG686" s="571"/>
      <c r="AH686" s="571"/>
      <c r="AI686" s="571"/>
      <c r="AJ686" s="571"/>
      <c r="AK686" s="571"/>
      <c r="AL686" s="571"/>
      <c r="AN686" s="632"/>
    </row>
    <row r="687" spans="1:42" s="585" customFormat="1" ht="12" customHeight="1">
      <c r="B687" s="571"/>
      <c r="C687" s="968"/>
      <c r="D687" s="571"/>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1" t="s">
        <v>1954</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5" t="s">
        <v>600</v>
      </c>
      <c r="I694" s="192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08">
        <f>VLOOKUP($H$694,$AO$641:$AP$643,2,FALSE)</f>
        <v>0</v>
      </c>
      <c r="AK696" s="191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4" t="s">
        <v>1956</v>
      </c>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571"/>
      <c r="AD700" s="571"/>
      <c r="AE700" s="571"/>
      <c r="AF700" s="1981" t="s">
        <v>1525</v>
      </c>
      <c r="AG700" s="1981"/>
      <c r="AH700" s="1981"/>
      <c r="AI700" s="1981"/>
      <c r="AJ700" s="1981"/>
      <c r="AK700" s="1981"/>
      <c r="AL700" s="1981"/>
      <c r="AM700" s="585"/>
      <c r="AN700" s="719"/>
      <c r="AP700" s="605" t="s">
        <v>1605</v>
      </c>
    </row>
    <row r="701" spans="1:42" s="605" customFormat="1" ht="11.7" customHeight="1">
      <c r="A701" s="585"/>
      <c r="B701" s="571"/>
      <c r="C701" s="970"/>
      <c r="D701" s="698"/>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518</v>
      </c>
      <c r="E704" s="2015" t="s">
        <v>1608</v>
      </c>
      <c r="F704" s="2015"/>
      <c r="G704" s="2015"/>
      <c r="H704" s="2015"/>
      <c r="I704" s="2015"/>
      <c r="J704" s="2015"/>
      <c r="K704" s="2015"/>
      <c r="L704" s="2015"/>
      <c r="M704" s="2015"/>
      <c r="N704" s="2015"/>
      <c r="O704" s="2015"/>
      <c r="P704" s="2015"/>
      <c r="Q704" s="2015"/>
      <c r="R704" s="2015"/>
      <c r="S704" s="2015"/>
      <c r="T704" s="2015"/>
      <c r="U704" s="2015"/>
      <c r="V704" s="2015"/>
      <c r="W704" s="2015"/>
      <c r="X704" s="2015"/>
      <c r="Y704" s="2015"/>
      <c r="Z704" s="2015"/>
      <c r="AA704" s="2015"/>
      <c r="AB704" s="2015"/>
      <c r="AC704" s="571"/>
      <c r="AD704" s="571"/>
      <c r="AE704" s="571"/>
      <c r="AF704" s="1981" t="s">
        <v>1581</v>
      </c>
      <c r="AG704" s="1981"/>
      <c r="AH704" s="1981"/>
      <c r="AI704" s="1981"/>
      <c r="AJ704" s="1981"/>
      <c r="AK704" s="1981"/>
      <c r="AL704" s="1981"/>
      <c r="AM704" s="585"/>
      <c r="AN704" s="720"/>
    </row>
    <row r="705" spans="1:52" s="605" customFormat="1" ht="12.75" customHeight="1">
      <c r="A705" s="585"/>
      <c r="B705" s="571"/>
      <c r="C705" s="970"/>
      <c r="D705" s="571"/>
      <c r="E705" s="2015"/>
      <c r="F705" s="2015"/>
      <c r="G705" s="2015"/>
      <c r="H705" s="2015"/>
      <c r="I705" s="2015"/>
      <c r="J705" s="2015"/>
      <c r="K705" s="2015"/>
      <c r="L705" s="2015"/>
      <c r="M705" s="2015"/>
      <c r="N705" s="2015"/>
      <c r="O705" s="2015"/>
      <c r="P705" s="2015"/>
      <c r="Q705" s="2015"/>
      <c r="R705" s="2015"/>
      <c r="S705" s="2015"/>
      <c r="T705" s="2015"/>
      <c r="U705" s="2015"/>
      <c r="V705" s="2015"/>
      <c r="W705" s="2015"/>
      <c r="X705" s="2015"/>
      <c r="Y705" s="2015"/>
      <c r="Z705" s="2015"/>
      <c r="AA705" s="2015"/>
      <c r="AB705" s="2015"/>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15"/>
      <c r="F706" s="2015"/>
      <c r="G706" s="2015"/>
      <c r="H706" s="2015"/>
      <c r="I706" s="2015"/>
      <c r="J706" s="2015"/>
      <c r="K706" s="2015"/>
      <c r="L706" s="2015"/>
      <c r="M706" s="2015"/>
      <c r="N706" s="2015"/>
      <c r="O706" s="2015"/>
      <c r="P706" s="2015"/>
      <c r="Q706" s="2015"/>
      <c r="R706" s="2015"/>
      <c r="S706" s="2015"/>
      <c r="T706" s="2015"/>
      <c r="U706" s="2015"/>
      <c r="V706" s="2015"/>
      <c r="W706" s="2015"/>
      <c r="X706" s="2015"/>
      <c r="Y706" s="2015"/>
      <c r="Z706" s="2015"/>
      <c r="AA706" s="2015"/>
      <c r="AB706" s="2015"/>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1573</v>
      </c>
      <c r="E708" s="973"/>
      <c r="F708" s="973"/>
      <c r="G708" s="973"/>
      <c r="H708" s="1925" t="s">
        <v>600</v>
      </c>
      <c r="I708" s="192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8">
        <f>VLOOKUP($H$708,$AO$641:$AP$643,2,FALSE)</f>
        <v>0</v>
      </c>
      <c r="AK710" s="1910"/>
      <c r="AL710" s="630"/>
      <c r="AM710" s="585"/>
      <c r="AN710" s="719"/>
      <c r="AP710" s="1908"/>
      <c r="AQ710" s="191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1" t="s">
        <v>1957</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571"/>
      <c r="AD714" s="571"/>
      <c r="AE714" s="571"/>
      <c r="AF714" s="1981" t="s">
        <v>1525</v>
      </c>
      <c r="AG714" s="1981"/>
      <c r="AH714" s="1981"/>
      <c r="AI714" s="1981"/>
      <c r="AJ714" s="1981"/>
      <c r="AK714" s="1981"/>
      <c r="AL714" s="1981"/>
      <c r="AM714" s="585"/>
      <c r="AN714" s="719"/>
      <c r="AT714" s="14"/>
      <c r="AU714" s="14"/>
      <c r="AV714" s="14"/>
      <c r="AW714" s="14"/>
      <c r="AX714" s="14"/>
      <c r="AY714" s="14"/>
      <c r="AZ714" s="14"/>
    </row>
    <row r="715" spans="1:52" s="605" customFormat="1">
      <c r="A715" s="585"/>
      <c r="B715" s="571"/>
      <c r="C715" s="970"/>
      <c r="D715" s="698"/>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1" t="s">
        <v>1612</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571"/>
      <c r="AD717" s="571"/>
      <c r="AE717" s="571"/>
      <c r="AF717" s="1981" t="s">
        <v>1581</v>
      </c>
      <c r="AG717" s="1981"/>
      <c r="AH717" s="1981"/>
      <c r="AI717" s="1981"/>
      <c r="AJ717" s="1981"/>
      <c r="AK717" s="1981"/>
      <c r="AL717" s="1981"/>
      <c r="AM717" s="585"/>
      <c r="AN717" s="719"/>
      <c r="AT717" s="14"/>
      <c r="AU717" s="14"/>
      <c r="AV717" s="14"/>
      <c r="AW717" s="14"/>
      <c r="AX717" s="14"/>
      <c r="AY717" s="14"/>
      <c r="AZ717" s="14"/>
    </row>
    <row r="718" spans="1:52" s="605" customFormat="1">
      <c r="A718" s="585"/>
      <c r="B718" s="571"/>
      <c r="C718" s="970"/>
      <c r="D718" s="571"/>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5" t="s">
        <v>600</v>
      </c>
      <c r="I720" s="192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8">
        <f>VLOOKUP($H$720,$AO$655:$AP$657,2,FALSE)</f>
        <v>0</v>
      </c>
      <c r="AK722" s="191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1" t="s">
        <v>1615</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571"/>
      <c r="AD726" s="571"/>
      <c r="AE726" s="571"/>
      <c r="AF726" s="1981" t="s">
        <v>1525</v>
      </c>
      <c r="AG726" s="1981"/>
      <c r="AH726" s="1981"/>
      <c r="AI726" s="1981"/>
      <c r="AJ726" s="1981"/>
      <c r="AK726" s="1981"/>
      <c r="AL726" s="1981"/>
      <c r="AM726" s="585"/>
      <c r="AN726" s="719"/>
      <c r="AT726" s="14"/>
      <c r="AU726" s="14"/>
      <c r="AV726" s="14"/>
      <c r="AW726" s="14"/>
      <c r="AX726" s="14"/>
      <c r="AY726" s="14"/>
      <c r="AZ726" s="14"/>
    </row>
    <row r="727" spans="1:81" s="605" customFormat="1">
      <c r="A727" s="585"/>
      <c r="B727" s="571"/>
      <c r="C727" s="968"/>
      <c r="D727" s="698"/>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1" t="s">
        <v>1616</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610"/>
      <c r="AC731" s="571"/>
      <c r="AD731" s="571"/>
      <c r="AE731" s="571"/>
      <c r="AF731" s="1981" t="s">
        <v>1581</v>
      </c>
      <c r="AG731" s="1981"/>
      <c r="AH731" s="1981"/>
      <c r="AI731" s="1981"/>
      <c r="AJ731" s="1981"/>
      <c r="AK731" s="1981"/>
      <c r="AL731" s="1981"/>
      <c r="AM731" s="585"/>
      <c r="AN731" s="719"/>
      <c r="AO731" s="30"/>
      <c r="AP731" s="14"/>
    </row>
    <row r="732" spans="1:81" s="605" customFormat="1">
      <c r="A732" s="585"/>
      <c r="B732" s="571"/>
      <c r="C732" s="968"/>
      <c r="D732" s="698"/>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5" t="s">
        <v>697</v>
      </c>
      <c r="I736" s="192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8">
        <f>VLOOKUP($H$736,$AO$669:$AP$671,2,FALSE)</f>
        <v>3</v>
      </c>
      <c r="AK738" s="191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1" t="s">
        <v>1618</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571"/>
      <c r="AD742" s="571"/>
      <c r="AE742" s="571"/>
      <c r="AF742" s="1981" t="s">
        <v>1581</v>
      </c>
      <c r="AG742" s="1981"/>
      <c r="AH742" s="1981"/>
      <c r="AI742" s="1981"/>
      <c r="AJ742" s="1981"/>
      <c r="AK742" s="1981"/>
      <c r="AL742" s="198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1" t="s">
        <v>1619</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571"/>
      <c r="AD745" s="571"/>
      <c r="AE745" s="571"/>
      <c r="AF745" s="1981" t="s">
        <v>1598</v>
      </c>
      <c r="AG745" s="1981"/>
      <c r="AH745" s="1981"/>
      <c r="AI745" s="1981"/>
      <c r="AJ745" s="1981"/>
      <c r="AK745" s="1981"/>
      <c r="AL745" s="198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5" t="s">
        <v>697</v>
      </c>
      <c r="I748" s="192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8">
        <f>VLOOKUP($H$748,$AO$683:$AP$685,2,FALSE)</f>
        <v>2</v>
      </c>
      <c r="AK750" s="191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697</v>
      </c>
      <c r="E754" s="1901" t="s">
        <v>1953</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571"/>
      <c r="AF754" s="1981" t="s">
        <v>1581</v>
      </c>
      <c r="AG754" s="1981"/>
      <c r="AH754" s="1981"/>
      <c r="AI754" s="1981"/>
      <c r="AJ754" s="1981"/>
      <c r="AK754" s="1981"/>
      <c r="AL754" s="1981"/>
      <c r="AM754" s="648"/>
      <c r="AN754" s="719"/>
    </row>
    <row r="755" spans="1:81" s="605" customFormat="1" ht="13.8" customHeight="1">
      <c r="A755" s="585"/>
      <c r="B755" s="651"/>
      <c r="C755" s="977"/>
      <c r="D755" s="698"/>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571"/>
      <c r="AF755" s="629"/>
      <c r="AG755" s="629"/>
      <c r="AH755" s="629"/>
      <c r="AI755" s="629"/>
      <c r="AJ755" s="629"/>
      <c r="AK755" s="629"/>
      <c r="AL755" s="629"/>
      <c r="AM755" s="648"/>
      <c r="AN755" s="719"/>
    </row>
    <row r="756" spans="1:81" s="605" customFormat="1">
      <c r="A756" s="585"/>
      <c r="B756" s="651"/>
      <c r="C756" s="977"/>
      <c r="D756" s="698"/>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3" t="s">
        <v>1958</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81" t="s">
        <v>1525</v>
      </c>
      <c r="AG759" s="1981"/>
      <c r="AH759" s="1981"/>
      <c r="AI759" s="1981"/>
      <c r="AJ759" s="1981"/>
      <c r="AK759" s="1981"/>
      <c r="AL759" s="1981"/>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5" t="s">
        <v>600</v>
      </c>
      <c r="I764" s="192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8">
        <f>VLOOKUP($H$764,$AP$705:$AQ$707,2,FALSE)</f>
        <v>0</v>
      </c>
      <c r="AK766" s="191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697</v>
      </c>
      <c r="E770" s="1901" t="s">
        <v>2429</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571"/>
      <c r="AF770" s="1981" t="s">
        <v>1525</v>
      </c>
      <c r="AG770" s="1981"/>
      <c r="AH770" s="1981"/>
      <c r="AI770" s="1981"/>
      <c r="AJ770" s="1981"/>
      <c r="AK770" s="1981"/>
      <c r="AL770" s="1981"/>
      <c r="AM770" s="648"/>
      <c r="AN770" s="719"/>
      <c r="AO770" s="646" t="s">
        <v>554</v>
      </c>
      <c r="AP770" s="585">
        <v>3</v>
      </c>
      <c r="AT770" s="709"/>
      <c r="AU770" s="709"/>
      <c r="AV770" s="709"/>
      <c r="AW770" s="709"/>
      <c r="AX770" s="709"/>
      <c r="AY770" s="709"/>
      <c r="AZ770" s="709"/>
    </row>
    <row r="771" spans="1:81" s="605" customFormat="1" ht="13.8" customHeight="1">
      <c r="A771" s="585"/>
      <c r="B771" s="651"/>
      <c r="C771" s="977"/>
      <c r="D771" s="698"/>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5" t="s">
        <v>600</v>
      </c>
      <c r="I775" s="192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8">
        <f>VLOOKUP($H$775,$AO$769:$AP$770,2,FALSE)</f>
        <v>0</v>
      </c>
      <c r="AK777" s="191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8">
        <f>IF(($AJ$610+$AJ$629+$AJ$641+$AJ$676+$AJ$696+$AJ$710+$AJ$722+$AJ$738+$AJ$750+$AJ$766+AJ777)&gt;10,10,($AJ$610+$AJ$629+$AJ$641+$AJ$676+$AJ$696+$AJ$710+$AJ$722+$AJ$738+$AJ$750+$AJ$766+AJ777))</f>
        <v>10</v>
      </c>
      <c r="AL779" s="1909"/>
      <c r="AM779" s="191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2" t="s">
        <v>1746</v>
      </c>
      <c r="B782" s="1973"/>
      <c r="C782" s="1973"/>
      <c r="D782" s="1973"/>
      <c r="E782" s="1973"/>
      <c r="F782" s="1973"/>
      <c r="G782" s="1973"/>
      <c r="H782" s="1973"/>
      <c r="I782" s="1973"/>
      <c r="J782" s="1973"/>
      <c r="K782" s="1973"/>
      <c r="L782" s="1973"/>
      <c r="M782" s="1973"/>
      <c r="N782" s="1973"/>
      <c r="O782" s="1973"/>
      <c r="P782" s="1973"/>
      <c r="Q782" s="1973"/>
      <c r="R782" s="1973"/>
      <c r="S782" s="1973"/>
      <c r="T782" s="1973"/>
      <c r="U782" s="1973"/>
      <c r="V782" s="1973"/>
      <c r="W782" s="1973"/>
      <c r="X782" s="1973"/>
      <c r="Y782" s="1973"/>
      <c r="Z782" s="1973"/>
      <c r="AA782" s="1973"/>
      <c r="AB782" s="1973"/>
      <c r="AC782" s="1973"/>
      <c r="AD782" s="1973"/>
      <c r="AE782" s="1973"/>
      <c r="AF782" s="1973"/>
      <c r="AG782" s="1973"/>
      <c r="AH782" s="1973"/>
      <c r="AI782" s="1973"/>
      <c r="AJ782" s="1973"/>
      <c r="AK782" s="1973"/>
      <c r="AL782" s="1973"/>
      <c r="AM782" s="1973"/>
    </row>
    <row r="783" spans="1:81">
      <c r="A783" s="1974"/>
      <c r="B783" s="1974"/>
      <c r="C783" s="1974"/>
      <c r="D783" s="1974"/>
      <c r="E783" s="1974"/>
      <c r="F783" s="1974"/>
      <c r="G783" s="1974"/>
      <c r="H783" s="1974"/>
      <c r="I783" s="1974"/>
      <c r="J783" s="1974"/>
      <c r="K783" s="1974"/>
      <c r="L783" s="1974"/>
      <c r="M783" s="1974"/>
      <c r="N783" s="1974"/>
      <c r="O783" s="1974"/>
      <c r="P783" s="1974"/>
      <c r="Q783" s="1974"/>
      <c r="R783" s="1974"/>
      <c r="S783" s="1974"/>
      <c r="T783" s="1974"/>
      <c r="U783" s="1974"/>
      <c r="V783" s="1974"/>
      <c r="W783" s="1974"/>
      <c r="X783" s="1974"/>
      <c r="Y783" s="1974"/>
      <c r="Z783" s="1974"/>
      <c r="AA783" s="1974"/>
      <c r="AB783" s="1974"/>
      <c r="AC783" s="1974"/>
      <c r="AD783" s="1974"/>
      <c r="AE783" s="1974"/>
      <c r="AF783" s="1974"/>
      <c r="AG783" s="1974"/>
      <c r="AH783" s="1974"/>
      <c r="AI783" s="1974"/>
      <c r="AJ783" s="1974"/>
      <c r="AK783" s="1974"/>
      <c r="AL783" s="1974"/>
      <c r="AM783" s="197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1"/>
      <c r="B785" s="1911"/>
      <c r="C785" s="1911"/>
      <c r="D785" s="1911"/>
      <c r="E785" s="1911"/>
      <c r="F785" s="1911"/>
      <c r="G785" s="1911"/>
      <c r="H785" s="1911"/>
      <c r="I785" s="1911"/>
      <c r="J785" s="1911"/>
      <c r="K785" s="1911"/>
      <c r="L785" s="1911"/>
      <c r="M785" s="1911"/>
      <c r="N785" s="1911"/>
      <c r="O785" s="1911"/>
      <c r="P785" s="1911"/>
      <c r="Q785" s="1911"/>
      <c r="R785" s="1911"/>
      <c r="S785" s="1911"/>
      <c r="T785" s="1911"/>
      <c r="U785" s="1911"/>
      <c r="V785" s="1911"/>
      <c r="W785" s="1911"/>
      <c r="X785" s="1911"/>
      <c r="Y785" s="1911"/>
      <c r="Z785" s="1911"/>
      <c r="AA785" s="1911"/>
      <c r="AB785" s="1911"/>
      <c r="AC785" s="1911"/>
      <c r="AD785" s="1911"/>
      <c r="AE785" s="1911"/>
      <c r="AF785" s="1911"/>
      <c r="AG785" s="1911"/>
      <c r="AH785" s="1911"/>
      <c r="AI785" s="1911"/>
      <c r="AJ785" s="1911"/>
      <c r="AK785" s="1911"/>
      <c r="AL785" s="1911"/>
      <c r="AM785" s="1911"/>
      <c r="AP785" s="852"/>
      <c r="AQ785" s="852"/>
    </row>
    <row r="786" spans="1:81">
      <c r="A786" s="1911"/>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5" t="s">
        <v>1747</v>
      </c>
      <c r="U787" s="1976"/>
      <c r="V787" s="1976"/>
      <c r="W787" s="1976"/>
      <c r="X787" s="1976"/>
      <c r="Y787" s="1977"/>
      <c r="Z787" s="1975" t="s">
        <v>1748</v>
      </c>
      <c r="AA787" s="1976"/>
      <c r="AB787" s="1976"/>
      <c r="AC787" s="1976"/>
      <c r="AD787" s="1976"/>
      <c r="AE787" s="1977"/>
      <c r="AF787" s="1975" t="s">
        <v>1749</v>
      </c>
      <c r="AG787" s="1976"/>
      <c r="AH787" s="1976"/>
      <c r="AI787" s="1976"/>
      <c r="AJ787" s="1976"/>
      <c r="AK787" s="197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8"/>
      <c r="U788" s="1979"/>
      <c r="V788" s="1979"/>
      <c r="W788" s="1979"/>
      <c r="X788" s="1979"/>
      <c r="Y788" s="1980"/>
      <c r="Z788" s="1978"/>
      <c r="AA788" s="1979"/>
      <c r="AB788" s="1979"/>
      <c r="AC788" s="1979"/>
      <c r="AD788" s="1979"/>
      <c r="AE788" s="1980"/>
      <c r="AF788" s="1978"/>
      <c r="AG788" s="1979"/>
      <c r="AH788" s="1979"/>
      <c r="AI788" s="1979"/>
      <c r="AJ788" s="1979"/>
      <c r="AK788" s="1980"/>
      <c r="AL788" s="854"/>
      <c r="AM788" s="631"/>
      <c r="AO788" s="852"/>
      <c r="AP788" s="852"/>
      <c r="AQ788" s="852"/>
    </row>
    <row r="789" spans="1:81">
      <c r="A789" s="855" t="s">
        <v>769</v>
      </c>
      <c r="B789" s="1932" t="s">
        <v>1477</v>
      </c>
      <c r="C789" s="1932"/>
      <c r="D789" s="1932"/>
      <c r="E789" s="1932"/>
      <c r="F789" s="1932"/>
      <c r="G789" s="1932"/>
      <c r="H789" s="1932"/>
      <c r="I789" s="1932"/>
      <c r="J789" s="1932"/>
      <c r="K789" s="1932"/>
      <c r="L789" s="1932"/>
      <c r="M789" s="1932"/>
      <c r="N789" s="1932"/>
      <c r="O789" s="1932"/>
      <c r="P789" s="1932"/>
      <c r="Q789" s="1932"/>
      <c r="R789" s="1932"/>
      <c r="S789" s="1933"/>
      <c r="T789" s="1960">
        <f>AK56</f>
        <v>20</v>
      </c>
      <c r="U789" s="1936"/>
      <c r="V789" s="1936"/>
      <c r="W789" s="1936"/>
      <c r="X789" s="1936"/>
      <c r="Y789" s="1937"/>
      <c r="Z789" s="1935">
        <v>20</v>
      </c>
      <c r="AA789" s="1936"/>
      <c r="AB789" s="1936"/>
      <c r="AC789" s="1936"/>
      <c r="AD789" s="1936"/>
      <c r="AE789" s="1937"/>
      <c r="AF789" s="1921">
        <f>IF(T789&gt;Z789,Z789,T789)</f>
        <v>20</v>
      </c>
      <c r="AG789" s="1921"/>
      <c r="AH789" s="1921"/>
      <c r="AI789" s="1921"/>
      <c r="AJ789" s="1921"/>
      <c r="AK789" s="1921"/>
      <c r="AL789" s="854"/>
      <c r="AM789" s="631"/>
      <c r="AO789" s="852"/>
      <c r="AP789" s="852"/>
      <c r="AQ789" s="852"/>
    </row>
    <row r="790" spans="1:81">
      <c r="A790" s="855" t="s">
        <v>1719</v>
      </c>
      <c r="B790" s="1932" t="s">
        <v>1486</v>
      </c>
      <c r="C790" s="1932"/>
      <c r="D790" s="1932"/>
      <c r="E790" s="1932"/>
      <c r="F790" s="1932"/>
      <c r="G790" s="1932"/>
      <c r="H790" s="1932"/>
      <c r="I790" s="1932"/>
      <c r="J790" s="1932"/>
      <c r="K790" s="1932"/>
      <c r="L790" s="1932"/>
      <c r="M790" s="1932"/>
      <c r="N790" s="1932"/>
      <c r="O790" s="1932"/>
      <c r="P790" s="1932"/>
      <c r="Q790" s="1932"/>
      <c r="R790" s="1932"/>
      <c r="S790" s="1933"/>
      <c r="T790" s="1960">
        <f>AK78</f>
        <v>0</v>
      </c>
      <c r="U790" s="1936"/>
      <c r="V790" s="1936"/>
      <c r="W790" s="1936"/>
      <c r="X790" s="1936"/>
      <c r="Y790" s="1937"/>
      <c r="Z790" s="1935">
        <v>10</v>
      </c>
      <c r="AA790" s="1936"/>
      <c r="AB790" s="1936"/>
      <c r="AC790" s="1936"/>
      <c r="AD790" s="1936"/>
      <c r="AE790" s="1937"/>
      <c r="AF790" s="1921">
        <f>IF(T790&gt;Z790,Z790,T790)</f>
        <v>0</v>
      </c>
      <c r="AG790" s="1921"/>
      <c r="AH790" s="1921"/>
      <c r="AI790" s="1921"/>
      <c r="AJ790" s="1921"/>
      <c r="AK790" s="1921"/>
      <c r="AL790" s="854"/>
      <c r="AM790" s="631"/>
      <c r="AO790" s="852"/>
      <c r="AP790" s="852"/>
      <c r="AQ790" s="852"/>
    </row>
    <row r="791" spans="1:81">
      <c r="A791" s="855" t="s">
        <v>1728</v>
      </c>
      <c r="B791" s="1932" t="s">
        <v>1496</v>
      </c>
      <c r="C791" s="1932"/>
      <c r="D791" s="1932"/>
      <c r="E791" s="1932"/>
      <c r="F791" s="1932"/>
      <c r="G791" s="1932"/>
      <c r="H791" s="1932"/>
      <c r="I791" s="1932"/>
      <c r="J791" s="1932"/>
      <c r="K791" s="1932"/>
      <c r="L791" s="1932"/>
      <c r="M791" s="1932"/>
      <c r="N791" s="1932"/>
      <c r="O791" s="1932"/>
      <c r="P791" s="1932"/>
      <c r="Q791" s="1932"/>
      <c r="R791" s="1932"/>
      <c r="S791" s="1933"/>
      <c r="T791" s="1960">
        <f>AK103</f>
        <v>7.9999999999999849</v>
      </c>
      <c r="U791" s="1936"/>
      <c r="V791" s="1936"/>
      <c r="W791" s="1936"/>
      <c r="X791" s="1936"/>
      <c r="Y791" s="1937"/>
      <c r="Z791" s="1935">
        <v>20</v>
      </c>
      <c r="AA791" s="1936"/>
      <c r="AB791" s="1936"/>
      <c r="AC791" s="1936"/>
      <c r="AD791" s="1936"/>
      <c r="AE791" s="1937"/>
      <c r="AF791" s="1921">
        <f>IF(T791&gt;Z791,Z791,T791)</f>
        <v>7.9999999999999849</v>
      </c>
      <c r="AG791" s="1921"/>
      <c r="AH791" s="1921"/>
      <c r="AI791" s="1921"/>
      <c r="AJ791" s="1921"/>
      <c r="AK791" s="1921"/>
      <c r="AL791" s="854"/>
      <c r="AM791" s="631"/>
      <c r="AO791" s="852"/>
      <c r="AP791" s="852"/>
      <c r="AQ791" s="852"/>
    </row>
    <row r="792" spans="1:81">
      <c r="A792" s="855" t="s">
        <v>1750</v>
      </c>
      <c r="B792" s="1932" t="s">
        <v>1506</v>
      </c>
      <c r="C792" s="1932"/>
      <c r="D792" s="1932"/>
      <c r="E792" s="1932"/>
      <c r="F792" s="1932"/>
      <c r="G792" s="1932"/>
      <c r="H792" s="1932"/>
      <c r="I792" s="1932"/>
      <c r="J792" s="1932"/>
      <c r="K792" s="1932"/>
      <c r="L792" s="1932"/>
      <c r="M792" s="1932"/>
      <c r="N792" s="1932"/>
      <c r="O792" s="1932"/>
      <c r="P792" s="1932"/>
      <c r="Q792" s="1932"/>
      <c r="R792" s="1932"/>
      <c r="S792" s="1933"/>
      <c r="T792" s="1960">
        <f>AK137</f>
        <v>10</v>
      </c>
      <c r="U792" s="1936"/>
      <c r="V792" s="1936"/>
      <c r="W792" s="1936"/>
      <c r="X792" s="1936"/>
      <c r="Y792" s="1937"/>
      <c r="Z792" s="1935">
        <v>10</v>
      </c>
      <c r="AA792" s="1936"/>
      <c r="AB792" s="1936"/>
      <c r="AC792" s="1936"/>
      <c r="AD792" s="1936"/>
      <c r="AE792" s="1937"/>
      <c r="AF792" s="1921">
        <f>IF(T792&gt;Z792,Z792,T792)</f>
        <v>10</v>
      </c>
      <c r="AG792" s="1921"/>
      <c r="AH792" s="1921"/>
      <c r="AI792" s="1921"/>
      <c r="AJ792" s="1921"/>
      <c r="AK792" s="1921"/>
      <c r="AL792" s="854"/>
      <c r="AM792" s="631"/>
      <c r="AO792" s="852"/>
      <c r="AP792" s="852"/>
      <c r="AQ792" s="852"/>
    </row>
    <row r="793" spans="1:81">
      <c r="A793" s="856" t="s">
        <v>1751</v>
      </c>
      <c r="B793" s="1932" t="s">
        <v>1752</v>
      </c>
      <c r="C793" s="1932"/>
      <c r="D793" s="1932"/>
      <c r="E793" s="1932"/>
      <c r="F793" s="1932"/>
      <c r="G793" s="1932"/>
      <c r="H793" s="1932"/>
      <c r="I793" s="1932"/>
      <c r="J793" s="1932"/>
      <c r="K793" s="1932"/>
      <c r="L793" s="1932"/>
      <c r="M793" s="1932"/>
      <c r="N793" s="1932"/>
      <c r="O793" s="1932"/>
      <c r="P793" s="1932"/>
      <c r="Q793" s="1932"/>
      <c r="R793" s="1932"/>
      <c r="S793" s="1933"/>
      <c r="T793" s="1934">
        <f>SUM(T794:Y795)</f>
        <v>10</v>
      </c>
      <c r="U793" s="1934"/>
      <c r="V793" s="1934"/>
      <c r="W793" s="1934"/>
      <c r="X793" s="1934"/>
      <c r="Y793" s="1934"/>
      <c r="Z793" s="1921">
        <v>10</v>
      </c>
      <c r="AA793" s="1921"/>
      <c r="AB793" s="1921"/>
      <c r="AC793" s="1921"/>
      <c r="AD793" s="1921"/>
      <c r="AE793" s="1921"/>
      <c r="AF793" s="1921">
        <f>IF(T793&gt;Z793,Z793,T793)</f>
        <v>10</v>
      </c>
      <c r="AG793" s="1921"/>
      <c r="AH793" s="1921"/>
      <c r="AI793" s="1921"/>
      <c r="AJ793" s="1921"/>
      <c r="AK793" s="1921"/>
      <c r="AL793" s="854"/>
      <c r="AM793" s="631"/>
    </row>
    <row r="794" spans="1:81">
      <c r="A794" s="570"/>
      <c r="B794" s="636"/>
      <c r="C794" s="1938" t="s">
        <v>1753</v>
      </c>
      <c r="D794" s="1938"/>
      <c r="E794" s="1938"/>
      <c r="F794" s="1938"/>
      <c r="G794" s="1938"/>
      <c r="H794" s="1938"/>
      <c r="I794" s="1938"/>
      <c r="J794" s="1938"/>
      <c r="K794" s="1938"/>
      <c r="L794" s="1938"/>
      <c r="M794" s="1938"/>
      <c r="N794" s="1938"/>
      <c r="O794" s="1938"/>
      <c r="P794" s="1938"/>
      <c r="Q794" s="1938"/>
      <c r="R794" s="1938"/>
      <c r="S794" s="1939"/>
      <c r="T794" s="1940">
        <f>AJ155</f>
        <v>7</v>
      </c>
      <c r="U794" s="1940"/>
      <c r="V794" s="1940"/>
      <c r="W794" s="1940"/>
      <c r="X794" s="1940"/>
      <c r="Y794" s="1940"/>
      <c r="Z794" s="1941">
        <v>7</v>
      </c>
      <c r="AA794" s="1941"/>
      <c r="AB794" s="1941"/>
      <c r="AC794" s="1941"/>
      <c r="AD794" s="1941"/>
      <c r="AE794" s="1941"/>
      <c r="AF794" s="1942"/>
      <c r="AG794" s="1942"/>
      <c r="AH794" s="1942"/>
      <c r="AI794" s="1942"/>
      <c r="AJ794" s="1942"/>
      <c r="AK794" s="1942"/>
      <c r="AL794" s="854"/>
      <c r="AM794" s="631"/>
    </row>
    <row r="795" spans="1:81">
      <c r="A795" s="635"/>
      <c r="B795" s="636"/>
      <c r="C795" s="1938" t="s">
        <v>1754</v>
      </c>
      <c r="D795" s="1938"/>
      <c r="E795" s="1938"/>
      <c r="F795" s="1938"/>
      <c r="G795" s="1938"/>
      <c r="H795" s="1938"/>
      <c r="I795" s="1938"/>
      <c r="J795" s="1938"/>
      <c r="K795" s="1938"/>
      <c r="L795" s="1938"/>
      <c r="M795" s="1938"/>
      <c r="N795" s="1938"/>
      <c r="O795" s="1938"/>
      <c r="P795" s="1938"/>
      <c r="Q795" s="1938"/>
      <c r="R795" s="1938"/>
      <c r="S795" s="1939"/>
      <c r="T795" s="1940">
        <f>AJ169</f>
        <v>3</v>
      </c>
      <c r="U795" s="1940"/>
      <c r="V795" s="1940"/>
      <c r="W795" s="1940"/>
      <c r="X795" s="1940"/>
      <c r="Y795" s="1940"/>
      <c r="Z795" s="1941">
        <v>3</v>
      </c>
      <c r="AA795" s="1941"/>
      <c r="AB795" s="1941"/>
      <c r="AC795" s="1941"/>
      <c r="AD795" s="1941"/>
      <c r="AE795" s="1941"/>
      <c r="AF795" s="1942"/>
      <c r="AG795" s="1942"/>
      <c r="AH795" s="1942"/>
      <c r="AI795" s="1942"/>
      <c r="AJ795" s="1942"/>
      <c r="AK795" s="1942"/>
      <c r="AL795" s="854"/>
      <c r="AM795" s="631"/>
      <c r="AO795" s="585"/>
    </row>
    <row r="796" spans="1:81">
      <c r="A796" s="856" t="s">
        <v>1534</v>
      </c>
      <c r="B796" s="1932" t="s">
        <v>1755</v>
      </c>
      <c r="C796" s="1932"/>
      <c r="D796" s="1932"/>
      <c r="E796" s="1932"/>
      <c r="F796" s="1932"/>
      <c r="G796" s="1932"/>
      <c r="H796" s="1932"/>
      <c r="I796" s="1932"/>
      <c r="J796" s="1932"/>
      <c r="K796" s="1932"/>
      <c r="L796" s="1932"/>
      <c r="M796" s="1932"/>
      <c r="N796" s="1932"/>
      <c r="O796" s="1932"/>
      <c r="P796" s="1932"/>
      <c r="Q796" s="1932"/>
      <c r="R796" s="1932"/>
      <c r="S796" s="1933"/>
      <c r="T796" s="1934">
        <f>AK180</f>
        <v>0</v>
      </c>
      <c r="U796" s="1934"/>
      <c r="V796" s="1934"/>
      <c r="W796" s="1934"/>
      <c r="X796" s="1934"/>
      <c r="Y796" s="1934"/>
      <c r="Z796" s="1921">
        <v>10</v>
      </c>
      <c r="AA796" s="1921"/>
      <c r="AB796" s="1921"/>
      <c r="AC796" s="1921"/>
      <c r="AD796" s="1921"/>
      <c r="AE796" s="1921"/>
      <c r="AF796" s="1921">
        <f>IF(T796&gt;Z796,Z796,T796)</f>
        <v>0</v>
      </c>
      <c r="AG796" s="1921"/>
      <c r="AH796" s="1921"/>
      <c r="AI796" s="1921"/>
      <c r="AJ796" s="1921"/>
      <c r="AK796" s="1921"/>
      <c r="AL796" s="854"/>
      <c r="AM796" s="631"/>
    </row>
    <row r="797" spans="1:81">
      <c r="A797" s="855" t="s">
        <v>1543</v>
      </c>
      <c r="B797" s="1932" t="s">
        <v>1544</v>
      </c>
      <c r="C797" s="1932"/>
      <c r="D797" s="1932"/>
      <c r="E797" s="1932"/>
      <c r="F797" s="1932"/>
      <c r="G797" s="1932"/>
      <c r="H797" s="1932"/>
      <c r="I797" s="1932"/>
      <c r="J797" s="1932"/>
      <c r="K797" s="1932"/>
      <c r="L797" s="1932"/>
      <c r="M797" s="1932"/>
      <c r="N797" s="1932"/>
      <c r="O797" s="1932"/>
      <c r="P797" s="1932"/>
      <c r="Q797" s="1932"/>
      <c r="R797" s="1932"/>
      <c r="S797" s="1933"/>
      <c r="T797" s="1934">
        <f>AK262</f>
        <v>8</v>
      </c>
      <c r="U797" s="1934"/>
      <c r="V797" s="1934"/>
      <c r="W797" s="1934"/>
      <c r="X797" s="1934"/>
      <c r="Y797" s="1934"/>
      <c r="Z797" s="1935">
        <v>8</v>
      </c>
      <c r="AA797" s="1936"/>
      <c r="AB797" s="1936"/>
      <c r="AC797" s="1936"/>
      <c r="AD797" s="1936"/>
      <c r="AE797" s="1937"/>
      <c r="AF797" s="1921">
        <f>IF(T797&gt;Z797,Z797,T797)</f>
        <v>8</v>
      </c>
      <c r="AG797" s="1921"/>
      <c r="AH797" s="1921"/>
      <c r="AI797" s="1921"/>
      <c r="AJ797" s="1921"/>
      <c r="AK797" s="1921"/>
      <c r="AL797" s="854"/>
      <c r="AM797" s="631"/>
    </row>
    <row r="798" spans="1:81" s="569" customFormat="1" hidden="1">
      <c r="A798" s="856" t="s">
        <v>598</v>
      </c>
      <c r="B798" s="1932" t="s">
        <v>1756</v>
      </c>
      <c r="C798" s="1932"/>
      <c r="D798" s="1932"/>
      <c r="E798" s="1932"/>
      <c r="F798" s="1932"/>
      <c r="G798" s="1932"/>
      <c r="H798" s="1932"/>
      <c r="I798" s="1932"/>
      <c r="J798" s="1932"/>
      <c r="K798" s="1932"/>
      <c r="L798" s="1932"/>
      <c r="M798" s="1932"/>
      <c r="N798" s="1932"/>
      <c r="O798" s="1932"/>
      <c r="P798" s="1932"/>
      <c r="Q798" s="1932"/>
      <c r="R798" s="1932"/>
      <c r="S798" s="1933"/>
      <c r="T798" s="1934">
        <f>IF(AK524&gt;5,5,AK524)</f>
        <v>0</v>
      </c>
      <c r="U798" s="1934"/>
      <c r="V798" s="1934"/>
      <c r="W798" s="1934"/>
      <c r="X798" s="1934"/>
      <c r="Y798" s="1934"/>
      <c r="Z798" s="1921">
        <v>5</v>
      </c>
      <c r="AA798" s="1921"/>
      <c r="AB798" s="1921"/>
      <c r="AC798" s="1921"/>
      <c r="AD798" s="1921"/>
      <c r="AE798" s="1921"/>
      <c r="AF798" s="1921">
        <f>IF(T798&gt;Z798,5,T798)</f>
        <v>0</v>
      </c>
      <c r="AG798" s="1921"/>
      <c r="AH798" s="1921"/>
      <c r="AI798" s="1921"/>
      <c r="AJ798" s="1921"/>
      <c r="AK798" s="192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2" t="s">
        <v>1757</v>
      </c>
      <c r="C799" s="1932"/>
      <c r="D799" s="1932"/>
      <c r="E799" s="1932"/>
      <c r="F799" s="1932"/>
      <c r="G799" s="1932"/>
      <c r="H799" s="1932"/>
      <c r="I799" s="1932"/>
      <c r="J799" s="1932"/>
      <c r="K799" s="1932"/>
      <c r="L799" s="1932"/>
      <c r="M799" s="1932"/>
      <c r="N799" s="1932"/>
      <c r="O799" s="1932"/>
      <c r="P799" s="1932"/>
      <c r="Q799" s="1932"/>
      <c r="R799" s="1932"/>
      <c r="S799" s="1933"/>
      <c r="T799" s="1934">
        <f>AK274</f>
        <v>10</v>
      </c>
      <c r="U799" s="1934"/>
      <c r="V799" s="1934"/>
      <c r="W799" s="1934"/>
      <c r="X799" s="1934"/>
      <c r="Y799" s="1934"/>
      <c r="Z799" s="1921">
        <v>10</v>
      </c>
      <c r="AA799" s="1921"/>
      <c r="AB799" s="1921"/>
      <c r="AC799" s="1921"/>
      <c r="AD799" s="1921"/>
      <c r="AE799" s="1921"/>
      <c r="AF799" s="1943">
        <f>IF(T799&gt;Z799,Z799,T799)</f>
        <v>10</v>
      </c>
      <c r="AG799" s="1944"/>
      <c r="AH799" s="1944"/>
      <c r="AI799" s="1944"/>
      <c r="AJ799" s="1944"/>
      <c r="AK799" s="194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2" t="s">
        <v>1554</v>
      </c>
      <c r="C800" s="1932"/>
      <c r="D800" s="1932"/>
      <c r="E800" s="1932"/>
      <c r="F800" s="1932"/>
      <c r="G800" s="1932"/>
      <c r="H800" s="1932"/>
      <c r="I800" s="1932"/>
      <c r="J800" s="1932"/>
      <c r="K800" s="1932"/>
      <c r="L800" s="1932"/>
      <c r="M800" s="1932"/>
      <c r="N800" s="1932"/>
      <c r="O800" s="1932"/>
      <c r="P800" s="1932"/>
      <c r="Q800" s="1932"/>
      <c r="R800" s="1932"/>
      <c r="S800" s="1933"/>
      <c r="T800" s="1934">
        <f>AK327</f>
        <v>0</v>
      </c>
      <c r="U800" s="1934"/>
      <c r="V800" s="1934"/>
      <c r="W800" s="1934"/>
      <c r="X800" s="1934"/>
      <c r="Y800" s="1934"/>
      <c r="Z800" s="1943">
        <v>10</v>
      </c>
      <c r="AA800" s="1944"/>
      <c r="AB800" s="1944"/>
      <c r="AC800" s="1944"/>
      <c r="AD800" s="1944"/>
      <c r="AE800" s="1945"/>
      <c r="AF800" s="1943">
        <f>IF(T800&gt;Z800,Z800,T800)</f>
        <v>0</v>
      </c>
      <c r="AG800" s="1944"/>
      <c r="AH800" s="1944"/>
      <c r="AI800" s="1944"/>
      <c r="AJ800" s="1944"/>
      <c r="AK800" s="194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0">
        <f>AK327</f>
        <v>0</v>
      </c>
      <c r="U801" s="1940"/>
      <c r="V801" s="1940"/>
      <c r="W801" s="1940"/>
      <c r="X801" s="1940"/>
      <c r="Y801" s="1940"/>
      <c r="Z801" s="1908">
        <v>20</v>
      </c>
      <c r="AA801" s="1909"/>
      <c r="AB801" s="1909"/>
      <c r="AC801" s="1909"/>
      <c r="AD801" s="1909"/>
      <c r="AE801" s="1910"/>
      <c r="AF801" s="1942"/>
      <c r="AG801" s="1942"/>
      <c r="AH801" s="1942"/>
      <c r="AI801" s="1942"/>
      <c r="AJ801" s="1942"/>
      <c r="AK801" s="194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2" t="s">
        <v>873</v>
      </c>
      <c r="C802" s="1932"/>
      <c r="D802" s="1932"/>
      <c r="E802" s="1932"/>
      <c r="F802" s="1932"/>
      <c r="G802" s="1932"/>
      <c r="H802" s="1932"/>
      <c r="I802" s="1932"/>
      <c r="J802" s="1932"/>
      <c r="K802" s="1932"/>
      <c r="L802" s="1932"/>
      <c r="M802" s="1932"/>
      <c r="N802" s="1932"/>
      <c r="O802" s="1932"/>
      <c r="P802" s="1932"/>
      <c r="Q802" s="1932"/>
      <c r="R802" s="1932"/>
      <c r="S802" s="1933"/>
      <c r="T802" s="1934">
        <f>AK458</f>
        <v>10</v>
      </c>
      <c r="U802" s="1934"/>
      <c r="V802" s="1934"/>
      <c r="W802" s="1934"/>
      <c r="X802" s="1934"/>
      <c r="Y802" s="1934"/>
      <c r="Z802" s="1943">
        <v>10</v>
      </c>
      <c r="AA802" s="1944"/>
      <c r="AB802" s="1944"/>
      <c r="AC802" s="1944"/>
      <c r="AD802" s="1944"/>
      <c r="AE802" s="1945"/>
      <c r="AF802" s="1921">
        <f>IF(T802&gt;Z802,Z802,T802)</f>
        <v>10</v>
      </c>
      <c r="AG802" s="1921"/>
      <c r="AH802" s="1921"/>
      <c r="AI802" s="1921"/>
      <c r="AJ802" s="1921"/>
      <c r="AK802" s="192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2" t="s">
        <v>1737</v>
      </c>
      <c r="C803" s="1932"/>
      <c r="D803" s="1932"/>
      <c r="E803" s="1932"/>
      <c r="F803" s="1932"/>
      <c r="G803" s="1932"/>
      <c r="H803" s="1932"/>
      <c r="I803" s="1932"/>
      <c r="J803" s="1932"/>
      <c r="K803" s="1932"/>
      <c r="L803" s="1932"/>
      <c r="M803" s="1932"/>
      <c r="N803" s="1932"/>
      <c r="O803" s="1932"/>
      <c r="P803" s="1932"/>
      <c r="Q803" s="1932"/>
      <c r="R803" s="1932"/>
      <c r="S803" s="1933"/>
      <c r="T803" s="1934">
        <f>AK548</f>
        <v>12</v>
      </c>
      <c r="U803" s="1934"/>
      <c r="V803" s="1934"/>
      <c r="W803" s="1934"/>
      <c r="X803" s="1934"/>
      <c r="Y803" s="1934"/>
      <c r="Z803" s="1943">
        <v>12</v>
      </c>
      <c r="AA803" s="1944"/>
      <c r="AB803" s="1944"/>
      <c r="AC803" s="1944"/>
      <c r="AD803" s="1944"/>
      <c r="AE803" s="1945"/>
      <c r="AF803" s="1921">
        <f>IF(T803&gt;Z803,Z803,T803)</f>
        <v>12</v>
      </c>
      <c r="AG803" s="1921"/>
      <c r="AH803" s="1921"/>
      <c r="AI803" s="1921"/>
      <c r="AJ803" s="1921"/>
      <c r="AK803" s="192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32" t="s">
        <v>1759</v>
      </c>
      <c r="C804" s="1932"/>
      <c r="D804" s="1932"/>
      <c r="E804" s="1932"/>
      <c r="F804" s="1932"/>
      <c r="G804" s="1932"/>
      <c r="H804" s="1932"/>
      <c r="I804" s="1932"/>
      <c r="J804" s="1932"/>
      <c r="K804" s="1932"/>
      <c r="L804" s="1932"/>
      <c r="M804" s="1932"/>
      <c r="N804" s="1932"/>
      <c r="O804" s="1932"/>
      <c r="P804" s="1932"/>
      <c r="Q804" s="1932"/>
      <c r="R804" s="1932"/>
      <c r="S804" s="1933"/>
      <c r="T804" s="1934">
        <f>AK779</f>
        <v>10</v>
      </c>
      <c r="U804" s="1934"/>
      <c r="V804" s="1934"/>
      <c r="W804" s="1934"/>
      <c r="X804" s="1934"/>
      <c r="Y804" s="1934"/>
      <c r="Z804" s="1943">
        <v>10</v>
      </c>
      <c r="AA804" s="1944"/>
      <c r="AB804" s="1944"/>
      <c r="AC804" s="1944"/>
      <c r="AD804" s="1944"/>
      <c r="AE804" s="1945"/>
      <c r="AF804" s="1921">
        <f>IF(T804&gt;Z804,Z804,T804)</f>
        <v>10</v>
      </c>
      <c r="AG804" s="1921"/>
      <c r="AH804" s="1921"/>
      <c r="AI804" s="1921"/>
      <c r="AJ804" s="1921"/>
      <c r="AK804" s="192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6" t="s">
        <v>1760</v>
      </c>
      <c r="B805" s="1932"/>
      <c r="C805" s="1932"/>
      <c r="D805" s="1932"/>
      <c r="E805" s="1932"/>
      <c r="F805" s="1932"/>
      <c r="G805" s="1932"/>
      <c r="H805" s="1932"/>
      <c r="I805" s="1932"/>
      <c r="J805" s="1932"/>
      <c r="K805" s="1932"/>
      <c r="L805" s="1932"/>
      <c r="M805" s="1932"/>
      <c r="N805" s="1932"/>
      <c r="O805" s="1932"/>
      <c r="P805" s="1932"/>
      <c r="Q805" s="1932"/>
      <c r="R805" s="1932"/>
      <c r="S805" s="1933"/>
      <c r="T805" s="1947"/>
      <c r="U805" s="1947"/>
      <c r="V805" s="1947"/>
      <c r="W805" s="1947"/>
      <c r="X805" s="1947"/>
      <c r="Y805" s="1947"/>
      <c r="Z805" s="1941" t="s">
        <v>1761</v>
      </c>
      <c r="AA805" s="1941"/>
      <c r="AB805" s="1941"/>
      <c r="AC805" s="1941"/>
      <c r="AD805" s="1941"/>
      <c r="AE805" s="1941"/>
      <c r="AF805" s="1943">
        <f>IF(T805&gt;0,T805,0)</f>
        <v>0</v>
      </c>
      <c r="AG805" s="1944"/>
      <c r="AH805" s="1944"/>
      <c r="AI805" s="1944"/>
      <c r="AJ805" s="1944"/>
      <c r="AK805" s="194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8" t="s">
        <v>1762</v>
      </c>
      <c r="B806" s="1949"/>
      <c r="C806" s="1949"/>
      <c r="D806" s="1949"/>
      <c r="E806" s="1949"/>
      <c r="F806" s="1949"/>
      <c r="G806" s="1949"/>
      <c r="H806" s="1949"/>
      <c r="I806" s="1949"/>
      <c r="J806" s="1949"/>
      <c r="K806" s="1949"/>
      <c r="L806" s="1949"/>
      <c r="M806" s="1949"/>
      <c r="N806" s="1949"/>
      <c r="O806" s="1949"/>
      <c r="P806" s="1949"/>
      <c r="Q806" s="1949"/>
      <c r="R806" s="1949"/>
      <c r="S806" s="1949"/>
      <c r="T806" s="1949"/>
      <c r="U806" s="1949"/>
      <c r="V806" s="1949"/>
      <c r="W806" s="1949"/>
      <c r="X806" s="1949"/>
      <c r="Y806" s="1949"/>
      <c r="Z806" s="1949"/>
      <c r="AA806" s="1949"/>
      <c r="AB806" s="1949"/>
      <c r="AC806" s="1949"/>
      <c r="AD806" s="1949"/>
      <c r="AE806" s="1950"/>
      <c r="AF806" s="1954">
        <f>SUM(AF789:AK804)-AF805</f>
        <v>97.999999999999986</v>
      </c>
      <c r="AG806" s="1955"/>
      <c r="AH806" s="1955"/>
      <c r="AI806" s="1955"/>
      <c r="AJ806" s="1955"/>
      <c r="AK806" s="195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51"/>
      <c r="B807" s="1952"/>
      <c r="C807" s="1952"/>
      <c r="D807" s="1952"/>
      <c r="E807" s="1952"/>
      <c r="F807" s="1952"/>
      <c r="G807" s="1952"/>
      <c r="H807" s="1952"/>
      <c r="I807" s="1952"/>
      <c r="J807" s="1952"/>
      <c r="K807" s="1952"/>
      <c r="L807" s="1952"/>
      <c r="M807" s="1952"/>
      <c r="N807" s="1952"/>
      <c r="O807" s="1952"/>
      <c r="P807" s="1952"/>
      <c r="Q807" s="1952"/>
      <c r="R807" s="1952"/>
      <c r="S807" s="1952"/>
      <c r="T807" s="1952"/>
      <c r="U807" s="1952"/>
      <c r="V807" s="1952"/>
      <c r="W807" s="1952"/>
      <c r="X807" s="1952"/>
      <c r="Y807" s="1952"/>
      <c r="Z807" s="1952"/>
      <c r="AA807" s="1952"/>
      <c r="AB807" s="1952"/>
      <c r="AC807" s="1952"/>
      <c r="AD807" s="1952"/>
      <c r="AE807" s="1953"/>
      <c r="AF807" s="1957"/>
      <c r="AG807" s="1958"/>
      <c r="AH807" s="1958"/>
      <c r="AI807" s="1958"/>
      <c r="AJ807" s="1958"/>
      <c r="AK807" s="195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 zoomScaleNormal="100" workbookViewId="0">
      <selection activeCell="H77" sqref="H77"/>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130" t="s">
        <v>1763</v>
      </c>
      <c r="B1" s="2130"/>
      <c r="C1" s="2130"/>
      <c r="D1" s="2130"/>
      <c r="E1" s="2130"/>
      <c r="F1" s="2130"/>
      <c r="G1" s="2130"/>
      <c r="H1" s="2130"/>
      <c r="I1" s="2130"/>
      <c r="J1" s="2130"/>
    </row>
    <row r="2" spans="1:13" ht="15" customHeight="1" thickBot="1">
      <c r="A2" s="1090"/>
      <c r="B2" s="1090"/>
      <c r="I2" s="1091"/>
      <c r="K2" s="1092"/>
    </row>
    <row r="3" spans="1:13" s="1095" customFormat="1" ht="19.95" customHeight="1">
      <c r="A3" s="1149"/>
      <c r="B3" s="1150"/>
      <c r="C3" s="1151"/>
      <c r="D3" s="1156"/>
      <c r="E3" s="1151"/>
      <c r="F3" s="1152" t="s">
        <v>2382</v>
      </c>
      <c r="G3" s="1151"/>
      <c r="H3" s="1153">
        <f>E16</f>
        <v>33033192</v>
      </c>
      <c r="I3" s="1154"/>
    </row>
    <row r="4" spans="1:13" s="1095" customFormat="1" ht="19.95" customHeight="1">
      <c r="B4" s="1143"/>
      <c r="D4" s="1157"/>
      <c r="F4" s="1141" t="s">
        <v>2384</v>
      </c>
      <c r="G4" s="1140" t="s">
        <v>2383</v>
      </c>
      <c r="H4" s="1142">
        <f>I16</f>
        <v>36387701.022875816</v>
      </c>
      <c r="I4" s="1144"/>
      <c r="K4" s="1099"/>
    </row>
    <row r="5" spans="1:13" s="1095" customFormat="1" ht="19.95" customHeight="1" thickBot="1">
      <c r="B5" s="1145"/>
      <c r="C5" s="1146"/>
      <c r="D5" s="1158"/>
      <c r="E5" s="1147"/>
      <c r="F5" s="1158" t="s">
        <v>2324</v>
      </c>
      <c r="G5" s="1159"/>
      <c r="H5" s="1155">
        <f>H3/H4</f>
        <v>0.90781200986654964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2322</v>
      </c>
      <c r="C8" s="2132"/>
      <c r="D8" s="2132"/>
      <c r="E8" s="2133"/>
      <c r="G8" s="2134" t="s">
        <v>2323</v>
      </c>
      <c r="H8" s="2135"/>
      <c r="I8" s="2136"/>
      <c r="K8" s="1101"/>
    </row>
    <row r="9" spans="1:13" ht="15" customHeight="1">
      <c r="A9" s="1090"/>
      <c r="B9" s="2125" t="s">
        <v>2361</v>
      </c>
      <c r="C9" s="2125"/>
      <c r="D9" s="2125"/>
      <c r="E9" s="1103">
        <f>G31</f>
        <v>9905000</v>
      </c>
      <c r="G9" s="2128" t="s">
        <v>2359</v>
      </c>
      <c r="H9" s="2128"/>
      <c r="I9" s="1104">
        <f>Application!AM550</f>
        <v>37239587</v>
      </c>
      <c r="K9" s="1105"/>
      <c r="M9" s="1106"/>
    </row>
    <row r="10" spans="1:13" ht="15" customHeight="1" thickBot="1">
      <c r="A10" s="1090"/>
      <c r="B10" s="2125" t="s">
        <v>2362</v>
      </c>
      <c r="C10" s="2125"/>
      <c r="D10" s="2125"/>
      <c r="E10" s="1104">
        <f>G40</f>
        <v>14604191.999999998</v>
      </c>
      <c r="G10" s="2128" t="s">
        <v>2325</v>
      </c>
      <c r="H10" s="2128"/>
      <c r="I10" s="1191">
        <f>'Basis &amp; Credits'!AB77</f>
        <v>0</v>
      </c>
      <c r="M10" s="1106"/>
    </row>
    <row r="11" spans="1:13" ht="15" customHeight="1">
      <c r="A11" s="1107"/>
      <c r="B11" s="2125" t="s">
        <v>2363</v>
      </c>
      <c r="C11" s="2125"/>
      <c r="D11" s="2125"/>
      <c r="E11" s="1104">
        <f>G49</f>
        <v>0</v>
      </c>
      <c r="G11" s="2128" t="s">
        <v>2374</v>
      </c>
      <c r="H11" s="2128"/>
      <c r="I11" s="1190">
        <f>I9+I10</f>
        <v>37239587</v>
      </c>
      <c r="M11" s="1106"/>
    </row>
    <row r="12" spans="1:13" ht="15" customHeight="1">
      <c r="A12" s="1093"/>
      <c r="B12" s="2125" t="s">
        <v>2364</v>
      </c>
      <c r="C12" s="2125"/>
      <c r="D12" s="2125"/>
      <c r="E12" s="1104">
        <f>G58</f>
        <v>600000</v>
      </c>
      <c r="G12" s="1192" t="s">
        <v>2399</v>
      </c>
      <c r="H12" s="1193"/>
      <c r="M12" s="1106"/>
    </row>
    <row r="13" spans="1:13" ht="15" customHeight="1">
      <c r="A13" s="1090"/>
      <c r="B13" s="2125" t="s">
        <v>2365</v>
      </c>
      <c r="C13" s="2125"/>
      <c r="D13" s="2125"/>
      <c r="E13" s="1109">
        <f>G83</f>
        <v>7924000</v>
      </c>
      <c r="G13" s="2129" t="s">
        <v>140</v>
      </c>
      <c r="H13" s="2129"/>
      <c r="I13" s="1108">
        <f>15%*(Application!AJ963&gt;0)</f>
        <v>0</v>
      </c>
      <c r="M13" s="1106"/>
    </row>
    <row r="14" spans="1:13" ht="15" customHeight="1">
      <c r="A14" s="1090"/>
      <c r="B14" s="2125" t="s">
        <v>2366</v>
      </c>
      <c r="C14" s="2125"/>
      <c r="D14" s="2125"/>
      <c r="E14" s="1104">
        <f>IF(G96&gt;G106,G96,0)</f>
        <v>0</v>
      </c>
      <c r="G14" s="1188" t="s">
        <v>2375</v>
      </c>
      <c r="H14" s="1188"/>
      <c r="I14" s="1108">
        <f>IF(Application!AJ997&gt;0,10%,IF(Application!AJ1001&gt;0,5%,0))</f>
        <v>0</v>
      </c>
      <c r="M14" s="1106"/>
    </row>
    <row r="15" spans="1:13" ht="15" customHeight="1" thickBot="1">
      <c r="A15" s="1090"/>
      <c r="B15" s="2126" t="s">
        <v>2385</v>
      </c>
      <c r="C15" s="2126"/>
      <c r="D15" s="2126"/>
      <c r="E15" s="1160">
        <f>IF(E14&gt;0,0,G106)</f>
        <v>0</v>
      </c>
      <c r="G15" s="2123" t="s">
        <v>2376</v>
      </c>
      <c r="H15" s="2124"/>
      <c r="I15" s="1162">
        <f>G114</f>
        <v>2.2875816993464051E-2</v>
      </c>
      <c r="M15" s="1106"/>
    </row>
    <row r="16" spans="1:13" ht="15" customHeight="1">
      <c r="A16" s="1090"/>
      <c r="B16" s="2127" t="s">
        <v>2321</v>
      </c>
      <c r="C16" s="2127"/>
      <c r="D16" s="2127"/>
      <c r="E16" s="1161">
        <f>SUM(E9:E15)</f>
        <v>33033192</v>
      </c>
      <c r="G16" s="1189" t="s">
        <v>2360</v>
      </c>
      <c r="H16" s="1189"/>
      <c r="I16" s="1163">
        <f>I11-((I11*I13)+(I11*I14)+(I11*I15))</f>
        <v>36387701.022875816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204</v>
      </c>
      <c r="O18" s="1133" t="s">
        <v>591</v>
      </c>
      <c r="P18" s="1088">
        <f>MATCH(Application!T189,Application!BP656:BP713,0)</f>
        <v>49</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121" t="s">
        <v>2378</v>
      </c>
      <c r="D20" s="2121" t="s">
        <v>2379</v>
      </c>
      <c r="E20" s="2121" t="s">
        <v>2380</v>
      </c>
      <c r="F20" s="2121" t="s">
        <v>2381</v>
      </c>
      <c r="G20" s="2121" t="s">
        <v>2377</v>
      </c>
      <c r="H20" s="1117"/>
      <c r="I20" s="1116"/>
      <c r="L20" s="1088">
        <f>IFERROR(MIN(4,MATCH(Application!B714,UnitSizes,0)-1),"")</f>
        <v>0</v>
      </c>
      <c r="M20" s="1110">
        <f>Application!G714</f>
        <v>12</v>
      </c>
      <c r="N20" s="1118">
        <f>Application!AC714</f>
        <v>0.3</v>
      </c>
      <c r="O20" s="1118">
        <f>IF(Cdlac[[#This Row],[Quantity]]&gt;0,IF(Cdlac[[#This Row],[Federal]],30%,IF($G$36,40%,Cdlac[[#This Row],[iAMI]])),"")</f>
        <v>0.3</v>
      </c>
      <c r="P20" s="1110" cm="1">
        <f t="array" ref="P20">IF(Cdlac[[#This Row],[Quantity]]&gt;0,INDEX(TcacRents,$P$18,Cdlac[[#This Row],[Bedrooms]]+1)*Cdlac[[#This Row],[AMI]],"")</f>
        <v>660.6</v>
      </c>
      <c r="Q20" s="1110" cm="1">
        <f t="array" ref="Q20">IF(Cdlac[[#This Row],[Quantity]]&gt;0,INDEX(HudFmrs,$P$18,Cdlac[[#This Row],[Bedrooms]]+1),"")</f>
        <v>1525</v>
      </c>
      <c r="R20" s="1110">
        <f>IF(Cdlac[[#This Row],[Quantity]]&gt;0,MAX(0,Cdlac[[#This Row],[Fair Market Rent]]-Cdlac[[#This Row],[Restricted Rent]]),"")</f>
        <v>864.4</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2"/>
      <c r="D21" s="2122"/>
      <c r="E21" s="2122"/>
      <c r="F21" s="2122"/>
      <c r="G21" s="2122"/>
      <c r="H21" s="1117"/>
      <c r="I21" s="1116"/>
      <c r="L21" s="1088">
        <f>IFERROR(MIN(4,MATCH(Application!B715,UnitSizes,0)-1),"")</f>
        <v>1</v>
      </c>
      <c r="M21" s="1110">
        <f>Application!G715</f>
        <v>18</v>
      </c>
      <c r="N21" s="1118">
        <f>Application!AC715</f>
        <v>0.3</v>
      </c>
      <c r="O21" s="1118">
        <f>IF(Cdlac[[#This Row],[Quantity]]&gt;0,IF(Cdlac[[#This Row],[Federal]],30%,IF($G$36,40%,Cdlac[[#This Row],[iAMI]])),"")</f>
        <v>0.3</v>
      </c>
      <c r="P21" s="1110" cm="1">
        <f t="array" ref="P21">IF(Cdlac[[#This Row],[Quantity]]&gt;0,INDEX(TcacRents,$P$18,Cdlac[[#This Row],[Bedrooms]]+1)*Cdlac[[#This Row],[AMI]],"")</f>
        <v>708</v>
      </c>
      <c r="Q21" s="1110" cm="1">
        <f t="array" ref="Q21">IF(Cdlac[[#This Row],[Quantity]]&gt;0,INDEX(HudFmrs,$P$18,Cdlac[[#This Row],[Bedrooms]]+1),"")</f>
        <v>1711</v>
      </c>
      <c r="R21" s="1110">
        <f>IF(Cdlac[[#This Row],[Quantity]]&gt;0,MAX(0,Cdlac[[#This Row],[Fair Market Rent]]-Cdlac[[#This Row],[Restricted Rent]]),"")</f>
        <v>1003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59</v>
      </c>
      <c r="F22" s="1119">
        <f>E22</f>
        <v>59</v>
      </c>
      <c r="G22" s="1119">
        <f>D22*F22</f>
        <v>53.1</v>
      </c>
      <c r="L22" s="1088">
        <f>IFERROR(MIN(4,MATCH(Application!B716,UnitSizes,0)-1),"")</f>
        <v>1</v>
      </c>
      <c r="M22" s="1110">
        <f>Application!G716</f>
        <v>8</v>
      </c>
      <c r="N22" s="1118">
        <f>Application!AC716</f>
        <v>0.5</v>
      </c>
      <c r="O22" s="1118">
        <f>IF(Cdlac[[#This Row],[Quantity]]&gt;0,IF(Cdlac[[#This Row],[Federal]],30%,IF($G$36,40%,Cdlac[[#This Row],[iAMI]])),"")</f>
        <v>0.3</v>
      </c>
      <c r="P22" s="1110" cm="1">
        <f t="array" ref="P22">IF(Cdlac[[#This Row],[Quantity]]&gt;0,INDEX(TcacRents,$P$18,Cdlac[[#This Row],[Bedrooms]]+1)*Cdlac[[#This Row],[AMI]],"")</f>
        <v>708</v>
      </c>
      <c r="Q22" s="1110" cm="1">
        <f t="array" ref="Q22">IF(Cdlac[[#This Row],[Quantity]]&gt;0,INDEX(HudFmrs,$P$18,Cdlac[[#This Row],[Bedrooms]]+1),"")</f>
        <v>1711</v>
      </c>
      <c r="R22" s="1110">
        <f>IF(Cdlac[[#This Row],[Quantity]]&gt;0,MAX(0,Cdlac[[#This Row],[Fair Market Rent]]-Cdlac[[#This Row],[Restricted Rent]]),"")</f>
        <v>1003</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145</v>
      </c>
      <c r="F23" s="1119">
        <f>E23</f>
        <v>145</v>
      </c>
      <c r="G23" s="1119">
        <f>D23*F23</f>
        <v>145</v>
      </c>
      <c r="L23" s="1088">
        <f>IFERROR(MIN(4,MATCH(Application!B717,UnitSizes,0)-1),"")</f>
        <v>0</v>
      </c>
      <c r="M23" s="1110">
        <f>Application!G717</f>
        <v>47</v>
      </c>
      <c r="N23" s="1118">
        <f>Application!AC717</f>
        <v>0.6</v>
      </c>
      <c r="O23" s="1118">
        <f>IF(Cdlac[[#This Row],[Quantity]]&gt;0,IF(Cdlac[[#This Row],[Federal]],30%,IF($G$36,40%,Cdlac[[#This Row],[iAMI]])),"")</f>
        <v>0.6</v>
      </c>
      <c r="P23" s="1110" cm="1">
        <f t="array" ref="P23">IF(Cdlac[[#This Row],[Quantity]]&gt;0,INDEX(TcacRents,$P$18,Cdlac[[#This Row],[Bedrooms]]+1)*Cdlac[[#This Row],[AMI]],"")</f>
        <v>1321.2</v>
      </c>
      <c r="Q23" s="1110" cm="1">
        <f t="array" ref="Q23">IF(Cdlac[[#This Row],[Quantity]]&gt;0,INDEX(HudFmrs,$P$18,Cdlac[[#This Row],[Bedrooms]]+1),"")</f>
        <v>1525</v>
      </c>
      <c r="R23" s="1110">
        <f>IF(Cdlac[[#This Row],[Quantity]]&gt;0,MAX(0,Cdlac[[#This Row],[Fair Market Rent]]-Cdlac[[#This Row],[Restricted Rent]]),"")</f>
        <v>203.79999999999995</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1</v>
      </c>
      <c r="M24" s="1110">
        <f>Application!G718</f>
        <v>119</v>
      </c>
      <c r="N24" s="1118">
        <f>Application!AC718</f>
        <v>0.6</v>
      </c>
      <c r="O24" s="1118">
        <f>IF(Cdlac[[#This Row],[Quantity]]&gt;0,IF(Cdlac[[#This Row],[Federal]],30%,IF($G$36,40%,Cdlac[[#This Row],[iAMI]])),"")</f>
        <v>0.6</v>
      </c>
      <c r="P24" s="1110" cm="1">
        <f t="array" ref="P24">IF(Cdlac[[#This Row],[Quantity]]&gt;0,INDEX(TcacRents,$P$18,Cdlac[[#This Row],[Bedrooms]]+1)*Cdlac[[#This Row],[AMI]],"")</f>
        <v>1416</v>
      </c>
      <c r="Q24" s="1110" cm="1">
        <f t="array" ref="Q24">IF(Cdlac[[#This Row],[Quantity]]&gt;0,INDEX(HudFmrs,$P$18,Cdlac[[#This Row],[Bedrooms]]+1),"")</f>
        <v>1711</v>
      </c>
      <c r="R24" s="1110">
        <f>IF(Cdlac[[#This Row],[Quantity]]&gt;0,MAX(0,Cdlac[[#This Row],[Fair Market Rent]]-Cdlac[[#This Row],[Restricted Rent]]),"")</f>
        <v>295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7" t="s">
        <v>1764</v>
      </c>
      <c r="D27" s="2138"/>
      <c r="E27" s="1138">
        <f>SUM(E22:E26)</f>
        <v>204</v>
      </c>
      <c r="F27" s="1138">
        <f>SUM(F22:F26)</f>
        <v>204</v>
      </c>
      <c r="G27" s="1139">
        <f>SUMPRODUCT(D22:D26,F22:F26)</f>
        <v>198.1</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198.1</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9905000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81134.399999999994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14604191.999999998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102</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30</v>
      </c>
    </row>
    <row r="54" spans="2:14" ht="15" customHeight="1">
      <c r="E54" s="1168" t="s">
        <v>2388</v>
      </c>
      <c r="G54" s="1126">
        <f>ROUNDDOWN(E27*50%,0)</f>
        <v>102</v>
      </c>
    </row>
    <row r="55" spans="2:14" ht="15" customHeight="1">
      <c r="E55" s="1168"/>
      <c r="G55" s="1126"/>
    </row>
    <row r="56" spans="2:14" ht="15" customHeight="1">
      <c r="E56" s="1168" t="s">
        <v>2339</v>
      </c>
      <c r="G56" s="1165">
        <f>MIN(G53:G54)</f>
        <v>30</v>
      </c>
    </row>
    <row r="57" spans="2:14" ht="15" customHeight="1">
      <c r="E57" s="1168" t="s">
        <v>2329</v>
      </c>
      <c r="F57" s="1164" t="s">
        <v>2386</v>
      </c>
      <c r="G57" s="1175">
        <v>20000</v>
      </c>
    </row>
    <row r="58" spans="2:14" ht="15" customHeight="1">
      <c r="E58" s="1169" t="s">
        <v>2368</v>
      </c>
      <c r="F58" s="1090"/>
      <c r="G58" s="1174">
        <f>G56*G57</f>
        <v>600000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6</v>
      </c>
      <c r="L62" s="1178" t="str">
        <f>'Points System'!H627</f>
        <v>(i)</v>
      </c>
      <c r="M62" s="2139" t="s">
        <v>1578</v>
      </c>
      <c r="N62" s="2140"/>
    </row>
    <row r="63" spans="2:14" ht="15" customHeight="1">
      <c r="E63" s="1133" t="s">
        <v>2329</v>
      </c>
      <c r="F63" s="1164" t="s">
        <v>2386</v>
      </c>
      <c r="G63" s="1123">
        <v>4000</v>
      </c>
      <c r="L63" s="1179" t="str">
        <f>'Points System'!H639</f>
        <v>(ii)</v>
      </c>
      <c r="M63" s="2141" t="s">
        <v>2343</v>
      </c>
      <c r="N63" s="2142"/>
    </row>
    <row r="64" spans="2:14" ht="15" customHeight="1">
      <c r="E64" s="1133" t="s">
        <v>2390</v>
      </c>
      <c r="F64" s="1164" t="s">
        <v>2386</v>
      </c>
      <c r="G64" s="1177">
        <f>G27</f>
        <v>198.1</v>
      </c>
      <c r="L64" s="1179" t="str">
        <f>'Points System'!H674</f>
        <v>(i)</v>
      </c>
      <c r="M64" s="2141" t="s">
        <v>2344</v>
      </c>
      <c r="N64" s="2142"/>
    </row>
    <row r="65" spans="2:14" ht="15" customHeight="1">
      <c r="E65" s="1169" t="s">
        <v>2348</v>
      </c>
      <c r="F65" s="1090"/>
      <c r="G65" s="1174">
        <f>G62*G63*G64</f>
        <v>4754400</v>
      </c>
      <c r="L65" s="1179" t="str">
        <f>'Points System'!H694</f>
        <v>N/A</v>
      </c>
      <c r="M65" s="2141" t="s">
        <v>2345</v>
      </c>
      <c r="N65" s="2142"/>
    </row>
    <row r="66" spans="2:14" ht="15" customHeight="1">
      <c r="C66" s="1124"/>
      <c r="G66" s="1165"/>
      <c r="L66" s="1180" t="str">
        <f>'Points System'!H708</f>
        <v>N/A</v>
      </c>
      <c r="M66" s="2141" t="s">
        <v>1604</v>
      </c>
      <c r="N66" s="2142"/>
    </row>
    <row r="67" spans="2:14" ht="15" customHeight="1">
      <c r="E67" s="1133" t="s">
        <v>2391</v>
      </c>
      <c r="G67" s="1177">
        <f>COUNTIFS(L62:L69,"(i)")</f>
        <v>4</v>
      </c>
      <c r="L67" s="1179" t="str">
        <f>'Points System'!H720</f>
        <v>N/A</v>
      </c>
      <c r="M67" s="2141" t="s">
        <v>2346</v>
      </c>
      <c r="N67" s="2142"/>
    </row>
    <row r="68" spans="2:14" ht="15" customHeight="1">
      <c r="E68" s="1133" t="s">
        <v>2329</v>
      </c>
      <c r="F68" s="1164" t="s">
        <v>2386</v>
      </c>
      <c r="G68" s="1175">
        <v>4000</v>
      </c>
      <c r="L68" s="1179" t="str">
        <f>'Points System'!H736</f>
        <v>(i)</v>
      </c>
      <c r="M68" s="2141" t="s">
        <v>2347</v>
      </c>
      <c r="N68" s="2142"/>
    </row>
    <row r="69" spans="2:14" ht="15" customHeight="1" thickBot="1">
      <c r="E69" s="1169" t="s">
        <v>2349</v>
      </c>
      <c r="F69" s="1090"/>
      <c r="G69" s="1174">
        <f>G64*G67*G68</f>
        <v>3169600</v>
      </c>
      <c r="L69" s="1181" t="str">
        <f>'Points System'!H748</f>
        <v>(i)</v>
      </c>
      <c r="M69" s="2147" t="s">
        <v>1607</v>
      </c>
      <c r="N69" s="2148"/>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198.1</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7924000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678</v>
      </c>
      <c r="L87" s="2149" t="s">
        <v>2356</v>
      </c>
      <c r="M87" s="2150"/>
      <c r="N87" s="1182">
        <v>30000</v>
      </c>
    </row>
    <row r="88" spans="2:14" ht="15" customHeight="1">
      <c r="C88" s="1124" t="s">
        <v>2373</v>
      </c>
      <c r="G88" s="1128" t="str">
        <f>IF(Application!D210="Large Family","Yes","No")</f>
        <v>No</v>
      </c>
      <c r="L88" s="2143" t="s">
        <v>2320</v>
      </c>
      <c r="M88" s="2144"/>
      <c r="N88" s="1183">
        <v>20000</v>
      </c>
    </row>
    <row r="89" spans="2:14" ht="15" customHeight="1" thickBot="1">
      <c r="C89" s="1124" t="s">
        <v>2354</v>
      </c>
      <c r="G89" s="1087" t="s">
        <v>678</v>
      </c>
      <c r="L89" s="2145" t="s">
        <v>2357</v>
      </c>
      <c r="M89" s="2146"/>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198.1</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678</v>
      </c>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198.1</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2394</v>
      </c>
      <c r="G113" s="1125">
        <f>MEDIAN((Application!BR795:BR852))</f>
        <v>489600</v>
      </c>
    </row>
    <row r="114" spans="4:9" ht="15" customHeight="1">
      <c r="D114" s="1090"/>
      <c r="E114" s="1169" t="s">
        <v>2396</v>
      </c>
      <c r="F114" s="1185"/>
      <c r="G114" s="1186">
        <f>((G112-G113)/G113)*0.25</f>
        <v>2.2875816993464051E-2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Sheet1</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Weijia Song</cp:lastModifiedBy>
  <cp:lastPrinted>2023-09-01T16:55:35Z</cp:lastPrinted>
  <dcterms:created xsi:type="dcterms:W3CDTF">2007-12-27T18:26:28Z</dcterms:created>
  <dcterms:modified xsi:type="dcterms:W3CDTF">2023-09-01T17:20:30Z</dcterms:modified>
</cp:coreProperties>
</file>